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90" windowWidth="9555" windowHeight="7680" tabRatio="741" activeTab="20"/>
  </bookViews>
  <sheets>
    <sheet name="SMCC" sheetId="1" r:id="rId1"/>
    <sheet name="PROJURI" sheetId="2" r:id="rId2"/>
    <sheet name="SEAD" sheetId="3" r:id="rId3"/>
    <sheet name="SEFIN" sheetId="4" r:id="rId4"/>
    <sheet name="SEPLAN" sheetId="5" r:id="rId5"/>
    <sheet name="SEMSA-FMS" sheetId="6" r:id="rId6"/>
    <sheet name="SEOP" sheetId="7" r:id="rId7"/>
    <sheet name="SEME" sheetId="8" r:id="rId8"/>
    <sheet name="FUNDEB" sheetId="9" r:id="rId9"/>
    <sheet name="SAFRA" sheetId="10" r:id="rId10"/>
    <sheet name="SEMSUR" sheetId="11" r:id="rId11"/>
    <sheet name="SEMEIA" sheetId="12" r:id="rId12"/>
    <sheet name="SMDGU" sheetId="13" r:id="rId13"/>
    <sheet name="FMHIS" sheetId="14" r:id="rId14"/>
    <sheet name="SEDIHPA" sheetId="15" r:id="rId15"/>
    <sheet name="SEMEL" sheetId="17" r:id="rId16"/>
    <sheet name="SEMCAS-FMAS" sheetId="16" r:id="rId17"/>
    <sheet name="FGB" sheetId="18" r:id="rId18"/>
    <sheet name="RBTRANS" sheetId="19" r:id="rId19"/>
    <sheet name="RBPREV" sheetId="20" r:id="rId20"/>
    <sheet name="SAERB" sheetId="21" r:id="rId21"/>
  </sheets>
  <externalReferences>
    <externalReference r:id="rId22"/>
    <externalReference r:id="rId23"/>
    <externalReference r:id="rId24"/>
  </externalReferences>
  <calcPr calcId="145621"/>
</workbook>
</file>

<file path=xl/calcChain.xml><?xml version="1.0" encoding="utf-8"?>
<calcChain xmlns="http://schemas.openxmlformats.org/spreadsheetml/2006/main">
  <c r="AH39" i="21" l="1"/>
  <c r="AC39" i="21"/>
  <c r="AE39" i="21" s="1"/>
  <c r="AH38" i="21"/>
  <c r="AD36" i="21"/>
  <c r="AE36" i="21" s="1"/>
  <c r="AC37" i="21" s="1"/>
  <c r="AC35" i="21"/>
  <c r="AC34" i="21"/>
  <c r="AH33" i="21"/>
  <c r="AH30" i="21"/>
  <c r="AC30" i="21"/>
  <c r="AE30" i="21" s="1"/>
  <c r="AC29" i="21"/>
  <c r="AH27" i="21"/>
  <c r="AC27" i="21"/>
  <c r="AE27" i="21" s="1"/>
  <c r="AG38" i="20"/>
  <c r="AF38" i="20"/>
  <c r="AD38" i="20"/>
  <c r="AC38" i="20"/>
  <c r="L38" i="20"/>
  <c r="AH37" i="20"/>
  <c r="AE37" i="20"/>
  <c r="AH36" i="20"/>
  <c r="AH35" i="20"/>
  <c r="AH34" i="20"/>
  <c r="AH33" i="20"/>
  <c r="AH32" i="20"/>
  <c r="AH31" i="20"/>
  <c r="AH30" i="20"/>
  <c r="AH29" i="20"/>
  <c r="AE29" i="20"/>
  <c r="AH28" i="20"/>
  <c r="AE28" i="20"/>
  <c r="AH27" i="20"/>
  <c r="AE27" i="20"/>
  <c r="AH26" i="20"/>
  <c r="AE26" i="20"/>
  <c r="AH25" i="20"/>
  <c r="AE25" i="20"/>
  <c r="AE38" i="20" l="1"/>
  <c r="AH38" i="20"/>
  <c r="AD32" i="21"/>
  <c r="AE32" i="21" s="1"/>
  <c r="AC33" i="21" s="1"/>
  <c r="AC31" i="21"/>
  <c r="AD29" i="21"/>
  <c r="AE29" i="21" s="1"/>
  <c r="L298" i="19"/>
  <c r="E294" i="19"/>
  <c r="E293" i="19"/>
  <c r="E292" i="19"/>
  <c r="E291" i="19"/>
  <c r="AH290" i="19"/>
  <c r="AH278" i="19"/>
  <c r="AE278" i="19"/>
  <c r="AH277" i="19"/>
  <c r="AH276" i="19"/>
  <c r="AH273" i="19"/>
  <c r="AH266" i="19"/>
  <c r="AE249" i="19"/>
  <c r="AH248" i="19"/>
  <c r="AH246" i="19"/>
  <c r="AH234" i="19"/>
  <c r="AE234" i="19"/>
  <c r="AG232" i="19"/>
  <c r="AH232" i="19" s="1"/>
  <c r="AH230" i="19"/>
  <c r="AH229" i="19"/>
  <c r="AE229" i="19"/>
  <c r="AG228" i="19"/>
  <c r="AH228" i="19" s="1"/>
  <c r="AH227" i="19"/>
  <c r="AE226" i="19"/>
  <c r="AG226" i="19" s="1"/>
  <c r="AH226" i="19" s="1"/>
  <c r="AE225" i="19"/>
  <c r="AG225" i="19" s="1"/>
  <c r="AH225" i="19" s="1"/>
  <c r="AE224" i="19"/>
  <c r="AG224" i="19" s="1"/>
  <c r="AH224" i="19" s="1"/>
  <c r="AH223" i="19"/>
  <c r="AE223" i="19"/>
  <c r="AH222" i="19"/>
  <c r="AE222" i="19"/>
  <c r="AG221" i="19"/>
  <c r="AE221" i="19"/>
  <c r="AG220" i="19"/>
  <c r="AE220" i="19"/>
  <c r="AG219" i="19"/>
  <c r="AE219" i="19"/>
  <c r="AH218" i="19"/>
  <c r="AE218" i="19"/>
  <c r="AH217" i="19"/>
  <c r="AE217" i="19"/>
  <c r="AH216" i="19"/>
  <c r="AE214" i="19"/>
  <c r="AH213" i="19"/>
  <c r="AE213" i="19"/>
  <c r="AH212" i="19"/>
  <c r="AE212" i="19"/>
  <c r="AH211" i="19"/>
  <c r="AE211" i="19"/>
  <c r="AH210" i="19"/>
  <c r="AE210" i="19"/>
  <c r="AH209" i="19"/>
  <c r="AE209" i="19"/>
  <c r="AH208" i="19"/>
  <c r="AE208" i="19"/>
  <c r="AH207" i="19"/>
  <c r="AE207" i="19"/>
  <c r="AH206" i="19"/>
  <c r="AE206" i="19"/>
  <c r="AH205" i="19"/>
  <c r="AE205" i="19"/>
  <c r="AH204" i="19"/>
  <c r="AE204" i="19"/>
  <c r="AH203" i="19"/>
  <c r="AE203" i="19"/>
  <c r="AH202" i="19"/>
  <c r="AE202" i="19"/>
  <c r="AH201" i="19"/>
  <c r="AE201" i="19"/>
  <c r="AH200" i="19"/>
  <c r="AE200" i="19"/>
  <c r="AH199" i="19"/>
  <c r="AE199" i="19"/>
  <c r="AH198" i="19"/>
  <c r="AE198" i="19"/>
  <c r="AH197" i="19"/>
  <c r="AE197" i="19"/>
  <c r="AH196" i="19"/>
  <c r="AE196" i="19"/>
  <c r="AH195" i="19"/>
  <c r="AE195" i="19"/>
  <c r="AH194" i="19"/>
  <c r="AE194" i="19"/>
  <c r="AH193" i="19"/>
  <c r="AE193" i="19"/>
  <c r="AE192" i="19"/>
  <c r="AH191" i="19"/>
  <c r="AE191" i="19"/>
  <c r="AH190" i="19"/>
  <c r="AE190" i="19"/>
  <c r="AH189" i="19"/>
  <c r="AE189" i="19"/>
  <c r="AH188" i="19"/>
  <c r="AE188" i="19"/>
  <c r="AH187" i="19"/>
  <c r="AE187" i="19"/>
  <c r="AH186" i="19"/>
  <c r="AE186" i="19"/>
  <c r="AH185" i="19"/>
  <c r="AE185" i="19"/>
  <c r="AH184" i="19"/>
  <c r="AE184" i="19"/>
  <c r="AH182" i="19"/>
  <c r="AH181" i="19"/>
  <c r="AE181" i="19"/>
  <c r="AH180" i="19"/>
  <c r="AE180" i="19"/>
  <c r="AH179" i="19"/>
  <c r="AE179" i="19"/>
  <c r="AH178" i="19"/>
  <c r="AE178" i="19"/>
  <c r="AH177" i="19"/>
  <c r="AE177" i="19"/>
  <c r="AH176" i="19"/>
  <c r="AE176" i="19"/>
  <c r="AH175" i="19"/>
  <c r="AE175" i="19"/>
  <c r="AH174" i="19"/>
  <c r="AE174" i="19"/>
  <c r="AH173" i="19"/>
  <c r="AE173" i="19"/>
  <c r="AH172" i="19"/>
  <c r="AE172" i="19"/>
  <c r="AH171" i="19"/>
  <c r="AE171" i="19"/>
  <c r="AH170" i="19"/>
  <c r="AE170" i="19"/>
  <c r="AH169" i="19"/>
  <c r="AE169" i="19"/>
  <c r="AH168" i="19"/>
  <c r="AE168" i="19"/>
  <c r="AH167" i="19"/>
  <c r="AE167" i="19"/>
  <c r="AH166" i="19"/>
  <c r="AE166" i="19"/>
  <c r="AH165" i="19"/>
  <c r="AE165" i="19"/>
  <c r="AH164" i="19"/>
  <c r="AE164" i="19"/>
  <c r="AH163" i="19"/>
  <c r="AE163" i="19"/>
  <c r="AH162" i="19"/>
  <c r="AE162" i="19"/>
  <c r="AH161" i="19"/>
  <c r="AE161" i="19"/>
  <c r="AG160" i="19"/>
  <c r="AH160" i="19" s="1"/>
  <c r="AE160" i="19"/>
  <c r="AH159" i="19"/>
  <c r="AE159" i="19"/>
  <c r="AH158" i="19"/>
  <c r="AE158" i="19"/>
  <c r="AH157" i="19"/>
  <c r="AE157" i="19"/>
  <c r="AH156" i="19"/>
  <c r="AE156" i="19"/>
  <c r="AH155" i="19"/>
  <c r="AE155" i="19"/>
  <c r="AH154" i="19"/>
  <c r="AE154" i="19"/>
  <c r="AH153" i="19"/>
  <c r="AE153" i="19"/>
  <c r="AH152" i="19"/>
  <c r="AE152" i="19"/>
  <c r="AH151" i="19"/>
  <c r="AE151" i="19"/>
  <c r="AH150" i="19"/>
  <c r="AE150" i="19"/>
  <c r="AH149" i="19"/>
  <c r="AE149" i="19"/>
  <c r="AH148" i="19"/>
  <c r="AE148" i="19"/>
  <c r="AH147" i="19"/>
  <c r="AE147" i="19"/>
  <c r="AH146" i="19"/>
  <c r="AE146" i="19"/>
  <c r="AH145" i="19"/>
  <c r="AE145" i="19"/>
  <c r="AH144" i="19"/>
  <c r="AE144" i="19"/>
  <c r="AH143" i="19"/>
  <c r="AH142" i="19"/>
  <c r="AE142" i="19"/>
  <c r="AH141" i="19"/>
  <c r="AE141" i="19"/>
  <c r="AH140" i="19"/>
  <c r="AE140" i="19"/>
  <c r="AH139" i="19"/>
  <c r="AE139" i="19"/>
  <c r="AH138" i="19"/>
  <c r="AE138" i="19"/>
  <c r="AH137" i="19"/>
  <c r="AE137" i="19"/>
  <c r="AH136" i="19"/>
  <c r="AE136" i="19"/>
  <c r="AH135" i="19"/>
  <c r="AE135" i="19"/>
  <c r="AH134" i="19"/>
  <c r="AE134" i="19"/>
  <c r="AH133" i="19"/>
  <c r="AE133" i="19"/>
  <c r="AH132" i="19"/>
  <c r="AE132" i="19"/>
  <c r="AH131" i="19"/>
  <c r="AE131" i="19"/>
  <c r="AH130" i="19"/>
  <c r="AE130" i="19"/>
  <c r="AH129" i="19"/>
  <c r="AE129" i="19"/>
  <c r="AG127" i="19"/>
  <c r="AH127" i="19" s="1"/>
  <c r="AE127" i="19"/>
  <c r="AH126" i="19"/>
  <c r="AE126" i="19"/>
  <c r="AH125" i="19"/>
  <c r="AE125" i="19"/>
  <c r="AH124" i="19"/>
  <c r="AE124" i="19"/>
  <c r="AH123" i="19"/>
  <c r="AE123" i="19"/>
  <c r="AH122" i="19"/>
  <c r="AE122" i="19"/>
  <c r="AH121" i="19"/>
  <c r="AE121" i="19"/>
  <c r="AH120" i="19"/>
  <c r="AE120" i="19"/>
  <c r="AH119" i="19"/>
  <c r="AE119" i="19"/>
  <c r="AH118" i="19"/>
  <c r="AE118" i="19"/>
  <c r="AH117" i="19"/>
  <c r="AE117" i="19"/>
  <c r="AH115" i="19"/>
  <c r="AE115" i="19"/>
  <c r="AH114" i="19"/>
  <c r="AE114" i="19"/>
  <c r="AH113" i="19"/>
  <c r="AE113" i="19"/>
  <c r="AH112" i="19"/>
  <c r="AE112" i="19"/>
  <c r="AH111" i="19"/>
  <c r="AE111" i="19"/>
  <c r="AH110" i="19"/>
  <c r="AE110" i="19"/>
  <c r="AH109" i="19"/>
  <c r="AE109" i="19"/>
  <c r="AH108" i="19"/>
  <c r="AE108" i="19"/>
  <c r="AH107" i="19"/>
  <c r="AE107" i="19"/>
  <c r="AH105" i="19"/>
  <c r="AE105" i="19"/>
  <c r="AE103" i="19"/>
  <c r="AH102" i="19"/>
  <c r="AE102" i="19"/>
  <c r="AE101" i="19"/>
  <c r="AH101" i="19" s="1"/>
  <c r="AG101" i="19" s="1"/>
  <c r="AH100" i="19"/>
  <c r="AE100" i="19"/>
  <c r="AH98" i="19"/>
  <c r="AH96" i="19"/>
  <c r="AH95" i="19"/>
  <c r="AE95" i="19"/>
  <c r="AH94" i="19"/>
  <c r="AE94" i="19"/>
  <c r="AH90" i="19"/>
  <c r="AH91" i="19" s="1"/>
  <c r="AH92" i="19" s="1"/>
  <c r="AH89" i="19"/>
  <c r="AE88" i="19"/>
  <c r="AF92" i="19" s="1"/>
  <c r="AH87" i="19"/>
  <c r="AE87" i="19"/>
  <c r="AH82" i="19"/>
  <c r="AE82" i="19"/>
  <c r="AE83" i="19" s="1"/>
  <c r="AG83" i="19" s="1"/>
  <c r="AH81" i="19"/>
  <c r="AE81" i="19"/>
  <c r="AH80" i="19"/>
  <c r="AH79" i="19"/>
  <c r="AE79" i="19"/>
  <c r="AH78" i="19"/>
  <c r="AH77" i="19"/>
  <c r="AH76" i="19"/>
  <c r="AE76" i="19"/>
  <c r="AH75" i="19"/>
  <c r="AE75" i="19"/>
  <c r="AE74" i="19"/>
  <c r="AH73" i="19"/>
  <c r="AH71" i="19"/>
  <c r="AH70" i="19"/>
  <c r="AH69" i="19"/>
  <c r="AE69" i="19"/>
  <c r="AH68" i="19"/>
  <c r="AH67" i="19"/>
  <c r="AH66" i="19"/>
  <c r="AE66" i="19"/>
  <c r="AE65" i="19"/>
  <c r="AH64" i="19"/>
  <c r="AC64" i="19"/>
  <c r="AC298" i="19" s="1"/>
  <c r="AH63" i="19"/>
  <c r="AE63" i="19"/>
  <c r="AH62" i="19"/>
  <c r="AD62" i="19"/>
  <c r="AD298" i="19" s="1"/>
  <c r="AE61" i="19"/>
  <c r="AH60" i="19"/>
  <c r="AE60" i="19"/>
  <c r="AH59" i="19"/>
  <c r="AE59" i="19"/>
  <c r="AH58" i="19"/>
  <c r="AE58" i="19"/>
  <c r="AH57" i="19"/>
  <c r="AE57" i="19"/>
  <c r="AH56" i="19"/>
  <c r="AE56" i="19"/>
  <c r="AH55" i="19"/>
  <c r="AE55" i="19"/>
  <c r="AH54" i="19"/>
  <c r="AE54" i="19"/>
  <c r="AH53" i="19"/>
  <c r="AH52" i="19"/>
  <c r="AE52" i="19"/>
  <c r="AE53" i="19" s="1"/>
  <c r="AH51" i="19"/>
  <c r="AH50" i="19"/>
  <c r="AH48" i="19"/>
  <c r="AH47" i="19"/>
  <c r="AH45" i="19"/>
  <c r="AE45" i="19"/>
  <c r="AE46" i="19" s="1"/>
  <c r="AE48" i="19" s="1"/>
  <c r="AE49" i="19" s="1"/>
  <c r="AH43" i="19"/>
  <c r="AE43" i="19"/>
  <c r="AH42" i="19"/>
  <c r="AH41" i="19"/>
  <c r="AG41" i="19"/>
  <c r="AF41" i="19"/>
  <c r="AE41" i="19"/>
  <c r="AH40" i="19"/>
  <c r="AH39" i="19"/>
  <c r="AH38" i="19"/>
  <c r="AH37" i="19"/>
  <c r="AH36" i="19"/>
  <c r="AH35" i="19"/>
  <c r="AH34" i="19"/>
  <c r="AH33" i="19"/>
  <c r="AH31" i="19"/>
  <c r="AH30" i="19"/>
  <c r="AH29" i="19"/>
  <c r="AH28" i="19"/>
  <c r="AE28" i="19"/>
  <c r="AH27" i="19"/>
  <c r="AH26" i="19"/>
  <c r="AH83" i="19" l="1"/>
  <c r="AF61" i="19"/>
  <c r="AH61" i="19" s="1"/>
  <c r="AE64" i="19"/>
  <c r="AG65" i="19" s="1"/>
  <c r="AH65" i="19" s="1"/>
  <c r="AE31" i="19"/>
  <c r="AE62" i="19"/>
  <c r="AH298" i="19" l="1"/>
  <c r="AG298" i="19"/>
  <c r="AF298" i="19"/>
  <c r="AE298" i="19"/>
  <c r="AD77" i="18"/>
  <c r="AC77" i="18"/>
  <c r="L77" i="18"/>
  <c r="AH75" i="18"/>
  <c r="AE75" i="18"/>
  <c r="AH74" i="18"/>
  <c r="AE74" i="18"/>
  <c r="AH73" i="18"/>
  <c r="AE73" i="18"/>
  <c r="V73" i="18"/>
  <c r="AH72" i="18"/>
  <c r="AE72" i="18"/>
  <c r="V72" i="18"/>
  <c r="AH71" i="18"/>
  <c r="AE71" i="18"/>
  <c r="V71" i="18"/>
  <c r="AH70" i="18"/>
  <c r="AE70" i="18"/>
  <c r="V70" i="18"/>
  <c r="AH69" i="18"/>
  <c r="AE69" i="18"/>
  <c r="V69" i="18"/>
  <c r="U69" i="18"/>
  <c r="AH68" i="18"/>
  <c r="AE68" i="18"/>
  <c r="V68" i="18"/>
  <c r="U68" i="18"/>
  <c r="AH67" i="18"/>
  <c r="AE67" i="18"/>
  <c r="V67" i="18"/>
  <c r="U67" i="18"/>
  <c r="AH66" i="18"/>
  <c r="AE66" i="18"/>
  <c r="W66" i="18"/>
  <c r="V66" i="18"/>
  <c r="AG65" i="18"/>
  <c r="AH65" i="18" s="1"/>
  <c r="AE65" i="18"/>
  <c r="AG64" i="18"/>
  <c r="AH64" i="18" s="1"/>
  <c r="AE64" i="18"/>
  <c r="V64" i="18"/>
  <c r="AH63" i="18"/>
  <c r="AE63" i="18"/>
  <c r="K63" i="18"/>
  <c r="AH62" i="18"/>
  <c r="AE62" i="18"/>
  <c r="AH61" i="18"/>
  <c r="AE61" i="18"/>
  <c r="AH60" i="18"/>
  <c r="AE60" i="18"/>
  <c r="AH59" i="18"/>
  <c r="AE59" i="18"/>
  <c r="AH58" i="18"/>
  <c r="AE58" i="18"/>
  <c r="AH57" i="18"/>
  <c r="AE57" i="18"/>
  <c r="AG56" i="18"/>
  <c r="AH56" i="18" s="1"/>
  <c r="AE56" i="18"/>
  <c r="AH55" i="18"/>
  <c r="AE55" i="18"/>
  <c r="AH54" i="18"/>
  <c r="AE54" i="18"/>
  <c r="AG53" i="18"/>
  <c r="AH53" i="18" s="1"/>
  <c r="AE53" i="18"/>
  <c r="N53" i="18"/>
  <c r="AH52" i="18"/>
  <c r="AE52" i="18"/>
  <c r="V52" i="18"/>
  <c r="AH51" i="18"/>
  <c r="AE51" i="18"/>
  <c r="V51" i="18"/>
  <c r="AG50" i="18"/>
  <c r="AH50" i="18" s="1"/>
  <c r="AE50" i="18"/>
  <c r="V50" i="18"/>
  <c r="AL49" i="18"/>
  <c r="AH49" i="18"/>
  <c r="AE49" i="18"/>
  <c r="V49" i="18"/>
  <c r="AG48" i="18"/>
  <c r="AF48" i="18"/>
  <c r="AH48" i="18" s="1"/>
  <c r="AE48" i="18"/>
  <c r="V48" i="18"/>
  <c r="AL47" i="18"/>
  <c r="AH47" i="18"/>
  <c r="AE47" i="18"/>
  <c r="V47" i="18"/>
  <c r="Y47" i="18" s="1"/>
  <c r="AH46" i="18"/>
  <c r="AE46" i="18"/>
  <c r="AH45" i="18"/>
  <c r="AE45" i="18"/>
  <c r="AL44" i="18"/>
  <c r="AH44" i="18"/>
  <c r="AE44" i="18"/>
  <c r="AH43" i="18"/>
  <c r="AE43" i="18"/>
  <c r="AH42" i="18"/>
  <c r="AE42" i="18"/>
  <c r="N42" i="18"/>
  <c r="V42" i="18" s="1"/>
  <c r="AH41" i="18"/>
  <c r="AE41" i="18"/>
  <c r="V41" i="18"/>
  <c r="AH40" i="18"/>
  <c r="AE40" i="18"/>
  <c r="AH39" i="18"/>
  <c r="AG39" i="18"/>
  <c r="AE39" i="18"/>
  <c r="AF38" i="18"/>
  <c r="AH38" i="18" s="1"/>
  <c r="AE38" i="18"/>
  <c r="AH37" i="18"/>
  <c r="AE37" i="18"/>
  <c r="AH36" i="18"/>
  <c r="AE36" i="18"/>
  <c r="AH35" i="18"/>
  <c r="AE35" i="18"/>
  <c r="AH34" i="18"/>
  <c r="AE34" i="18"/>
  <c r="E34" i="18"/>
  <c r="AH33" i="18"/>
  <c r="AE33" i="18"/>
  <c r="AF32" i="18"/>
  <c r="AH32" i="18" s="1"/>
  <c r="AE32" i="18"/>
  <c r="AH31" i="18"/>
  <c r="E31" i="18"/>
  <c r="E32" i="18" s="1"/>
  <c r="AG30" i="18"/>
  <c r="AH30" i="18" s="1"/>
  <c r="AE30" i="18"/>
  <c r="AG29" i="18"/>
  <c r="AF29" i="18"/>
  <c r="AH29" i="18" s="1"/>
  <c r="AE29" i="18"/>
  <c r="AG28" i="18"/>
  <c r="AF28" i="18"/>
  <c r="AH28" i="18" s="1"/>
  <c r="AE28" i="18"/>
  <c r="AG27" i="18"/>
  <c r="AF27" i="18"/>
  <c r="AE27" i="18"/>
  <c r="AF26" i="18"/>
  <c r="AF77" i="18" s="1"/>
  <c r="AE26" i="18"/>
  <c r="AH27" i="18" l="1"/>
  <c r="AE77" i="18"/>
  <c r="AG77" i="18"/>
  <c r="AH26" i="18"/>
  <c r="AH77" i="18" l="1"/>
  <c r="AF61" i="17"/>
  <c r="AD61" i="17"/>
  <c r="AC61" i="17"/>
  <c r="L61" i="17"/>
  <c r="AH60" i="17"/>
  <c r="AE60" i="17"/>
  <c r="AH59" i="17"/>
  <c r="AE59" i="17"/>
  <c r="AG58" i="17"/>
  <c r="AH58" i="17" s="1"/>
  <c r="AE58" i="17"/>
  <c r="AH57" i="17"/>
  <c r="AE57" i="17"/>
  <c r="AH56" i="17"/>
  <c r="AE56" i="17"/>
  <c r="AH55" i="17"/>
  <c r="AE55" i="17"/>
  <c r="AG54" i="17"/>
  <c r="AH54" i="17" s="1"/>
  <c r="AE54" i="17"/>
  <c r="AH53" i="17"/>
  <c r="AE53" i="17"/>
  <c r="AH52" i="17"/>
  <c r="AE52" i="17"/>
  <c r="AH51" i="17"/>
  <c r="AE51" i="17"/>
  <c r="AH50" i="17"/>
  <c r="AE50" i="17"/>
  <c r="AH49" i="17"/>
  <c r="AE49" i="17"/>
  <c r="AH48" i="17"/>
  <c r="AE48" i="17"/>
  <c r="AH47" i="17"/>
  <c r="AE47" i="17"/>
  <c r="AH46" i="17"/>
  <c r="AE46" i="17"/>
  <c r="AE45" i="17"/>
  <c r="AE44" i="17"/>
  <c r="AH43" i="17"/>
  <c r="AE43" i="17"/>
  <c r="AH42" i="17"/>
  <c r="AE42" i="17"/>
  <c r="AH41" i="17"/>
  <c r="AE41" i="17"/>
  <c r="AH40" i="17"/>
  <c r="AE40" i="17"/>
  <c r="AH39" i="17"/>
  <c r="AE39" i="17"/>
  <c r="AH38" i="17"/>
  <c r="AE38" i="17"/>
  <c r="AH37" i="17"/>
  <c r="AE37" i="17"/>
  <c r="AH36" i="17"/>
  <c r="AE36" i="17"/>
  <c r="AH35" i="17"/>
  <c r="AE35" i="17"/>
  <c r="AH34" i="17"/>
  <c r="AH33" i="17"/>
  <c r="AE33" i="17"/>
  <c r="AH32" i="17"/>
  <c r="AE32" i="17"/>
  <c r="AH31" i="17"/>
  <c r="AH30" i="17"/>
  <c r="AH29" i="17"/>
  <c r="AE29" i="17"/>
  <c r="AH28" i="17"/>
  <c r="AH27" i="17"/>
  <c r="AH26" i="17"/>
  <c r="AH25" i="17"/>
  <c r="AG92" i="16"/>
  <c r="AF92" i="16"/>
  <c r="AE92" i="16"/>
  <c r="AD92" i="16"/>
  <c r="AC92" i="16"/>
  <c r="L92" i="16"/>
  <c r="AH91" i="16"/>
  <c r="AH89" i="16"/>
  <c r="AH88" i="16"/>
  <c r="AH87" i="16"/>
  <c r="AH86" i="16"/>
  <c r="AH85" i="16"/>
  <c r="AH84" i="16"/>
  <c r="AH83" i="16"/>
  <c r="AH82" i="16"/>
  <c r="AH81" i="16"/>
  <c r="AH80" i="16"/>
  <c r="AH79"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H50" i="16"/>
  <c r="AH49" i="16"/>
  <c r="AH48" i="16"/>
  <c r="AH47" i="16"/>
  <c r="AH46" i="16"/>
  <c r="AH45" i="16"/>
  <c r="AH44" i="16"/>
  <c r="AH43" i="16"/>
  <c r="AH42" i="16"/>
  <c r="AH41" i="16"/>
  <c r="AH40" i="16"/>
  <c r="AH39" i="16"/>
  <c r="AH38" i="16"/>
  <c r="AH37" i="16"/>
  <c r="AH36" i="16"/>
  <c r="AH35" i="16"/>
  <c r="AH34" i="16"/>
  <c r="AH33" i="16"/>
  <c r="AH32" i="16"/>
  <c r="AH31" i="16"/>
  <c r="AH30" i="16"/>
  <c r="AH29" i="16"/>
  <c r="AH28" i="16"/>
  <c r="AH27" i="16"/>
  <c r="AH92" i="16" l="1"/>
  <c r="AH61" i="17"/>
  <c r="AE61" i="17"/>
  <c r="AG61" i="17"/>
  <c r="AD82" i="15"/>
  <c r="AC82" i="15"/>
  <c r="L82" i="15"/>
  <c r="AH81" i="15"/>
  <c r="AH80" i="15"/>
  <c r="AE80" i="15"/>
  <c r="AH79" i="15"/>
  <c r="AG76" i="15"/>
  <c r="AH76" i="15" s="1"/>
  <c r="AH75" i="15"/>
  <c r="AH74" i="15"/>
  <c r="AH73" i="15"/>
  <c r="AH72" i="15"/>
  <c r="AH71" i="15"/>
  <c r="AH70" i="15"/>
  <c r="AH69" i="15"/>
  <c r="AH68" i="15"/>
  <c r="AH67" i="15"/>
  <c r="AE67" i="15"/>
  <c r="AH66" i="15"/>
  <c r="AH65" i="15"/>
  <c r="AH64" i="15"/>
  <c r="AH63" i="15"/>
  <c r="AH62" i="15"/>
  <c r="AH61" i="15"/>
  <c r="AH60" i="15"/>
  <c r="AH59" i="15"/>
  <c r="AH58" i="15"/>
  <c r="AF57" i="15"/>
  <c r="AH57" i="15" s="1"/>
  <c r="AE57" i="15"/>
  <c r="AH56" i="15"/>
  <c r="AH55" i="15"/>
  <c r="AH54" i="15"/>
  <c r="AH53" i="15"/>
  <c r="AH52" i="15"/>
  <c r="AH51" i="15"/>
  <c r="AH50" i="15"/>
  <c r="AG49" i="15"/>
  <c r="AG82" i="15" s="1"/>
  <c r="AH48" i="15"/>
  <c r="AH47" i="15"/>
  <c r="AH46" i="15"/>
  <c r="AH45" i="15"/>
  <c r="AH44" i="15"/>
  <c r="AH43" i="15"/>
  <c r="AH42" i="15"/>
  <c r="AH41" i="15"/>
  <c r="AH40" i="15"/>
  <c r="AH39" i="15"/>
  <c r="AH38" i="15"/>
  <c r="AH37" i="15"/>
  <c r="AH36" i="15"/>
  <c r="AH35" i="15"/>
  <c r="AH34" i="15"/>
  <c r="AH33" i="15"/>
  <c r="AE33" i="15"/>
  <c r="AH32" i="15"/>
  <c r="AE32" i="15"/>
  <c r="AH31" i="15"/>
  <c r="AE31" i="15"/>
  <c r="AH30" i="15"/>
  <c r="AE30" i="15"/>
  <c r="AH29" i="15"/>
  <c r="AE29" i="15"/>
  <c r="AH28" i="15"/>
  <c r="AE28" i="15"/>
  <c r="AF27" i="15"/>
  <c r="AH27" i="15" s="1"/>
  <c r="AE27" i="15"/>
  <c r="AH26" i="15"/>
  <c r="AH25" i="15"/>
  <c r="AE25" i="15"/>
  <c r="AE82" i="15" l="1"/>
  <c r="AH49" i="15"/>
  <c r="AH82" i="15"/>
  <c r="AF82" i="15"/>
  <c r="AF48" i="14"/>
  <c r="AD48" i="14"/>
  <c r="AC48" i="14"/>
  <c r="L48" i="14"/>
  <c r="AG46" i="14"/>
  <c r="AH46" i="14" s="1"/>
  <c r="AH44" i="14"/>
  <c r="AG44" i="14"/>
  <c r="AG42" i="14"/>
  <c r="AH42" i="14" s="1"/>
  <c r="AE38" i="14"/>
  <c r="AE48" i="14" s="1"/>
  <c r="AH37" i="14"/>
  <c r="AG36" i="14"/>
  <c r="AG48" i="14" s="1"/>
  <c r="AH48" i="14" l="1"/>
  <c r="AF92" i="13" l="1"/>
  <c r="L92" i="13"/>
  <c r="AH91" i="13"/>
  <c r="O91" i="13"/>
  <c r="Z91" i="13" s="1"/>
  <c r="AH90" i="13"/>
  <c r="AH89" i="13"/>
  <c r="AH88" i="13"/>
  <c r="AH87" i="13"/>
  <c r="AH86" i="13"/>
  <c r="AH85" i="13"/>
  <c r="AH84" i="13"/>
  <c r="AG83" i="13"/>
  <c r="AH83" i="13" s="1"/>
  <c r="AH82" i="13"/>
  <c r="AH81" i="13"/>
  <c r="AG80" i="13"/>
  <c r="AH80" i="13" s="1"/>
  <c r="AH79" i="13"/>
  <c r="AH78" i="13"/>
  <c r="AG78" i="13"/>
  <c r="AH77" i="13"/>
  <c r="AG76" i="13"/>
  <c r="AH76" i="13" s="1"/>
  <c r="AG75" i="13"/>
  <c r="AH75" i="13" s="1"/>
  <c r="AG74" i="13"/>
  <c r="AH74" i="13" s="1"/>
  <c r="AG73" i="13"/>
  <c r="AH73" i="13" s="1"/>
  <c r="AH72" i="13"/>
  <c r="O72" i="13"/>
  <c r="AH71" i="13"/>
  <c r="AH70" i="13"/>
  <c r="AH69" i="13"/>
  <c r="AH68" i="13"/>
  <c r="AG68" i="13"/>
  <c r="AH67" i="13"/>
  <c r="AG66" i="13"/>
  <c r="AH66" i="13" s="1"/>
  <c r="AG65" i="13"/>
  <c r="AH65" i="13" s="1"/>
  <c r="AG64" i="13"/>
  <c r="AH64" i="13" s="1"/>
  <c r="AG63" i="13"/>
  <c r="AH63" i="13" s="1"/>
  <c r="AG61" i="13"/>
  <c r="AH61" i="13" s="1"/>
  <c r="AE61" i="13"/>
  <c r="AH60" i="13"/>
  <c r="AE60" i="13"/>
  <c r="AG59" i="13"/>
  <c r="AH59" i="13" s="1"/>
  <c r="AE52" i="13"/>
  <c r="AE58" i="13" s="1"/>
  <c r="AG48" i="13"/>
  <c r="AH48" i="13" s="1"/>
  <c r="AE48" i="13"/>
  <c r="AE45" i="13"/>
  <c r="AG38" i="13"/>
  <c r="AH38" i="13" s="1"/>
  <c r="AE38" i="13"/>
  <c r="AG36" i="13"/>
  <c r="AH36" i="13" s="1"/>
  <c r="AE33" i="13"/>
  <c r="AE36" i="13" s="1"/>
  <c r="AG32" i="13"/>
  <c r="AH32" i="13" s="1"/>
  <c r="AH30" i="13"/>
  <c r="AE30" i="13"/>
  <c r="AH29" i="13"/>
  <c r="AE29" i="13"/>
  <c r="AH28" i="13"/>
  <c r="AE28" i="13"/>
  <c r="AG27" i="13"/>
  <c r="AC27" i="13"/>
  <c r="AE27" i="13" s="1"/>
  <c r="AG92" i="13" l="1"/>
  <c r="AE92" i="13"/>
  <c r="AH27" i="13"/>
  <c r="AH92" i="13" s="1"/>
  <c r="AD95" i="12" l="1"/>
  <c r="AC95" i="12"/>
  <c r="L95" i="12"/>
  <c r="AG93" i="12"/>
  <c r="AG87" i="12"/>
  <c r="AG83" i="12"/>
  <c r="AH81" i="12"/>
  <c r="AG80" i="12"/>
  <c r="AG79" i="12"/>
  <c r="AG78" i="12"/>
  <c r="AG77" i="12"/>
  <c r="AG76" i="12"/>
  <c r="AG75" i="12"/>
  <c r="AG74" i="12"/>
  <c r="AG73" i="12"/>
  <c r="AH67" i="12"/>
  <c r="N66" i="12"/>
  <c r="AH64" i="12"/>
  <c r="AG64" i="12"/>
  <c r="AH63" i="12"/>
  <c r="AG62" i="12"/>
  <c r="AH62" i="12" s="1"/>
  <c r="AE62" i="12"/>
  <c r="AG61" i="12"/>
  <c r="AH61" i="12" s="1"/>
  <c r="AG59" i="12"/>
  <c r="AH59" i="12" s="1"/>
  <c r="AH57" i="12"/>
  <c r="AG55" i="12"/>
  <c r="AH55" i="12" s="1"/>
  <c r="AG54" i="12"/>
  <c r="AH54" i="12" s="1"/>
  <c r="AG53" i="12"/>
  <c r="AG51" i="12"/>
  <c r="AG48" i="12"/>
  <c r="AH48" i="12" s="1"/>
  <c r="AG45" i="12"/>
  <c r="AH45" i="12" s="1"/>
  <c r="AH46" i="12" s="1"/>
  <c r="AE45" i="12"/>
  <c r="AE46" i="12" s="1"/>
  <c r="AH44" i="12"/>
  <c r="AF43" i="12"/>
  <c r="AH43" i="12" s="1"/>
  <c r="AE43" i="12"/>
  <c r="AG42" i="12"/>
  <c r="AF42" i="12"/>
  <c r="AF95" i="12" s="1"/>
  <c r="AE42" i="12"/>
  <c r="AE39" i="12"/>
  <c r="AE40" i="12" s="1"/>
  <c r="AE41" i="12" s="1"/>
  <c r="AH37" i="12"/>
  <c r="AE37" i="12"/>
  <c r="AE38" i="12" s="1"/>
  <c r="AH32" i="12"/>
  <c r="AE32" i="12"/>
  <c r="AE33" i="12" s="1"/>
  <c r="AE34" i="12" s="1"/>
  <c r="AE35" i="12" s="1"/>
  <c r="AE36" i="12" s="1"/>
  <c r="AH25" i="12"/>
  <c r="AE25" i="12"/>
  <c r="AE26" i="12" s="1"/>
  <c r="AE27" i="12" s="1"/>
  <c r="AE28" i="12" s="1"/>
  <c r="AE29" i="12" s="1"/>
  <c r="AE30" i="12" s="1"/>
  <c r="AE31" i="12" s="1"/>
  <c r="AE95" i="12" l="1"/>
  <c r="AH42" i="12"/>
  <c r="AH95" i="12" s="1"/>
  <c r="AG95" i="12"/>
  <c r="AG229" i="11" l="1"/>
  <c r="AF229" i="11"/>
  <c r="AE229" i="11"/>
  <c r="AD229" i="11"/>
  <c r="AC229" i="11"/>
  <c r="L229" i="11"/>
  <c r="AH213" i="11"/>
  <c r="AH212" i="11"/>
  <c r="AH211" i="11"/>
  <c r="AH207" i="11"/>
  <c r="AH206" i="11"/>
  <c r="AH205" i="11"/>
  <c r="AH203" i="11"/>
  <c r="AH200" i="11"/>
  <c r="AH199" i="11"/>
  <c r="AH195" i="11"/>
  <c r="AH194" i="11"/>
  <c r="AH192" i="11"/>
  <c r="AH190" i="11"/>
  <c r="AH189" i="11"/>
  <c r="AH188" i="11"/>
  <c r="AH187" i="11"/>
  <c r="AH185" i="11"/>
  <c r="AH184" i="11"/>
  <c r="AH183" i="11"/>
  <c r="AH182" i="11"/>
  <c r="AH181" i="11"/>
  <c r="AH180" i="11"/>
  <c r="AH179" i="11"/>
  <c r="AH178" i="11"/>
  <c r="AH177" i="11"/>
  <c r="AH171" i="11"/>
  <c r="AH170" i="11"/>
  <c r="AH168" i="11"/>
  <c r="AH167" i="11"/>
  <c r="AH165" i="11"/>
  <c r="AH162" i="11"/>
  <c r="AH157" i="11"/>
  <c r="AH156" i="11"/>
  <c r="AH155" i="11"/>
  <c r="AH152" i="11"/>
  <c r="AH151" i="11"/>
  <c r="AH150" i="11"/>
  <c r="AH149" i="11"/>
  <c r="AH144" i="11"/>
  <c r="AH140" i="11"/>
  <c r="AH136" i="11"/>
  <c r="AH131" i="11"/>
  <c r="AH130" i="11"/>
  <c r="AH129" i="11"/>
  <c r="AH123" i="11"/>
  <c r="AH122" i="11"/>
  <c r="AH121" i="11"/>
  <c r="AH120" i="11"/>
  <c r="AH119" i="11"/>
  <c r="AH118" i="11"/>
  <c r="AH110" i="11"/>
  <c r="AH109" i="11"/>
  <c r="AH102" i="11"/>
  <c r="AH101" i="11"/>
  <c r="AH98" i="11"/>
  <c r="AH95" i="11"/>
  <c r="AH94" i="11"/>
  <c r="AH93" i="11"/>
  <c r="AH90" i="11"/>
  <c r="AH89" i="11"/>
  <c r="AH87" i="11"/>
  <c r="AH86" i="11"/>
  <c r="AH79" i="11"/>
  <c r="AH78" i="11"/>
  <c r="AH77" i="11"/>
  <c r="AH76" i="11"/>
  <c r="AH75" i="11"/>
  <c r="AH53" i="11"/>
  <c r="AH229" i="11" s="1"/>
  <c r="AH43" i="11"/>
  <c r="AG95" i="10" l="1"/>
  <c r="AF95" i="10"/>
  <c r="AD95" i="10"/>
  <c r="AC95" i="10"/>
  <c r="S95" i="10"/>
  <c r="R95" i="10"/>
  <c r="L95" i="10"/>
  <c r="AH94" i="10"/>
  <c r="AE94" i="10"/>
  <c r="AH93" i="10"/>
  <c r="AE93" i="10"/>
  <c r="AH92" i="10"/>
  <c r="AE92" i="10"/>
  <c r="AH91" i="10"/>
  <c r="AE91" i="10"/>
  <c r="AH90" i="10"/>
  <c r="AE90" i="10"/>
  <c r="AH89" i="10"/>
  <c r="AE89" i="10"/>
  <c r="AH88" i="10"/>
  <c r="AE88" i="10"/>
  <c r="AH87" i="10"/>
  <c r="AE87" i="10"/>
  <c r="AH86" i="10"/>
  <c r="AE86" i="10"/>
  <c r="AH85" i="10"/>
  <c r="AE85" i="10"/>
  <c r="AH84" i="10"/>
  <c r="AE84" i="10"/>
  <c r="AH83" i="10"/>
  <c r="AE83" i="10"/>
  <c r="AH82" i="10"/>
  <c r="AE82" i="10"/>
  <c r="AH81" i="10"/>
  <c r="AE81" i="10"/>
  <c r="AH80" i="10"/>
  <c r="AE80" i="10"/>
  <c r="AH79" i="10"/>
  <c r="AE79" i="10"/>
  <c r="AH78" i="10"/>
  <c r="AE78" i="10"/>
  <c r="AH77" i="10"/>
  <c r="AE77" i="10"/>
  <c r="AA77" i="10"/>
  <c r="AH76" i="10"/>
  <c r="AE76" i="10"/>
  <c r="AH75" i="10"/>
  <c r="AE75" i="10"/>
  <c r="AH74" i="10"/>
  <c r="AE74" i="10"/>
  <c r="AH73" i="10"/>
  <c r="AE73" i="10"/>
  <c r="AH72" i="10"/>
  <c r="AE72" i="10"/>
  <c r="AH71" i="10"/>
  <c r="AE71" i="10"/>
  <c r="AH70" i="10"/>
  <c r="AE70" i="10"/>
  <c r="AH69" i="10"/>
  <c r="AE69" i="10"/>
  <c r="AH68" i="10"/>
  <c r="AE68" i="10"/>
  <c r="AH67" i="10"/>
  <c r="AE67" i="10"/>
  <c r="AH66" i="10"/>
  <c r="AE66" i="10"/>
  <c r="AH65" i="10"/>
  <c r="AE65" i="10"/>
  <c r="AH64" i="10"/>
  <c r="AE64" i="10"/>
  <c r="AH63" i="10"/>
  <c r="AE63" i="10"/>
  <c r="AH62" i="10"/>
  <c r="AE62" i="10"/>
  <c r="AH61" i="10"/>
  <c r="AE61" i="10"/>
  <c r="AH60" i="10"/>
  <c r="AE60" i="10"/>
  <c r="AH59" i="10"/>
  <c r="AE59" i="10"/>
  <c r="AH58" i="10"/>
  <c r="AE58" i="10"/>
  <c r="AH57" i="10"/>
  <c r="AE57" i="10"/>
  <c r="AH56" i="10"/>
  <c r="AE56" i="10"/>
  <c r="AH55" i="10"/>
  <c r="AE55" i="10"/>
  <c r="AH54" i="10"/>
  <c r="AE54" i="10"/>
  <c r="AH53" i="10"/>
  <c r="AE53" i="10"/>
  <c r="AH52" i="10"/>
  <c r="AE52" i="10"/>
  <c r="AH51" i="10"/>
  <c r="AE51" i="10"/>
  <c r="AH50" i="10"/>
  <c r="AE50" i="10"/>
  <c r="AH49" i="10"/>
  <c r="AE49" i="10"/>
  <c r="AH48" i="10"/>
  <c r="AE48" i="10"/>
  <c r="AH47" i="10"/>
  <c r="AE47" i="10"/>
  <c r="AH46" i="10"/>
  <c r="AE46" i="10"/>
  <c r="AH45" i="10"/>
  <c r="AE45" i="10"/>
  <c r="AH44" i="10"/>
  <c r="AE44" i="10"/>
  <c r="A44" i="10"/>
  <c r="A45" i="10" s="1"/>
  <c r="A46" i="10" s="1"/>
  <c r="A47" i="10" s="1"/>
  <c r="A48" i="10" s="1"/>
  <c r="A49" i="10" s="1"/>
  <c r="A50" i="10" s="1"/>
  <c r="A51" i="10" s="1"/>
  <c r="A52" i="10" s="1"/>
  <c r="A53" i="10" s="1"/>
  <c r="A54" i="10" s="1"/>
  <c r="A55" i="10" s="1"/>
  <c r="A56" i="10" s="1"/>
  <c r="A57" i="10" s="1"/>
  <c r="A58" i="10" s="1"/>
  <c r="A59" i="10" s="1"/>
  <c r="A60" i="10" s="1"/>
  <c r="AH43" i="10"/>
  <c r="AE43" i="10"/>
  <c r="AH42" i="10"/>
  <c r="AE42" i="10"/>
  <c r="AH41" i="10"/>
  <c r="AE41" i="10"/>
  <c r="AH40" i="10"/>
  <c r="AE40" i="10"/>
  <c r="AH39" i="10"/>
  <c r="AE39" i="10"/>
  <c r="AH38" i="10"/>
  <c r="AE38" i="10"/>
  <c r="AH37" i="10"/>
  <c r="AE37" i="10"/>
  <c r="AH36" i="10"/>
  <c r="AE36" i="10"/>
  <c r="AH35" i="10"/>
  <c r="AE35" i="10"/>
  <c r="AH34" i="10"/>
  <c r="AE34" i="10"/>
  <c r="AH33" i="10"/>
  <c r="AE33" i="10"/>
  <c r="AH32" i="10"/>
  <c r="AE32" i="10"/>
  <c r="AH31" i="10"/>
  <c r="AE31" i="10"/>
  <c r="AH30" i="10"/>
  <c r="AE30" i="10"/>
  <c r="AH29" i="10"/>
  <c r="AE29" i="10"/>
  <c r="A29" i="10"/>
  <c r="A30" i="10" s="1"/>
  <c r="A31" i="10" s="1"/>
  <c r="A32" i="10" s="1"/>
  <c r="A33" i="10" s="1"/>
  <c r="A34" i="10" s="1"/>
  <c r="A35" i="10" s="1"/>
  <c r="A36" i="10" s="1"/>
  <c r="A37" i="10" s="1"/>
  <c r="A38" i="10" s="1"/>
  <c r="A39" i="10" s="1"/>
  <c r="A40" i="10" s="1"/>
  <c r="AH28" i="10"/>
  <c r="AE28" i="10"/>
  <c r="AH27" i="10"/>
  <c r="AE27" i="10"/>
  <c r="AH95" i="10" l="1"/>
  <c r="AE95" i="10"/>
  <c r="AG43" i="9"/>
  <c r="AF43" i="9"/>
  <c r="AD43" i="9"/>
  <c r="L43" i="9"/>
  <c r="AA41" i="9"/>
  <c r="AE38" i="9"/>
  <c r="AE40" i="9" s="1"/>
  <c r="AE41" i="9" s="1"/>
  <c r="AA38" i="9"/>
  <c r="AH34" i="9"/>
  <c r="AA30" i="9"/>
  <c r="AC29" i="9"/>
  <c r="AC43" i="9" s="1"/>
  <c r="AE27" i="9"/>
  <c r="AE28" i="9" s="1"/>
  <c r="AE29" i="9" s="1"/>
  <c r="AE30" i="9" s="1"/>
  <c r="AA27" i="9"/>
  <c r="AH26" i="9"/>
  <c r="AH43" i="9" s="1"/>
  <c r="AE32" i="9" l="1"/>
  <c r="AA32" i="9"/>
  <c r="AA28" i="9"/>
  <c r="AA40" i="9"/>
  <c r="AE33" i="9" l="1"/>
  <c r="AE43" i="9" s="1"/>
  <c r="AA33" i="9"/>
  <c r="AH766" i="8" l="1"/>
  <c r="AE766" i="8"/>
  <c r="AH765" i="8"/>
  <c r="AE765" i="8"/>
  <c r="AH764" i="8"/>
  <c r="AE764" i="8"/>
  <c r="AG763" i="8"/>
  <c r="AH763" i="8" s="1"/>
  <c r="AH762" i="8"/>
  <c r="AG761" i="8"/>
  <c r="AH761" i="8" s="1"/>
  <c r="AE761" i="8"/>
  <c r="AH760" i="8"/>
  <c r="AE760" i="8"/>
  <c r="AA760" i="8"/>
  <c r="AG759" i="8"/>
  <c r="AH759" i="8" s="1"/>
  <c r="AE759" i="8"/>
  <c r="AH758" i="8"/>
  <c r="AE758" i="8"/>
  <c r="AH757" i="8"/>
  <c r="AE757" i="8"/>
  <c r="AH756" i="8"/>
  <c r="AE756" i="8"/>
  <c r="AH755" i="8"/>
  <c r="AE755" i="8"/>
  <c r="AH754" i="8"/>
  <c r="AE754" i="8"/>
  <c r="AH753" i="8"/>
  <c r="AE753" i="8"/>
  <c r="AH752" i="8"/>
  <c r="AE752" i="8"/>
  <c r="AH751" i="8"/>
  <c r="AE751" i="8"/>
  <c r="AH750" i="8"/>
  <c r="AE750" i="8"/>
  <c r="AH749" i="8"/>
  <c r="AE749" i="8"/>
  <c r="AH748" i="8"/>
  <c r="AE748" i="8"/>
  <c r="AH747" i="8"/>
  <c r="AE747" i="8"/>
  <c r="AH746" i="8"/>
  <c r="AE746" i="8"/>
  <c r="AH745" i="8"/>
  <c r="AA745" i="8"/>
  <c r="AH744" i="8"/>
  <c r="AE744" i="8"/>
  <c r="AE745" i="8" s="1"/>
  <c r="AG743" i="8"/>
  <c r="AH743" i="8" s="1"/>
  <c r="AH742" i="8"/>
  <c r="AC742" i="8"/>
  <c r="AE742" i="8" s="1"/>
  <c r="AG741" i="8"/>
  <c r="AH741" i="8" s="1"/>
  <c r="AH740" i="8"/>
  <c r="AE740" i="8"/>
  <c r="AH739" i="8"/>
  <c r="AE739" i="8"/>
  <c r="AH738" i="8"/>
  <c r="AE738" i="8"/>
  <c r="AH737" i="8"/>
  <c r="AE737" i="8"/>
  <c r="AH736" i="8"/>
  <c r="AE736" i="8"/>
  <c r="AH735" i="8"/>
  <c r="AE735" i="8"/>
  <c r="AH734" i="8"/>
  <c r="AE734" i="8"/>
  <c r="AH733" i="8"/>
  <c r="AE733" i="8"/>
  <c r="AB733" i="8"/>
  <c r="AG732" i="8"/>
  <c r="AH732" i="8" s="1"/>
  <c r="AH731" i="8"/>
  <c r="AC731" i="8"/>
  <c r="AA731" i="8"/>
  <c r="AH730" i="8"/>
  <c r="AH729" i="8"/>
  <c r="AA729" i="8"/>
  <c r="AH728" i="8"/>
  <c r="AE728" i="8"/>
  <c r="AE729" i="8" s="1"/>
  <c r="AE730" i="8" s="1"/>
  <c r="AG727" i="8"/>
  <c r="AH727" i="8" s="1"/>
  <c r="AH726" i="8"/>
  <c r="AH725" i="8"/>
  <c r="AA725" i="8"/>
  <c r="AH724" i="8"/>
  <c r="AE724" i="8"/>
  <c r="AE725" i="8" s="1"/>
  <c r="AE726" i="8" s="1"/>
  <c r="AG723" i="8"/>
  <c r="AH723" i="8" s="1"/>
  <c r="AH722" i="8"/>
  <c r="AH721" i="8"/>
  <c r="AC721" i="8"/>
  <c r="AA721" i="8" s="1"/>
  <c r="AH720" i="8"/>
  <c r="AH719" i="8"/>
  <c r="AC719" i="8"/>
  <c r="AA719" i="8" s="1"/>
  <c r="AH718" i="8"/>
  <c r="AE718" i="8"/>
  <c r="AG717" i="8"/>
  <c r="AH717" i="8" s="1"/>
  <c r="AH716" i="8"/>
  <c r="AH715" i="8"/>
  <c r="AH714" i="8"/>
  <c r="AH713" i="8"/>
  <c r="AH712" i="8"/>
  <c r="AH711" i="8"/>
  <c r="AH710" i="8"/>
  <c r="AE710" i="8"/>
  <c r="AB713" i="8" s="1"/>
  <c r="AA710" i="8"/>
  <c r="AH709" i="8"/>
  <c r="AH708" i="8"/>
  <c r="AH707" i="8"/>
  <c r="AH706" i="8"/>
  <c r="AC706" i="8"/>
  <c r="AH705" i="8"/>
  <c r="AH704" i="8"/>
  <c r="AH703" i="8"/>
  <c r="AH702" i="8"/>
  <c r="AC702" i="8"/>
  <c r="AH701" i="8"/>
  <c r="AH700" i="8"/>
  <c r="AC700" i="8"/>
  <c r="AH699" i="8"/>
  <c r="AH698" i="8"/>
  <c r="AC698" i="8"/>
  <c r="AH697" i="8"/>
  <c r="AH696" i="8"/>
  <c r="AC696" i="8"/>
  <c r="AH695" i="8"/>
  <c r="AH694" i="8"/>
  <c r="AC694" i="8"/>
  <c r="AH693" i="8"/>
  <c r="AE693" i="8"/>
  <c r="AA693" i="8"/>
  <c r="AH692" i="8"/>
  <c r="AH691" i="8"/>
  <c r="AC691" i="8"/>
  <c r="AA691" i="8"/>
  <c r="AH690" i="8"/>
  <c r="AH689" i="8"/>
  <c r="AC689" i="8"/>
  <c r="AA689" i="8"/>
  <c r="AH688" i="8"/>
  <c r="AH687" i="8"/>
  <c r="AC687" i="8"/>
  <c r="AA687" i="8"/>
  <c r="AH686" i="8"/>
  <c r="AH685" i="8"/>
  <c r="AC685" i="8"/>
  <c r="AA685" i="8"/>
  <c r="AH684" i="8"/>
  <c r="AH683" i="8"/>
  <c r="AH682" i="8"/>
  <c r="AC682" i="8"/>
  <c r="AA682" i="8"/>
  <c r="AH681" i="8"/>
  <c r="AC681" i="8"/>
  <c r="AA681" i="8"/>
  <c r="AH680" i="8"/>
  <c r="AC680" i="8"/>
  <c r="AE680" i="8" s="1"/>
  <c r="AE681" i="8" s="1"/>
  <c r="AE682" i="8" s="1"/>
  <c r="AE683" i="8" s="1"/>
  <c r="AE684" i="8" s="1"/>
  <c r="AE685" i="8" s="1"/>
  <c r="AE686" i="8" s="1"/>
  <c r="AE687" i="8" s="1"/>
  <c r="AE688" i="8" s="1"/>
  <c r="AE689" i="8" s="1"/>
  <c r="AE690" i="8" s="1"/>
  <c r="AE691" i="8" s="1"/>
  <c r="AA680" i="8"/>
  <c r="AG679" i="8"/>
  <c r="AH679" i="8" s="1"/>
  <c r="AH678" i="8"/>
  <c r="AE678" i="8"/>
  <c r="AH677" i="8"/>
  <c r="AH676" i="8"/>
  <c r="AH675" i="8"/>
  <c r="AE675" i="8"/>
  <c r="AH674" i="8"/>
  <c r="AH673" i="8"/>
  <c r="AH672" i="8"/>
  <c r="AE672" i="8"/>
  <c r="AH671" i="8"/>
  <c r="AH670" i="8"/>
  <c r="AE670" i="8"/>
  <c r="AE671" i="8" s="1"/>
  <c r="AA670" i="8"/>
  <c r="AH669" i="8"/>
  <c r="AH668" i="8"/>
  <c r="AE668" i="8"/>
  <c r="AH667" i="8"/>
  <c r="AH666" i="8"/>
  <c r="AE666" i="8"/>
  <c r="AH665" i="8"/>
  <c r="AC665" i="8"/>
  <c r="AH664" i="8"/>
  <c r="AH663" i="8"/>
  <c r="AE663" i="8"/>
  <c r="AB663" i="8"/>
  <c r="AG662" i="8"/>
  <c r="AH662" i="8" s="1"/>
  <c r="AH661" i="8"/>
  <c r="AH660" i="8"/>
  <c r="AE660" i="8"/>
  <c r="AB660" i="8"/>
  <c r="AG659" i="8"/>
  <c r="AH659" i="8" s="1"/>
  <c r="AH658" i="8"/>
  <c r="AE658" i="8"/>
  <c r="AB658" i="8"/>
  <c r="AG657" i="8"/>
  <c r="AH657" i="8" s="1"/>
  <c r="AH656" i="8"/>
  <c r="Y656" i="8"/>
  <c r="AH655" i="8"/>
  <c r="Y655" i="8"/>
  <c r="AH654" i="8"/>
  <c r="AE654" i="8"/>
  <c r="AA654" i="8"/>
  <c r="AH653" i="8"/>
  <c r="Y653" i="8"/>
  <c r="AH652" i="8"/>
  <c r="Z652" i="8"/>
  <c r="AH651" i="8"/>
  <c r="AH650" i="8"/>
  <c r="AG649" i="8"/>
  <c r="AH649" i="8" s="1"/>
  <c r="AW649" i="8" s="1"/>
  <c r="AH648" i="8"/>
  <c r="AH647" i="8"/>
  <c r="AE647" i="8"/>
  <c r="AH646" i="8"/>
  <c r="AE646" i="8"/>
  <c r="AA646" i="8"/>
  <c r="AH645" i="8"/>
  <c r="AH644" i="8"/>
  <c r="AH643" i="8"/>
  <c r="AG642" i="8"/>
  <c r="AH642" i="8" s="1"/>
  <c r="AH641" i="8"/>
  <c r="AH640" i="8"/>
  <c r="AH639" i="8"/>
  <c r="AE639" i="8"/>
  <c r="AH638" i="8"/>
  <c r="AH637" i="8"/>
  <c r="AH636" i="8"/>
  <c r="AE636" i="8"/>
  <c r="AH635" i="8"/>
  <c r="AH634" i="8"/>
  <c r="AE634" i="8"/>
  <c r="AH633" i="8"/>
  <c r="AH632" i="8"/>
  <c r="AH631" i="8"/>
  <c r="AE631" i="8"/>
  <c r="AH630" i="8"/>
  <c r="AE630" i="8"/>
  <c r="AA630" i="8"/>
  <c r="AH629" i="8"/>
  <c r="AH628" i="8"/>
  <c r="AH627" i="8"/>
  <c r="AH626" i="8"/>
  <c r="AH625" i="8"/>
  <c r="AH624" i="8"/>
  <c r="AH623" i="8"/>
  <c r="AH622" i="8"/>
  <c r="AH621" i="8"/>
  <c r="AH620" i="8"/>
  <c r="AE620" i="8"/>
  <c r="AH619" i="8"/>
  <c r="Y619" i="8"/>
  <c r="AH618" i="8"/>
  <c r="AH617" i="8"/>
  <c r="AE617" i="8"/>
  <c r="AA617" i="8"/>
  <c r="AH616" i="8"/>
  <c r="AH615" i="8"/>
  <c r="AH614" i="8"/>
  <c r="AH613" i="8"/>
  <c r="AG612" i="8"/>
  <c r="AH612" i="8" s="1"/>
  <c r="AH611" i="8"/>
  <c r="AH610" i="8"/>
  <c r="AH609" i="8"/>
  <c r="AH608" i="8"/>
  <c r="AH607" i="8"/>
  <c r="AH606" i="8"/>
  <c r="AE606" i="8"/>
  <c r="AA610" i="8" s="1"/>
  <c r="AA606" i="8"/>
  <c r="AH605" i="8"/>
  <c r="AH604" i="8"/>
  <c r="AH603" i="8"/>
  <c r="AH602" i="8"/>
  <c r="AG602" i="8"/>
  <c r="Y602" i="8"/>
  <c r="AH601" i="8"/>
  <c r="AH600" i="8"/>
  <c r="AH599" i="8"/>
  <c r="AH598" i="8"/>
  <c r="AH597" i="8"/>
  <c r="AF596" i="8"/>
  <c r="AH596" i="8" s="1"/>
  <c r="AE596" i="8"/>
  <c r="AE600" i="8" s="1"/>
  <c r="AA596" i="8"/>
  <c r="AH595" i="8"/>
  <c r="AG594" i="8"/>
  <c r="AF594" i="8"/>
  <c r="AE594" i="8"/>
  <c r="AG593" i="8"/>
  <c r="AH593" i="8" s="1"/>
  <c r="AE593" i="8"/>
  <c r="AA593" i="8"/>
  <c r="Y593" i="8"/>
  <c r="AG592" i="8"/>
  <c r="AF592" i="8"/>
  <c r="AE592" i="8"/>
  <c r="AA592" i="8"/>
  <c r="Y592" i="8"/>
  <c r="AH591" i="8"/>
  <c r="Y591" i="8"/>
  <c r="AH590" i="8"/>
  <c r="AH589" i="8"/>
  <c r="AH588" i="8"/>
  <c r="AG587" i="8"/>
  <c r="AH587" i="8" s="1"/>
  <c r="AF587" i="8"/>
  <c r="O587" i="8"/>
  <c r="AH586" i="8"/>
  <c r="AE586" i="8"/>
  <c r="AA586" i="8"/>
  <c r="AH585" i="8"/>
  <c r="AH584" i="8"/>
  <c r="AG583" i="8"/>
  <c r="AH583" i="8" s="1"/>
  <c r="AW583" i="8" s="1"/>
  <c r="AH582" i="8"/>
  <c r="AH581" i="8"/>
  <c r="AG581" i="8"/>
  <c r="AE581" i="8"/>
  <c r="AA581" i="8"/>
  <c r="AH580" i="8"/>
  <c r="AH579" i="8"/>
  <c r="AH578" i="8"/>
  <c r="AH577" i="8"/>
  <c r="AW576" i="8"/>
  <c r="AH576" i="8"/>
  <c r="AH575" i="8"/>
  <c r="AH574" i="8"/>
  <c r="AH573" i="8"/>
  <c r="AE573" i="8"/>
  <c r="AW573" i="8" s="1"/>
  <c r="AH572" i="8"/>
  <c r="AH571" i="8"/>
  <c r="AA571" i="8"/>
  <c r="AH570" i="8"/>
  <c r="AA570" i="8"/>
  <c r="AH569" i="8"/>
  <c r="AG568" i="8"/>
  <c r="AH568" i="8" s="1"/>
  <c r="AE568" i="8"/>
  <c r="AE570" i="8" s="1"/>
  <c r="AE571" i="8" s="1"/>
  <c r="AA568" i="8"/>
  <c r="AH567" i="8"/>
  <c r="AH566" i="8"/>
  <c r="AH565" i="8"/>
  <c r="AG564" i="8"/>
  <c r="AF564" i="8"/>
  <c r="AG563" i="8"/>
  <c r="AH563" i="8" s="1"/>
  <c r="AE563" i="8"/>
  <c r="AA563" i="8"/>
  <c r="AH562" i="8"/>
  <c r="AH561" i="8"/>
  <c r="AF560" i="8"/>
  <c r="AH560" i="8" s="1"/>
  <c r="AG559" i="8"/>
  <c r="AH559" i="8" s="1"/>
  <c r="AF559" i="8"/>
  <c r="AH558" i="8"/>
  <c r="AA558" i="8"/>
  <c r="AH557" i="8"/>
  <c r="AE557" i="8"/>
  <c r="AE558" i="8" s="1"/>
  <c r="AA557" i="8"/>
  <c r="AH556" i="8"/>
  <c r="AH555" i="8"/>
  <c r="AH554" i="8"/>
  <c r="AH553" i="8"/>
  <c r="AH552" i="8"/>
  <c r="AH551" i="8"/>
  <c r="AW551" i="8" s="1"/>
  <c r="AG550" i="8"/>
  <c r="AH550" i="8" s="1"/>
  <c r="AA550" i="8"/>
  <c r="AG549" i="8"/>
  <c r="AF549" i="8"/>
  <c r="AH548" i="8"/>
  <c r="AE548" i="8"/>
  <c r="AE550" i="8" s="1"/>
  <c r="AA548" i="8"/>
  <c r="AH547" i="8"/>
  <c r="AH546" i="8"/>
  <c r="AH545" i="8"/>
  <c r="AF544" i="8"/>
  <c r="AH544" i="8" s="1"/>
  <c r="AH543" i="8"/>
  <c r="AE543" i="8"/>
  <c r="AG542" i="8"/>
  <c r="AH542" i="8" s="1"/>
  <c r="AE542" i="8"/>
  <c r="AH541" i="8"/>
  <c r="AH540" i="8"/>
  <c r="AE540" i="8"/>
  <c r="AE541" i="8" s="1"/>
  <c r="AW539" i="8" s="1"/>
  <c r="AA540" i="8"/>
  <c r="AH539" i="8"/>
  <c r="AH538" i="8"/>
  <c r="AE538" i="8"/>
  <c r="AH537" i="8"/>
  <c r="AH536" i="8"/>
  <c r="AH535" i="8"/>
  <c r="AE535" i="8"/>
  <c r="AH534" i="8"/>
  <c r="AA534" i="8"/>
  <c r="AH533" i="8"/>
  <c r="AE533" i="8"/>
  <c r="AE534" i="8" s="1"/>
  <c r="AA533" i="8"/>
  <c r="AG532" i="8"/>
  <c r="AH532" i="8" s="1"/>
  <c r="AH531" i="8"/>
  <c r="Z531" i="8"/>
  <c r="AH530" i="8"/>
  <c r="AE530" i="8"/>
  <c r="AH529" i="8"/>
  <c r="AA529" i="8"/>
  <c r="Z529" i="8"/>
  <c r="AH528" i="8"/>
  <c r="AW528" i="8" s="1"/>
  <c r="AH527" i="8"/>
  <c r="Z527" i="8"/>
  <c r="AG526" i="8"/>
  <c r="AH526" i="8" s="1"/>
  <c r="AE526" i="8"/>
  <c r="O526" i="8"/>
  <c r="AH525" i="8"/>
  <c r="AE525" i="8"/>
  <c r="AG524" i="8"/>
  <c r="AH524" i="8" s="1"/>
  <c r="AW524" i="8" s="1"/>
  <c r="AE524" i="8"/>
  <c r="AH523" i="8"/>
  <c r="AE523" i="8"/>
  <c r="AA523" i="8"/>
  <c r="AH522" i="8"/>
  <c r="AH521" i="8"/>
  <c r="AG520" i="8"/>
  <c r="AH520" i="8" s="1"/>
  <c r="AW520" i="8" s="1"/>
  <c r="AH519" i="8"/>
  <c r="AG519" i="8"/>
  <c r="AE519" i="8"/>
  <c r="AG518" i="8"/>
  <c r="AH518" i="8" s="1"/>
  <c r="AE518" i="8"/>
  <c r="AH517" i="8"/>
  <c r="AH516" i="8"/>
  <c r="AH515" i="8"/>
  <c r="AH514" i="8"/>
  <c r="AH513" i="8"/>
  <c r="AE513" i="8"/>
  <c r="AH512" i="8"/>
  <c r="AB512" i="8"/>
  <c r="AH511" i="8"/>
  <c r="AE511" i="8"/>
  <c r="AE512" i="8" s="1"/>
  <c r="AA511" i="8"/>
  <c r="AH510" i="8"/>
  <c r="AH509" i="8"/>
  <c r="AE509" i="8"/>
  <c r="AG508" i="8"/>
  <c r="AH508" i="8" s="1"/>
  <c r="AE508" i="8"/>
  <c r="AH507" i="8"/>
  <c r="AE507" i="8"/>
  <c r="AH506" i="8"/>
  <c r="AH505" i="8"/>
  <c r="AE505" i="8"/>
  <c r="AH504" i="8"/>
  <c r="AE504" i="8"/>
  <c r="AH503" i="8"/>
  <c r="AE503" i="8"/>
  <c r="AH502" i="8"/>
  <c r="AE502" i="8"/>
  <c r="AH501" i="8"/>
  <c r="AH500" i="8"/>
  <c r="AE500" i="8"/>
  <c r="AH499" i="8"/>
  <c r="AG499" i="8"/>
  <c r="AE499" i="8"/>
  <c r="AH498" i="8"/>
  <c r="AE498" i="8"/>
  <c r="AH497" i="8"/>
  <c r="AE497" i="8"/>
  <c r="AH496" i="8"/>
  <c r="AE496" i="8"/>
  <c r="AH495" i="8"/>
  <c r="AE495" i="8"/>
  <c r="AH494" i="8"/>
  <c r="AE494" i="8"/>
  <c r="AH493" i="8"/>
  <c r="AH492" i="8"/>
  <c r="AE492" i="8"/>
  <c r="AH491" i="8"/>
  <c r="AE491" i="8"/>
  <c r="AH490" i="8"/>
  <c r="AE490" i="8"/>
  <c r="AH489" i="8"/>
  <c r="AH488" i="8"/>
  <c r="AE488" i="8"/>
  <c r="AH487" i="8"/>
  <c r="AH486" i="8"/>
  <c r="AG486" i="8"/>
  <c r="AE486" i="8"/>
  <c r="AG485" i="8"/>
  <c r="AH485" i="8" s="1"/>
  <c r="AH484" i="8"/>
  <c r="AE484" i="8"/>
  <c r="AH483" i="8"/>
  <c r="AH482" i="8"/>
  <c r="AE482" i="8"/>
  <c r="AG481" i="8"/>
  <c r="AH481" i="8" s="1"/>
  <c r="AH480" i="8"/>
  <c r="AG479" i="8"/>
  <c r="AH479" i="8" s="1"/>
  <c r="AE479" i="8"/>
  <c r="AG478" i="8"/>
  <c r="AH478" i="8" s="1"/>
  <c r="AH477" i="8"/>
  <c r="AH476" i="8"/>
  <c r="AE476" i="8"/>
  <c r="AG475" i="8"/>
  <c r="AH475" i="8" s="1"/>
  <c r="AH474" i="8"/>
  <c r="AG473" i="8"/>
  <c r="AH473" i="8" s="1"/>
  <c r="AE473" i="8"/>
  <c r="AG472" i="8"/>
  <c r="AH472" i="8" s="1"/>
  <c r="AH471" i="8"/>
  <c r="AH470" i="8"/>
  <c r="AE470" i="8"/>
  <c r="AH469" i="8"/>
  <c r="AH468" i="8"/>
  <c r="AH467" i="8"/>
  <c r="AE467" i="8"/>
  <c r="AH466" i="8"/>
  <c r="AG466" i="8"/>
  <c r="AH465" i="8"/>
  <c r="AH464" i="8"/>
  <c r="AE464" i="8"/>
  <c r="AG463" i="8"/>
  <c r="AH463" i="8" s="1"/>
  <c r="AH462" i="8"/>
  <c r="AH461" i="8"/>
  <c r="AE461" i="8"/>
  <c r="AH460" i="8"/>
  <c r="AE460" i="8"/>
  <c r="AG459" i="8"/>
  <c r="AH459" i="8" s="1"/>
  <c r="AH458" i="8"/>
  <c r="AG457" i="8"/>
  <c r="AH457" i="8" s="1"/>
  <c r="AE457" i="8"/>
  <c r="AG456" i="8"/>
  <c r="AH456" i="8" s="1"/>
  <c r="AH455" i="8"/>
  <c r="AH454" i="8"/>
  <c r="AE454" i="8"/>
  <c r="AG453" i="8"/>
  <c r="AH453" i="8" s="1"/>
  <c r="AH452" i="8"/>
  <c r="AH451" i="8"/>
  <c r="AE451" i="8"/>
  <c r="AH450" i="8"/>
  <c r="AG450" i="8"/>
  <c r="AH449" i="8"/>
  <c r="AE449" i="8"/>
  <c r="AH448" i="8"/>
  <c r="AE448" i="8"/>
  <c r="AG447" i="8"/>
  <c r="AH447" i="8" s="1"/>
  <c r="AE447" i="8"/>
  <c r="AG446" i="8"/>
  <c r="AH446" i="8" s="1"/>
  <c r="AE446" i="8"/>
  <c r="AH445" i="8"/>
  <c r="AE445" i="8"/>
  <c r="AH444" i="8"/>
  <c r="AE444" i="8"/>
  <c r="AH443" i="8"/>
  <c r="AE443" i="8"/>
  <c r="AH442" i="8"/>
  <c r="AH441" i="8"/>
  <c r="AH440" i="8"/>
  <c r="AE440" i="8"/>
  <c r="AH439" i="8"/>
  <c r="AE439" i="8"/>
  <c r="AG438" i="8"/>
  <c r="AH438" i="8" s="1"/>
  <c r="AH437" i="8"/>
  <c r="AH436" i="8"/>
  <c r="AH435" i="8"/>
  <c r="AE435" i="8"/>
  <c r="AH434" i="8"/>
  <c r="AE434" i="8"/>
  <c r="AH433" i="8"/>
  <c r="AE433" i="8"/>
  <c r="AH432" i="8"/>
  <c r="AE432" i="8"/>
  <c r="AH431" i="8"/>
  <c r="AE431" i="8"/>
  <c r="AH430" i="8"/>
  <c r="AE430" i="8"/>
  <c r="AH429" i="8"/>
  <c r="AE429" i="8"/>
  <c r="AG428" i="8"/>
  <c r="AH428" i="8" s="1"/>
  <c r="AE428" i="8"/>
  <c r="AG427" i="8"/>
  <c r="AH427" i="8" s="1"/>
  <c r="AE427" i="8"/>
  <c r="AH426" i="8"/>
  <c r="AE426" i="8"/>
  <c r="AH425" i="8"/>
  <c r="AE425" i="8"/>
  <c r="AH424" i="8"/>
  <c r="AH423" i="8"/>
  <c r="AH422" i="8"/>
  <c r="AE422" i="8"/>
  <c r="AG421" i="8"/>
  <c r="AH421" i="8" s="1"/>
  <c r="AE421" i="8"/>
  <c r="AH420" i="8"/>
  <c r="AE420" i="8"/>
  <c r="AH419" i="8"/>
  <c r="AE419" i="8"/>
  <c r="AH418" i="8"/>
  <c r="AE418" i="8"/>
  <c r="AH417" i="8"/>
  <c r="AE417" i="8"/>
  <c r="AH416" i="8"/>
  <c r="AE416" i="8"/>
  <c r="AA416" i="8"/>
  <c r="AH415" i="8"/>
  <c r="AH414" i="8"/>
  <c r="AH413" i="8"/>
  <c r="AE413" i="8"/>
  <c r="AH412" i="8"/>
  <c r="AH411" i="8"/>
  <c r="AE411" i="8"/>
  <c r="AA411" i="8"/>
  <c r="AH410" i="8"/>
  <c r="AG409" i="8"/>
  <c r="AH409" i="8" s="1"/>
  <c r="AE409" i="8"/>
  <c r="AH408" i="8"/>
  <c r="AE408" i="8"/>
  <c r="AG407" i="8"/>
  <c r="AH407" i="8" s="1"/>
  <c r="AE407" i="8"/>
  <c r="AH406" i="8"/>
  <c r="AE406" i="8"/>
  <c r="AB406" i="8"/>
  <c r="AG405" i="8"/>
  <c r="AH405" i="8" s="1"/>
  <c r="AG404" i="8"/>
  <c r="AH404" i="8" s="1"/>
  <c r="AH403" i="8"/>
  <c r="AE403" i="8"/>
  <c r="AB403" i="8"/>
  <c r="AH402" i="8"/>
  <c r="AG401" i="8"/>
  <c r="AH401" i="8" s="1"/>
  <c r="AH400" i="8"/>
  <c r="AE400" i="8"/>
  <c r="AB400" i="8"/>
  <c r="AG399" i="8"/>
  <c r="AH399" i="8" s="1"/>
  <c r="AG398" i="8"/>
  <c r="AH398" i="8" s="1"/>
  <c r="AH397" i="8"/>
  <c r="AH396" i="8"/>
  <c r="AE396" i="8"/>
  <c r="AG395" i="8"/>
  <c r="AH395" i="8" s="1"/>
  <c r="AH394" i="8"/>
  <c r="AH393" i="8"/>
  <c r="AE393" i="8"/>
  <c r="AG392" i="8"/>
  <c r="AH392" i="8" s="1"/>
  <c r="AH391" i="8"/>
  <c r="AH390" i="8"/>
  <c r="AE390" i="8"/>
  <c r="AH389" i="8"/>
  <c r="AG389" i="8"/>
  <c r="AH388" i="8"/>
  <c r="AH387" i="8"/>
  <c r="AE387" i="8"/>
  <c r="AG386" i="8"/>
  <c r="AH386" i="8" s="1"/>
  <c r="AH385" i="8"/>
  <c r="AG384" i="8"/>
  <c r="AH384" i="8" s="1"/>
  <c r="AE384" i="8"/>
  <c r="AG383" i="8"/>
  <c r="AH383" i="8" s="1"/>
  <c r="AH382" i="8"/>
  <c r="AG381" i="8"/>
  <c r="AH381" i="8" s="1"/>
  <c r="AE381" i="8"/>
  <c r="AG380" i="8"/>
  <c r="AH380" i="8" s="1"/>
  <c r="AH379" i="8"/>
  <c r="AH378" i="8"/>
  <c r="AG378" i="8"/>
  <c r="AE378" i="8"/>
  <c r="AG377" i="8"/>
  <c r="AH377" i="8" s="1"/>
  <c r="AH376" i="8"/>
  <c r="AG375" i="8"/>
  <c r="AH375" i="8" s="1"/>
  <c r="AE375" i="8"/>
  <c r="AG374" i="8"/>
  <c r="AH374" i="8" s="1"/>
  <c r="AH373" i="8"/>
  <c r="AG372" i="8"/>
  <c r="AH372" i="8" s="1"/>
  <c r="AE372" i="8"/>
  <c r="AG371" i="8"/>
  <c r="AH371" i="8" s="1"/>
  <c r="AH370" i="8"/>
  <c r="AG369" i="8"/>
  <c r="AH369" i="8" s="1"/>
  <c r="AE369" i="8"/>
  <c r="AH368" i="8"/>
  <c r="AH367" i="8"/>
  <c r="AH366" i="8"/>
  <c r="AE366" i="8"/>
  <c r="AG365" i="8"/>
  <c r="AH365" i="8" s="1"/>
  <c r="AH364" i="8"/>
  <c r="AH363" i="8"/>
  <c r="AE363" i="8"/>
  <c r="AG362" i="8"/>
  <c r="AH362" i="8" s="1"/>
  <c r="AH361" i="8"/>
  <c r="AG360" i="8"/>
  <c r="AH360" i="8" s="1"/>
  <c r="AE360" i="8"/>
  <c r="AG359" i="8"/>
  <c r="AH359" i="8" s="1"/>
  <c r="AH358" i="8"/>
  <c r="AG357" i="8"/>
  <c r="AH357" i="8" s="1"/>
  <c r="AE357" i="8"/>
  <c r="AH356" i="8"/>
  <c r="AH355" i="8"/>
  <c r="AG354" i="8"/>
  <c r="AH354" i="8" s="1"/>
  <c r="AE354" i="8"/>
  <c r="AG353" i="8"/>
  <c r="AH353" i="8" s="1"/>
  <c r="AH352" i="8"/>
  <c r="AG351" i="8"/>
  <c r="AH351" i="8" s="1"/>
  <c r="AE351" i="8"/>
  <c r="AG350" i="8"/>
  <c r="AH350" i="8" s="1"/>
  <c r="AH349" i="8"/>
  <c r="AG348" i="8"/>
  <c r="AH348" i="8" s="1"/>
  <c r="AE348" i="8"/>
  <c r="AG347" i="8"/>
  <c r="AH347" i="8" s="1"/>
  <c r="AH346" i="8"/>
  <c r="AG345" i="8"/>
  <c r="AH345" i="8" s="1"/>
  <c r="AE345" i="8"/>
  <c r="AH344" i="8"/>
  <c r="AH343" i="8"/>
  <c r="AE343" i="8"/>
  <c r="AH342" i="8"/>
  <c r="AE342" i="8"/>
  <c r="AH341" i="8"/>
  <c r="AE341" i="8"/>
  <c r="AH340" i="8"/>
  <c r="AH339" i="8"/>
  <c r="AH338" i="8"/>
  <c r="AE338" i="8"/>
  <c r="AH337" i="8"/>
  <c r="AH336" i="8"/>
  <c r="AH335" i="8"/>
  <c r="AE335" i="8"/>
  <c r="AH334" i="8"/>
  <c r="AH333" i="8"/>
  <c r="AG332" i="8"/>
  <c r="AH332" i="8" s="1"/>
  <c r="AE332" i="8"/>
  <c r="AH331" i="8"/>
  <c r="AH330" i="8"/>
  <c r="AH329" i="8"/>
  <c r="AE329" i="8"/>
  <c r="AH328" i="8"/>
  <c r="AH327" i="8"/>
  <c r="AH326" i="8"/>
  <c r="AE326" i="8"/>
  <c r="AH325" i="8"/>
  <c r="AH324" i="8"/>
  <c r="AH323" i="8"/>
  <c r="AE323" i="8"/>
  <c r="AH322" i="8"/>
  <c r="AE322" i="8"/>
  <c r="AH321" i="8"/>
  <c r="AE321" i="8"/>
  <c r="AH320" i="8"/>
  <c r="AE320" i="8"/>
  <c r="AH319" i="8"/>
  <c r="AE319" i="8"/>
  <c r="AH318" i="8"/>
  <c r="AH317" i="8"/>
  <c r="AH316" i="8"/>
  <c r="AE316" i="8"/>
  <c r="AG315" i="8"/>
  <c r="AH315" i="8" s="1"/>
  <c r="AE315" i="8"/>
  <c r="AG314" i="8"/>
  <c r="AH314" i="8" s="1"/>
  <c r="AE314" i="8"/>
  <c r="AH313" i="8"/>
  <c r="AE313" i="8"/>
  <c r="AH312" i="8"/>
  <c r="AE312" i="8"/>
  <c r="AH311" i="8"/>
  <c r="AE311" i="8"/>
  <c r="AH310" i="8"/>
  <c r="AE310" i="8"/>
  <c r="AH309" i="8"/>
  <c r="AE309" i="8"/>
  <c r="AH308" i="8"/>
  <c r="AE308" i="8"/>
  <c r="AA308" i="8"/>
  <c r="AH307" i="8"/>
  <c r="AH306" i="8"/>
  <c r="AE306" i="8"/>
  <c r="AH305" i="8"/>
  <c r="AE305" i="8"/>
  <c r="AH304" i="8"/>
  <c r="AE304" i="8"/>
  <c r="AH303" i="8"/>
  <c r="AE303" i="8"/>
  <c r="AH302" i="8"/>
  <c r="AE302" i="8"/>
  <c r="AH301" i="8"/>
  <c r="AE301" i="8"/>
  <c r="AH300" i="8"/>
  <c r="AE300" i="8"/>
  <c r="AH299" i="8"/>
  <c r="AE299" i="8"/>
  <c r="AH298" i="8"/>
  <c r="AE298" i="8"/>
  <c r="AG297" i="8"/>
  <c r="AH297" i="8" s="1"/>
  <c r="AE297" i="8"/>
  <c r="AG296" i="8"/>
  <c r="AH296" i="8" s="1"/>
  <c r="AH295" i="8"/>
  <c r="AE295" i="8"/>
  <c r="AH294" i="8"/>
  <c r="AE294" i="8"/>
  <c r="AH293" i="8"/>
  <c r="AE293" i="8"/>
  <c r="AH292" i="8"/>
  <c r="AE292" i="8"/>
  <c r="AH291" i="8"/>
  <c r="AE291" i="8"/>
  <c r="AH290" i="8"/>
  <c r="AE290" i="8"/>
  <c r="AH289" i="8"/>
  <c r="AE289" i="8"/>
  <c r="AH288" i="8"/>
  <c r="AE288" i="8"/>
  <c r="AG287" i="8"/>
  <c r="AH287" i="8" s="1"/>
  <c r="AE287" i="8"/>
  <c r="AH286" i="8"/>
  <c r="AE286" i="8"/>
  <c r="AH285" i="8"/>
  <c r="AE285" i="8"/>
  <c r="AB285" i="8"/>
  <c r="AG284" i="8"/>
  <c r="AH284" i="8" s="1"/>
  <c r="AH283" i="8"/>
  <c r="AE283" i="8"/>
  <c r="AG282" i="8"/>
  <c r="AH282" i="8" s="1"/>
  <c r="AE282" i="8"/>
  <c r="AG281" i="8"/>
  <c r="AH281" i="8" s="1"/>
  <c r="AE281" i="8"/>
  <c r="AH280" i="8"/>
  <c r="AE280" i="8"/>
  <c r="AB280" i="8"/>
  <c r="AH279" i="8"/>
  <c r="AH278" i="8"/>
  <c r="AE278" i="8"/>
  <c r="AH277" i="8"/>
  <c r="AE277" i="8"/>
  <c r="AA277" i="8"/>
  <c r="AH276" i="8"/>
  <c r="AH275" i="8"/>
  <c r="AH274" i="8"/>
  <c r="AG273" i="8"/>
  <c r="AH273" i="8" s="1"/>
  <c r="AE273" i="8"/>
  <c r="AH272" i="8"/>
  <c r="AE272" i="8"/>
  <c r="AG271" i="8"/>
  <c r="AH271" i="8" s="1"/>
  <c r="AE271" i="8"/>
  <c r="AH270" i="8"/>
  <c r="AE270" i="8"/>
  <c r="AH269" i="8"/>
  <c r="AE269" i="8"/>
  <c r="AH268" i="8"/>
  <c r="AE268" i="8"/>
  <c r="AH267" i="8"/>
  <c r="AE267" i="8"/>
  <c r="AH266" i="8"/>
  <c r="AE266" i="8"/>
  <c r="AH265" i="8"/>
  <c r="AE265" i="8"/>
  <c r="AH264" i="8"/>
  <c r="AE264" i="8"/>
  <c r="AH263" i="8"/>
  <c r="AE263" i="8"/>
  <c r="AH262" i="8"/>
  <c r="AE262" i="8"/>
  <c r="AH261" i="8"/>
  <c r="AE261" i="8"/>
  <c r="AH260" i="8"/>
  <c r="AE260" i="8"/>
  <c r="AH259" i="8"/>
  <c r="AE259" i="8"/>
  <c r="AH258" i="8"/>
  <c r="AE258" i="8"/>
  <c r="AH257" i="8"/>
  <c r="AE257" i="8"/>
  <c r="AH256" i="8"/>
  <c r="AE256" i="8"/>
  <c r="AH255" i="8"/>
  <c r="AE255" i="8"/>
  <c r="AH254" i="8"/>
  <c r="AE254" i="8"/>
  <c r="AH253" i="8"/>
  <c r="AE253" i="8"/>
  <c r="AH252" i="8"/>
  <c r="AE252" i="8"/>
  <c r="AH251" i="8"/>
  <c r="AE251" i="8"/>
  <c r="AH250" i="8"/>
  <c r="AE250" i="8"/>
  <c r="AH249" i="8"/>
  <c r="AE249" i="8"/>
  <c r="AH248" i="8"/>
  <c r="AE248" i="8"/>
  <c r="AH247" i="8"/>
  <c r="AE247" i="8"/>
  <c r="AH246" i="8"/>
  <c r="AE246" i="8"/>
  <c r="AH245" i="8"/>
  <c r="AE245" i="8"/>
  <c r="AH244" i="8"/>
  <c r="AE244" i="8"/>
  <c r="AH243" i="8"/>
  <c r="AE243" i="8"/>
  <c r="AH242" i="8"/>
  <c r="AE242" i="8"/>
  <c r="AH241" i="8"/>
  <c r="AE241" i="8"/>
  <c r="AH240" i="8"/>
  <c r="AE240" i="8"/>
  <c r="AH239" i="8"/>
  <c r="AE239" i="8"/>
  <c r="AH238" i="8"/>
  <c r="AE238" i="8"/>
  <c r="AH237" i="8"/>
  <c r="AE237" i="8"/>
  <c r="AH236" i="8"/>
  <c r="AE236" i="8"/>
  <c r="AH235" i="8"/>
  <c r="AE235" i="8"/>
  <c r="AH234" i="8"/>
  <c r="AH233" i="8"/>
  <c r="AE233" i="8"/>
  <c r="AH232" i="8"/>
  <c r="AE232" i="8"/>
  <c r="AH231" i="8"/>
  <c r="AH230" i="8"/>
  <c r="AH229" i="8"/>
  <c r="AE229" i="8"/>
  <c r="AH228" i="8"/>
  <c r="AE228" i="8"/>
  <c r="AH227" i="8"/>
  <c r="AE227" i="8"/>
  <c r="AH226" i="8"/>
  <c r="AE226" i="8"/>
  <c r="AH225" i="8"/>
  <c r="AH224" i="8"/>
  <c r="AE224" i="8"/>
  <c r="AH223" i="8"/>
  <c r="AH222" i="8"/>
  <c r="AE222" i="8"/>
  <c r="AH221" i="8"/>
  <c r="AH220" i="8"/>
  <c r="AE220" i="8"/>
  <c r="AF219" i="8"/>
  <c r="AH219" i="8" s="1"/>
  <c r="AH218" i="8"/>
  <c r="AE218" i="8"/>
  <c r="AH217" i="8"/>
  <c r="AG216" i="8"/>
  <c r="AH216" i="8" s="1"/>
  <c r="AE216" i="8"/>
  <c r="AG215" i="8"/>
  <c r="AH215" i="8" s="1"/>
  <c r="AH214" i="8"/>
  <c r="AE214" i="8"/>
  <c r="AG213" i="8"/>
  <c r="AH213" i="8" s="1"/>
  <c r="AE213" i="8"/>
  <c r="AB213" i="8"/>
  <c r="AH212" i="8"/>
  <c r="AG211" i="8"/>
  <c r="AH211" i="8" s="1"/>
  <c r="AH210" i="8"/>
  <c r="AH209" i="8"/>
  <c r="AE209" i="8"/>
  <c r="AH208" i="8"/>
  <c r="AH207" i="8"/>
  <c r="AH206" i="8"/>
  <c r="AC206" i="8"/>
  <c r="AE206" i="8" s="1"/>
  <c r="AG205" i="8"/>
  <c r="AH205" i="8" s="1"/>
  <c r="AH204" i="8"/>
  <c r="AH203" i="8"/>
  <c r="AE203" i="8"/>
  <c r="AG202" i="8"/>
  <c r="AH202" i="8" s="1"/>
  <c r="AE202" i="8"/>
  <c r="AH201" i="8"/>
  <c r="AE201" i="8"/>
  <c r="AH200" i="8"/>
  <c r="AH199" i="8"/>
  <c r="AH198" i="8"/>
  <c r="AE198" i="8"/>
  <c r="AB199" i="8" s="1"/>
  <c r="AA198" i="8"/>
  <c r="AH197" i="8"/>
  <c r="AH196" i="8"/>
  <c r="AE196" i="8"/>
  <c r="AB196" i="8"/>
  <c r="AH195" i="8"/>
  <c r="AH194" i="8"/>
  <c r="AE194" i="8"/>
  <c r="AB194" i="8"/>
  <c r="AH193" i="8"/>
  <c r="AH192" i="8"/>
  <c r="AH191" i="8"/>
  <c r="AC191" i="8"/>
  <c r="AE191" i="8" s="1"/>
  <c r="AE192" i="8" s="1"/>
  <c r="AG190" i="8"/>
  <c r="AH190" i="8" s="1"/>
  <c r="AH189" i="8"/>
  <c r="AH188" i="8"/>
  <c r="AH187" i="8"/>
  <c r="AE187" i="8"/>
  <c r="AH186" i="8"/>
  <c r="AH185" i="8"/>
  <c r="AH184" i="8"/>
  <c r="AE184" i="8"/>
  <c r="AG183" i="8"/>
  <c r="AH183" i="8" s="1"/>
  <c r="AH182" i="8"/>
  <c r="AH181" i="8"/>
  <c r="AE181" i="8"/>
  <c r="AH180" i="8"/>
  <c r="AH179" i="8"/>
  <c r="AH178" i="8"/>
  <c r="AE178" i="8"/>
  <c r="AH177" i="8"/>
  <c r="AG176" i="8"/>
  <c r="AH176" i="8" s="1"/>
  <c r="AE176" i="8"/>
  <c r="AH175" i="8"/>
  <c r="AG174" i="8"/>
  <c r="AH174" i="8" s="1"/>
  <c r="AH173" i="8"/>
  <c r="AE173" i="8"/>
  <c r="AH172" i="8"/>
  <c r="AH171" i="8"/>
  <c r="AH170" i="8"/>
  <c r="AE170" i="8"/>
  <c r="AG169" i="8"/>
  <c r="AH169" i="8" s="1"/>
  <c r="AH168" i="8"/>
  <c r="AH167" i="8"/>
  <c r="AE167" i="8"/>
  <c r="AH166" i="8"/>
  <c r="AH165" i="8"/>
  <c r="AE165" i="8"/>
  <c r="AH164" i="8"/>
  <c r="AE164" i="8"/>
  <c r="AH163" i="8"/>
  <c r="AC163" i="8"/>
  <c r="AA163" i="8"/>
  <c r="AH162" i="8"/>
  <c r="AD162" i="8"/>
  <c r="AB162" i="8"/>
  <c r="AA162" i="8"/>
  <c r="AH161" i="8"/>
  <c r="AB161" i="8"/>
  <c r="AH160" i="8"/>
  <c r="AD160" i="8"/>
  <c r="AC160" i="8"/>
  <c r="AB160" i="8"/>
  <c r="AA160" i="8"/>
  <c r="AH159" i="8"/>
  <c r="AD159" i="8"/>
  <c r="AC159" i="8"/>
  <c r="AB159" i="8"/>
  <c r="AA159" i="8"/>
  <c r="AG158" i="8"/>
  <c r="AH158" i="8" s="1"/>
  <c r="AH157" i="8"/>
  <c r="AE157" i="8"/>
  <c r="AH156" i="8"/>
  <c r="AE156" i="8"/>
  <c r="AG155" i="8"/>
  <c r="AH155" i="8" s="1"/>
  <c r="AE155" i="8"/>
  <c r="AH154" i="8"/>
  <c r="AH153" i="8"/>
  <c r="AH152" i="8"/>
  <c r="AE152" i="8"/>
  <c r="AG151" i="8"/>
  <c r="AH151" i="8" s="1"/>
  <c r="AE151" i="8"/>
  <c r="AH150" i="8"/>
  <c r="AE150" i="8"/>
  <c r="AH149" i="8"/>
  <c r="AE149" i="8"/>
  <c r="AH148" i="8"/>
  <c r="AE148" i="8"/>
  <c r="AH147" i="8"/>
  <c r="AE147" i="8"/>
  <c r="AG146" i="8"/>
  <c r="AH146" i="8" s="1"/>
  <c r="AH145" i="8"/>
  <c r="AG144" i="8"/>
  <c r="AH144" i="8" s="1"/>
  <c r="AE144" i="8"/>
  <c r="AH143" i="8"/>
  <c r="AH142" i="8"/>
  <c r="AC142" i="8"/>
  <c r="AE142" i="8" s="1"/>
  <c r="AH141" i="8"/>
  <c r="AH140" i="8"/>
  <c r="AH139" i="8"/>
  <c r="AD139" i="8"/>
  <c r="AB139" i="8"/>
  <c r="AA139" i="8"/>
  <c r="AH138" i="8"/>
  <c r="AH137" i="8"/>
  <c r="AD137" i="8"/>
  <c r="AE137" i="8" s="1"/>
  <c r="AE138" i="8" s="1"/>
  <c r="AE139" i="8" s="1"/>
  <c r="AE140" i="8" s="1"/>
  <c r="AB137" i="8"/>
  <c r="AG136" i="8"/>
  <c r="AH136" i="8" s="1"/>
  <c r="AH135" i="8"/>
  <c r="AH134" i="8"/>
  <c r="AH133" i="8"/>
  <c r="AH132" i="8"/>
  <c r="AA132" i="8"/>
  <c r="AH131" i="8"/>
  <c r="AC131" i="8"/>
  <c r="AH130" i="8"/>
  <c r="AH129" i="8"/>
  <c r="AE129" i="8"/>
  <c r="AE130" i="8" s="1"/>
  <c r="AE131" i="8" s="1"/>
  <c r="AE132" i="8" s="1"/>
  <c r="AA129" i="8"/>
  <c r="AG128" i="8"/>
  <c r="AH128" i="8" s="1"/>
  <c r="AH127" i="8"/>
  <c r="AH126" i="8"/>
  <c r="AH125" i="8"/>
  <c r="AH124" i="8"/>
  <c r="AH123" i="8"/>
  <c r="AH122" i="8"/>
  <c r="AE122" i="8"/>
  <c r="AE126" i="8" s="1"/>
  <c r="AE127" i="8" s="1"/>
  <c r="AB122" i="8"/>
  <c r="AH121" i="8"/>
  <c r="AH120" i="8"/>
  <c r="AH119" i="8"/>
  <c r="AH118" i="8"/>
  <c r="AC118" i="8"/>
  <c r="AA118" i="8" s="1"/>
  <c r="AH117" i="8"/>
  <c r="AH116" i="8"/>
  <c r="AH115" i="8"/>
  <c r="AD115" i="8"/>
  <c r="AH114" i="8"/>
  <c r="AH113" i="8"/>
  <c r="AC113" i="8"/>
  <c r="AH112" i="8"/>
  <c r="AH111" i="8"/>
  <c r="AH110" i="8"/>
  <c r="AC110" i="8"/>
  <c r="AH109" i="8"/>
  <c r="AC109" i="8"/>
  <c r="AE109" i="8" s="1"/>
  <c r="AH108" i="8"/>
  <c r="AH107" i="8"/>
  <c r="AC107" i="8"/>
  <c r="AA107" i="8"/>
  <c r="AH106" i="8"/>
  <c r="AC106" i="8"/>
  <c r="AA106" i="8"/>
  <c r="AH105" i="8"/>
  <c r="AH104" i="8"/>
  <c r="AH103" i="8"/>
  <c r="AC103" i="8"/>
  <c r="AE103" i="8" s="1"/>
  <c r="AE106" i="8" s="1"/>
  <c r="AE107" i="8" s="1"/>
  <c r="AH102" i="8"/>
  <c r="AH101" i="8"/>
  <c r="AD101" i="8"/>
  <c r="AH100" i="8"/>
  <c r="AH99" i="8"/>
  <c r="AH98" i="8"/>
  <c r="AH97" i="8"/>
  <c r="AH96" i="8"/>
  <c r="AH95" i="8"/>
  <c r="AH94" i="8"/>
  <c r="AH93" i="8"/>
  <c r="AH92" i="8"/>
  <c r="AH91" i="8"/>
  <c r="AH90" i="8"/>
  <c r="AD90" i="8"/>
  <c r="AF89" i="8"/>
  <c r="AH89" i="8" s="1"/>
  <c r="AE89" i="8"/>
  <c r="AB90" i="8" s="1"/>
  <c r="AG88" i="8"/>
  <c r="AH88" i="8" s="1"/>
  <c r="AH87" i="8"/>
  <c r="AE87" i="8"/>
  <c r="AG86" i="8"/>
  <c r="AH86" i="8" s="1"/>
  <c r="AE86" i="8"/>
  <c r="AH85" i="8"/>
  <c r="AE85" i="8"/>
  <c r="AH84" i="8"/>
  <c r="AH83" i="8"/>
  <c r="AE83" i="8"/>
  <c r="AH82" i="8"/>
  <c r="AH81" i="8"/>
  <c r="AE81" i="8"/>
  <c r="AH80" i="8"/>
  <c r="AH79" i="8"/>
  <c r="AE79" i="8"/>
  <c r="AH78" i="8"/>
  <c r="AH77" i="8"/>
  <c r="AH76" i="8"/>
  <c r="AC76" i="8"/>
  <c r="AE76" i="8" s="1"/>
  <c r="AH75" i="8"/>
  <c r="AH74" i="8"/>
  <c r="AH73" i="8"/>
  <c r="AH72" i="8"/>
  <c r="AC72" i="8"/>
  <c r="AA72" i="8" s="1"/>
  <c r="AH71" i="8"/>
  <c r="AC71" i="8"/>
  <c r="AE71" i="8" s="1"/>
  <c r="AE72" i="8" s="1"/>
  <c r="AH70" i="8"/>
  <c r="AH69" i="8"/>
  <c r="AE69" i="8"/>
  <c r="AH68" i="8"/>
  <c r="AH67" i="8"/>
  <c r="AE67" i="8"/>
  <c r="AH66" i="8"/>
  <c r="AH65" i="8"/>
  <c r="AH64" i="8"/>
  <c r="AE64" i="8"/>
  <c r="AA64" i="8"/>
  <c r="AH63" i="8"/>
  <c r="AG62" i="8"/>
  <c r="AH61" i="8"/>
  <c r="AA61" i="8"/>
  <c r="AH60" i="8"/>
  <c r="AE60" i="8"/>
  <c r="AE61" i="8" s="1"/>
  <c r="AC60" i="8"/>
  <c r="AH59" i="8"/>
  <c r="AH58" i="8"/>
  <c r="AE58" i="8"/>
  <c r="AH57" i="8"/>
  <c r="AH56" i="8"/>
  <c r="AA56" i="8"/>
  <c r="AH55" i="8"/>
  <c r="AC55" i="8"/>
  <c r="AE55" i="8" s="1"/>
  <c r="AE56" i="8" s="1"/>
  <c r="AH54" i="8"/>
  <c r="AH53" i="8"/>
  <c r="AE53" i="8"/>
  <c r="AB53" i="8"/>
  <c r="AH52" i="8"/>
  <c r="AH51" i="8"/>
  <c r="AE51" i="8"/>
  <c r="AH50" i="8"/>
  <c r="AH49" i="8"/>
  <c r="AA49" i="8"/>
  <c r="AH48" i="8"/>
  <c r="AE48" i="8"/>
  <c r="AE49" i="8" s="1"/>
  <c r="AC48" i="8"/>
  <c r="AH47" i="8"/>
  <c r="AH46" i="8"/>
  <c r="AH45" i="8"/>
  <c r="AH44" i="8"/>
  <c r="AE44" i="8"/>
  <c r="AH43" i="8"/>
  <c r="AH42" i="8"/>
  <c r="AH41" i="8"/>
  <c r="AH40" i="8"/>
  <c r="AH39" i="8"/>
  <c r="AH38" i="8"/>
  <c r="AH37" i="8"/>
  <c r="AH36" i="8"/>
  <c r="AH35" i="8"/>
  <c r="AH34" i="8"/>
  <c r="AH33" i="8"/>
  <c r="L33" i="8"/>
  <c r="L767" i="8" s="1"/>
  <c r="AH32" i="8"/>
  <c r="AH31" i="8"/>
  <c r="AH30" i="8"/>
  <c r="AH29" i="8"/>
  <c r="AH28" i="8"/>
  <c r="AH27" i="8"/>
  <c r="AC27" i="8"/>
  <c r="AE27" i="8" s="1"/>
  <c r="AH26" i="8"/>
  <c r="AE731" i="8" l="1"/>
  <c r="AH592" i="8"/>
  <c r="AW636" i="8"/>
  <c r="AW647" i="8"/>
  <c r="AE665" i="8"/>
  <c r="AA694" i="8"/>
  <c r="AW613" i="8"/>
  <c r="AW631" i="8"/>
  <c r="AG767" i="8"/>
  <c r="AA109" i="8"/>
  <c r="AW532" i="8"/>
  <c r="AE159" i="8"/>
  <c r="AE160" i="8" s="1"/>
  <c r="AE161" i="8" s="1"/>
  <c r="AE162" i="8" s="1"/>
  <c r="AE163" i="8" s="1"/>
  <c r="AW542" i="8"/>
  <c r="AH564" i="8"/>
  <c r="AE610" i="8"/>
  <c r="AE612" i="8" s="1"/>
  <c r="AW604" i="8" s="1"/>
  <c r="AW620" i="8"/>
  <c r="AB671" i="8"/>
  <c r="AW535" i="8"/>
  <c r="AW538" i="8"/>
  <c r="AW642" i="8"/>
  <c r="AE110" i="8"/>
  <c r="AE113" i="8" s="1"/>
  <c r="AE115" i="8" s="1"/>
  <c r="AA110" i="8"/>
  <c r="AD767" i="8"/>
  <c r="AH549" i="8"/>
  <c r="AH594" i="8"/>
  <c r="AW639" i="8"/>
  <c r="AE713" i="8"/>
  <c r="AE716" i="8" s="1"/>
  <c r="AW564" i="8"/>
  <c r="AF767" i="8"/>
  <c r="AB126" i="8"/>
  <c r="AW526" i="8"/>
  <c r="AA541" i="8"/>
  <c r="AA600" i="8"/>
  <c r="AW625" i="8"/>
  <c r="AW634" i="8"/>
  <c r="AA665" i="8"/>
  <c r="AC34" i="8"/>
  <c r="AE34" i="8" s="1"/>
  <c r="AA38" i="8" s="1"/>
  <c r="AE118" i="8"/>
  <c r="AC199" i="8"/>
  <c r="AE199" i="8" s="1"/>
  <c r="AW525" i="8"/>
  <c r="AW559" i="8"/>
  <c r="AW587" i="8"/>
  <c r="AE694" i="8"/>
  <c r="AE695" i="8" s="1"/>
  <c r="AE696" i="8" s="1"/>
  <c r="AE697" i="8" s="1"/>
  <c r="AE719" i="8"/>
  <c r="AE720" i="8" s="1"/>
  <c r="AE721" i="8" s="1"/>
  <c r="AE722" i="8" s="1"/>
  <c r="AE77" i="8"/>
  <c r="AA77" i="8"/>
  <c r="AE134" i="8"/>
  <c r="AA134" i="8"/>
  <c r="AW544" i="8"/>
  <c r="AE603" i="8"/>
  <c r="AA603" i="8"/>
  <c r="AA696" i="8"/>
  <c r="AE207" i="8"/>
  <c r="AA207" i="8"/>
  <c r="AA31" i="8"/>
  <c r="AE31" i="8"/>
  <c r="AH62" i="8"/>
  <c r="AH767" i="8" s="1"/>
  <c r="AE90" i="8"/>
  <c r="AB127" i="8"/>
  <c r="AA130" i="8"/>
  <c r="AA191" i="8"/>
  <c r="AB541" i="8"/>
  <c r="AE698" i="8" l="1"/>
  <c r="AE699" i="8" s="1"/>
  <c r="AE700" i="8" s="1"/>
  <c r="AE701" i="8" s="1"/>
  <c r="AE702" i="8" s="1"/>
  <c r="AE704" i="8" s="1"/>
  <c r="AE705" i="8" s="1"/>
  <c r="AW594" i="8"/>
  <c r="AB115" i="8"/>
  <c r="AA698" i="8"/>
  <c r="AA700" i="8"/>
  <c r="AE38" i="8"/>
  <c r="AA113" i="8"/>
  <c r="AA612" i="8"/>
  <c r="AB716" i="8"/>
  <c r="AC767" i="8"/>
  <c r="AE91" i="8"/>
  <c r="AA91" i="8"/>
  <c r="AA208" i="8"/>
  <c r="AE208" i="8"/>
  <c r="AA702" i="8"/>
  <c r="AE135" i="8"/>
  <c r="AA135" i="8"/>
  <c r="AA706" i="8"/>
  <c r="AE706" i="8"/>
  <c r="AE707" i="8" s="1"/>
  <c r="AA94" i="8" l="1"/>
  <c r="AE94" i="8"/>
  <c r="AE95" i="8" l="1"/>
  <c r="AB95" i="8"/>
  <c r="AE96" i="8" l="1"/>
  <c r="AA96" i="8"/>
  <c r="AE98" i="8" l="1"/>
  <c r="AA98" i="8"/>
  <c r="AE99" i="8" l="1"/>
  <c r="AA99" i="8"/>
  <c r="AE101" i="8" l="1"/>
  <c r="AE767" i="8" s="1"/>
  <c r="AB101" i="8"/>
  <c r="M710" i="7" l="1"/>
  <c r="L710" i="7"/>
  <c r="N696" i="7"/>
  <c r="O637" i="7"/>
  <c r="N637" i="7"/>
  <c r="O618" i="7"/>
  <c r="O710" i="7" s="1"/>
  <c r="N618" i="7"/>
  <c r="M611" i="7"/>
  <c r="L611" i="7"/>
  <c r="K611" i="7"/>
  <c r="J611" i="7"/>
  <c r="E611" i="7"/>
  <c r="K588" i="7"/>
  <c r="J577" i="7"/>
  <c r="J588" i="7" s="1"/>
  <c r="M575" i="7"/>
  <c r="M588" i="7" s="1"/>
  <c r="L575" i="7"/>
  <c r="L588" i="7" s="1"/>
  <c r="N567" i="7"/>
  <c r="L556" i="7"/>
  <c r="K556" i="7"/>
  <c r="J556" i="7"/>
  <c r="I556" i="7"/>
  <c r="L545" i="7"/>
  <c r="K545" i="7"/>
  <c r="J545" i="7"/>
  <c r="I545" i="7"/>
  <c r="M525" i="7"/>
  <c r="M510" i="7"/>
  <c r="M507" i="7"/>
  <c r="M475" i="7"/>
  <c r="M468" i="7"/>
  <c r="M458" i="7"/>
  <c r="M449" i="7"/>
  <c r="N449" i="7" s="1"/>
  <c r="M450" i="7" s="1"/>
  <c r="N450" i="7" s="1"/>
  <c r="M451" i="7" s="1"/>
  <c r="M427" i="7"/>
  <c r="N427" i="7" s="1"/>
  <c r="M428" i="7" s="1"/>
  <c r="N428" i="7" s="1"/>
  <c r="M429" i="7" s="1"/>
  <c r="N429" i="7" s="1"/>
  <c r="M430" i="7" s="1"/>
  <c r="N430" i="7" s="1"/>
  <c r="M431" i="7" s="1"/>
  <c r="N431" i="7" s="1"/>
  <c r="M424" i="7"/>
  <c r="N424" i="7" s="1"/>
  <c r="M395" i="7"/>
  <c r="N395" i="7" s="1"/>
  <c r="M396" i="7" s="1"/>
  <c r="N396" i="7" s="1"/>
  <c r="M397" i="7" s="1"/>
  <c r="N397" i="7" s="1"/>
  <c r="M398" i="7" s="1"/>
  <c r="N398" i="7" s="1"/>
  <c r="M399" i="7" s="1"/>
  <c r="M386" i="7"/>
  <c r="M385" i="7"/>
  <c r="M384" i="7"/>
  <c r="M383" i="7"/>
  <c r="L368" i="7"/>
  <c r="K368" i="7"/>
  <c r="J368" i="7"/>
  <c r="I368" i="7"/>
  <c r="N288" i="7"/>
  <c r="N276" i="7"/>
  <c r="J269" i="7"/>
  <c r="I269" i="7"/>
  <c r="L159" i="7"/>
  <c r="K159" i="7"/>
  <c r="L118" i="7"/>
  <c r="K118" i="7"/>
  <c r="L108" i="7"/>
  <c r="K108" i="7"/>
  <c r="N75" i="7"/>
  <c r="L75" i="7"/>
  <c r="L269" i="7" s="1"/>
  <c r="K75" i="7"/>
  <c r="L67" i="7"/>
  <c r="K67" i="7"/>
  <c r="J67" i="7"/>
  <c r="I67" i="7"/>
  <c r="M55" i="7"/>
  <c r="M53" i="7"/>
  <c r="M52" i="7"/>
  <c r="M51" i="7"/>
  <c r="M49" i="7"/>
  <c r="M47" i="7"/>
  <c r="M46" i="7"/>
  <c r="M38" i="7"/>
  <c r="M37" i="7"/>
  <c r="M32" i="7"/>
  <c r="M31" i="7"/>
  <c r="M30" i="7"/>
  <c r="M29" i="7"/>
  <c r="M28" i="7"/>
  <c r="K269" i="7" l="1"/>
  <c r="N650" i="7"/>
  <c r="N710" i="7" s="1"/>
  <c r="AG707" i="6" l="1"/>
  <c r="AF707" i="6"/>
  <c r="AH707" i="6" s="1"/>
  <c r="AD707" i="6"/>
  <c r="L707" i="6"/>
  <c r="AH706" i="6"/>
  <c r="AH691" i="6"/>
  <c r="AE691" i="6"/>
  <c r="AH690" i="6"/>
  <c r="AE690" i="6"/>
  <c r="AH689" i="6"/>
  <c r="AE689" i="6"/>
  <c r="AH688" i="6"/>
  <c r="AE688" i="6"/>
  <c r="AH686" i="6"/>
  <c r="AE686" i="6"/>
  <c r="AH684" i="6"/>
  <c r="AE684" i="6"/>
  <c r="AH682" i="6"/>
  <c r="AE682" i="6"/>
  <c r="AH680" i="6"/>
  <c r="AE680" i="6"/>
  <c r="AH678" i="6"/>
  <c r="AE678" i="6"/>
  <c r="AH676" i="6"/>
  <c r="AE676" i="6"/>
  <c r="AH674" i="6"/>
  <c r="AE674" i="6"/>
  <c r="AH670" i="6"/>
  <c r="AE670" i="6"/>
  <c r="AH667" i="6"/>
  <c r="AE667" i="6"/>
  <c r="AH665" i="6"/>
  <c r="AE665" i="6"/>
  <c r="AH662" i="6"/>
  <c r="AE662" i="6"/>
  <c r="AC661" i="6"/>
  <c r="AC707" i="6" s="1"/>
  <c r="AC660" i="6"/>
  <c r="AC659" i="6"/>
  <c r="AH658" i="6"/>
  <c r="AE658" i="6"/>
  <c r="AC658" i="6"/>
  <c r="AH655" i="6"/>
  <c r="AE655" i="6"/>
  <c r="AH652" i="6"/>
  <c r="AE652" i="6"/>
  <c r="AH650" i="6"/>
  <c r="AE650" i="6"/>
  <c r="AH645" i="6"/>
  <c r="AE645" i="6"/>
  <c r="AH639" i="6"/>
  <c r="AE639" i="6"/>
  <c r="AH636" i="6"/>
  <c r="AE636" i="6"/>
  <c r="AH631" i="6"/>
  <c r="AE631" i="6"/>
  <c r="AH628" i="6"/>
  <c r="AE628" i="6"/>
  <c r="AH624" i="6"/>
  <c r="AE624" i="6"/>
  <c r="AH619" i="6"/>
  <c r="AE619" i="6"/>
  <c r="AH613" i="6"/>
  <c r="AE613" i="6"/>
  <c r="AH608" i="6"/>
  <c r="AE608" i="6"/>
  <c r="AH603" i="6"/>
  <c r="AE603" i="6"/>
  <c r="AH598" i="6"/>
  <c r="AE598" i="6"/>
  <c r="AH595" i="6"/>
  <c r="AE595" i="6"/>
  <c r="AH590" i="6"/>
  <c r="AE590" i="6"/>
  <c r="AH582" i="6"/>
  <c r="AE582" i="6"/>
  <c r="AH576" i="6"/>
  <c r="AE576" i="6"/>
  <c r="AH572" i="6"/>
  <c r="AE572" i="6"/>
  <c r="AH566" i="6"/>
  <c r="AE566" i="6"/>
  <c r="AH558" i="6"/>
  <c r="AE558" i="6"/>
  <c r="AH555" i="6"/>
  <c r="AE555" i="6"/>
  <c r="AH552" i="6"/>
  <c r="AE552" i="6"/>
  <c r="AH546" i="6"/>
  <c r="AE546" i="6"/>
  <c r="AH543" i="6"/>
  <c r="AE543" i="6"/>
  <c r="AH540" i="6"/>
  <c r="AE540" i="6"/>
  <c r="AH537" i="6"/>
  <c r="AE537" i="6"/>
  <c r="AH534" i="6"/>
  <c r="AE534" i="6"/>
  <c r="AH530" i="6"/>
  <c r="AE530" i="6"/>
  <c r="AH526" i="6"/>
  <c r="AE526" i="6"/>
  <c r="AH522" i="6"/>
  <c r="AE522" i="6"/>
  <c r="AH518" i="6"/>
  <c r="AE518" i="6"/>
  <c r="AH514" i="6"/>
  <c r="AE514" i="6"/>
  <c r="AH510" i="6"/>
  <c r="AE510" i="6"/>
  <c r="AH506" i="6"/>
  <c r="AE506" i="6"/>
  <c r="AH501" i="6"/>
  <c r="AE501" i="6"/>
  <c r="AH496" i="6"/>
  <c r="AE496" i="6"/>
  <c r="AH491" i="6"/>
  <c r="AE491" i="6"/>
  <c r="AH484" i="6"/>
  <c r="AE484" i="6"/>
  <c r="AH477" i="6"/>
  <c r="AE477" i="6"/>
  <c r="AH471" i="6"/>
  <c r="AE471" i="6"/>
  <c r="AH465" i="6"/>
  <c r="AE465" i="6"/>
  <c r="AH459" i="6"/>
  <c r="AE459" i="6"/>
  <c r="AH453" i="6"/>
  <c r="AE453" i="6"/>
  <c r="AH448" i="6"/>
  <c r="AE448" i="6"/>
  <c r="AH443" i="6"/>
  <c r="AE443" i="6"/>
  <c r="AH438" i="6"/>
  <c r="AE438" i="6"/>
  <c r="AH431" i="6"/>
  <c r="AE431" i="6"/>
  <c r="AH424" i="6"/>
  <c r="AE424" i="6"/>
  <c r="AH415" i="6"/>
  <c r="AE415" i="6"/>
  <c r="AH406" i="6"/>
  <c r="AE406" i="6"/>
  <c r="AH397" i="6"/>
  <c r="AE397" i="6"/>
  <c r="AH396" i="6"/>
  <c r="AE396" i="6"/>
  <c r="AH395" i="6"/>
  <c r="AE395" i="6"/>
  <c r="AH394" i="6"/>
  <c r="AE394" i="6"/>
  <c r="AH393" i="6"/>
  <c r="AE393" i="6"/>
  <c r="AH392" i="6"/>
  <c r="AE392" i="6"/>
  <c r="AH391" i="6"/>
  <c r="AE391" i="6"/>
  <c r="AH390" i="6"/>
  <c r="AE390" i="6"/>
  <c r="AH389" i="6"/>
  <c r="AE389" i="6"/>
  <c r="AH388" i="6"/>
  <c r="AE388" i="6"/>
  <c r="AH387" i="6"/>
  <c r="AE387" i="6"/>
  <c r="AH386" i="6"/>
  <c r="AE386" i="6"/>
  <c r="AH385" i="6"/>
  <c r="AE385" i="6"/>
  <c r="AH384" i="6"/>
  <c r="AE384" i="6"/>
  <c r="AH383" i="6"/>
  <c r="AE383" i="6"/>
  <c r="AH382" i="6"/>
  <c r="AE382" i="6"/>
  <c r="AH381" i="6"/>
  <c r="AE381" i="6"/>
  <c r="AH380" i="6"/>
  <c r="AE380" i="6"/>
  <c r="AH379" i="6"/>
  <c r="AE379" i="6"/>
  <c r="AH378" i="6"/>
  <c r="AE378" i="6"/>
  <c r="AH377" i="6"/>
  <c r="AE377" i="6"/>
  <c r="AH376" i="6"/>
  <c r="AE376" i="6"/>
  <c r="AH375" i="6"/>
  <c r="AE375" i="6"/>
  <c r="AH374" i="6"/>
  <c r="AE374" i="6"/>
  <c r="AH373" i="6"/>
  <c r="AE373" i="6"/>
  <c r="AH372" i="6"/>
  <c r="AE372" i="6"/>
  <c r="AH371" i="6"/>
  <c r="AE371" i="6"/>
  <c r="AH370" i="6"/>
  <c r="AE370" i="6"/>
  <c r="AH369" i="6"/>
  <c r="AE369" i="6"/>
  <c r="AH368" i="6"/>
  <c r="AE368" i="6"/>
  <c r="AH367" i="6"/>
  <c r="AE367" i="6"/>
  <c r="AH366" i="6"/>
  <c r="AE366" i="6"/>
  <c r="AH365" i="6"/>
  <c r="AE365" i="6"/>
  <c r="AH364" i="6"/>
  <c r="AE364" i="6"/>
  <c r="AH363" i="6"/>
  <c r="AE363" i="6"/>
  <c r="AH362" i="6"/>
  <c r="AE362" i="6"/>
  <c r="AH361" i="6"/>
  <c r="AE361" i="6"/>
  <c r="AH360" i="6"/>
  <c r="AE360" i="6"/>
  <c r="AH359" i="6"/>
  <c r="AE359" i="6"/>
  <c r="AH358" i="6"/>
  <c r="AE358" i="6"/>
  <c r="AH357" i="6"/>
  <c r="AH356" i="6"/>
  <c r="AH355" i="6"/>
  <c r="AH354" i="6"/>
  <c r="AH353" i="6"/>
  <c r="AH352" i="6"/>
  <c r="AH351" i="6"/>
  <c r="AH350" i="6"/>
  <c r="AH349" i="6"/>
  <c r="AH348" i="6"/>
  <c r="AH347" i="6"/>
  <c r="AH346" i="6"/>
  <c r="AH345" i="6"/>
  <c r="AH344" i="6"/>
  <c r="AH343" i="6"/>
  <c r="AH342" i="6"/>
  <c r="AV341" i="6"/>
  <c r="AH341" i="6"/>
  <c r="O341" i="6"/>
  <c r="AH340" i="6"/>
  <c r="AH339" i="6"/>
  <c r="AH338" i="6"/>
  <c r="AH337" i="6"/>
  <c r="AH336" i="6"/>
  <c r="AH335" i="6"/>
  <c r="AH334" i="6"/>
  <c r="AH333" i="6"/>
  <c r="AH331" i="6"/>
  <c r="AE331" i="6"/>
  <c r="AH330" i="6"/>
  <c r="AH329" i="6"/>
  <c r="AH328" i="6"/>
  <c r="AH327" i="6"/>
  <c r="AH326" i="6"/>
  <c r="AH325" i="6"/>
  <c r="AH324" i="6"/>
  <c r="AH323" i="6"/>
  <c r="AH322" i="6"/>
  <c r="AH321" i="6"/>
  <c r="AH320" i="6"/>
  <c r="AH319" i="6"/>
  <c r="AV318" i="6"/>
  <c r="AH318" i="6"/>
  <c r="O318" i="6"/>
  <c r="AH317" i="6"/>
  <c r="AH316" i="6"/>
  <c r="AH315" i="6"/>
  <c r="AH314" i="6"/>
  <c r="AH313" i="6"/>
  <c r="AH312" i="6"/>
  <c r="AH311" i="6"/>
  <c r="AH310" i="6"/>
  <c r="AH309" i="6"/>
  <c r="AH308" i="6"/>
  <c r="AH307" i="6"/>
  <c r="AH306" i="6"/>
  <c r="AH305" i="6"/>
  <c r="AH304" i="6"/>
  <c r="AH302" i="6"/>
  <c r="AE302" i="6"/>
  <c r="AH301" i="6"/>
  <c r="AH300" i="6"/>
  <c r="AH299" i="6"/>
  <c r="AH298" i="6"/>
  <c r="AH297" i="6"/>
  <c r="AH296" i="6"/>
  <c r="AH295" i="6"/>
  <c r="AH294" i="6"/>
  <c r="AH292" i="6"/>
  <c r="AH290" i="6"/>
  <c r="AH288" i="6"/>
  <c r="AH287" i="6"/>
  <c r="AH286" i="6"/>
  <c r="AH285" i="6"/>
  <c r="AH284" i="6"/>
  <c r="AH283" i="6"/>
  <c r="AH282" i="6"/>
  <c r="AH281" i="6"/>
  <c r="AH280" i="6"/>
  <c r="AH279" i="6"/>
  <c r="AH278" i="6"/>
  <c r="AH277" i="6"/>
  <c r="AH276" i="6"/>
  <c r="AH275" i="6"/>
  <c r="O275" i="6"/>
  <c r="AH274" i="6"/>
  <c r="AH273" i="6"/>
  <c r="AH272" i="6"/>
  <c r="AE272" i="6"/>
  <c r="AA270" i="6"/>
  <c r="AV266" i="6"/>
  <c r="AH266" i="6"/>
  <c r="AE266" i="6"/>
  <c r="AH260" i="6"/>
  <c r="AE260" i="6"/>
  <c r="O260" i="6"/>
  <c r="AH258" i="6"/>
  <c r="AH256" i="6"/>
  <c r="AH254" i="6"/>
  <c r="AE254" i="6"/>
  <c r="AH251" i="6"/>
  <c r="AE251" i="6"/>
  <c r="AB250" i="6"/>
  <c r="AH247" i="6"/>
  <c r="AE247" i="6"/>
  <c r="AH246" i="6"/>
  <c r="AH245" i="6"/>
  <c r="AH244" i="6"/>
  <c r="AH243" i="6"/>
  <c r="AH242" i="6"/>
  <c r="AH241" i="6"/>
  <c r="AH240" i="6"/>
  <c r="AH239" i="6"/>
  <c r="AH238" i="6"/>
  <c r="AE238" i="6"/>
  <c r="AH237" i="6"/>
  <c r="AH236" i="6"/>
  <c r="AH234" i="6"/>
  <c r="AH232" i="6"/>
  <c r="AH230" i="6"/>
  <c r="AB229" i="6"/>
  <c r="AA229" i="6"/>
  <c r="AH228" i="6"/>
  <c r="AE228" i="6"/>
  <c r="AH227" i="6"/>
  <c r="AH224" i="6"/>
  <c r="AE224" i="6"/>
  <c r="AH223" i="6"/>
  <c r="AB220" i="6"/>
  <c r="AV219" i="6"/>
  <c r="AH219" i="6"/>
  <c r="AE219" i="6"/>
  <c r="AB219" i="6"/>
  <c r="AA219" i="6"/>
  <c r="AH218" i="6"/>
  <c r="AH217" i="6"/>
  <c r="AH216" i="6"/>
  <c r="AH215" i="6"/>
  <c r="AH214" i="6"/>
  <c r="AH213" i="6"/>
  <c r="AH212" i="6"/>
  <c r="AE212" i="6"/>
  <c r="AH211" i="6"/>
  <c r="AE211" i="6"/>
  <c r="AE210" i="6"/>
  <c r="AH209" i="6"/>
  <c r="AE209" i="6"/>
  <c r="AH208" i="6"/>
  <c r="AE208" i="6"/>
  <c r="AH207" i="6"/>
  <c r="AE207" i="6"/>
  <c r="AH206" i="6"/>
  <c r="AE206" i="6"/>
  <c r="AH205" i="6"/>
  <c r="AE205" i="6"/>
  <c r="AH204" i="6"/>
  <c r="AE204" i="6"/>
  <c r="AH203" i="6"/>
  <c r="AE203" i="6"/>
  <c r="AH202" i="6"/>
  <c r="AE202" i="6"/>
  <c r="AH201" i="6"/>
  <c r="AE201" i="6"/>
  <c r="AH200" i="6"/>
  <c r="AE200" i="6"/>
  <c r="AH199" i="6"/>
  <c r="AE199" i="6"/>
  <c r="AH198" i="6"/>
  <c r="AE198" i="6"/>
  <c r="AA197" i="6"/>
  <c r="AV196" i="6"/>
  <c r="AH196" i="6"/>
  <c r="AE196" i="6"/>
  <c r="AH195" i="6"/>
  <c r="AE195" i="6"/>
  <c r="AH194" i="6"/>
  <c r="AE194" i="6"/>
  <c r="AH193" i="6"/>
  <c r="AE193" i="6"/>
  <c r="AH192" i="6"/>
  <c r="AE192" i="6"/>
  <c r="AH191" i="6"/>
  <c r="AE191" i="6"/>
  <c r="AH190" i="6"/>
  <c r="AH188" i="6"/>
  <c r="AH187" i="6"/>
  <c r="AH186" i="6"/>
  <c r="AE186" i="6"/>
  <c r="AA186" i="6"/>
  <c r="AH185" i="6"/>
  <c r="AH184" i="6"/>
  <c r="AE184" i="6"/>
  <c r="AH183" i="6"/>
  <c r="AH182" i="6"/>
  <c r="AH181" i="6"/>
  <c r="AH180" i="6"/>
  <c r="AH179" i="6"/>
  <c r="AH178" i="6"/>
  <c r="AH177" i="6"/>
  <c r="AH176" i="6"/>
  <c r="AH175" i="6"/>
  <c r="AH174" i="6"/>
  <c r="AH173" i="6"/>
  <c r="AE173" i="6"/>
  <c r="AA173" i="6"/>
  <c r="AH172" i="6"/>
  <c r="AH171" i="6"/>
  <c r="AH170" i="6"/>
  <c r="AH169" i="6"/>
  <c r="AH168" i="6"/>
  <c r="AH167" i="6"/>
  <c r="AH166" i="6"/>
  <c r="AH165" i="6"/>
  <c r="AH164" i="6"/>
  <c r="AH163" i="6"/>
  <c r="AH161" i="6"/>
  <c r="AH160" i="6"/>
  <c r="AH159" i="6"/>
  <c r="AH158" i="6"/>
  <c r="AH157" i="6"/>
  <c r="AH156" i="6"/>
  <c r="AH155" i="6"/>
  <c r="AH154" i="6"/>
  <c r="AE154" i="6"/>
  <c r="AA152" i="6"/>
  <c r="AB151" i="6"/>
  <c r="AA151" i="6"/>
  <c r="AH149" i="6"/>
  <c r="AE149" i="6"/>
  <c r="AB148" i="6"/>
  <c r="AH145" i="6"/>
  <c r="AE145" i="6"/>
  <c r="AB144" i="6"/>
  <c r="AH140" i="6"/>
  <c r="AE140" i="6"/>
  <c r="AH139" i="6"/>
  <c r="AE139" i="6"/>
  <c r="AA139" i="6"/>
  <c r="AH138" i="6"/>
  <c r="AE138" i="6"/>
  <c r="AH137" i="6"/>
  <c r="AE137" i="6"/>
  <c r="AH136" i="6"/>
  <c r="AE136" i="6"/>
  <c r="AA136" i="6"/>
  <c r="AH135" i="6"/>
  <c r="AE135" i="6"/>
  <c r="AH134" i="6"/>
  <c r="AE134" i="6"/>
  <c r="AH133" i="6"/>
  <c r="AE133" i="6"/>
  <c r="AH132" i="6"/>
  <c r="AE132" i="6"/>
  <c r="AA132" i="6"/>
  <c r="AH131" i="6"/>
  <c r="AE131" i="6"/>
  <c r="AH130" i="6"/>
  <c r="AE130" i="6"/>
  <c r="AH129" i="6"/>
  <c r="AE129" i="6"/>
  <c r="AE128" i="6"/>
  <c r="AH127" i="6"/>
  <c r="AE127" i="6"/>
  <c r="AH126" i="6"/>
  <c r="AE126" i="6"/>
  <c r="AH124" i="6"/>
  <c r="AE124" i="6"/>
  <c r="AA124" i="6"/>
  <c r="AH123" i="6"/>
  <c r="AE123" i="6"/>
  <c r="AV120" i="6"/>
  <c r="AH120" i="6"/>
  <c r="AE120" i="6"/>
  <c r="O120" i="6"/>
  <c r="AH119" i="6"/>
  <c r="AE119" i="6"/>
  <c r="AH118" i="6"/>
  <c r="AE118" i="6"/>
  <c r="AH117" i="6"/>
  <c r="AE117" i="6"/>
  <c r="AH115" i="6"/>
  <c r="AE115" i="6"/>
  <c r="AA115" i="6"/>
  <c r="AH114" i="6"/>
  <c r="AE114" i="6"/>
  <c r="AE111" i="6"/>
  <c r="AB109" i="6"/>
  <c r="AH106" i="6"/>
  <c r="AE106" i="6"/>
  <c r="AA104" i="6"/>
  <c r="AH101" i="6"/>
  <c r="AE101" i="6"/>
  <c r="O101" i="6"/>
  <c r="AE100" i="6"/>
  <c r="AH99" i="6"/>
  <c r="AE99" i="6"/>
  <c r="AH98" i="6"/>
  <c r="AE98" i="6"/>
  <c r="AH97" i="6"/>
  <c r="AE97" i="6"/>
  <c r="AH94" i="6"/>
  <c r="AE94" i="6"/>
  <c r="AA94" i="6"/>
  <c r="AH93" i="6"/>
  <c r="AE93" i="6"/>
  <c r="AB92" i="6"/>
  <c r="AA92" i="6"/>
  <c r="AA91" i="6"/>
  <c r="AH88" i="6"/>
  <c r="AE88" i="6"/>
  <c r="AH85" i="6"/>
  <c r="AA83" i="6"/>
  <c r="AV79" i="6"/>
  <c r="AH79" i="6"/>
  <c r="AE79" i="6"/>
  <c r="O79" i="6"/>
  <c r="AH77" i="6"/>
  <c r="AE77" i="6"/>
  <c r="AA77" i="6"/>
  <c r="AA76" i="6"/>
  <c r="AV74" i="6"/>
  <c r="AA69" i="6"/>
  <c r="AH67" i="6"/>
  <c r="AE67" i="6"/>
  <c r="AA66" i="6"/>
  <c r="AH64" i="6"/>
  <c r="AE64" i="6"/>
  <c r="AB53" i="6"/>
  <c r="AH52" i="6"/>
  <c r="AE52" i="6"/>
  <c r="AH51" i="6"/>
  <c r="AE51" i="6"/>
  <c r="AH49" i="6"/>
  <c r="AE49" i="6"/>
  <c r="AH48" i="6"/>
  <c r="AE48" i="6"/>
  <c r="AH47" i="6"/>
  <c r="AE47" i="6"/>
  <c r="AH46" i="6"/>
  <c r="AE46" i="6"/>
  <c r="AH45" i="6"/>
  <c r="AE45" i="6"/>
  <c r="AH43" i="6"/>
  <c r="AE43" i="6"/>
  <c r="AH42" i="6"/>
  <c r="AE42" i="6"/>
  <c r="AH41" i="6"/>
  <c r="AE41" i="6"/>
  <c r="AH40" i="6"/>
  <c r="AE40" i="6"/>
  <c r="AH39" i="6"/>
  <c r="AE39" i="6"/>
  <c r="AH38" i="6"/>
  <c r="AE38" i="6"/>
  <c r="AH37" i="6"/>
  <c r="AE37" i="6"/>
  <c r="AH36" i="6"/>
  <c r="AE36" i="6"/>
  <c r="AH35" i="6"/>
  <c r="AE35" i="6"/>
  <c r="AH34" i="6"/>
  <c r="AE34" i="6"/>
  <c r="AH33" i="6"/>
  <c r="AE33" i="6"/>
  <c r="AH32" i="6"/>
  <c r="AE32" i="6"/>
  <c r="AH31" i="6"/>
  <c r="AE31" i="6"/>
  <c r="AA31" i="6"/>
  <c r="AA30" i="6"/>
  <c r="AA29" i="6"/>
  <c r="AH27" i="6"/>
  <c r="AE27" i="6"/>
  <c r="AH25" i="6"/>
  <c r="AE25" i="6"/>
  <c r="AE707" i="6" l="1"/>
  <c r="AD77" i="5"/>
  <c r="AH75" i="5"/>
  <c r="AE75" i="5"/>
  <c r="AG74" i="5"/>
  <c r="AF74" i="5"/>
  <c r="AH74" i="5" s="1"/>
  <c r="AE74" i="5"/>
  <c r="AG73" i="5"/>
  <c r="AH73" i="5" s="1"/>
  <c r="L73" i="5"/>
  <c r="AE73" i="5" s="1"/>
  <c r="AH72" i="5"/>
  <c r="AE72" i="5"/>
  <c r="AH71" i="5"/>
  <c r="AE71" i="5"/>
  <c r="AH70" i="5"/>
  <c r="AE70" i="5"/>
  <c r="AG69" i="5"/>
  <c r="AH69" i="5" s="1"/>
  <c r="AE69" i="5"/>
  <c r="AH68" i="5"/>
  <c r="AE68" i="5"/>
  <c r="AH67" i="5"/>
  <c r="AE67" i="5"/>
  <c r="AH66" i="5"/>
  <c r="AE66" i="5"/>
  <c r="AH65" i="5"/>
  <c r="AE65" i="5"/>
  <c r="AH64" i="5"/>
  <c r="AC64" i="5"/>
  <c r="AE64" i="5" s="1"/>
  <c r="AH63" i="5"/>
  <c r="AE63" i="5"/>
  <c r="AH62" i="5"/>
  <c r="AC62" i="5"/>
  <c r="AE62" i="5" s="1"/>
  <c r="AH59" i="5"/>
  <c r="AE59" i="5"/>
  <c r="AH58" i="5"/>
  <c r="AE58" i="5"/>
  <c r="AH57" i="5"/>
  <c r="AE57" i="5"/>
  <c r="AH56" i="5"/>
  <c r="AE56" i="5"/>
  <c r="AC56" i="5"/>
  <c r="AH55" i="5"/>
  <c r="AC55" i="5"/>
  <c r="AE55" i="5" s="1"/>
  <c r="AH54" i="5"/>
  <c r="AE54" i="5"/>
  <c r="AH32" i="5"/>
  <c r="AE32" i="5"/>
  <c r="AF31" i="5"/>
  <c r="AH31" i="5" s="1"/>
  <c r="L31" i="5"/>
  <c r="AE31" i="5" s="1"/>
  <c r="AH30" i="5"/>
  <c r="AE30" i="5"/>
  <c r="AE29" i="5"/>
  <c r="AH28" i="5"/>
  <c r="AE28" i="5"/>
  <c r="AE27" i="5"/>
  <c r="AG26" i="5"/>
  <c r="AG77" i="5" s="1"/>
  <c r="AF26" i="5"/>
  <c r="AH26" i="5" s="1"/>
  <c r="AH77" i="5" s="1"/>
  <c r="AE26" i="5"/>
  <c r="D19" i="5"/>
  <c r="AE77" i="5" l="1"/>
  <c r="L77" i="5"/>
  <c r="AF77" i="5"/>
  <c r="AC77" i="5"/>
  <c r="AG111" i="4" l="1"/>
  <c r="AD111" i="4"/>
  <c r="AC111" i="4"/>
  <c r="L111" i="4"/>
  <c r="AH110" i="4"/>
  <c r="AE110" i="4"/>
  <c r="AH108" i="4"/>
  <c r="AH107" i="4"/>
  <c r="AH106" i="4"/>
  <c r="AE106" i="4"/>
  <c r="AH105" i="4"/>
  <c r="AE105" i="4"/>
  <c r="AH104" i="4"/>
  <c r="AE104" i="4"/>
  <c r="AH103" i="4"/>
  <c r="AE103" i="4"/>
  <c r="AH102" i="4"/>
  <c r="AE102" i="4"/>
  <c r="AH101" i="4"/>
  <c r="AE101" i="4"/>
  <c r="AH100" i="4"/>
  <c r="AE100" i="4"/>
  <c r="AH99" i="4"/>
  <c r="AE99" i="4"/>
  <c r="AH98" i="4"/>
  <c r="AE98" i="4"/>
  <c r="AH97" i="4"/>
  <c r="AE97" i="4"/>
  <c r="AH96" i="4"/>
  <c r="AE96" i="4"/>
  <c r="AH95" i="4"/>
  <c r="AE95" i="4"/>
  <c r="AH94" i="4"/>
  <c r="AE94" i="4"/>
  <c r="AH93" i="4"/>
  <c r="AE93" i="4"/>
  <c r="AH92" i="4"/>
  <c r="AE92" i="4"/>
  <c r="AH91" i="4"/>
  <c r="AE91" i="4"/>
  <c r="AH90" i="4"/>
  <c r="AE90" i="4"/>
  <c r="AH89" i="4"/>
  <c r="AH88" i="4"/>
  <c r="AH87" i="4"/>
  <c r="AH86" i="4"/>
  <c r="AH85" i="4"/>
  <c r="AE85" i="4"/>
  <c r="AH84" i="4"/>
  <c r="AE84" i="4"/>
  <c r="AH83" i="4"/>
  <c r="AH82" i="4"/>
  <c r="AH81" i="4"/>
  <c r="AH80" i="4"/>
  <c r="AH79" i="4"/>
  <c r="AH78" i="4"/>
  <c r="AH77" i="4"/>
  <c r="AH76" i="4"/>
  <c r="AH75" i="4"/>
  <c r="AH73" i="4"/>
  <c r="AF70" i="4"/>
  <c r="AH70" i="4" s="1"/>
  <c r="AH67" i="4"/>
  <c r="AF67" i="4"/>
  <c r="AE67" i="4"/>
  <c r="AF64" i="4"/>
  <c r="AH64" i="4" s="1"/>
  <c r="AE64" i="4"/>
  <c r="AH61" i="4"/>
  <c r="AE61" i="4"/>
  <c r="AH60" i="4"/>
  <c r="AE60" i="4"/>
  <c r="AH59" i="4"/>
  <c r="AE59" i="4"/>
  <c r="AH58" i="4"/>
  <c r="AE58" i="4"/>
  <c r="I58" i="4"/>
  <c r="AH57" i="4"/>
  <c r="AE57" i="4"/>
  <c r="AH56" i="4"/>
  <c r="AF53" i="4"/>
  <c r="AH53" i="4" s="1"/>
  <c r="AE53" i="4"/>
  <c r="AH49" i="4"/>
  <c r="AE49" i="4"/>
  <c r="AE47" i="4"/>
  <c r="AF46" i="4"/>
  <c r="AH46" i="4" s="1"/>
  <c r="AH45" i="4"/>
  <c r="AE45" i="4"/>
  <c r="AE44" i="4"/>
  <c r="AE43" i="4"/>
  <c r="AE42" i="4"/>
  <c r="AE41" i="4"/>
  <c r="AE40" i="4"/>
  <c r="AH39" i="4"/>
  <c r="AE39" i="4"/>
  <c r="AE38" i="4"/>
  <c r="AE37" i="4"/>
  <c r="AE36" i="4"/>
  <c r="AE35" i="4"/>
  <c r="AE34" i="4"/>
  <c r="AH33" i="4"/>
  <c r="AE33" i="4"/>
  <c r="AE32" i="4"/>
  <c r="AE31" i="4"/>
  <c r="AE30" i="4"/>
  <c r="AE29" i="4"/>
  <c r="AE28" i="4"/>
  <c r="AH27" i="4"/>
  <c r="AE27" i="4"/>
  <c r="AH26" i="4"/>
  <c r="AH25" i="4"/>
  <c r="AE111" i="4" l="1"/>
  <c r="AF111" i="4"/>
  <c r="AH111" i="4"/>
  <c r="AF60" i="3" l="1"/>
  <c r="AE60" i="3"/>
  <c r="AD60" i="3"/>
  <c r="AC60" i="3"/>
  <c r="L60" i="3"/>
  <c r="AH59" i="3"/>
  <c r="AH58" i="3"/>
  <c r="AH57" i="3"/>
  <c r="AH56" i="3"/>
  <c r="AH55" i="3"/>
  <c r="AH54" i="3"/>
  <c r="AH53" i="3"/>
  <c r="AH52" i="3"/>
  <c r="AG51" i="3"/>
  <c r="AH51" i="3" s="1"/>
  <c r="AH50" i="3"/>
  <c r="AG49" i="3"/>
  <c r="AH49" i="3" s="1"/>
  <c r="AH48" i="3"/>
  <c r="AG47" i="3"/>
  <c r="AH47" i="3" s="1"/>
  <c r="AG46" i="3"/>
  <c r="AH46" i="3" s="1"/>
  <c r="AH45" i="3"/>
  <c r="AH44" i="3"/>
  <c r="AH43" i="3"/>
  <c r="AH42" i="3"/>
  <c r="AH41" i="3"/>
  <c r="AG40" i="3"/>
  <c r="AH40" i="3" s="1"/>
  <c r="AH39" i="3"/>
  <c r="AG38" i="3"/>
  <c r="AH38" i="3" s="1"/>
  <c r="AH37" i="3"/>
  <c r="AH36" i="3"/>
  <c r="AH35" i="3"/>
  <c r="AH34" i="3"/>
  <c r="AH33" i="3"/>
  <c r="AH32" i="3"/>
  <c r="AH31" i="3"/>
  <c r="AH30" i="3"/>
  <c r="AH29" i="3"/>
  <c r="AG28" i="3"/>
  <c r="AH28" i="3" s="1"/>
  <c r="AH27" i="3"/>
  <c r="AH26" i="3"/>
  <c r="AH25" i="3"/>
  <c r="AH60" i="3" l="1"/>
  <c r="AG60" i="3"/>
  <c r="AH32" i="2" l="1"/>
  <c r="AE32" i="2"/>
  <c r="AD32" i="2"/>
  <c r="AC32" i="2"/>
  <c r="L32" i="2"/>
  <c r="AG158" i="1" l="1"/>
  <c r="AF158" i="1"/>
  <c r="L158" i="1"/>
  <c r="AH157" i="1"/>
  <c r="AH156" i="1"/>
  <c r="AH155" i="1"/>
  <c r="AE155" i="1"/>
  <c r="AH154" i="1"/>
  <c r="AE154" i="1"/>
  <c r="AH153" i="1"/>
  <c r="AE153" i="1"/>
  <c r="AH152" i="1"/>
  <c r="AE152" i="1"/>
  <c r="AH151" i="1"/>
  <c r="AE151" i="1"/>
  <c r="AH150" i="1"/>
  <c r="AE150" i="1"/>
  <c r="AH149" i="1"/>
  <c r="AE149" i="1"/>
  <c r="AH148" i="1"/>
  <c r="AE148" i="1"/>
  <c r="AH147" i="1"/>
  <c r="AE147" i="1"/>
  <c r="AH146" i="1"/>
  <c r="AE146" i="1"/>
  <c r="AH145" i="1"/>
  <c r="AE145" i="1"/>
  <c r="AH144" i="1"/>
  <c r="AE144" i="1"/>
  <c r="AH143" i="1"/>
  <c r="AE143" i="1"/>
  <c r="AH142" i="1"/>
  <c r="AE142" i="1"/>
  <c r="AH141" i="1"/>
  <c r="AE141" i="1"/>
  <c r="AH140" i="1"/>
  <c r="AE140" i="1"/>
  <c r="AH139" i="1"/>
  <c r="AE139" i="1"/>
  <c r="AH138" i="1"/>
  <c r="AE138" i="1"/>
  <c r="AH137" i="1"/>
  <c r="AE137" i="1"/>
  <c r="AH136" i="1"/>
  <c r="AE136" i="1"/>
  <c r="AH135" i="1"/>
  <c r="AE135" i="1"/>
  <c r="AH134" i="1"/>
  <c r="AE134" i="1"/>
  <c r="AH133" i="1"/>
  <c r="AE133" i="1"/>
  <c r="AH132" i="1"/>
  <c r="AE132" i="1"/>
  <c r="AH131" i="1"/>
  <c r="AE131" i="1"/>
  <c r="AH130" i="1"/>
  <c r="AE130" i="1"/>
  <c r="AH129" i="1"/>
  <c r="AE129" i="1"/>
  <c r="AH128" i="1"/>
  <c r="AE128" i="1"/>
  <c r="AH127" i="1"/>
  <c r="AE127" i="1"/>
  <c r="AH126" i="1"/>
  <c r="AE126" i="1"/>
  <c r="AH125" i="1"/>
  <c r="AE125" i="1"/>
  <c r="AH124" i="1"/>
  <c r="AH123" i="1"/>
  <c r="AE123" i="1"/>
  <c r="AH122" i="1"/>
  <c r="AE122" i="1"/>
  <c r="AH121" i="1"/>
  <c r="AE121" i="1"/>
  <c r="AH120" i="1"/>
  <c r="AH119" i="1"/>
  <c r="AE119" i="1"/>
  <c r="AH118" i="1"/>
  <c r="AE118" i="1"/>
  <c r="AH117" i="1"/>
  <c r="AE117" i="1"/>
  <c r="AH116" i="1"/>
  <c r="AE116" i="1"/>
  <c r="AH115" i="1"/>
  <c r="AE115" i="1"/>
  <c r="AH114" i="1"/>
  <c r="AH113" i="1"/>
  <c r="AH112" i="1"/>
  <c r="AH111" i="1"/>
  <c r="AE111" i="1"/>
  <c r="AH110" i="1"/>
  <c r="AE110" i="1"/>
  <c r="AH109" i="1"/>
  <c r="AE109" i="1"/>
  <c r="AH108" i="1"/>
  <c r="AE108" i="1"/>
  <c r="AH107" i="1"/>
  <c r="AE107" i="1"/>
  <c r="AH106" i="1"/>
  <c r="AE106" i="1"/>
  <c r="AH105" i="1"/>
  <c r="AE105" i="1"/>
  <c r="AH104" i="1"/>
  <c r="AE104" i="1"/>
  <c r="AH103" i="1"/>
  <c r="AE103" i="1"/>
  <c r="AH102" i="1"/>
  <c r="AE102" i="1"/>
  <c r="AH101" i="1"/>
  <c r="AE101" i="1"/>
  <c r="AH100" i="1"/>
  <c r="AE100" i="1"/>
  <c r="AH99" i="1"/>
  <c r="AH98" i="1"/>
  <c r="AE98" i="1"/>
  <c r="AH97" i="1"/>
  <c r="AE97" i="1"/>
  <c r="AH96" i="1"/>
  <c r="AE96" i="1"/>
  <c r="AH95" i="1"/>
  <c r="AE95" i="1"/>
  <c r="AH94" i="1"/>
  <c r="AE94" i="1"/>
  <c r="AH93" i="1"/>
  <c r="AE93" i="1"/>
  <c r="AH92" i="1"/>
  <c r="AE92" i="1"/>
  <c r="AH91" i="1"/>
  <c r="AE91" i="1"/>
  <c r="AH90" i="1"/>
  <c r="AE90" i="1"/>
  <c r="AH89" i="1"/>
  <c r="AE89" i="1"/>
  <c r="AH88" i="1"/>
  <c r="AE88" i="1"/>
  <c r="AH87" i="1"/>
  <c r="AE87" i="1"/>
  <c r="AH86" i="1"/>
  <c r="AE86" i="1"/>
  <c r="AH85" i="1"/>
  <c r="AE85" i="1"/>
  <c r="AH84" i="1"/>
  <c r="AH83" i="1"/>
  <c r="AE83" i="1"/>
  <c r="AH82" i="1"/>
  <c r="AE82" i="1"/>
  <c r="AH81" i="1"/>
  <c r="AE81" i="1"/>
  <c r="AH80" i="1"/>
  <c r="AH79" i="1"/>
  <c r="AH78" i="1"/>
  <c r="AE78" i="1"/>
  <c r="AH77" i="1"/>
  <c r="AH76" i="1"/>
  <c r="AH75" i="1"/>
  <c r="AH74" i="1"/>
  <c r="AE74" i="1"/>
  <c r="AH73" i="1"/>
  <c r="AH72" i="1"/>
  <c r="AH71" i="1"/>
  <c r="AH70" i="1"/>
  <c r="AH69" i="1"/>
  <c r="AH68" i="1"/>
  <c r="AH67" i="1"/>
  <c r="AH66" i="1"/>
  <c r="AH65" i="1"/>
  <c r="AH64" i="1"/>
  <c r="AH63" i="1"/>
  <c r="AH62" i="1"/>
  <c r="AE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158" i="1" l="1"/>
  <c r="M160" i="19"/>
</calcChain>
</file>

<file path=xl/comments1.xml><?xml version="1.0" encoding="utf-8"?>
<comments xmlns="http://schemas.openxmlformats.org/spreadsheetml/2006/main">
  <authors>
    <author>USUARIO</author>
    <author>Milena</author>
  </authors>
  <commentList>
    <comment ref="L155" authorId="0">
      <text>
        <r>
          <rPr>
            <b/>
            <sz val="9"/>
            <color indexed="81"/>
            <rFont val="Tahoma"/>
            <family val="2"/>
          </rPr>
          <t>USUARIO:</t>
        </r>
        <r>
          <rPr>
            <sz val="9"/>
            <color indexed="81"/>
            <rFont val="Tahoma"/>
            <family val="2"/>
          </rPr>
          <t xml:space="preserve">
ANULAÇÃO EMPENHO 10.386,00</t>
        </r>
      </text>
    </comment>
    <comment ref="N425" authorId="1">
      <text>
        <r>
          <rPr>
            <b/>
            <sz val="9"/>
            <color indexed="81"/>
            <rFont val="Tahoma"/>
            <family val="2"/>
          </rPr>
          <t>Milena:</t>
        </r>
        <r>
          <rPr>
            <sz val="9"/>
            <color indexed="81"/>
            <rFont val="Tahoma"/>
            <family val="2"/>
          </rPr>
          <t xml:space="preserve">
</t>
        </r>
      </text>
    </comment>
  </commentList>
</comments>
</file>

<file path=xl/comments2.xml><?xml version="1.0" encoding="utf-8"?>
<comments xmlns="http://schemas.openxmlformats.org/spreadsheetml/2006/main">
  <authors>
    <author>Patrimonio</author>
  </authors>
  <commentList>
    <comment ref="AH25" authorId="0">
      <text>
        <r>
          <rPr>
            <b/>
            <sz val="9"/>
            <color indexed="81"/>
            <rFont val="Tahoma"/>
            <family val="2"/>
          </rPr>
          <t>Halison: O valor executado estar maior que o valor de contrato.</t>
        </r>
        <r>
          <rPr>
            <sz val="9"/>
            <color indexed="81"/>
            <rFont val="Tahoma"/>
            <family val="2"/>
          </rPr>
          <t xml:space="preserve">
</t>
        </r>
      </text>
    </comment>
  </commentList>
</comments>
</file>

<file path=xl/comments3.xml><?xml version="1.0" encoding="utf-8"?>
<comments xmlns="http://schemas.openxmlformats.org/spreadsheetml/2006/main">
  <authors>
    <author>RBPREV</author>
  </authors>
  <commentList>
    <comment ref="B25" authorId="0">
      <text>
        <r>
          <rPr>
            <b/>
            <sz val="9"/>
            <color indexed="81"/>
            <rFont val="Segoe UI"/>
            <family val="2"/>
          </rPr>
          <t>RBPREV:</t>
        </r>
        <r>
          <rPr>
            <sz val="9"/>
            <color indexed="81"/>
            <rFont val="Segoe UI"/>
            <family val="2"/>
          </rPr>
          <t xml:space="preserve">
Diretoria de Administração e Finanças do MPE
</t>
        </r>
      </text>
    </comment>
    <comment ref="AG25" authorId="0">
      <text>
        <r>
          <rPr>
            <b/>
            <sz val="9"/>
            <color indexed="81"/>
            <rFont val="Segoe UI"/>
            <family val="2"/>
          </rPr>
          <t>RBPREV:</t>
        </r>
        <r>
          <rPr>
            <sz val="9"/>
            <color indexed="81"/>
            <rFont val="Segoe UI"/>
            <family val="2"/>
          </rPr>
          <t xml:space="preserve">
até 20/10/2014
</t>
        </r>
      </text>
    </comment>
    <comment ref="B26" authorId="0">
      <text>
        <r>
          <rPr>
            <b/>
            <sz val="9"/>
            <color indexed="81"/>
            <rFont val="Segoe UI"/>
            <family val="2"/>
          </rPr>
          <t>RBPREV:</t>
        </r>
        <r>
          <rPr>
            <sz val="9"/>
            <color indexed="81"/>
            <rFont val="Segoe UI"/>
            <family val="2"/>
          </rPr>
          <t xml:space="preserve">
Numero do processo da SEMSA</t>
        </r>
      </text>
    </comment>
    <comment ref="B27" authorId="0">
      <text>
        <r>
          <rPr>
            <b/>
            <sz val="9"/>
            <color indexed="81"/>
            <rFont val="Segoe UI"/>
            <family val="2"/>
          </rPr>
          <t>RBPREV:</t>
        </r>
        <r>
          <rPr>
            <sz val="9"/>
            <color indexed="81"/>
            <rFont val="Segoe UI"/>
            <family val="2"/>
          </rPr>
          <t xml:space="preserve">
Número do processo FGB</t>
        </r>
      </text>
    </comment>
    <comment ref="B29" authorId="0">
      <text>
        <r>
          <rPr>
            <b/>
            <sz val="9"/>
            <color indexed="81"/>
            <rFont val="Segoe UI"/>
            <family val="2"/>
          </rPr>
          <t>RBPREV:</t>
        </r>
        <r>
          <rPr>
            <sz val="9"/>
            <color indexed="81"/>
            <rFont val="Segoe UI"/>
            <family val="2"/>
          </rPr>
          <t xml:space="preserve">
Numero do processo RBPREV</t>
        </r>
      </text>
    </comment>
  </commentList>
</comments>
</file>

<file path=xl/sharedStrings.xml><?xml version="1.0" encoding="utf-8"?>
<sst xmlns="http://schemas.openxmlformats.org/spreadsheetml/2006/main" count="35340" uniqueCount="7615">
  <si>
    <t>PODER EXECUTIVO MUNICIPAL</t>
  </si>
  <si>
    <t>PRESTAÇÃO DE CONTAS MENSAL - EXERCÍCIO 2014</t>
  </si>
  <si>
    <t>RESOLUÇÃO Nº 87, DE 28 DE NOVEMBRO DE 2013 - TRIBUNAL DE CONTAS DO ESTADO DO ACRE</t>
  </si>
  <si>
    <t>Manual de Referência - Anexos IV, VI, VII e VIII</t>
  </si>
  <si>
    <t xml:space="preserve"> DEMONSTRATIVO DE LICITAÇÕES, CONTRATOS  E OBRAS CONTRATADAS</t>
  </si>
  <si>
    <t>Seq</t>
  </si>
  <si>
    <t>Especificações da Licitação</t>
  </si>
  <si>
    <t>Contrato e Termo Aditivo</t>
  </si>
  <si>
    <t>Adesão a Registro de Preços</t>
  </si>
  <si>
    <t>Dispensa ou Inexigibilidade de Licitação</t>
  </si>
  <si>
    <t>Especificação de obras e serviços de engenharia</t>
  </si>
  <si>
    <t>Especificações do Contrato</t>
  </si>
  <si>
    <t>Especificações de Termo Aditivo</t>
  </si>
  <si>
    <t xml:space="preserve">Execução Financeira </t>
  </si>
  <si>
    <t>Nº da Ata</t>
  </si>
  <si>
    <t>Nº do DOE de publicação da Ata</t>
  </si>
  <si>
    <t>Órgão Gerenciador</t>
  </si>
  <si>
    <t>Nº do DOE de publicação do extrato da Ata Termo de Adesão</t>
  </si>
  <si>
    <t>Enquadramento</t>
  </si>
  <si>
    <t>Fundamentação Legal</t>
  </si>
  <si>
    <t>Nº do DOE de publicação da autorização</t>
  </si>
  <si>
    <t>Data do DOE</t>
  </si>
  <si>
    <t>Nº do DOE de publicação da ratificação</t>
  </si>
  <si>
    <t>Tipo</t>
  </si>
  <si>
    <t>Forma de execução</t>
  </si>
  <si>
    <t>Prazo de execução</t>
  </si>
  <si>
    <t>Ordem de Serviço</t>
  </si>
  <si>
    <t>Concluída em 2014</t>
  </si>
  <si>
    <t>Em andamento em 2014</t>
  </si>
  <si>
    <t>Paralisações</t>
  </si>
  <si>
    <t>Nº Processo Administrativo</t>
  </si>
  <si>
    <t>Nº da Licitação</t>
  </si>
  <si>
    <t xml:space="preserve">Modalidade </t>
  </si>
  <si>
    <t>Objeto</t>
  </si>
  <si>
    <t>Nº DOE da publicação do Edital</t>
  </si>
  <si>
    <t>Nº Contrato</t>
  </si>
  <si>
    <t>Parte Contratada</t>
  </si>
  <si>
    <t>CNPJ/CPF da Parte Contratada</t>
  </si>
  <si>
    <t>Data da assinatura</t>
  </si>
  <si>
    <t>Valor contratado</t>
  </si>
  <si>
    <t>Nº DOE da publicação do Extrato</t>
  </si>
  <si>
    <t>Início da vigência</t>
  </si>
  <si>
    <t>Término da vigência</t>
  </si>
  <si>
    <t>Fonte de Recursos</t>
  </si>
  <si>
    <t>Nº do Convênio/Contrato</t>
  </si>
  <si>
    <t>Parte Concedente</t>
  </si>
  <si>
    <t>Contrapartida</t>
  </si>
  <si>
    <t>Elemento de Despesa</t>
  </si>
  <si>
    <t>Nº do Termo Aditivo</t>
  </si>
  <si>
    <t>Motivo da alteração</t>
  </si>
  <si>
    <t>% de acréscimo</t>
  </si>
  <si>
    <t>% de supressão</t>
  </si>
  <si>
    <t>Valor do acréscimo</t>
  </si>
  <si>
    <t>Valor da supressão</t>
  </si>
  <si>
    <t>Valor do Contrato após alteração</t>
  </si>
  <si>
    <t>Executado até 2013</t>
  </si>
  <si>
    <t xml:space="preserve"> Executado no Exercício 2014</t>
  </si>
  <si>
    <t xml:space="preserve">Total Acumulado </t>
  </si>
  <si>
    <t>Início</t>
  </si>
  <si>
    <t>Término</t>
  </si>
  <si>
    <t>%</t>
  </si>
  <si>
    <t>Nº</t>
  </si>
  <si>
    <t>Data ciência</t>
  </si>
  <si>
    <t>Reinício</t>
  </si>
  <si>
    <t>Motivo</t>
  </si>
  <si>
    <t>(a)</t>
  </si>
  <si>
    <t>(b)</t>
  </si>
  <si>
    <t>(c )</t>
  </si>
  <si>
    <t>(d)</t>
  </si>
  <si>
    <t>(e)</t>
  </si>
  <si>
    <t>(f)</t>
  </si>
  <si>
    <t>(g)</t>
  </si>
  <si>
    <t>(h)</t>
  </si>
  <si>
    <t>(i)</t>
  </si>
  <si>
    <t>(j)</t>
  </si>
  <si>
    <t>(k)</t>
  </si>
  <si>
    <t>(l)</t>
  </si>
  <si>
    <t>(m)</t>
  </si>
  <si>
    <t>(n)</t>
  </si>
  <si>
    <t>(o)</t>
  </si>
  <si>
    <t>(p)</t>
  </si>
  <si>
    <t>(q)</t>
  </si>
  <si>
    <t>(r )</t>
  </si>
  <si>
    <t>(s)</t>
  </si>
  <si>
    <t>(t )</t>
  </si>
  <si>
    <t>(u)</t>
  </si>
  <si>
    <t>(v)</t>
  </si>
  <si>
    <t>(x)</t>
  </si>
  <si>
    <t>(y)</t>
  </si>
  <si>
    <t>(z)</t>
  </si>
  <si>
    <t>(aa)</t>
  </si>
  <si>
    <t>(ab)</t>
  </si>
  <si>
    <t>(ac)</t>
  </si>
  <si>
    <t xml:space="preserve">(ad) </t>
  </si>
  <si>
    <t>(ae) = (k) - (ad) + (ac)</t>
  </si>
  <si>
    <t>(af)</t>
  </si>
  <si>
    <t xml:space="preserve">(ag) </t>
  </si>
  <si>
    <t>(ah) = (af) + (ag)</t>
  </si>
  <si>
    <t>(ai)</t>
  </si>
  <si>
    <t>(aj)</t>
  </si>
  <si>
    <t>(ak)</t>
  </si>
  <si>
    <t>(al)</t>
  </si>
  <si>
    <t>(am)</t>
  </si>
  <si>
    <t>(an)</t>
  </si>
  <si>
    <t>(ao)</t>
  </si>
  <si>
    <t>(ap)</t>
  </si>
  <si>
    <t>(aq)</t>
  </si>
  <si>
    <t>(ar)</t>
  </si>
  <si>
    <t>(as)</t>
  </si>
  <si>
    <t>(at)</t>
  </si>
  <si>
    <t>(au)</t>
  </si>
  <si>
    <t>(av)</t>
  </si>
  <si>
    <t>(ax)</t>
  </si>
  <si>
    <t>(ay)</t>
  </si>
  <si>
    <t>(az)</t>
  </si>
  <si>
    <t>(ba)</t>
  </si>
  <si>
    <t>(bb)</t>
  </si>
  <si>
    <t>(bc)</t>
  </si>
  <si>
    <t>(bd)</t>
  </si>
  <si>
    <t>(be)</t>
  </si>
  <si>
    <t>015/2008</t>
  </si>
  <si>
    <t>012/2008</t>
  </si>
  <si>
    <t>Pregão</t>
  </si>
  <si>
    <t xml:space="preserve">Menor Preço (maior percentual de de desconto) </t>
  </si>
  <si>
    <t>Aquisição de passagens aéreas em trechos nacionais e internacionais.</t>
  </si>
  <si>
    <t>Jornal Página 20 do dia 30/01/2008</t>
  </si>
  <si>
    <t>30/2008</t>
  </si>
  <si>
    <t>Morais e Assis Ltda</t>
  </si>
  <si>
    <t>D.O.U Nº 9.749 25/02/2008</t>
  </si>
  <si>
    <t>01 - Recurso Próprio</t>
  </si>
  <si>
    <t>33.90.33.00</t>
  </si>
  <si>
    <t>Primeiro Termo Aditivo</t>
  </si>
  <si>
    <t>11/11/208</t>
  </si>
  <si>
    <t>D.O.U Nº 9.942 de 02/12/2008</t>
  </si>
  <si>
    <t>Adicional de 25% no valor do contrato</t>
  </si>
  <si>
    <t>Segundo Termo Aditivo</t>
  </si>
  <si>
    <t>Aditamento do prazo pelo período de 03 (tres) meses</t>
  </si>
  <si>
    <t>28/12/209</t>
  </si>
  <si>
    <t>Teceiro Termo Aditivo</t>
  </si>
  <si>
    <t>Aditamento do prazo pelo período de 12 (doze) meses</t>
  </si>
  <si>
    <t>Quarto Termo Aditivo</t>
  </si>
  <si>
    <t>25.01.2010</t>
  </si>
  <si>
    <t>Alteração no programa de trabalho.</t>
  </si>
  <si>
    <t>Quinto Termo Aditivo</t>
  </si>
  <si>
    <t>Sexto Termo Aditivo</t>
  </si>
  <si>
    <t>Sétimo Termo Aditivo</t>
  </si>
  <si>
    <t>Aditamento do prazo pelo período de 02 (dois) meses</t>
  </si>
  <si>
    <t>Oitavo Termo Aditivo</t>
  </si>
  <si>
    <t>Aditamento do prazo pelo período de 10 (dez) meses</t>
  </si>
  <si>
    <t>Nono Termo Aditivo</t>
  </si>
  <si>
    <t>072/2010</t>
  </si>
  <si>
    <t>032/2010</t>
  </si>
  <si>
    <t>Convite</t>
  </si>
  <si>
    <t xml:space="preserve">Menor Preço </t>
  </si>
  <si>
    <t>Prestação de serviço de transporte (veículo tipo passeio com condutor)</t>
  </si>
  <si>
    <t>51/2010</t>
  </si>
  <si>
    <t>Joaquin Francisco de Souza Neto</t>
  </si>
  <si>
    <t>051.653.262-68</t>
  </si>
  <si>
    <t>33.90.36.00</t>
  </si>
  <si>
    <t>Primeiro termo</t>
  </si>
  <si>
    <t>10446           ERRATA Nº 10465</t>
  </si>
  <si>
    <t>01/01/211</t>
  </si>
  <si>
    <t>Segundo termo</t>
  </si>
  <si>
    <t>terceiro termo</t>
  </si>
  <si>
    <t>Quarto Termo</t>
  </si>
  <si>
    <t>Aditamento do prazo pelo período de 2 (dois) meses</t>
  </si>
  <si>
    <t>084/2010</t>
  </si>
  <si>
    <t>026/2010</t>
  </si>
  <si>
    <t>Menor Preço</t>
  </si>
  <si>
    <t>Serviço de Transporte (com Condutor)</t>
  </si>
  <si>
    <t>02/2010</t>
  </si>
  <si>
    <t>Ivanilde Mendes de Souza/                Adriana Paula Barbosa Moura Cavalcante.</t>
  </si>
  <si>
    <t>391.047.452-72</t>
  </si>
  <si>
    <t>10.450</t>
  </si>
  <si>
    <t>Aditamento do prazo pelo período de 12 meses</t>
  </si>
  <si>
    <t>10.698</t>
  </si>
  <si>
    <t>11.441</t>
  </si>
  <si>
    <t>04/2010</t>
  </si>
  <si>
    <t>Cornélio Batista da Costa</t>
  </si>
  <si>
    <t>434.957.372-00</t>
  </si>
  <si>
    <t>20/12/210</t>
  </si>
  <si>
    <t>10.447</t>
  </si>
  <si>
    <t>16/112011</t>
  </si>
  <si>
    <t>10.695</t>
  </si>
  <si>
    <t>11.442</t>
  </si>
  <si>
    <t>Aditamento de prazo pelo periodo de 12 meses e Aditamento do contrato em acrescimo de 25% (vinte e cinco por cento)</t>
  </si>
  <si>
    <t>Quarto termo</t>
  </si>
  <si>
    <t>11.237</t>
  </si>
  <si>
    <t xml:space="preserve">Acrescimo de 5,40%, relativo ao acumulo do IGPM, respaldado pelo Art. 65 da Lei Federal nº 8.666/1993, passando a ter </t>
  </si>
  <si>
    <t>05/2010</t>
  </si>
  <si>
    <t>Francisco Wanderley da Costa</t>
  </si>
  <si>
    <t>483.860.652-49</t>
  </si>
  <si>
    <t>380/2010</t>
  </si>
  <si>
    <t>032/210</t>
  </si>
  <si>
    <t>Contratação de pessoa jurídica para a prestação de serviços continuados de limpeza e conservação, que compreenderá o fornecemento de mão de obra necessários e adequados à execução dos serviços, nas dependencias de diversos órgãos da Prefeitura de Municipal de Rio Branco</t>
  </si>
  <si>
    <t>01/2011</t>
  </si>
  <si>
    <t>COOPSERGE</t>
  </si>
  <si>
    <t>03.713.023/0001-31</t>
  </si>
  <si>
    <t>Aditamento do prazo pelo período de 05 meses</t>
  </si>
  <si>
    <t xml:space="preserve"> Aditamento do contrato em acrescimo de 25% (vinte e cinco por cento)</t>
  </si>
  <si>
    <t>Quinto Termo</t>
  </si>
  <si>
    <t>410/2010</t>
  </si>
  <si>
    <t>Concorrencia</t>
  </si>
  <si>
    <t>Melhor técnica</t>
  </si>
  <si>
    <t>Contratação de agências de publicidade e propaganda, para os serviços técnicos especializados em comunicação e marketing, abrangendo estudos, produção gráfica, pesquisa, planejamento, criação, produção, distribuição, propaganda e veiculação, controle e acompanhamento de campanhas e peças publicitárias, publicidade legal, divulgação de atos, programas, obras, serviços e campanha dos orgão da administração pública Municipal Direta, Indireta, Fundacional e Autárquica, nos termos do artigo 37 parágrafo 1º, da Cosntituição Federal e da Lei Organica do Município. As propostas devem estar de acordo com as especificações constantes nos Anexos, partes integrantes do presente edital, atendendo solicitação do Gabinete do Prefeito, através da Assessoria de Comunicação.</t>
  </si>
  <si>
    <t>10/2011</t>
  </si>
  <si>
    <t>Companhia de Selva de Criação e Produções</t>
  </si>
  <si>
    <t>02.236.978/0001-82</t>
  </si>
  <si>
    <t>33.90.39.00</t>
  </si>
  <si>
    <t>O Termo aditivo objetiva o acrescimo de 25% do valor do contrato nº 10/2011 importando o valor de R$ 640.386,39, respaldado no art. 65da Lei Federal 8.666/93. passando a ter o valor  total de R$ 3.201.931,95.</t>
  </si>
  <si>
    <t>Aditamento de prazo pelo período de 12 (doze) meses</t>
  </si>
  <si>
    <t>Terceiro termo</t>
  </si>
  <si>
    <t xml:space="preserve">Quarto termo </t>
  </si>
  <si>
    <t>Falta publicar</t>
  </si>
  <si>
    <t>065/2011</t>
  </si>
  <si>
    <t>09/2011</t>
  </si>
  <si>
    <t>Contratação de serviço de Transporte tipo passeio (com condutor).</t>
  </si>
  <si>
    <t>Mirtes Martins de Oliveira</t>
  </si>
  <si>
    <t>078.957.712-72</t>
  </si>
  <si>
    <t xml:space="preserve">          </t>
  </si>
  <si>
    <t>243/2012</t>
  </si>
  <si>
    <t>Pregão Para Registro de Preço</t>
  </si>
  <si>
    <t>Registro de Preço para futura aquisição de material de limpeza, higiene, copa e cozinha.</t>
  </si>
  <si>
    <t>05/2013</t>
  </si>
  <si>
    <t>M R C Aguiar</t>
  </si>
  <si>
    <t>08.004.296/0001-20</t>
  </si>
  <si>
    <t>06/2012</t>
  </si>
  <si>
    <t>Secretaria de Estado de Politicas para mulheres</t>
  </si>
  <si>
    <t>01/2013</t>
  </si>
  <si>
    <t>Contratação de empresa especilizada em locação de impressora multifuncional, com fornecimento de todo material necessário, exceto papel A4 pra relaização de serviços, com tecnologia digital laser, led, ou superior, aquisição de de material gráfico e prestação de serviços de confecção de carimbos simples, datador e automáticos, cópias de chaves, encadernações, plotagem, impressões e fotocópia simples, e em grandes formatos.</t>
  </si>
  <si>
    <t>06/2013</t>
  </si>
  <si>
    <t>DUX Com. E Repres. Imp.  E Exp. Ltda</t>
  </si>
  <si>
    <t>05.502.105/0001-62</t>
  </si>
  <si>
    <t xml:space="preserve">33.90.39.00 </t>
  </si>
  <si>
    <t>03/2013</t>
  </si>
  <si>
    <t>11.013</t>
  </si>
  <si>
    <t>Tribunal de Contas do Estado do Acre</t>
  </si>
  <si>
    <t>Aditamento do prazo pelo período de 08 (oito) meses.</t>
  </si>
  <si>
    <t>3416/2013</t>
  </si>
  <si>
    <t>Pregão Eletrônico</t>
  </si>
  <si>
    <t>Contratação de serviços de apoio administrativo para revisão do eleitorado de Rio Branco/AC, mediante coleta de dados biométrico, por meio de ativação de 31 (trinta e um) postos de operação de equipamentos de 6 (seis)  postos de recepção.</t>
  </si>
  <si>
    <t>02/2014</t>
  </si>
  <si>
    <t>VG Serviços</t>
  </si>
  <si>
    <t>11.223.797/0001-02</t>
  </si>
  <si>
    <t>11.236  Errata 11.451</t>
  </si>
  <si>
    <t>55/2013</t>
  </si>
  <si>
    <t>DOU 153</t>
  </si>
  <si>
    <t>Truibunal Regional Eleitoral do Acre</t>
  </si>
  <si>
    <t>Aditamento do prazo pelo período de 06 (seis) meses.</t>
  </si>
  <si>
    <t xml:space="preserve">Repactuação de valor  </t>
  </si>
  <si>
    <t>Aguadando assinar para publicar</t>
  </si>
  <si>
    <t xml:space="preserve">Acrescimo de 25%, totalizando o valor de R$ 1.061.770.65 e dilatação do prazo pelo período de 12 (doze) meses, </t>
  </si>
  <si>
    <t>001.278/13</t>
  </si>
  <si>
    <t>Contratação de empresa para fornecimento de alimentação</t>
  </si>
  <si>
    <t>03/2014</t>
  </si>
  <si>
    <t>Tempero do Norte LTDA - EPP</t>
  </si>
  <si>
    <t>02.270.579/0001-38</t>
  </si>
  <si>
    <t>044/2013</t>
  </si>
  <si>
    <t>Deparatamento de Estradas de Rodagem, Infraestrutura Hidroviário e Aeroportuário do Acre - DERACRE</t>
  </si>
  <si>
    <t>04/2014</t>
  </si>
  <si>
    <t>Utilizado pelo Gabinete Militar</t>
  </si>
  <si>
    <t>0033971-5/2012</t>
  </si>
  <si>
    <t>Emissão de passagens aéreas e terrestre.</t>
  </si>
  <si>
    <t>05/2014</t>
  </si>
  <si>
    <t>Kampa Viagens Serviços E Eventos Ltda</t>
  </si>
  <si>
    <t>03.383.410/0001-57</t>
  </si>
  <si>
    <t>Secretaria de Estado da Casa Civil</t>
  </si>
  <si>
    <t>1º Termo Aditivo</t>
  </si>
  <si>
    <t>Dilatamento de 25% ao contrato  05/2014</t>
  </si>
  <si>
    <t>06/2014</t>
  </si>
  <si>
    <t>Número do contrato não utlizado</t>
  </si>
  <si>
    <t>13797-0/2013</t>
  </si>
  <si>
    <t>618/2013</t>
  </si>
  <si>
    <t>Prestação de serviço de locação de veículo sob o regime de locação fixa mensal e regime de locação por demanda.</t>
  </si>
  <si>
    <t>07/2014</t>
  </si>
  <si>
    <t>Lopes &amp; Cavalcante LTDA</t>
  </si>
  <si>
    <t>07.533.627/0001-57</t>
  </si>
  <si>
    <t>Gabinete do vice Governador do Estado do Acre</t>
  </si>
  <si>
    <t>aguardando assinatura para poder publicar</t>
  </si>
  <si>
    <t>Aditamento do prazo pelo período de 09 (nove) meses.</t>
  </si>
  <si>
    <t>0005345-8/2013</t>
  </si>
  <si>
    <t>150/2013</t>
  </si>
  <si>
    <t>Contratação de empresa especializada para fornecimento de material gráfico e publicidade</t>
  </si>
  <si>
    <t>08/2014</t>
  </si>
  <si>
    <t>Acre Publicidade Ltda</t>
  </si>
  <si>
    <t>02.787.053/0001-20</t>
  </si>
  <si>
    <t>Secretaria de Estado de Segurança Pública do Acre</t>
  </si>
  <si>
    <t>293/2013</t>
  </si>
  <si>
    <t>111/2013</t>
  </si>
  <si>
    <t>Contratação de empresa objetivando a prestação de serviço de elaboração de projeto gráfico, diagramação e criaçãode exposição</t>
  </si>
  <si>
    <t>09/2014</t>
  </si>
  <si>
    <t>Maxtane Martins Dias</t>
  </si>
  <si>
    <t>07.198.949/0001-97</t>
  </si>
  <si>
    <t>11.249/ 11.253</t>
  </si>
  <si>
    <t>04/2013</t>
  </si>
  <si>
    <t>Fundação Garibaldi Brasil</t>
  </si>
  <si>
    <t>10/2014</t>
  </si>
  <si>
    <t>Prestação de serviços de apoio junto a equipe de fiscalização da Prefeitura de Rio Branco</t>
  </si>
  <si>
    <t>11/2014</t>
  </si>
  <si>
    <t>Wladimir Machado de Barros</t>
  </si>
  <si>
    <t>443.959.812-91</t>
  </si>
  <si>
    <t>Contratação direta</t>
  </si>
  <si>
    <t>12/2014</t>
  </si>
  <si>
    <t>357/2013</t>
  </si>
  <si>
    <t>92/2013</t>
  </si>
  <si>
    <t>Fornecimento de material gráfico para divulgaçãoe veiculação de outdoor, busdoor, adesivos, banner e faixas.</t>
  </si>
  <si>
    <t>13/2014</t>
  </si>
  <si>
    <t>11.277</t>
  </si>
  <si>
    <t>14/2014</t>
  </si>
  <si>
    <t>0011725-7/2013</t>
  </si>
  <si>
    <t>508/2013</t>
  </si>
  <si>
    <t>Menor preço</t>
  </si>
  <si>
    <t>Aquisição de material de expediente.</t>
  </si>
  <si>
    <t>15/2014</t>
  </si>
  <si>
    <t>A A C Rocha - Me</t>
  </si>
  <si>
    <t>10.496.033/0001-28</t>
  </si>
  <si>
    <t>33.90.30.00</t>
  </si>
  <si>
    <t>444/2013</t>
  </si>
  <si>
    <t>Secretaria de Estado de Saúde</t>
  </si>
  <si>
    <t>16/2014</t>
  </si>
  <si>
    <t>09.2013.00000221-5</t>
  </si>
  <si>
    <t>067/2013</t>
  </si>
  <si>
    <t>Aquisição de cartuchos de tonners e cartuchos de tinta.</t>
  </si>
  <si>
    <t>17/2014</t>
  </si>
  <si>
    <t>Ministério Público do Estado do Acre</t>
  </si>
  <si>
    <t>0022894-7/2013</t>
  </si>
  <si>
    <t>1161/2013</t>
  </si>
  <si>
    <t>Aquisição de material de consumo (expediente)</t>
  </si>
  <si>
    <t>18/2014</t>
  </si>
  <si>
    <t>Arnaldo Comércio e Representações</t>
  </si>
  <si>
    <t>04.517.439/0001-47</t>
  </si>
  <si>
    <t>066/2013</t>
  </si>
  <si>
    <t>Governo do Estado do Acre Polícia Militar</t>
  </si>
  <si>
    <t>DIRETA</t>
  </si>
  <si>
    <t>20/2014</t>
  </si>
  <si>
    <t xml:space="preserve">33.90.33.00 </t>
  </si>
  <si>
    <t>3135/2013</t>
  </si>
  <si>
    <t>28/2013</t>
  </si>
  <si>
    <t>Menor valor global</t>
  </si>
  <si>
    <t>Contratação de empresa para prestação de serviços reprográficos (confecção de carimbos,confecção de chaves, encadernação</t>
  </si>
  <si>
    <t>Publicação DOU nº 20 de 15/10/2013</t>
  </si>
  <si>
    <t>21/2014</t>
  </si>
  <si>
    <t>Policópias Serviços, Comércio E Representação Ltda</t>
  </si>
  <si>
    <t>01.201.419/0001-74</t>
  </si>
  <si>
    <t>075/2013</t>
  </si>
  <si>
    <t>Prefeitura Municipal de Tarauacá</t>
  </si>
  <si>
    <t>000657-5/2013</t>
  </si>
  <si>
    <t>198/2013</t>
  </si>
  <si>
    <t>Prestação de Serviço de reparos de Manutenção preventiva e corretiva, em aparelhos de ar condicionado: modelo janela e split, bebedeiros, frigobar e freezer, com fornecimento e substituição de peças, componentes e acessórios por outro novos e gerais do Departamento Estadual de Trânsito - DETRAN/AC</t>
  </si>
  <si>
    <t>22/2014</t>
  </si>
  <si>
    <t>k &amp; Y Refrigeração</t>
  </si>
  <si>
    <t>07.243.095/0001-13</t>
  </si>
  <si>
    <t>Departamento Estadual de Transito do Acre</t>
  </si>
  <si>
    <t xml:space="preserve">Primeiro Termo </t>
  </si>
  <si>
    <t>23/2014</t>
  </si>
  <si>
    <t>24/2014</t>
  </si>
  <si>
    <t>25/2014</t>
  </si>
  <si>
    <t>44/2013</t>
  </si>
  <si>
    <t>Processo Nº 2014.02.001120</t>
  </si>
  <si>
    <t>INEXIGIBILIDADE</t>
  </si>
  <si>
    <t xml:space="preserve">Contratação de anuidade de assinaturas dos jornais que circulam em Rio Branco pelo período de 12 (doze) meses. </t>
  </si>
  <si>
    <t>26/2014</t>
  </si>
  <si>
    <t>M.Soares Dantas</t>
  </si>
  <si>
    <t>04.523.619/0001-31</t>
  </si>
  <si>
    <t xml:space="preserve">Dispensa </t>
  </si>
  <si>
    <t>Art. 26 Lei 8666/1993 Parecer Jurídico nº 2014.02.001120 de 24/04/2014</t>
  </si>
  <si>
    <t>27/2014</t>
  </si>
  <si>
    <t>S.O Carvalho Me</t>
  </si>
  <si>
    <t>09.351.773/0001-97</t>
  </si>
  <si>
    <t>28/2014</t>
  </si>
  <si>
    <t>Terra Artes e Propaganda LTDA</t>
  </si>
  <si>
    <t>07.552.182/0001-52</t>
  </si>
  <si>
    <t>29/2014</t>
  </si>
  <si>
    <t>M&amp;Z Representação e Comércio EIRELI - ME</t>
  </si>
  <si>
    <t>09.447.306/0001-65</t>
  </si>
  <si>
    <t>0026377-7/2013</t>
  </si>
  <si>
    <t>1325/2013</t>
  </si>
  <si>
    <t>Confecção de camisetas e abadás personalizados</t>
  </si>
  <si>
    <t>30/2014</t>
  </si>
  <si>
    <t>J.Erivaldo Silva de Souza ME</t>
  </si>
  <si>
    <t>63.598.676/0001-49</t>
  </si>
  <si>
    <t>006/2014</t>
  </si>
  <si>
    <t>Fundação de Cultura e Comunicação Elias Mansour - FEM</t>
  </si>
  <si>
    <t>051/2014</t>
  </si>
  <si>
    <t>Contratação de empresa para o serviço de fretamento de meios de transportes terrestre.</t>
  </si>
  <si>
    <t>31/2014</t>
  </si>
  <si>
    <t>A. Coelho dos Santos</t>
  </si>
  <si>
    <t>10.774.168/0001-08</t>
  </si>
  <si>
    <t>009/2014</t>
  </si>
  <si>
    <t>183/2014</t>
  </si>
  <si>
    <t>066/2014</t>
  </si>
  <si>
    <t>Contratação de empresa para fornecimento de água mineral garrafão 20 litros, água mineral PET 500 ml, gelo em barra, locação de mesas plásticas, locação de cadeiras plásticas sem mesa, locação de geleiras térmicas e locação de toalhas</t>
  </si>
  <si>
    <t>32/2014</t>
  </si>
  <si>
    <t>R. Martins da Costa - ME</t>
  </si>
  <si>
    <t>04.590.435/0001-94</t>
  </si>
  <si>
    <t>071/2014</t>
  </si>
  <si>
    <t>Serviço de agencia de viagem, especializada em emissão de passagens aéreas e terrestres, incluindo reserva, marcação/remarcação de bilhetes em trechos intermunicipal, interestadual e internacionais, bem como qualquer tarefa associada a esses procedimentos.</t>
  </si>
  <si>
    <t>33/2014</t>
  </si>
  <si>
    <t>34/2014</t>
  </si>
  <si>
    <t>Aditamento de prazo pelo periodo de 3 meses</t>
  </si>
  <si>
    <t xml:space="preserve">Segundo Termo </t>
  </si>
  <si>
    <t xml:space="preserve">Terceiro Termo </t>
  </si>
  <si>
    <t>35/2014</t>
  </si>
  <si>
    <t>012/2013</t>
  </si>
  <si>
    <t>Aquisição de mobiliário</t>
  </si>
  <si>
    <t>36/2014</t>
  </si>
  <si>
    <t>Tecmaq Ltda</t>
  </si>
  <si>
    <t>04.108.775/0001-36</t>
  </si>
  <si>
    <t>44.90.52.00</t>
  </si>
  <si>
    <t>29/2013</t>
  </si>
  <si>
    <t>11.073</t>
  </si>
  <si>
    <t>Prefeitura Municipal de Feijó</t>
  </si>
  <si>
    <t>serviço de manutenção, conservação e assistência técnica em 01 (um) elevador da marca BRAGA ELEVADORES LTDA instalados nas dependências da Prefeitura Municipal de Rio Branco, com cobertura total de peças.</t>
  </si>
  <si>
    <t>37/2014</t>
  </si>
  <si>
    <t>Braga Construções E Engenharia Importação E Exportação Ltda</t>
  </si>
  <si>
    <t>08.542.189/0001-56</t>
  </si>
  <si>
    <t>1 - Recurso Próprio</t>
  </si>
  <si>
    <t>38/2014</t>
  </si>
  <si>
    <t>001101-3/2014</t>
  </si>
  <si>
    <t>69/2013</t>
  </si>
  <si>
    <t>Contratação de pessoa jurídicapara prestação dos serviços de agenciamento de viangens, que compreende a cotação, reserva, marcaçao, emissão e cancelamento de bilhetes de passagens aéreas nacionais.</t>
  </si>
  <si>
    <t>39/2014</t>
  </si>
  <si>
    <t>H &amp; P Importação E Exportação Ltda</t>
  </si>
  <si>
    <t>11.668.363/0001-16</t>
  </si>
  <si>
    <t>06.001.04.122.06.01.2110.0000</t>
  </si>
  <si>
    <t>40/2014</t>
  </si>
  <si>
    <t>11360     ERRATA 11.401</t>
  </si>
  <si>
    <t>41/2014</t>
  </si>
  <si>
    <t>42/2014</t>
  </si>
  <si>
    <t>43/2014</t>
  </si>
  <si>
    <t>44/2014</t>
  </si>
  <si>
    <t>45/2014</t>
  </si>
  <si>
    <t>46/2014</t>
  </si>
  <si>
    <t>47/2014</t>
  </si>
  <si>
    <t>fornecimento de material de informática (cartuchos de tonner e cartucho de tinta, teclado, dvd, cd e etc), para atender as necessidades da Secretaria Municipal da Casa Civil e demais Departamentos que compõe este órgão.</t>
  </si>
  <si>
    <t>48/2014</t>
  </si>
  <si>
    <t>Premier Comércio e Serviço Ltda</t>
  </si>
  <si>
    <t>05.606.339/0001-50</t>
  </si>
  <si>
    <t>Assembléia Legislativa do Estado do Acre.</t>
  </si>
  <si>
    <t>49/2014</t>
  </si>
  <si>
    <t>Gabriel Maia de Holanda Souza</t>
  </si>
  <si>
    <t>025.326.932-66</t>
  </si>
  <si>
    <t>247/2014</t>
  </si>
  <si>
    <t>90/2014</t>
  </si>
  <si>
    <t>Contratação de empresa para fornecimento de material de expediente</t>
  </si>
  <si>
    <t>50/2014</t>
  </si>
  <si>
    <t>51/2014</t>
  </si>
  <si>
    <t>J. S. Cordeiro</t>
  </si>
  <si>
    <t>18.255.882/0001-00</t>
  </si>
  <si>
    <t>11.399 Errata  11.442</t>
  </si>
  <si>
    <t>52/2014</t>
  </si>
  <si>
    <t>J.R Assessoria e Comercio LTDA -ME</t>
  </si>
  <si>
    <t>18.285.648/0001-17</t>
  </si>
  <si>
    <t>53/2014</t>
  </si>
  <si>
    <t>Amazon Imp. E Exp. LTDA</t>
  </si>
  <si>
    <t>84.312.669/0001-09</t>
  </si>
  <si>
    <t>54/2014</t>
  </si>
  <si>
    <t>Calurino Ferraz Miranda</t>
  </si>
  <si>
    <t>14.413.439/0001-50</t>
  </si>
  <si>
    <t>244/2014</t>
  </si>
  <si>
    <t>092/2014</t>
  </si>
  <si>
    <t>Contratação de empresa para fornecimentode material de limpeza.</t>
  </si>
  <si>
    <t>55/2014</t>
  </si>
  <si>
    <t>E. Soares Costa Imp. Exp. ME</t>
  </si>
  <si>
    <t>15.226.944/0001-59</t>
  </si>
  <si>
    <t>56/2014</t>
  </si>
  <si>
    <t>M &amp; Z Industria e Comercio LTDA</t>
  </si>
  <si>
    <t>63.601.116/0001-04</t>
  </si>
  <si>
    <t>57/2014</t>
  </si>
  <si>
    <t>LABNORTE Cirurgica e Diagnostica Imp. Exp. LTDA</t>
  </si>
  <si>
    <t>03.033.345/0001-30</t>
  </si>
  <si>
    <t>004521-3/2014</t>
  </si>
  <si>
    <t>310/2014</t>
  </si>
  <si>
    <t>menor preço</t>
  </si>
  <si>
    <t>Contratação de empresa especializada pra aquisição de peças e outros materias pra manutenção de equipamentos diversos (telefones, ramais, PABX e outros)</t>
  </si>
  <si>
    <t>58/2014</t>
  </si>
  <si>
    <t>A. N. M. Matos - ME</t>
  </si>
  <si>
    <t>03.235.508/0001-67</t>
  </si>
  <si>
    <t>098/2014</t>
  </si>
  <si>
    <t>11.353</t>
  </si>
  <si>
    <t xml:space="preserve">Secretaria de Estado de Educação e Esporte </t>
  </si>
  <si>
    <t>11.389</t>
  </si>
  <si>
    <t>0000733-74.2014.8.01.0000</t>
  </si>
  <si>
    <t>Contratação de empresa especilizada na prestação de serviços de reforma e recuperação de cadeiras, longarinas, poltronas, sofás e persianas, com fornecimento de material.</t>
  </si>
  <si>
    <t>59/2014</t>
  </si>
  <si>
    <t>Jerfesson Pessoa Me</t>
  </si>
  <si>
    <t>12.178.011/0001-45</t>
  </si>
  <si>
    <t>11.488</t>
  </si>
  <si>
    <t xml:space="preserve">33.90.30.00 33.90.39.00 </t>
  </si>
  <si>
    <t>074/2014</t>
  </si>
  <si>
    <t>Diario Justiça Eletrônica  nº 153</t>
  </si>
  <si>
    <t>Tribunal de Justiça do Estado do Acre</t>
  </si>
  <si>
    <t>11.487</t>
  </si>
  <si>
    <t>CANCELADO</t>
  </si>
  <si>
    <t>60/2014</t>
  </si>
  <si>
    <t>Dionísio Ferreira do Vale Neto</t>
  </si>
  <si>
    <t>641.128.372-91</t>
  </si>
  <si>
    <t>62/2014</t>
  </si>
  <si>
    <t>246/2014</t>
  </si>
  <si>
    <t>097/2014</t>
  </si>
  <si>
    <t>Aquisição de Material de Consumo ( Café e Açucar)</t>
  </si>
  <si>
    <t>63/2014</t>
  </si>
  <si>
    <t>FF Medeiros</t>
  </si>
  <si>
    <t>09638709/0001-91</t>
  </si>
  <si>
    <t>290/2014</t>
  </si>
  <si>
    <t>084/2014</t>
  </si>
  <si>
    <t>Aquisição de Veículos</t>
  </si>
  <si>
    <t>64/2014</t>
  </si>
  <si>
    <t>Comercial de Automóveis LTDA</t>
  </si>
  <si>
    <t>04.116.398/0001-87</t>
  </si>
  <si>
    <t>11.421 11.434</t>
  </si>
  <si>
    <t>01- Recurso Próprio e          06- Convenio</t>
  </si>
  <si>
    <t>072/PCN/2013</t>
  </si>
  <si>
    <t>65/2014</t>
  </si>
  <si>
    <t>Agro Norte Importação e Exportação LTDA</t>
  </si>
  <si>
    <t>04.582.979/0001-04</t>
  </si>
  <si>
    <t>11.426  11.433</t>
  </si>
  <si>
    <t>289/2014</t>
  </si>
  <si>
    <t>086/2014</t>
  </si>
  <si>
    <t>66/2014</t>
  </si>
  <si>
    <t>LIN Motors Ltda</t>
  </si>
  <si>
    <t>12.463.264/0001-60</t>
  </si>
  <si>
    <t>11.421     11.437</t>
  </si>
  <si>
    <t>559/PCN/2013</t>
  </si>
  <si>
    <t>67/2014</t>
  </si>
  <si>
    <t>02787053/0001/20</t>
  </si>
  <si>
    <t>0007892-8/2014</t>
  </si>
  <si>
    <t>452/2014</t>
  </si>
  <si>
    <t>Aquisição de buquê de flores naturais e coroas de flores.</t>
  </si>
  <si>
    <t>68/2014</t>
  </si>
  <si>
    <t>E M Ferreira de Oliveira</t>
  </si>
  <si>
    <t>34.695.452/0001-57</t>
  </si>
  <si>
    <t>11.328</t>
  </si>
  <si>
    <t>Secretaria Estadual da Casa Civil</t>
  </si>
  <si>
    <t>11.428</t>
  </si>
  <si>
    <t>69/2014</t>
  </si>
  <si>
    <t>J S Comercio</t>
  </si>
  <si>
    <t>11.338.721/0001-22</t>
  </si>
  <si>
    <t>325/2014</t>
  </si>
  <si>
    <t>096/2014</t>
  </si>
  <si>
    <t>Aquisição de Veículo</t>
  </si>
  <si>
    <t>71/2014</t>
  </si>
  <si>
    <t>11.437    11.444</t>
  </si>
  <si>
    <t>0029935-1/2013</t>
  </si>
  <si>
    <t>1430/2013</t>
  </si>
  <si>
    <t>Contratação de Empresa para o fornecimento de material de consumo Bandeiras oficiais,</t>
  </si>
  <si>
    <t>72/2014</t>
  </si>
  <si>
    <t>NF GRANDE</t>
  </si>
  <si>
    <t>79.034.153/0001-00</t>
  </si>
  <si>
    <t>11433 Errata 11.439</t>
  </si>
  <si>
    <t>Secretaria de Estdo da Casa Civil</t>
  </si>
  <si>
    <t>11.360</t>
  </si>
  <si>
    <t>Prestar serviços de: formulação do conjunto de páginas eletrônicas e gráficas, aqui denominados por "SITE" ou 'HOME PAGE", para uso exclusivo na internet.</t>
  </si>
  <si>
    <t>73/2014</t>
  </si>
  <si>
    <t>Alan kelven</t>
  </si>
  <si>
    <t xml:space="preserve"> 059.861.564-47</t>
  </si>
  <si>
    <t>Direta</t>
  </si>
  <si>
    <t>268/2014</t>
  </si>
  <si>
    <t>78/2014</t>
  </si>
  <si>
    <t>Para o fornecimento de material de consumo de papelaria</t>
  </si>
  <si>
    <t>75/2014</t>
  </si>
  <si>
    <t xml:space="preserve">A. Coelho dos Santos </t>
  </si>
  <si>
    <t>Secretaria Municipal de Cidadania e Assistência Social.</t>
  </si>
  <si>
    <t>76/2014</t>
  </si>
  <si>
    <t>0030339-0/2014</t>
  </si>
  <si>
    <t>1479/2013 CPL 04</t>
  </si>
  <si>
    <t>Prestação de serviço de manutenção preventiva e corretiva e equipamentos de refrigeração, climatização e ventilação.</t>
  </si>
  <si>
    <t>K &amp; Y Refrigeração</t>
  </si>
  <si>
    <t>33.90.30.00  33 90.39.00</t>
  </si>
  <si>
    <t>513</t>
  </si>
  <si>
    <t>11.405</t>
  </si>
  <si>
    <t xml:space="preserve">Secretaria de Estado de Saude </t>
  </si>
  <si>
    <t>11.459</t>
  </si>
  <si>
    <t>79/2014</t>
  </si>
  <si>
    <t>26/11/204</t>
  </si>
  <si>
    <t>324/2014</t>
  </si>
  <si>
    <t xml:space="preserve"> Aquisição de Veículo</t>
  </si>
  <si>
    <t>80/2014</t>
  </si>
  <si>
    <t>81/2014</t>
  </si>
  <si>
    <t>Nome do responsável pela elaboração: EMERSON DE LUCENA MOURÃO</t>
  </si>
  <si>
    <t>Nome do titular do Órgão/Entidade/Fundo: ANDRÉ KAMAI</t>
  </si>
  <si>
    <t>Nº do DOE de publicação do extrato da Ata</t>
  </si>
  <si>
    <t>103/2010</t>
  </si>
  <si>
    <t>CONVITE</t>
  </si>
  <si>
    <t>MENOR PREÇO</t>
  </si>
  <si>
    <t>Servço de Transporte com Condutor</t>
  </si>
  <si>
    <t>10.273/10</t>
  </si>
  <si>
    <t>001/2010</t>
  </si>
  <si>
    <t>FRANCISCO CHAGAS ASSUNÇÃO</t>
  </si>
  <si>
    <t>078.711.632-72</t>
  </si>
  <si>
    <t>10.273/2010</t>
  </si>
  <si>
    <t>RP</t>
  </si>
  <si>
    <t>Contratação de Locação de Veículo c/ condutor, pelo período de 09(nove)  meses de 1º.04.2010 a 31/12/2010</t>
  </si>
  <si>
    <t xml:space="preserve"> </t>
  </si>
  <si>
    <t>10.439/11</t>
  </si>
  <si>
    <t>Aditivar 25%(vinte e cinco por cento) p/ cobertura dos pargamentos de janeiro e fevereiro de 2010</t>
  </si>
  <si>
    <t>10.498/11</t>
  </si>
  <si>
    <t>Prorrogação do Contrato</t>
  </si>
  <si>
    <t>10.730/12</t>
  </si>
  <si>
    <t>10.949/12</t>
  </si>
  <si>
    <t>11.197/2013</t>
  </si>
  <si>
    <t>Total</t>
  </si>
  <si>
    <t>150/2012</t>
  </si>
  <si>
    <t>13/2012</t>
  </si>
  <si>
    <t>Serviços Gráfico (cópias)</t>
  </si>
  <si>
    <t>04/2012</t>
  </si>
  <si>
    <t>J.J. DE SOUZA LTDA</t>
  </si>
  <si>
    <t>09.600.308/0001-42</t>
  </si>
  <si>
    <t>Xx</t>
  </si>
  <si>
    <t>01.08.2012</t>
  </si>
  <si>
    <t>31.12.2012</t>
  </si>
  <si>
    <t>10.949/2012</t>
  </si>
  <si>
    <t>29355/2013</t>
  </si>
  <si>
    <t>11.206/2013</t>
  </si>
  <si>
    <t>002/2012</t>
  </si>
  <si>
    <t>PREGÃO</t>
  </si>
  <si>
    <t>SRP</t>
  </si>
  <si>
    <t>Serviço de Transportes c/ Condutor</t>
  </si>
  <si>
    <t>03/2012</t>
  </si>
  <si>
    <t>DANIEL DE MELO COELHO</t>
  </si>
  <si>
    <t>884.428.532-00</t>
  </si>
  <si>
    <t>10.797/12</t>
  </si>
  <si>
    <t>SEME</t>
  </si>
  <si>
    <t>§ 1º do art.86 da Lei 8.666/93</t>
  </si>
  <si>
    <t>Art. 43, inc. VI da Lei 8.666/93</t>
  </si>
  <si>
    <t>Reajuste do Contrato</t>
  </si>
  <si>
    <t>114/2011</t>
  </si>
  <si>
    <t>Locação de Equipamentos de Informatica - (Notebook e Nobreaks)</t>
  </si>
  <si>
    <t>03/2011</t>
  </si>
  <si>
    <t>TRANSFER SISTEMAS  ENERGIA LTDA - EPP</t>
  </si>
  <si>
    <t>07.140.762/0001-32</t>
  </si>
  <si>
    <t>12.09.2011</t>
  </si>
  <si>
    <t>10.646/11</t>
  </si>
  <si>
    <t>16/2011</t>
  </si>
  <si>
    <t xml:space="preserve">Prorragar e Reajustar o Contrato </t>
  </si>
  <si>
    <t>24/2011</t>
  </si>
  <si>
    <t>Locação de Equipamentos de Informatica</t>
  </si>
  <si>
    <t>02/2011</t>
  </si>
  <si>
    <t>R. S. FREITAS JUCA - TRAMPO INFORMATICA</t>
  </si>
  <si>
    <t>07.190.927/0001-80</t>
  </si>
  <si>
    <t>10.898/12</t>
  </si>
  <si>
    <t>Prorrogar e Atualizar o valor do Contrato nº 02/2011</t>
  </si>
  <si>
    <t>11.190/13</t>
  </si>
  <si>
    <t xml:space="preserve">  DEMONSTRATIVO DE LICITAÇÕES, CONTRATOS  E OBRAS CONTRATADAS</t>
  </si>
  <si>
    <t>Inexigibilidade de Licitação</t>
  </si>
  <si>
    <t>Fornecimento de solução tecnologia, composdto por sistemas aplicativos - PGMnet, munutenção e suporte técn local</t>
  </si>
  <si>
    <t>02/220</t>
  </si>
  <si>
    <t>Empresa Softplan e Sistemas Ltda</t>
  </si>
  <si>
    <t>82.845.322/0001-04</t>
  </si>
  <si>
    <t>44.90.39.00</t>
  </si>
  <si>
    <t>art. 25, caput e inciso I, da Lei 8.666/93 e suas  alterações</t>
  </si>
  <si>
    <t>,</t>
  </si>
  <si>
    <t>Incluir a Secretaria Municipal de Planejamento na presente relação contratual e  acrescentar o Paragrafo Único da clausula nona a Dotação Orçamentária da referida Secretaria  - Contrato nº 02/2010</t>
  </si>
  <si>
    <t>Acrescentar na Clausula do Contrato nº 02/2010 o Programa de Trabalho da Modernização  Tributária e da Gestão dos Setores Básicos</t>
  </si>
  <si>
    <t>18.07.2012</t>
  </si>
  <si>
    <t>Acrescentar ao objeto na Cláusula Primeira do Contrato nº 02/2010,  os serviços de manutenção e suportes técnico nos programas  e aplicativos, bem como a instalação, configuração e munutenção  dos equipamentos utilizados direta ou indiretamento na operacionalidade do Sistema SAJ</t>
  </si>
  <si>
    <t>04.06.2013</t>
  </si>
  <si>
    <t>Reajusta os valores dos Mudulos MUNUTENÇÃO  EXECUÇÃO FISCAL, MANUTENÇÃO ESPECIALIZADA E SUPORTE TÉC. LOCAL</t>
  </si>
  <si>
    <t>04.05.2013</t>
  </si>
  <si>
    <t>27.08.2013</t>
  </si>
  <si>
    <t>Prorrogar a vigência do Contrato nº 02/2010 até 31 de agosto de 2014</t>
  </si>
  <si>
    <t>Prestação de serviço de locação de infra-estrutura de tecnologia da  informação datacenter</t>
  </si>
  <si>
    <t>04/2011</t>
  </si>
  <si>
    <t>xxxxxx</t>
  </si>
  <si>
    <t>Prorrogar e Reajusta do Contrato nº 04/2011 até setembro de 2013</t>
  </si>
  <si>
    <t>33.90.3900</t>
  </si>
  <si>
    <t>Prorrogar o Contrato nº 02/2011</t>
  </si>
  <si>
    <t xml:space="preserve">Reajusta o valor da Locação de Infra-estrutura  de Tecnologia da Informação em Datacenter </t>
  </si>
  <si>
    <t>Nome do responsável pela elaboração: Edileuza Gomes dos Reis</t>
  </si>
  <si>
    <t>Nome do titular do Órgão/Entidade/Fundo (no exercício do cargo): Pascal Abou Khalil</t>
  </si>
  <si>
    <t>230/2013</t>
  </si>
  <si>
    <t>097/2013</t>
  </si>
  <si>
    <t>Sistema de Registro de Preço - Pregão</t>
  </si>
  <si>
    <t>Aquisição de Estantes de Aço com 6 prateleiras</t>
  </si>
  <si>
    <t>11.087/2013</t>
  </si>
  <si>
    <t>001/2014</t>
  </si>
  <si>
    <t>Empresa Tecmaq Ltda</t>
  </si>
  <si>
    <t>-</t>
  </si>
  <si>
    <t>4.4.90.52.00</t>
  </si>
  <si>
    <t>406/2014</t>
  </si>
  <si>
    <t>007/2014</t>
  </si>
  <si>
    <t>Contratação de pessoa jurídica para a prestação de serviços de transporte em veículos, tipo motocicleta</t>
  </si>
  <si>
    <t>11.215/2014</t>
  </si>
  <si>
    <t>002/2014</t>
  </si>
  <si>
    <t>Empresa M. R. C. Aguiar - Me</t>
  </si>
  <si>
    <t>3.3.90.39.00</t>
  </si>
  <si>
    <t>003/2014</t>
  </si>
  <si>
    <t>11.232/2014</t>
  </si>
  <si>
    <t>11.366</t>
  </si>
  <si>
    <t>331/2014</t>
  </si>
  <si>
    <t>Dispensa de Licitação</t>
  </si>
  <si>
    <t>Locação de imóvel que destina-se a ser utilizado exclusivamente para Escritório de Fiscalização do Centro Popular e Acomodação dos Permissionários</t>
  </si>
  <si>
    <t>Marilyn Lyra Lima</t>
  </si>
  <si>
    <t>037.719.382-87</t>
  </si>
  <si>
    <t>01.03.2014</t>
  </si>
  <si>
    <t>01.03.2015</t>
  </si>
  <si>
    <t>3.3.90.36.00</t>
  </si>
  <si>
    <t>Lei 8.666/93 Artigo 24, Inciso X</t>
  </si>
  <si>
    <t>11.249</t>
  </si>
  <si>
    <t>21.02.2014</t>
  </si>
  <si>
    <t>11.248</t>
  </si>
  <si>
    <t>20.02.2014</t>
  </si>
  <si>
    <t>224/2014</t>
  </si>
  <si>
    <t>Locação de imóvel localizado na Av. Getúlio Vargas, nº 1.906 – Bairro: Bosque, que destina-se a ser utilizado exclusivamente para a sede da Secretaria Municipal de Esporte e Lazer,</t>
  </si>
  <si>
    <t>004/2014</t>
  </si>
  <si>
    <t>MCM Imóveis</t>
  </si>
  <si>
    <t>07.626.075/0001-21</t>
  </si>
  <si>
    <t>14.03.2014</t>
  </si>
  <si>
    <t>14.03.2015</t>
  </si>
  <si>
    <t>11.260</t>
  </si>
  <si>
    <t>13.03.2014</t>
  </si>
  <si>
    <t>13.06.2014</t>
  </si>
  <si>
    <t>274/2013</t>
  </si>
  <si>
    <t>108/2013</t>
  </si>
  <si>
    <t>Aquisição de Material de Consumo (Suprimento de Informática)</t>
  </si>
  <si>
    <t>11.145/2013</t>
  </si>
  <si>
    <t>005/2014</t>
  </si>
  <si>
    <t>S &amp; S Comercio e Representação de Tintas Ltda</t>
  </si>
  <si>
    <t>07.338.922/0001-52</t>
  </si>
  <si>
    <t>3.3.90.30.00</t>
  </si>
  <si>
    <t>Universo Cartuchos Ltda - Me</t>
  </si>
  <si>
    <t>09.326.917/0001-55</t>
  </si>
  <si>
    <t>M. S. Moreira</t>
  </si>
  <si>
    <t>02.950.813/0001-78</t>
  </si>
  <si>
    <t>008/2014</t>
  </si>
  <si>
    <t>Estação da Recarga Produtos para Informática Ltda</t>
  </si>
  <si>
    <t>84.329.531/0001-12</t>
  </si>
  <si>
    <t>037/2013</t>
  </si>
  <si>
    <t>030/2013</t>
  </si>
  <si>
    <t>Serviço de agencia de viagem, especializada em emissão de passagens aéreas, incluindo reserva, marcação/remarcação de bilhetes em trechos interestadual e internacionais, bem como qualquer tarefa associada a esses procedimentos.</t>
  </si>
  <si>
    <t>11.000/2013</t>
  </si>
  <si>
    <t>Kampa Viagens Serviços e Eventos Ltda</t>
  </si>
  <si>
    <t>01.04.2014</t>
  </si>
  <si>
    <t>01.04.2015</t>
  </si>
  <si>
    <t>3.3.90.33.00</t>
  </si>
  <si>
    <t>11.021/2013</t>
  </si>
  <si>
    <t>Ministério Público do Estado do Acre'</t>
  </si>
  <si>
    <t>245/2013</t>
  </si>
  <si>
    <t>099/2013</t>
  </si>
  <si>
    <t>Aquisição de Material Gráfico</t>
  </si>
  <si>
    <t>11.111/2013</t>
  </si>
  <si>
    <t>010/2014</t>
  </si>
  <si>
    <t>S. L. de Castro - ME</t>
  </si>
  <si>
    <t>08.629.283/0001-47</t>
  </si>
  <si>
    <t>011/2014</t>
  </si>
  <si>
    <t>Cordeiro e Batista Ltda</t>
  </si>
  <si>
    <t>13.344.554/0001-58</t>
  </si>
  <si>
    <t>012/2014</t>
  </si>
  <si>
    <t>F. B. Amorim Júnior - Me</t>
  </si>
  <si>
    <t>03.802.085/0001-10</t>
  </si>
  <si>
    <t>013/2014</t>
  </si>
  <si>
    <t>P. L. Martini</t>
  </si>
  <si>
    <t>02.035.162/0001-90</t>
  </si>
  <si>
    <t>3396-3/2013</t>
  </si>
  <si>
    <t>126/2013</t>
  </si>
  <si>
    <t>Prestação de Serviço de Segurança Eletrônica com Monitoramento Remoto de Sistemas de Alarmes e Digital com Câmeras em Circuito Fechado com acesso remoto via internet IP 24 (vinte e quatro) horas por dia, 07(sete) dias por semana, com locação de equipamentos a título de comodato, destinada a Segurança Patrimonial dos imóveis</t>
  </si>
  <si>
    <t>11.008/2013</t>
  </si>
  <si>
    <t>014/2014</t>
  </si>
  <si>
    <t>Estação Vip Segurança Priovada Ltda</t>
  </si>
  <si>
    <t>09.228.233/0001-10</t>
  </si>
  <si>
    <t>11.023/2013</t>
  </si>
  <si>
    <t>Departamento Estadual de Pavimentação e Saneamento - DEPASA</t>
  </si>
  <si>
    <t>059/2013</t>
  </si>
  <si>
    <t>Aquisição de Micros Computadores, Impressoras e Derivados</t>
  </si>
  <si>
    <t>1.852/2013</t>
  </si>
  <si>
    <t>015/2014</t>
  </si>
  <si>
    <t>Machado e Silva Ltda - Me</t>
  </si>
  <si>
    <t>08.710.871/0001-00</t>
  </si>
  <si>
    <t>10.07.2014</t>
  </si>
  <si>
    <t>10.07.2015</t>
  </si>
  <si>
    <t>065/2013</t>
  </si>
  <si>
    <t>1871/2013</t>
  </si>
  <si>
    <t>Prefeitura Municipal de Diamantino - MT</t>
  </si>
  <si>
    <t>171/2014</t>
  </si>
  <si>
    <t>062/2014</t>
  </si>
  <si>
    <t>Aquisição de Gêneros Alimentícios (Café e Açúcar)</t>
  </si>
  <si>
    <t>11.287/2014</t>
  </si>
  <si>
    <t>016/2014</t>
  </si>
  <si>
    <t>RB Distribuidora e Comercio de Consumo, Medicamentos e Mercadorias em Geral - Ltda</t>
  </si>
  <si>
    <t>07.987.265/0001-74</t>
  </si>
  <si>
    <t>017/2014</t>
  </si>
  <si>
    <t>F. F. de Medeiros - ME</t>
  </si>
  <si>
    <t xml:space="preserve">09.638.709/0001-91 </t>
  </si>
  <si>
    <t>177/2014</t>
  </si>
  <si>
    <t>067/2014</t>
  </si>
  <si>
    <t>Aquisição de Material Elétrico</t>
  </si>
  <si>
    <t>11.289/2014</t>
  </si>
  <si>
    <t>018/2014</t>
  </si>
  <si>
    <t>AC Distribuidora e Exportação Ltda</t>
  </si>
  <si>
    <t>05.508.816/0001-44</t>
  </si>
  <si>
    <t>23.07.2014</t>
  </si>
  <si>
    <t>23.07.2015</t>
  </si>
  <si>
    <t>019/2014</t>
  </si>
  <si>
    <t>Elenorte Mteriais Elétrico Ltda</t>
  </si>
  <si>
    <t>05.745.319/0001-60</t>
  </si>
  <si>
    <t>020/2014</t>
  </si>
  <si>
    <t>Evelet Evolução em Eletricidade - Me</t>
  </si>
  <si>
    <t>08.234.283/0001-48</t>
  </si>
  <si>
    <t>021/2014</t>
  </si>
  <si>
    <t>Eletrofer Comércio de Materiais Elétricos</t>
  </si>
  <si>
    <t>02.828.376/0001-14</t>
  </si>
  <si>
    <t>175/2014</t>
  </si>
  <si>
    <t>063/2014</t>
  </si>
  <si>
    <t>Aquisição de Material de Limpeza</t>
  </si>
  <si>
    <t>022/2014</t>
  </si>
  <si>
    <t>J. S Comercio Imp. Exp. Ltda</t>
  </si>
  <si>
    <t xml:space="preserve">11.338.721/0001-22 </t>
  </si>
  <si>
    <t>023/2014</t>
  </si>
  <si>
    <t>M &amp; Z Indus e Comercio Ltda</t>
  </si>
  <si>
    <t xml:space="preserve">63.601.116/0001 - 04 </t>
  </si>
  <si>
    <t>024/2014</t>
  </si>
  <si>
    <t>025/2014</t>
  </si>
  <si>
    <t>Gilson S. Braga</t>
  </si>
  <si>
    <t>04.571.669/0001-94</t>
  </si>
  <si>
    <t>026/2014</t>
  </si>
  <si>
    <t>Embalanorte Comercio de Embalagens Ltda - ME</t>
  </si>
  <si>
    <t xml:space="preserve">01.629.855/0001 - 49 </t>
  </si>
  <si>
    <t>027/2014</t>
  </si>
  <si>
    <t>Arnaldo Com. e Representação</t>
  </si>
  <si>
    <t>176/2014</t>
  </si>
  <si>
    <t>064/2014</t>
  </si>
  <si>
    <t>Aquisição de Material de Consumo</t>
  </si>
  <si>
    <t>11294/2014</t>
  </si>
  <si>
    <t>028/2014</t>
  </si>
  <si>
    <t>J. S Cordeiro - ME</t>
  </si>
  <si>
    <t xml:space="preserve">18.255.882/0001-00 </t>
  </si>
  <si>
    <t>12.09.2014</t>
  </si>
  <si>
    <t>12.09.2015</t>
  </si>
  <si>
    <t>029/2014</t>
  </si>
  <si>
    <t>J. R Assessoria e Comércio</t>
  </si>
  <si>
    <t xml:space="preserve">18.285.648/0001-17 </t>
  </si>
  <si>
    <t>030/2014</t>
  </si>
  <si>
    <t>031/2014</t>
  </si>
  <si>
    <t>Leonora Com. Internacional - Ltda</t>
  </si>
  <si>
    <t>03.064.692/0007-15</t>
  </si>
  <si>
    <t>032/2014</t>
  </si>
  <si>
    <t xml:space="preserve">14.413.439/0001-50 </t>
  </si>
  <si>
    <t>033/2014</t>
  </si>
  <si>
    <t>Tiago Costa do Amaral - EPP</t>
  </si>
  <si>
    <r>
      <t>14.032.291/0001-04</t>
    </r>
    <r>
      <rPr>
        <i/>
        <sz val="10"/>
        <color theme="1"/>
        <rFont val="Arial"/>
        <family val="2"/>
      </rPr>
      <t xml:space="preserve"> </t>
    </r>
  </si>
  <si>
    <t>034/2014</t>
  </si>
  <si>
    <t>035/2014</t>
  </si>
  <si>
    <t>Obs: Contratos sem valores, não tiveram empenhos no período</t>
  </si>
  <si>
    <t>Nome do responsável pela elaboração: Laura Cristina de Paiva Melo Gonçalves</t>
  </si>
  <si>
    <t>Nome do titular do Órgão/Entidade/Fundo (no exercício do cargo): Claudio Ezequiel Passamani</t>
  </si>
  <si>
    <t>item</t>
  </si>
  <si>
    <t>Aquisição de Placa de Veículo - IPTU dá prêmios</t>
  </si>
  <si>
    <t>Empenho</t>
  </si>
  <si>
    <t>E. E. Nogueira Me</t>
  </si>
  <si>
    <t>04.701.8520001-67</t>
  </si>
  <si>
    <t>07.02.2014</t>
  </si>
  <si>
    <t>33.90.30,00</t>
  </si>
  <si>
    <t>Prestação de Multiserviços</t>
  </si>
  <si>
    <t>EMPRESA BRASILEIRA DE CORREIOS E TELÉGRAFOS</t>
  </si>
  <si>
    <t>34.028.316/7709-95</t>
  </si>
  <si>
    <t>27.02.2009</t>
  </si>
  <si>
    <t>26.02.2014</t>
  </si>
  <si>
    <t xml:space="preserve">060/2009 </t>
  </si>
  <si>
    <t>007/2009</t>
  </si>
  <si>
    <t xml:space="preserve">Convite </t>
  </si>
  <si>
    <t>Locação de Veículo Tipo Passeio com Condutor</t>
  </si>
  <si>
    <t>Isento de publicação no DOE. Art 22, §2º</t>
  </si>
  <si>
    <t>009/2009</t>
  </si>
  <si>
    <t>Marli Barros da Silva Pinto</t>
  </si>
  <si>
    <t>391.348.222-91</t>
  </si>
  <si>
    <t>01.04.2009</t>
  </si>
  <si>
    <t xml:space="preserve">28.01.2010 </t>
  </si>
  <si>
    <t>I</t>
  </si>
  <si>
    <t>28.01.2010</t>
  </si>
  <si>
    <t>Prazo e valor</t>
  </si>
  <si>
    <t xml:space="preserve"> 01.12.2010</t>
  </si>
  <si>
    <t>II</t>
  </si>
  <si>
    <t>29.11.2010</t>
  </si>
  <si>
    <t>01.10.2011</t>
  </si>
  <si>
    <t>III</t>
  </si>
  <si>
    <t>28.09.2011</t>
  </si>
  <si>
    <t>IV</t>
  </si>
  <si>
    <t>31.07.2012</t>
  </si>
  <si>
    <t>31.12.2013</t>
  </si>
  <si>
    <t>V</t>
  </si>
  <si>
    <t>27.12.2012</t>
  </si>
  <si>
    <t>30.06.2013</t>
  </si>
  <si>
    <t>VI</t>
  </si>
  <si>
    <t>15.03.2013</t>
  </si>
  <si>
    <t>31.03.2014</t>
  </si>
  <si>
    <t>010/2009</t>
  </si>
  <si>
    <t>Manoel Bento dos Santos</t>
  </si>
  <si>
    <t>051.525.002-30</t>
  </si>
  <si>
    <t xml:space="preserve">01.04.2009 </t>
  </si>
  <si>
    <t>01.12.2010</t>
  </si>
  <si>
    <t xml:space="preserve"> 31.12.2012</t>
  </si>
  <si>
    <t xml:space="preserve"> 30.06.2013</t>
  </si>
  <si>
    <t>012/2009</t>
  </si>
  <si>
    <t>José Pinheiro de Souza</t>
  </si>
  <si>
    <t>028.201.022-04</t>
  </si>
  <si>
    <t>102930000693/2012-98</t>
  </si>
  <si>
    <t>Adesão ata de Registro de Preços - Pregão Eletrônico</t>
  </si>
  <si>
    <t>Aquisição de mobiliários</t>
  </si>
  <si>
    <t xml:space="preserve">DOU - ISSN - 1677-7069 </t>
  </si>
  <si>
    <t>G. N. de Alencar - ME</t>
  </si>
  <si>
    <t>02.596.868/0001-21</t>
  </si>
  <si>
    <t>015/2012</t>
  </si>
  <si>
    <t>Ministério da Fazenda</t>
  </si>
  <si>
    <t>20090000400332-5</t>
  </si>
  <si>
    <t>007/2011</t>
  </si>
  <si>
    <t>Lote</t>
  </si>
  <si>
    <t>Prestação de Serviços Móvel Pessoal - SMP, com fornecimento de aparelhos celulares (Lote 01) e acesso 3G, com fornecimento de modem USB para conexão (lote 2)</t>
  </si>
  <si>
    <t>DOE-GO nº 20.800</t>
  </si>
  <si>
    <t>006/2011</t>
  </si>
  <si>
    <t>Vivo S/A/Telefônica Brasil S/A</t>
  </si>
  <si>
    <t>02.558.157/0001-62</t>
  </si>
  <si>
    <t>19.10.2011</t>
  </si>
  <si>
    <t>20.10.2012</t>
  </si>
  <si>
    <t>17.10.2012</t>
  </si>
  <si>
    <t>Prazo</t>
  </si>
  <si>
    <t>16.10.2013</t>
  </si>
  <si>
    <t>Secretaria de Estado de Gestão e Planejamento - SEGPLAN/GO</t>
  </si>
  <si>
    <t>17.05.2013</t>
  </si>
  <si>
    <t>Valor</t>
  </si>
  <si>
    <t>15.10.2013</t>
  </si>
  <si>
    <t>16.10.2014</t>
  </si>
  <si>
    <t xml:space="preserve">124/2012 </t>
  </si>
  <si>
    <t>10/2012 -CEL/PMRB</t>
  </si>
  <si>
    <t>Item</t>
  </si>
  <si>
    <t>Contratação de empresa especializada para fornecimento dos serviços de manutenção e suporte técnico da rede metropolitana sem fio</t>
  </si>
  <si>
    <t>005/2012</t>
  </si>
  <si>
    <t>MFNET Comércio e Serviços LTDA</t>
  </si>
  <si>
    <t>08.068.675/0001-84</t>
  </si>
  <si>
    <t>11.06.2012</t>
  </si>
  <si>
    <t>30.12.2013</t>
  </si>
  <si>
    <t>29.12.2013</t>
  </si>
  <si>
    <t>30.06.2014</t>
  </si>
  <si>
    <t>31.12.2014</t>
  </si>
  <si>
    <t>372/2011 - SEHAB</t>
  </si>
  <si>
    <t>372/211 - SEHAB</t>
  </si>
  <si>
    <t>Pregão SRP</t>
  </si>
  <si>
    <t>Contratação de empresa especializada em vigilância eletônica monitorada 24h por dia, 07 dias por semana</t>
  </si>
  <si>
    <t>006/2012</t>
  </si>
  <si>
    <t>Vigiacre Vigilância Patrimonial LTDA</t>
  </si>
  <si>
    <t>04.939.650/0001-58</t>
  </si>
  <si>
    <t>02.07.2012</t>
  </si>
  <si>
    <t xml:space="preserve">31.12.2012 </t>
  </si>
  <si>
    <t xml:space="preserve">27.12.2012 </t>
  </si>
  <si>
    <t xml:space="preserve"> 30.06.2013        </t>
  </si>
  <si>
    <t>017/2011</t>
  </si>
  <si>
    <t>Secretaria de Estado de Habitação - SEHAB</t>
  </si>
  <si>
    <t xml:space="preserve"> 27.06.2013</t>
  </si>
  <si>
    <t>27.06.2014</t>
  </si>
  <si>
    <t>019/2012</t>
  </si>
  <si>
    <t>Contratação de empresa especializada no fornecimento de serviços de comunicação de dados através de acesso a IP  dedicado de internet de 50 Mbps - Lote I, link principal</t>
  </si>
  <si>
    <t>014/2012</t>
  </si>
  <si>
    <t>OI / BRASIL TELECOM  S/A</t>
  </si>
  <si>
    <t>76.535.764/0327-70</t>
  </si>
  <si>
    <t xml:space="preserve">30.10.2012 </t>
  </si>
  <si>
    <t>29.10.2013</t>
  </si>
  <si>
    <t>29.10.2014</t>
  </si>
  <si>
    <t>Contratação de empresa especializada no fornecimento de serviços de comunicação de dados através de acesso a IP  dedicado de internet de 50 Mbps - Lote II, link contingência</t>
  </si>
  <si>
    <t>Empresa Brasileira de Telecomunicações S.A - Embratel</t>
  </si>
  <si>
    <t>33530.486/0001-29</t>
  </si>
  <si>
    <t>30.10.2012</t>
  </si>
  <si>
    <t xml:space="preserve">29.10.2013 </t>
  </si>
  <si>
    <t>Prazo e Valor</t>
  </si>
  <si>
    <t>30.10.2014</t>
  </si>
  <si>
    <t>0020495-2/2012</t>
  </si>
  <si>
    <t>677/2012</t>
  </si>
  <si>
    <t>Adesão a Ata de Registro de Preços</t>
  </si>
  <si>
    <t>Prestação de serviços de repografia</t>
  </si>
  <si>
    <t>001/2013</t>
  </si>
  <si>
    <t>15.02.2013</t>
  </si>
  <si>
    <t>17.02.2014</t>
  </si>
  <si>
    <t>16.02.2015</t>
  </si>
  <si>
    <t>120/2012</t>
  </si>
  <si>
    <t>Secretaria Estadual de Educação</t>
  </si>
  <si>
    <t>017/2012</t>
  </si>
  <si>
    <t>Aquisição de material de consumo (tonners)</t>
  </si>
  <si>
    <t>006/2013</t>
  </si>
  <si>
    <t xml:space="preserve">G. M. dos Santos Carvalho </t>
  </si>
  <si>
    <t>05.857.346/0001-24</t>
  </si>
  <si>
    <t>19.04.2013</t>
  </si>
  <si>
    <t>19.04.2014</t>
  </si>
  <si>
    <t>061/2013</t>
  </si>
  <si>
    <t>Secretaria Municipal de Educação</t>
  </si>
  <si>
    <t>42986-2/2011</t>
  </si>
  <si>
    <t>300/2012</t>
  </si>
  <si>
    <t>Adesao à Ata de Registro de Preços</t>
  </si>
  <si>
    <t>Locação de veículo tipo pick-up cabine dupla, tração 4x4 motorização mínima 2.5, com condutor</t>
  </si>
  <si>
    <t>002/2013</t>
  </si>
  <si>
    <t>M. R. C. Aguiar</t>
  </si>
  <si>
    <t>08.004296/0001-20</t>
  </si>
  <si>
    <t>27.02.2013</t>
  </si>
  <si>
    <t>27.12.2013</t>
  </si>
  <si>
    <t>26.10.2014</t>
  </si>
  <si>
    <t>Contratação de Locação de Veículos tipo passeio</t>
  </si>
  <si>
    <t>003/2013</t>
  </si>
  <si>
    <t xml:space="preserve">06.03.2013 </t>
  </si>
  <si>
    <t xml:space="preserve">06.09.2013 </t>
  </si>
  <si>
    <t>04.09.2013</t>
  </si>
  <si>
    <t>06.01.2014</t>
  </si>
  <si>
    <t>016/2012</t>
  </si>
  <si>
    <t>Fundação Elias Mansour</t>
  </si>
  <si>
    <t>06.07.2014</t>
  </si>
  <si>
    <t>04.07.2014</t>
  </si>
  <si>
    <t>05.01.2015</t>
  </si>
  <si>
    <t>004/2013</t>
  </si>
  <si>
    <t>06.03.2013</t>
  </si>
  <si>
    <t>06.09.2013</t>
  </si>
  <si>
    <t>005/2013</t>
  </si>
  <si>
    <t>027/2013</t>
  </si>
  <si>
    <t>Aquisição de combustível (gasolina comum e óleo diesel)</t>
  </si>
  <si>
    <t>Ata 001/2013</t>
  </si>
  <si>
    <t>Auto Posto Trevo</t>
  </si>
  <si>
    <t>84.322.932/0001-40</t>
  </si>
  <si>
    <t>19.03.2013</t>
  </si>
  <si>
    <t>Gasolina 213,460 Litros</t>
  </si>
  <si>
    <t>19.03.2014</t>
  </si>
  <si>
    <t>Diesel 114,603 Litros</t>
  </si>
  <si>
    <t>Gás 36 Unidades</t>
  </si>
  <si>
    <t>1171/2012 – CPL 06</t>
  </si>
  <si>
    <t>Aquisição de material de consumo (café e açúcar)</t>
  </si>
  <si>
    <t>007/2013</t>
  </si>
  <si>
    <t>F. T. de Souza Pinto/ Roberth &amp;Souza Ltda</t>
  </si>
  <si>
    <t>09.019.016/0001-10</t>
  </si>
  <si>
    <t>20.05.2013</t>
  </si>
  <si>
    <t>31.05.2014</t>
  </si>
  <si>
    <t>061/2012</t>
  </si>
  <si>
    <t>Secretaria Estadual de Polícia Civil</t>
  </si>
  <si>
    <t>30.05.2014</t>
  </si>
  <si>
    <t>Prazo e Alteração do nome da empresa</t>
  </si>
  <si>
    <t>20814-6/2012</t>
  </si>
  <si>
    <t>728/2012</t>
  </si>
  <si>
    <t>Contrato de Locação de Veículos</t>
  </si>
  <si>
    <t>008/2013</t>
  </si>
  <si>
    <t>M. N. Silva Braga</t>
  </si>
  <si>
    <t>84.303.684/0001-90</t>
  </si>
  <si>
    <t>16.05.2013</t>
  </si>
  <si>
    <t>16.05.2014</t>
  </si>
  <si>
    <t>15.05.2014</t>
  </si>
  <si>
    <t>Prazo e Supressão de 2 carros</t>
  </si>
  <si>
    <t>15.05.2015</t>
  </si>
  <si>
    <t xml:space="preserve"> 17/2012 </t>
  </si>
  <si>
    <t>Secretaria de Estado de Desenvolvimento Social - SEDS</t>
  </si>
  <si>
    <t>Locação de Motocicleta com condutor</t>
  </si>
  <si>
    <t>Sebastiana Helida Morais de Lima</t>
  </si>
  <si>
    <t>851.385.252-04</t>
  </si>
  <si>
    <t>01.07.2013</t>
  </si>
  <si>
    <t xml:space="preserve">31.12.2013 </t>
  </si>
  <si>
    <t>010/2013</t>
  </si>
  <si>
    <t>Antônio Bruno da Silva Basílio</t>
  </si>
  <si>
    <t>894.994.682-34</t>
  </si>
  <si>
    <t>16.07.2013</t>
  </si>
  <si>
    <t>1137/2012 CPL 05.</t>
  </si>
  <si>
    <t>Aquisição de Material de Consumo (Água Mineral)</t>
  </si>
  <si>
    <t>J. R. MARTINS JÚNIOR - ME</t>
  </si>
  <si>
    <t>06.253.582/0001-02</t>
  </si>
  <si>
    <t>10.07.2013</t>
  </si>
  <si>
    <t>IAPEN</t>
  </si>
  <si>
    <t>017/2013</t>
  </si>
  <si>
    <t>031/2013</t>
  </si>
  <si>
    <t>Confecção de Carimbos Simples e Automáticos, Cópias de Chaves, Abertura de Portas, Plastificações, Impressões e Fotocópias Simples e em Grandes Formatos</t>
  </si>
  <si>
    <t>013/2013</t>
  </si>
  <si>
    <t>15.07.2013</t>
  </si>
  <si>
    <t>15.07.2014</t>
  </si>
  <si>
    <t>33.90.30.00  33.90.39.00</t>
  </si>
  <si>
    <t>14.07.2014</t>
  </si>
  <si>
    <t>13.07.2015</t>
  </si>
  <si>
    <t>Ministério Público do Acre</t>
  </si>
  <si>
    <t>PG842768-2/2012</t>
  </si>
  <si>
    <t>004/2012</t>
  </si>
  <si>
    <t>Aquisição de sistema para implantação de Nota Fiscal Eletrônica</t>
  </si>
  <si>
    <t>DOE - MT nº 25.946</t>
  </si>
  <si>
    <t>014/2013</t>
  </si>
  <si>
    <t>Ábaco Tecnologia de Informação</t>
  </si>
  <si>
    <t>37.432.689/0001-33</t>
  </si>
  <si>
    <t>17.10.2013</t>
  </si>
  <si>
    <t>Apostilamento</t>
  </si>
  <si>
    <t>7734/2013</t>
  </si>
  <si>
    <t>Secretaria Municipal de Planejamento da Prefeitura Municipal de Cuiabá</t>
  </si>
  <si>
    <t>083/2014-CPL</t>
  </si>
  <si>
    <t>Contratação de empresa para impressão, encadernação e ordenamento dos carnês de IPTU referentes ao exercício de 2014</t>
  </si>
  <si>
    <t>SMARAPD Informática Ltda</t>
  </si>
  <si>
    <t>50.735.505/0001-72</t>
  </si>
  <si>
    <t>056/2014</t>
  </si>
  <si>
    <t>Fornecimento de 100.000 l (cem mil litros) de Gasolina Comum, 300.000 l (trezentos mil litros) de Óleo Diesel BS-10 e 2.000.000 l (dois milhões de litros) de Óleo Diesel, 300 (trezentas) unidades de Gás liquefeito de Petróleo-GLP acondicionado em Botijas de 13Kg E 4.000 l (quatro mil litros) de Aditivo Arla 32</t>
  </si>
  <si>
    <t>Auto Posto Trevo Ltda</t>
  </si>
  <si>
    <t xml:space="preserve">84.322.932/0001-40 </t>
  </si>
  <si>
    <t>Empresa Municipal de Urbanização de Rio Branco - EMURB</t>
  </si>
  <si>
    <t>17118/2014</t>
  </si>
  <si>
    <t>Contratação de pessoa jurídica para a prestação do serviço de transporte em veículos, tipo passeio (dois veículos)</t>
  </si>
  <si>
    <t>M. R. C. AGUIAR - ME</t>
  </si>
  <si>
    <t>Fundação Garibaldi Brasil - FGB</t>
  </si>
  <si>
    <t>Contratação de pessoa jurídica para a prestação do serviço de transporte em veículos, tipo passeio (um veículo)</t>
  </si>
  <si>
    <t>02.06.2014</t>
  </si>
  <si>
    <t>02.06.2015</t>
  </si>
  <si>
    <t>5932/2014</t>
  </si>
  <si>
    <t>Contrato múltiplo de prestação de serviços e venda de produtos</t>
  </si>
  <si>
    <t>9912345518/2014 - ECT</t>
  </si>
  <si>
    <t>21.03.2014</t>
  </si>
  <si>
    <t>21.03.2015</t>
  </si>
  <si>
    <t>Dispensa de licitação</t>
  </si>
  <si>
    <t>art. 24, VIII, Lei nº 8.666/93</t>
  </si>
  <si>
    <t>19.02.2014</t>
  </si>
  <si>
    <t>Contratação de Curso - Retenções na Fonte de tributos e contribuições sociais na contratação de bens e serviços na Administração Pública</t>
  </si>
  <si>
    <t>Premier Treinamentos e Com. Varegista de equipamentos e suprimentos de informática Ltda - ME</t>
  </si>
  <si>
    <t>17.102.185/0001-48</t>
  </si>
  <si>
    <t>03.04.2014</t>
  </si>
  <si>
    <t>art. 24, VIII, Lei nº 8.666/94</t>
  </si>
  <si>
    <t>Contratação de Curso - I Simpósio Nacional de Contabilidade Aplicada ao Setor Público - Acre</t>
  </si>
  <si>
    <t>Escola do Servidor Público do Acre - FESPAC</t>
  </si>
  <si>
    <t>05.629.304/0001-36</t>
  </si>
  <si>
    <t>23.05.2014</t>
  </si>
  <si>
    <t>art. 24, I, Lei nº 8.666/93</t>
  </si>
  <si>
    <t>Número não utilizado</t>
  </si>
  <si>
    <t>Contratação de Curso - Monitoramento Fiscal do ISS: Fiscalização Moderna, Inteligente e eficiente</t>
  </si>
  <si>
    <t>Mangieri Melo e Cia Cursos e Editora Ltda</t>
  </si>
  <si>
    <t>14.744.004/0001-99</t>
  </si>
  <si>
    <t>22.07.2014</t>
  </si>
  <si>
    <t>33..90.39.00</t>
  </si>
  <si>
    <t>41446/2014</t>
  </si>
  <si>
    <t>Prestação de Serviço de Telefonia Móvel Pessoal (SMP) e Serviços de Dados, com fornecimento de smartphones, tablets, phablets e modens 4G, em regime de comodato para cada acesso habilitado, do tipo Pós-Pago, modo digital</t>
  </si>
  <si>
    <t>CLARO S.A.</t>
  </si>
  <si>
    <t>40.432.544/0001-47</t>
  </si>
  <si>
    <t>29.07.2014</t>
  </si>
  <si>
    <t>29.07.2015</t>
  </si>
  <si>
    <t>ISSN 1677-7069 (DOU)</t>
  </si>
  <si>
    <t>Tribunal Regional do Trabalho - 10ª Região</t>
  </si>
  <si>
    <t>Manutenção do Veículo Fiat Doblô, 1.8 Flex, Placa NAC-8210/AC</t>
  </si>
  <si>
    <t>Rimacre Distribuidora de Auto Peças</t>
  </si>
  <si>
    <t>08.474.182/0001-44</t>
  </si>
  <si>
    <t>10.01.2014</t>
  </si>
  <si>
    <t>33.90.30.00 e 33.90.39.00</t>
  </si>
  <si>
    <t>28.01.2014</t>
  </si>
  <si>
    <t>Aquisição de 2 (duas) guilhotinas de cortar papel</t>
  </si>
  <si>
    <t>03.02.2014</t>
  </si>
  <si>
    <t xml:space="preserve">44.90.52.00 </t>
  </si>
  <si>
    <t>06.02.2014</t>
  </si>
  <si>
    <t>Manutenção do ar condicionado do Veículo Fiat Doblô, 1.8 Flex, Placa NAC-8210/AC</t>
  </si>
  <si>
    <t>P. Ricardo da Silva - ME</t>
  </si>
  <si>
    <t>07.124.388/0001-81</t>
  </si>
  <si>
    <t>10101/2014</t>
  </si>
  <si>
    <t>Aquisição de 15 (quinze) Certificações Digitais (tipo A3) e tokens USB para Certificação Digital A3.</t>
  </si>
  <si>
    <t>Instituto Fenacon</t>
  </si>
  <si>
    <t>11.825.802/0001-57</t>
  </si>
  <si>
    <t>14.05.2014</t>
  </si>
  <si>
    <t>Manutenção em Veículo Doblô Atractive 1.4, Placa NAA - 1395</t>
  </si>
  <si>
    <t>Centro Automotivo Rondobrás</t>
  </si>
  <si>
    <t>10.213.890/0004-16</t>
  </si>
  <si>
    <t>14.04.2014</t>
  </si>
  <si>
    <t>04.09.2014</t>
  </si>
  <si>
    <t>Manutenção em Veículo Doblô Atractive 1.4, Placa NXS - 0820</t>
  </si>
  <si>
    <t>Aquisição de Bobina de Papel Térmico tamanho 57,5</t>
  </si>
  <si>
    <t>12.05.2014</t>
  </si>
  <si>
    <t>art. 24, I, Lei nº 8.666/94</t>
  </si>
  <si>
    <t>Contratação de empresa para desmontagem e montagem de móveis em MDF (Guichês do Centro de Atendimento ao Cidadão do Bairro XV para a Rodoviária Internacional de Rio Branco)</t>
  </si>
  <si>
    <t>D. D. de Alencar - ME</t>
  </si>
  <si>
    <t>63.595.482/0001-90</t>
  </si>
  <si>
    <t>30.04.2014</t>
  </si>
  <si>
    <t>01.08.2014</t>
  </si>
  <si>
    <t>Aquisição de material de consumo</t>
  </si>
  <si>
    <t>ACRE PARAFUSOS</t>
  </si>
  <si>
    <t>02.301.164/0001-84</t>
  </si>
  <si>
    <t>01.09.2014</t>
  </si>
  <si>
    <r>
      <t>33.90.30.00</t>
    </r>
    <r>
      <rPr>
        <sz val="13"/>
        <color theme="1"/>
        <rFont val="Arial"/>
        <family val="2"/>
      </rPr>
      <t xml:space="preserve"> </t>
    </r>
  </si>
  <si>
    <t>Contratação de serviço de transporte de alunos de 20 Escolas Municipais</t>
  </si>
  <si>
    <t>Moura Transportes e Turismo Ltda</t>
  </si>
  <si>
    <r>
      <t>07.216.951/0001-41</t>
    </r>
    <r>
      <rPr>
        <sz val="12"/>
        <color theme="1"/>
        <rFont val="Arial"/>
        <family val="2"/>
      </rPr>
      <t xml:space="preserve"> </t>
    </r>
  </si>
  <si>
    <t>23.09.2014</t>
  </si>
  <si>
    <t>Aquisição de 20 Tablets, 7 polegadas, wi-fi e câmera integrada, processador córtex A9 1.2 GHZ conexões USB. Micro SD e fone de ouvido, Sistema Operacional Android 4.2, Armazenamento de 8GB</t>
  </si>
  <si>
    <t>GAZIN INDUSTRIA E COMÉRCIO DE MÓVEIS E ELETRO LTDA</t>
  </si>
  <si>
    <t>77.941.490/0198-40</t>
  </si>
  <si>
    <t>27.10.2014</t>
  </si>
  <si>
    <t>292/2014</t>
  </si>
  <si>
    <t>Pregão Presencial</t>
  </si>
  <si>
    <t>Aquisição de Material Permanente (automóvel)</t>
  </si>
  <si>
    <t>RECOL VEÍCULOS LTDA</t>
  </si>
  <si>
    <t>05.496.472/0001-09</t>
  </si>
  <si>
    <t>30.09.2014</t>
  </si>
  <si>
    <t>Adesão Ata de Registro de Preços</t>
  </si>
  <si>
    <t>Aquisição de Material Permanente</t>
  </si>
  <si>
    <t>CENTERDATA ANÁLISE DE SISTEMAS E SERVIÇOS LTDA</t>
  </si>
  <si>
    <t>02.596.872/0001-90</t>
  </si>
  <si>
    <t>06.10.2014</t>
  </si>
  <si>
    <t>33.90.31.00</t>
  </si>
  <si>
    <t>Secretaria Municipal de Saúde</t>
  </si>
  <si>
    <t>Contratação de serviço de confecção de camisetas para o VI Concurso de Educação Fiscal</t>
  </si>
  <si>
    <t>L.C.GUIMARÃES - EPP</t>
  </si>
  <si>
    <t>34.714.212/0001-52</t>
  </si>
  <si>
    <t>21.10.2014</t>
  </si>
  <si>
    <t>196/2014</t>
  </si>
  <si>
    <t>Aquisição de material de consumo (gasolina, diesel e diesel S-10)</t>
  </si>
  <si>
    <t>Auto Posto ALE V Ltda</t>
  </si>
  <si>
    <t>06.321.259/0001-47</t>
  </si>
  <si>
    <t>05.10.2015</t>
  </si>
  <si>
    <t>ítem</t>
  </si>
  <si>
    <t>Aquisição de Móveis</t>
  </si>
  <si>
    <t>TECMAQ</t>
  </si>
  <si>
    <t>24.10.14</t>
  </si>
  <si>
    <t>24.10.2014</t>
  </si>
  <si>
    <t>ENTREGA IMEDIATA</t>
  </si>
  <si>
    <t>Ministério Público Estadual</t>
  </si>
  <si>
    <t>Ítem</t>
  </si>
  <si>
    <t>Aquisição de Globo Sorteador e Jogo de Bola</t>
  </si>
  <si>
    <t>INDÚSTRIA DE ARTIGOS JOGOS AZ DE OURO</t>
  </si>
  <si>
    <t>43.189.463/0001-56</t>
  </si>
  <si>
    <t>17.12.2014</t>
  </si>
  <si>
    <t>15.12.2014</t>
  </si>
  <si>
    <t>Aquisição de Extintor de Incendio</t>
  </si>
  <si>
    <t>ERIBERTO G. FERREIRA</t>
  </si>
  <si>
    <t>17.979.515/0001-88</t>
  </si>
  <si>
    <t>05.12.2014</t>
  </si>
  <si>
    <t>22.09.14</t>
  </si>
  <si>
    <t>038/2014</t>
  </si>
  <si>
    <t>Aquisição de Material permanente (ar-condicionado)</t>
  </si>
  <si>
    <t>J. R. ASSESSORIA E COMERCIO LTDA</t>
  </si>
  <si>
    <t>02.12.2014</t>
  </si>
  <si>
    <t>Nome do responsável pela elaboração: Sâmya Ester da Silveira Gouveia Assis</t>
  </si>
  <si>
    <t>Nome do titular do Órgão/Entidade/Fundo (no exercício do cargo): José Andrias Sarquis</t>
  </si>
  <si>
    <t>DATA DA ÚLTIMA ATUALIZAÇÃO:</t>
  </si>
  <si>
    <t>Motivo da Alteração</t>
  </si>
  <si>
    <t>070/2010</t>
  </si>
  <si>
    <t>027/2010</t>
  </si>
  <si>
    <t>Serviços de transportes (veículo  tipo passeio com condutor) para atender às necessidades da Secretaria Municipal de Planejamento</t>
  </si>
  <si>
    <t>016/2010</t>
  </si>
  <si>
    <t>Raimundo Alves Omar</t>
  </si>
  <si>
    <t>216.041.182-53</t>
  </si>
  <si>
    <t>1º</t>
  </si>
  <si>
    <t>dilatação do prazo de vigência por 12 (doze) meses</t>
  </si>
  <si>
    <t>2º</t>
  </si>
  <si>
    <t>3º</t>
  </si>
  <si>
    <t>4º</t>
  </si>
  <si>
    <t>Aditivo de valor e de prazo</t>
  </si>
  <si>
    <t>Apostilamento para alteração da dotação orçamentária</t>
  </si>
  <si>
    <t>250/2010</t>
  </si>
  <si>
    <t>008/2010</t>
  </si>
  <si>
    <t>Concorrência</t>
  </si>
  <si>
    <t xml:space="preserve">técnica e preço </t>
  </si>
  <si>
    <t>Serviços de implantação com garantia do sistema Informatizado de Gestão Pública abrangendo as àreas Tributária, Financeira,  Orçamentária, Contábil, Recursos  Humanos e Administrativos, e manutenção e suporte técnico do mesmo,visando a utilização de forma corporativa, com gestão centralizada e utilização descentralizada pela Prefeitura Municipal de Rio Branco, devendo operar em equipamentos dedicados do Data Center (DC) do Município de Rio Branco.</t>
  </si>
  <si>
    <t>002/2011</t>
  </si>
  <si>
    <t>MGA Comércio de Produtos e Manutenção de Informática Ltda</t>
  </si>
  <si>
    <t>09.032.577/0001-50</t>
  </si>
  <si>
    <t>1 e 8</t>
  </si>
  <si>
    <t>Alteração de prazo e forma de pagamento</t>
  </si>
  <si>
    <t>10.874/10.819</t>
  </si>
  <si>
    <t>Alteração do objeto do contrato (inclusão do módulo de protocolo); aditivo de valor ao contrato; alteração da forma de pagamento</t>
  </si>
  <si>
    <t>Prorrogação de prazo e alteração de forma de pagamento</t>
  </si>
  <si>
    <t>Alteração do objeto do contrato (inclusão do módulo de Nota Fiscal Avulsa e fiscalização de Secretarias); aditivo de valor ao contrato; prorrogação  do prazo; reajuste e  alteração da forma de pagamento</t>
  </si>
  <si>
    <t>aditivo 8,3% e reajuste 12,429%</t>
  </si>
  <si>
    <t>5º</t>
  </si>
  <si>
    <t>Alteração do objeto do contrato (inclusão dos novos sub-módulos e funcionalidades nos módulos  orçamentário, financeiro e contábil, recursos humanos e tributário) valor; prazo; forma de pagamento</t>
  </si>
  <si>
    <t>aditivo 12,50% e  12,59%</t>
  </si>
  <si>
    <t>6º</t>
  </si>
  <si>
    <t>7º</t>
  </si>
  <si>
    <t>Aditivo de valor ao contrato pelos custos adicionais com os trabalhos de tratamento, organização e saneamento dos dados da base atual dos sistemas da Prefeitura Municipal de Rio Branco; e Da forma de pagamento.</t>
  </si>
  <si>
    <t>8º</t>
  </si>
  <si>
    <t>9º</t>
  </si>
  <si>
    <t xml:space="preserve">Prazo </t>
  </si>
  <si>
    <t>10º</t>
  </si>
  <si>
    <t>Altera a Cláusula Décima Segunda - Da Entrega e da Atestação dos Serviços: A Contratante poderá efetuar o recebimento provisório por sub módulo que possa ser implantado e trabalhado de forma autônoma , ou seja, sem relação de dependência com os demais módulos/sub módulos do sistema, na forma estabelecida no subitem 1.2 desta Cláusula; Altera a Cláusula Décima Terceira - Do pagamento: Como solução para assegurar a manutenção da equação econômico-financeira da contratação, a Contratante  poderá pagar à Contratada os serviços de manutenção efetivamente prestados nos sub módulos do PPA, LOA e LDO efetivamente implantados, recebidos de forma provisória e utilizados pela Contratante, desde que devidamente atestados na forma do item 3 da Cláusula Décima Segunda, e de acordo com o item 2.1 da Cláusula Décima Terceira.</t>
  </si>
  <si>
    <t xml:space="preserve">1º </t>
  </si>
  <si>
    <t>Apostilamento ao contrato alterando a dotação orçamentária; reajuste de valores do contrato e alteração da forma de pagamento</t>
  </si>
  <si>
    <t>5,5277% e outros</t>
  </si>
  <si>
    <t xml:space="preserve">2º </t>
  </si>
  <si>
    <t>Apostilamento ao contrato prorrogando o prazo de vigência e execução</t>
  </si>
  <si>
    <t>030/2012</t>
  </si>
  <si>
    <t>007/2012</t>
  </si>
  <si>
    <t>Serviços especializados de engenharia para elaboração de cartografia cadastral, com uso de sensores aerotransportados, de área territorial do município de Rio Branco.</t>
  </si>
  <si>
    <t xml:space="preserve">Aeroimagem S/A Engenharia e Aerolevantamento </t>
  </si>
  <si>
    <t>81.241.515/0001-85</t>
  </si>
  <si>
    <t>Alteração do objeto do contrato (inclusão de 13 Km2 de Planta de Referência Cadastral, passando de 65km2 para 78Km2); aditivo de valor ao contrato; reajuste; prorrgoação de prazo de vigência e execução; e forma de pagamento.</t>
  </si>
  <si>
    <t>aditivo 10,54% reajuste 7,2994%</t>
  </si>
  <si>
    <t xml:space="preserve">prorrogação de prazo de vigência e execução </t>
  </si>
  <si>
    <t xml:space="preserve">apostilamento ao contrato alterando a dotação orçamentária                                                                                                                                                                         </t>
  </si>
  <si>
    <t>prorrogação de prazo por 30 dias</t>
  </si>
  <si>
    <t>Pregão para Registro de Preços</t>
  </si>
  <si>
    <t>Serviço de locação de impressora multifuncional, com fornecimento de todo material necessário, exceto papel A4, para atender as necessidades da Secretaria Municipal de Planejamento.</t>
  </si>
  <si>
    <t>Dux Com e Representação Imp e Exp Ltda</t>
  </si>
  <si>
    <t>Prorrogação do prazo por 12 meses</t>
  </si>
  <si>
    <t>Apostilamento ao contrato alterando a dotação orçamentária</t>
  </si>
  <si>
    <t>s/n</t>
  </si>
  <si>
    <t>Inexigibilidade Licitatória</t>
  </si>
  <si>
    <t>Serviço de consultoria e assessoria na elaboração do Programa Rio Branco Sustentável, Programa Rio Branco Sem Miséria , Programa de Modernização da Administração Tributária de Rio Branco - PMAT III, e outros  projetos de investimentos para a o município.</t>
  </si>
  <si>
    <t>022/2013</t>
  </si>
  <si>
    <t xml:space="preserve">Gilberto do Carmo Lopes Siqueira </t>
  </si>
  <si>
    <t>176.749.801-20</t>
  </si>
  <si>
    <t>Alteração do objeto do contrato (inclusão dos serviços de assessoria à Secretaria Municipal de Planejamento para discussão e elaboração dos Termos de Referência dos Componentes do PMAT III: Gestão da Saúde; Desenvolvimento Econômico e Finanças; Planejamento e Gestão Urbana e Gestão de Tecnologia da Informação e  Comunicação); aditivo de 25% ao contrato e forma de pagamento.</t>
  </si>
  <si>
    <t>aditivo 25%</t>
  </si>
  <si>
    <t>artigo 25 da Lei nº 8.666/93</t>
  </si>
  <si>
    <t>248/2013</t>
  </si>
  <si>
    <t xml:space="preserve">Concorrência </t>
  </si>
  <si>
    <t>Serviços especializados para as atividades de coleta e atualização de dados, para formação do Cadastro Técnico Multifinalitário Urbano e Desenvolvimento do Sistema de Informação Territorial do Município de Rio Branco.</t>
  </si>
  <si>
    <t>024/2013</t>
  </si>
  <si>
    <t>Serviços de postagens e envio de encomendas para atender as demandas da Secretaria Municipal de Planejamento</t>
  </si>
  <si>
    <t>9912332976/2013</t>
  </si>
  <si>
    <t>Empresa Brasileira de Correios e Telégrafos - ECT</t>
  </si>
  <si>
    <t>Prorrogação do prazo de vigência e execução do contrato por mais 12 (doze) meses contados de 21 de setembro de 2014 até 20 de setembro de 2015.</t>
  </si>
  <si>
    <t>artigo  24, Inciso VIII  da Lei 8.666/93</t>
  </si>
  <si>
    <t>028/2013</t>
  </si>
  <si>
    <t>Serviços de reprografia (cópias simples, colorida, reduzida/ampliada, encadernações com aspiral, plotagem colorida, plotagem p/b, encadernação capa dura e plastificação polaceal A4)</t>
  </si>
  <si>
    <t>Policópias Serviços comércio e Representação Ltda</t>
  </si>
  <si>
    <t>010.240/2014</t>
  </si>
  <si>
    <t>Serviços de desenvolvimento das integrações do Sistema WebPúblico com o Sistema de Informação Territorial (SIT) e Nota Fiscal de Serviço Eletrônica (NFSe)</t>
  </si>
  <si>
    <t>artigo 25 da Lei 8.666/93</t>
  </si>
  <si>
    <t>Nome do responsável pela elaboração: Maria Auxiliadora Coutinho Pinheiro</t>
  </si>
  <si>
    <t>Nome do titular do Órgão/Entidade/Fundo (no exercício do cargo): Maria Janete Sousa dos Santos</t>
  </si>
  <si>
    <t>Instalação da USF Salgado Filho da Secretaria Municipal de Saúde</t>
  </si>
  <si>
    <t>15/2012</t>
  </si>
  <si>
    <t>RONALDO DA SILVA FERREIRA</t>
  </si>
  <si>
    <t>197.557.402-87</t>
  </si>
  <si>
    <t xml:space="preserve">1º/01/2013 </t>
  </si>
  <si>
    <t>1 (RP)</t>
  </si>
  <si>
    <t xml:space="preserve">33.90.36.00 </t>
  </si>
  <si>
    <t xml:space="preserve">Alterar as Cláusulas Segunda e Terceira do Contrato original CLÁUSULA SEGUNDA – Fica prorrogado de 01 de abril de 2013 a 01 de abril de 2014 a vigência do Contrato n.º 015/2012, de 28/12/2012.
CLÁUSULA TERCEIRA: O valor total do aditamento é de R$ 13.092,00 (treze mil e noventa e dois reais) devendo as despesas ocorrer por conta da dotação orçamentária a seguir discriminada
</t>
  </si>
  <si>
    <t>D</t>
  </si>
  <si>
    <t>Artigo 24, inciso X da Lei nº. 8.666/1993</t>
  </si>
  <si>
    <t>Alteração das cláusulas: segunda - PRAZO, terceira - VALOR MENSALe décima sexta - VALOR GLOBAL, do contrato original</t>
  </si>
  <si>
    <t>120130012/2012</t>
  </si>
  <si>
    <t xml:space="preserve">TOMADA DE PREÇO </t>
  </si>
  <si>
    <t>Construção de uma Unidade Básica de Saúde no Bairro Taquari, no Município de Rio Branco-Acre</t>
  </si>
  <si>
    <t>032/2013</t>
  </si>
  <si>
    <t>LÍDER CONSTRUÇÕES LTDA</t>
  </si>
  <si>
    <t>03.587.444/0001-63</t>
  </si>
  <si>
    <t>1 (RP) e 14 (SUS)</t>
  </si>
  <si>
    <t xml:space="preserve">44.90.51.00 </t>
  </si>
  <si>
    <t>Alteração da CLÁUSULA SEXTA –  DA VIGÊNCIA DO CONTRATO original</t>
  </si>
  <si>
    <t>CONSTRUÇÃO</t>
  </si>
  <si>
    <t>empreitada por preço unitário</t>
  </si>
  <si>
    <t xml:space="preserve"> S</t>
  </si>
  <si>
    <t>alteração da CLÁUSULA SEXTA –  DA VIGÊNCIA DO CONTRATO original</t>
  </si>
  <si>
    <t xml:space="preserve">Alteração da CLÁUSULA QUARTA - DO PAGAMENTO – DO REAJUSTAMENTO – DA ATUALIZAÇÃO FINANCEIRA POR ATRASO DE PAGAMENTO do contrato original </t>
  </si>
  <si>
    <t xml:space="preserve">alteração da CLÁUSULA QUINTA - DO VALOR DO CONTRATO  do contrato original </t>
  </si>
  <si>
    <t>130360050/2013</t>
  </si>
  <si>
    <t>016/2013</t>
  </si>
  <si>
    <t xml:space="preserve">PREGÃO SRP </t>
  </si>
  <si>
    <t xml:space="preserve">Menor Preço por Item </t>
  </si>
  <si>
    <t>Contratação de Prestação de Serviço de Segurança Eletrônica com Monitoramento Remoto de Sistemas de Alarmes e Monitoramento Digital com Câmeras em Circuito Fechado com acesso remoto via Internet IP 24 (vinte e quatro) horas por dia, 07 (sete) dias por semana, com locação de equipamentos a título de comodato, destinada a Segurança Patrimonial dos imóveis, instalações físicas e bens diversos da Secretaria de Saúde do Município de Rio Branco/AC</t>
  </si>
  <si>
    <t>069/2013</t>
  </si>
  <si>
    <t>Estação Vip Segurança Privada Ltda</t>
  </si>
  <si>
    <t>25.03.2013</t>
  </si>
  <si>
    <t>24.03.2014</t>
  </si>
  <si>
    <t>Alteração da CLÁUSULA SEGUNDA - DO PREÇO E CONDIÇÕES DE PAGAMENTO DO CONTRATO ORIGINAL</t>
  </si>
  <si>
    <t>25.03.2014</t>
  </si>
  <si>
    <t>25.03.2015</t>
  </si>
  <si>
    <t>Instalação da USF Seis de Agosto I da Secretaria Municipal de Saúde</t>
  </si>
  <si>
    <t>Rita de Cássia Gadelha da Silva</t>
  </si>
  <si>
    <t>808.783.852-15</t>
  </si>
  <si>
    <t>Alteração das CLÁUSULAS SEGUNDA - PRAZO, TERCEIRA - VALOR MENSAL E DÉCIMA SEXTA - VALOR GLOBAL, do contrato original</t>
  </si>
  <si>
    <t>Instalação do Núcleo de Saúde da Família - Vila Acre da Secretaria Municipal de Saúde</t>
  </si>
  <si>
    <t>076/2013</t>
  </si>
  <si>
    <t>Elaine Pires Cavalheiro</t>
  </si>
  <si>
    <t>877.639.661-49</t>
  </si>
  <si>
    <t xml:space="preserve">I </t>
  </si>
  <si>
    <t>Instalação da USF Glória Pista I da Secretaria Municipal de Saúde</t>
  </si>
  <si>
    <t>077/2013</t>
  </si>
  <si>
    <t>Maria Rodrigues da Silva</t>
  </si>
  <si>
    <t>511.653.252-68</t>
  </si>
  <si>
    <t>01 (RP)</t>
  </si>
  <si>
    <t>RESCISÃO</t>
  </si>
  <si>
    <t xml:space="preserve">Fica RESCINDIDO, o Contrato n.º 077/2013, firmado em 01/04/2013, cuja finalidade era a Instalação da USF Glória Pista I, localizada na Rua F n.º 14 – Bairro Glória Pista, destinados a atender as ações da SEMSA.
PÁRAGRAFO ÚNICO –A presente rescisão encontra-se motivada pelo MEMO/ n.º 31/DRL/SEMSA/2014, de 24 de fevereiro de 2014, da Divisão de Apoio Logístico.
</t>
  </si>
  <si>
    <t>011/2013</t>
  </si>
  <si>
    <t>Menor Preço por Item</t>
  </si>
  <si>
    <t>Contratação do serviço de transporte com condutor, veículo tipo passeio (item 14)</t>
  </si>
  <si>
    <t>079/2013</t>
  </si>
  <si>
    <t>Jonas Silva dos Santos</t>
  </si>
  <si>
    <t>644.029.832-15</t>
  </si>
  <si>
    <t>09/04//2013</t>
  </si>
  <si>
    <t xml:space="preserve">Alteração da cláusula quarta -  prazo de vigência do registro de preços e do contrato original </t>
  </si>
  <si>
    <t>Contratação do serviço de transporte com condutor, veículo tipo passeio (item 18)</t>
  </si>
  <si>
    <t>080/2013</t>
  </si>
  <si>
    <t>Geyce Anne de Lima Pereira</t>
  </si>
  <si>
    <t>563.842.382-68</t>
  </si>
  <si>
    <t>Contratação do serviço de transporte com condutor, veículo tipo passeio (item 9)</t>
  </si>
  <si>
    <t>081/2013</t>
  </si>
  <si>
    <t>Jéssica Natascha Costa de Lima</t>
  </si>
  <si>
    <t>023.763.872-05</t>
  </si>
  <si>
    <t>Contratação do serviço de transporte com condutor, veículo tipo passeio (item 15)</t>
  </si>
  <si>
    <t>083/2013</t>
  </si>
  <si>
    <t>Leane Costa da Silva Santos</t>
  </si>
  <si>
    <t>770.146.262-72</t>
  </si>
  <si>
    <t>Contratação do serviço de transporte com condutor, veículo tipo passeio (item 17)</t>
  </si>
  <si>
    <t>084/2013</t>
  </si>
  <si>
    <t>Luzivan Silva Piauhy</t>
  </si>
  <si>
    <t xml:space="preserve">648.646.262-00 </t>
  </si>
  <si>
    <t>Contratação do serviço de transporte com condutor, veículo tipo passeio (item 12)</t>
  </si>
  <si>
    <t>085/2013</t>
  </si>
  <si>
    <t>Marissandra Souza da Silva</t>
  </si>
  <si>
    <t>592.023.942-53</t>
  </si>
  <si>
    <t>Fica RESCINDIDO DE FORMA UNILATERAL e a contar do dia 09.04.2014, o Contrato nº. 085/2013 firmado em 10/04/2013, cuja finalidade era a prestação de serviço de transporte com condutor, veículo tipo passeio (item 12),para atender as ações da Secretaria Municipal de Saúde no perímetro de Rio
Branco (zona urbana e rural) serviços de transporte de veículos, destinados a atender as ações da SEMSA.PÁRAGRAFO ÚNICO – A presente rescisão encontra-se motivadano Memorando nº. 063/2014 da Divisão de Transporte e justificativa acostada aos autos.</t>
  </si>
  <si>
    <t>Contratação do serviço de transporte com condutor, veículo tipo passeio (item 16)</t>
  </si>
  <si>
    <t>086/2013</t>
  </si>
  <si>
    <t>Sammir José da Silva Damasceno</t>
  </si>
  <si>
    <t>670.971.032-72</t>
  </si>
  <si>
    <t xml:space="preserve">      </t>
  </si>
  <si>
    <t>Contratação do serviço de transporte com condutor, veículo tipo pick-up (item 2)</t>
  </si>
  <si>
    <t>087/2013</t>
  </si>
  <si>
    <t>Antônio Arialdo Vieira de Barros</t>
  </si>
  <si>
    <t>630.325.112-91</t>
  </si>
  <si>
    <t>Contratação do serviço de transporte com condutor, veículo tipo pick-up</t>
  </si>
  <si>
    <t>100/2013</t>
  </si>
  <si>
    <t>Suziane Lira de Andrade</t>
  </si>
  <si>
    <t>771.704.312-20</t>
  </si>
  <si>
    <t>Fica RESCINDIDO DE FORMA AMIGÁVEL, o Contrato nº. 100/2013, a contar do dia 01.12.2014, cuja finalidade era a Contratação de serviços de transporte de veículos, destinados a atender as ações da SEMSA.
PÁRAGRAFO ÚNICO – A presente rescisão encontra-se motivada no Requerimento da Contratada, Memorando n.º 209/2014/DiT/DFMS/SEMSA,
Parecer Jurídico nº. 148/2014 e Decisão do Secretário Adjunto Municipal de Saúde.</t>
  </si>
  <si>
    <t>101/2013</t>
  </si>
  <si>
    <t>Wendson de Lima Israel</t>
  </si>
  <si>
    <t>725.315.682-04</t>
  </si>
  <si>
    <t>Contratação do serviço de transporte com condutor, veículo tipo microônibus</t>
  </si>
  <si>
    <t>102/2013</t>
  </si>
  <si>
    <t>M. Saionara Soares Damasceno - Me</t>
  </si>
  <si>
    <t>00.837.742/0001-76</t>
  </si>
  <si>
    <t>Contratação do serviço de transporte com condutor, veículo tipo passeio</t>
  </si>
  <si>
    <t>103/2013</t>
  </si>
  <si>
    <t>Telmo Pinho da Costa Filho</t>
  </si>
  <si>
    <t>876.778.902-10</t>
  </si>
  <si>
    <t>Instalação da Unidade de Saúde da Família - Cadeia Velha da Secretaria Municipal de Saúde</t>
  </si>
  <si>
    <t>104/2013</t>
  </si>
  <si>
    <t>Maria de Nazaré Lima Nogueira</t>
  </si>
  <si>
    <t>443.938.902-30</t>
  </si>
  <si>
    <t>Alteração das CLÁUSULAS SEGUNDA, TERCEIRA E DÉCIMA SEXTA, prorrogando a vigência do contrato por mais 12 (doze) meses e reajustando o valor mensal que passará a ser R$ 1.187,82 (um mil cento e oitenta e sete reais e oitenta e dois centavos), perfazendo a diferença mensal de R$ 87,82 (oitenta e sete reais e oitenta e dois centavos) e totalizando o valor global aditado R$ 14.253,84 (quatorze mil duzentos e cinquenta e três reais e oitenta e quatro centavos), até o término da vigência contratual</t>
  </si>
  <si>
    <t>Instalação da Unidade de Saúde da Família - Airton Sena da Secretaria Municipal de Saúde</t>
  </si>
  <si>
    <t>105/2013</t>
  </si>
  <si>
    <t>Waniza Silva Ferreira</t>
  </si>
  <si>
    <t>308.223.602-25</t>
  </si>
  <si>
    <t>01 (Recurso Próprio) e 14 (SUS)</t>
  </si>
  <si>
    <t>Alteração das CLÁUSULAS SEGUNDA, TERCEIRA E DÉCIMA SEXTA, prorrogando a vigência do contrato por mais 3 (três) meses e reajustando o valor mensal que passará a ser R$ 723,49 (setecentos e vinte e três reais e quarenta e nove centavos), perfazendo a diferença mensal de R$ 53,49 (cinquenta e três reais e quarenta e nove centavos) e totalizando o valor global aditado R$ 2.170,47 (dois mil cento e setenta reais e quarenta e sete centavos), até o término da vigência contratual</t>
  </si>
  <si>
    <t>alteração das CLÁUSULAS SEGUNDA, TERCEIRA E DÉCIMA SEXTA, prorrogando a vigência do contrato por mais 12 (doze) meses e reajustando o valor mensal que passará a ser R$ 1.000,00 (um mil reais), totalizando o valor global aditado R$ 12.000,00 (doze mil reais), conforme parecer nº 2014.02.001520 da PROJURI</t>
  </si>
  <si>
    <t>Instalação do Almoxarifado, Administração, Química e Tratamento de Resíduos do Departamento de Vigilância Epidemiológica e Ambiental</t>
  </si>
  <si>
    <t>113/2013</t>
  </si>
  <si>
    <t>E. A. de Carvalho - Me</t>
  </si>
  <si>
    <t>02.521.188/0001-49</t>
  </si>
  <si>
    <t>Alteração das CLÁUSULAS SEGUNDA, TERCEIRA E DÉCIMA SEXTA, prorrogando a vigência do contrato por mais 12 (doze) meses e reajustando o valor mensal que passará a ser R$ 11.878,21 (onze mil oitocentos e setenta e oito reais e vinte e um centavos), perfazendo a diferença mensal de R$ 878,21 (oitocentos e setenta e oito reais e vinte e um centavos) e totalizando o valor global aditado R$ 142.538,52 (cento e quarenta e dois mil quinhentos e trinta e oito reais e cinquenta e dois centavos), até o término da vigência contratual</t>
  </si>
  <si>
    <t>Artigo 24, inciso X da Lei nº. 8.666/1994</t>
  </si>
  <si>
    <t>130600240</t>
  </si>
  <si>
    <t>015/2013</t>
  </si>
  <si>
    <t>Tomada de Preços</t>
  </si>
  <si>
    <t>Implantação de Academias ao Ar Livre</t>
  </si>
  <si>
    <t>123/2013</t>
  </si>
  <si>
    <t>Construtora Solar</t>
  </si>
  <si>
    <t>13.378.231/0001-85</t>
  </si>
  <si>
    <t xml:space="preserve">1 (RP) e 6 (Convênio) </t>
  </si>
  <si>
    <t>371.531-50/2011</t>
  </si>
  <si>
    <t>44.90.51.00</t>
  </si>
  <si>
    <t xml:space="preserve">27.08.2013 </t>
  </si>
  <si>
    <t>24.11.2013</t>
  </si>
  <si>
    <t>IMPLANTAÇÃO</t>
  </si>
  <si>
    <t>Alteração da CLÁUSULA QUINTA – DO VALOR DO CONTRATO</t>
  </si>
  <si>
    <t>VII</t>
  </si>
  <si>
    <t>VIII</t>
  </si>
  <si>
    <t>Alteração da CLÁUSULA SEXTA – DA VIGÊNCIA DO CONTRATO</t>
  </si>
  <si>
    <t>IX</t>
  </si>
  <si>
    <t>X</t>
  </si>
  <si>
    <t>XI</t>
  </si>
  <si>
    <t>XII</t>
  </si>
  <si>
    <t>131220100/2013</t>
  </si>
  <si>
    <t>020/2013</t>
  </si>
  <si>
    <t>Construção de UBS no Loteamento Cabreúva</t>
  </si>
  <si>
    <t>124/2013</t>
  </si>
  <si>
    <t>Bela Vista Construções</t>
  </si>
  <si>
    <t>05.531.473/0001-39</t>
  </si>
  <si>
    <t xml:space="preserve">24.11.2013 </t>
  </si>
  <si>
    <t>Empreitada por preço unitário</t>
  </si>
  <si>
    <t>S</t>
  </si>
  <si>
    <t>130800075/2013</t>
  </si>
  <si>
    <t>Instalação de Academias Lot. Santo Afonso</t>
  </si>
  <si>
    <t>133/2013</t>
  </si>
  <si>
    <t>Terra Nova Construções</t>
  </si>
  <si>
    <t>10.587.373/0001-64</t>
  </si>
  <si>
    <t>N</t>
  </si>
  <si>
    <t xml:space="preserve">Alteração da CLÁUSULA SEXTA – DA VIGÊNCIA DO CONTRATO, </t>
  </si>
  <si>
    <t xml:space="preserve">Alteração da CLÁUSULA QUINTA– DO VALOR DO CONTRATO – EMPENHO E DOTAÇÃO eCLÁUSULA SEXTA – DA VIGÊNCIA DO CONTRATO ORIGINAL </t>
  </si>
  <si>
    <t>Alteração da CLÁUSULA SEXTA – DA VIGÊNCIA DO CONTRATO ORIGINAL</t>
  </si>
  <si>
    <t>Alteração da CLÁUSULA SEXTA – DA VIGÊNCIA DO CONTRATO,</t>
  </si>
  <si>
    <t>Alteração da CLÁUSULA SEXTA – DA VIGÊNCIA
DO CONTRATO,</t>
  </si>
  <si>
    <t xml:space="preserve"> Alteração da CLÁUSULA QUINTA – DO VALOR
DO CONTRATO – EMPENHO E DOTAÇÃO DO VALOR</t>
  </si>
  <si>
    <t>Contratação de empresa especializada em distribuição de Água Potável através de carros pipa ou caminhões tanque</t>
  </si>
  <si>
    <t>138/2013</t>
  </si>
  <si>
    <t>Acretec Com. e Rep. Ltda</t>
  </si>
  <si>
    <t xml:space="preserve">04.475.329/0001-60 </t>
  </si>
  <si>
    <t>Alteração da CLÁUSULA SEGUNDA  DO PREÇO E CONDIÇÕES DE PAGAMENTO do contrato original</t>
  </si>
  <si>
    <t>Alteração da CLÁUSULA TERCEIRA  PRAZO DE VIGÊNCIA DO REGISTRO DE PREÇOS E DO CONTRATO do contrato original</t>
  </si>
  <si>
    <t>130800071/2013</t>
  </si>
  <si>
    <t>018/2013</t>
  </si>
  <si>
    <t>Implantação de Academia - Tucumã</t>
  </si>
  <si>
    <t>143/2013</t>
  </si>
  <si>
    <t>alteração da CLÁUSULA SEXTA – DA VIGÊNCIA DO CONTRATO, prorrogando a Vigência do Contratooriginal por mais 60 (sessenta) dias, com amparo legal previsto no inciso II do art. 57 da Lei nº 8.666/93</t>
  </si>
  <si>
    <t>alteração da CLÁUSULA SEXTA – DA VIGÊNCIA DO CONTRATO, prorrogando a Vigência do Contratooriginal por mais 60 (sessenta) dias, conforme solicitação da SEOP, com amparo legal previsto no inciso II do art. 57 da Lei nº 8.666/93</t>
  </si>
  <si>
    <t>Alteração da CLÁUSULA QUINTA  DO VALOR DO CONTRATO</t>
  </si>
  <si>
    <t>Alteração da CLÁUSULA SEXTA – DA VIGÊNCIA DO CONTRATO, prorrogando a Vigência do Contratooriginal por mais 60 (sessenta) dias, conforme solicitação da SEOP, com amparo legal previsto no inciso II do art. 57 da Lei nº 8.666/93</t>
  </si>
  <si>
    <t>5603</t>
  </si>
  <si>
    <t>021/2013</t>
  </si>
  <si>
    <t>Construção de UBS no Lot.Santo Afonso</t>
  </si>
  <si>
    <t>152/2013</t>
  </si>
  <si>
    <t>Construtora Rios Niterois</t>
  </si>
  <si>
    <t>05.681.511/0001-30</t>
  </si>
  <si>
    <t xml:space="preserve">    </t>
  </si>
  <si>
    <t xml:space="preserve"> Alteração da CLÁUSULA SEXTA – DA VIGÊNCIA DO CONTRATO, prorrogando o contrato original por mais 120 (cento e vinte) dias, e prorrogando o prazo de execução dos serviços por mais 120 (cento e vinte) dias, conforme justificativa apresentada através do
Ofício nº 043/DECON/SEOP.</t>
  </si>
  <si>
    <t>5604</t>
  </si>
  <si>
    <t>Construção de UBS no Lot. Jequitibá</t>
  </si>
  <si>
    <t>154/2013</t>
  </si>
  <si>
    <t>Alteração da CLÁUSULA SEXTA – DA VIGÊNCIA DO CONTRATO, prorrogando o contrato original por mais 60 (sessenta) dias, e prorrogando o prazo de execução dos serviços por mais 60 (sessenta) dias, conforme justifi cativa apresentada através do Ofício nº046/DECON/SEOP.</t>
  </si>
  <si>
    <t>Alteração da CLÁUSULA QUINTA – DO VALOR
DO CONTRATO – EMPENHO E DOTAÇÃO DO VALOR</t>
  </si>
  <si>
    <t>019/2013</t>
  </si>
  <si>
    <t>TERMO DE ADESÃO   Pregão SRP Nº 062/2013</t>
  </si>
  <si>
    <t>Prestação de Serviços de Transportes de 1 (um) caminhão carga seca</t>
  </si>
  <si>
    <t>155/2013</t>
  </si>
  <si>
    <t>J. M. G. Souza Ltda</t>
  </si>
  <si>
    <t>09.179.390/0001-83</t>
  </si>
  <si>
    <t>055/2013</t>
  </si>
  <si>
    <t xml:space="preserve">TERMO DE ADESÃO </t>
  </si>
  <si>
    <t>Contratação de empresa para prestação de serviços administrativos de digitador e recepcionista</t>
  </si>
  <si>
    <t>120-DOU</t>
  </si>
  <si>
    <t>156/2013</t>
  </si>
  <si>
    <t>Vieira e Gomes Ltda</t>
  </si>
  <si>
    <t>11223797/0001-02</t>
  </si>
  <si>
    <t>3.3.90.37.00</t>
  </si>
  <si>
    <t>Alteração da Cláusula-Terceira, repactuação de preço, com
efeitos retroativos a 10/04/2014</t>
  </si>
  <si>
    <t>Alteração da CLÁUSULA QUARTA –DO PRAZO DE  VIGÊNCIA DO CONTRATO</t>
  </si>
  <si>
    <t>Alteração da CLÁUSULA TERCEIRA – DO PREÇO E CONDIÇÕES DE PAGAMENTO, acrescendo ao valor
contratado 25% (onze vírgula noventa e um por cento), que perfaz o valor de R$ 90.753,69 (noventa mil setecentos e cinquenta e três reais e sessenta e nove centavos), referente a quantidade acrescida de 3 Digitadores (item 1) e 1 Recepcionista (item 2), com efeito financeiro a partir do dia 08/12/2014, com amparo legal previsto no § 1º do Art. 65 da Lei nº 8.666/93.</t>
  </si>
  <si>
    <t>Contratação do serviço de transporte com condutor, veículo tipo motocicleta</t>
  </si>
  <si>
    <t>158/2013</t>
  </si>
  <si>
    <t>Eni Aparecida Souza</t>
  </si>
  <si>
    <t>818.399.442-34</t>
  </si>
  <si>
    <t>159/2013</t>
  </si>
  <si>
    <t>James Chagas Machado</t>
  </si>
  <si>
    <t>719.416.062-53</t>
  </si>
  <si>
    <t>9080/2013</t>
  </si>
  <si>
    <t>Instalação de Duas Salas Localizada em Anexo ao Departamento de Gestão de Pessoas</t>
  </si>
  <si>
    <t>163/2013</t>
  </si>
  <si>
    <t>Adauto Alves Bandeira</t>
  </si>
  <si>
    <t>020.598.782-68</t>
  </si>
  <si>
    <t>Alteração das CLÁUSULAS SEGUNDA - PRAZO, TERCEIRA - VALOR MENSAL E DÉCIMA SEXTA - VALOR GLOBAL ADITADO, do contrato original</t>
  </si>
  <si>
    <t>10257/2013</t>
  </si>
  <si>
    <t>026/2013</t>
  </si>
  <si>
    <t>Contratação de Empresa para Prestação de Serviços de Seguro Total de Veículos da frota da Secretaria Municipal de Saúde, com Assistência 24 horas</t>
  </si>
  <si>
    <t>170/2013</t>
  </si>
  <si>
    <t>Mapfre Vera Cruz Seguradora S/A</t>
  </si>
  <si>
    <t>61.074.175/0001-38</t>
  </si>
  <si>
    <t>01 (RP) e 14 (SUS)</t>
  </si>
  <si>
    <t>Reforma do Centro de Saúde Ary Rodrigues</t>
  </si>
  <si>
    <t>174/2013</t>
  </si>
  <si>
    <t>Construtora Miranda</t>
  </si>
  <si>
    <t>02.562.103/0001-70</t>
  </si>
  <si>
    <t>REFORMA</t>
  </si>
  <si>
    <t>Alteração da CLÁUSULA SEXTA DA VIGÊNCIA  DO CONTRATO</t>
  </si>
  <si>
    <t>Reforma do Centro de Saúde Rosangela Pimentel</t>
  </si>
  <si>
    <t>175/2013</t>
  </si>
  <si>
    <t>Alteração da CLÁUSULA QUINTA  DO VALOR  DO CONTRATO</t>
  </si>
  <si>
    <t>11080</t>
  </si>
  <si>
    <t>Construção de UBS no Lot. Cidade do Povo</t>
  </si>
  <si>
    <t>183/2013</t>
  </si>
  <si>
    <t>alteração da CLÁUSULA SEXTA – DA VIGÊNCIA DO CONTRATO,prorrogando o contrato original por mais 180 (cento e oitenta) dias, e prorrogando o prazo de execução dos serviços por mais 180 (cento e oitenta) dias</t>
  </si>
  <si>
    <t>PREGÃO SRP</t>
  </si>
  <si>
    <t>Contratação de empresa especializada em lavagem de automóveis e serviço de borracharia e outros serviços com fornecimento de materiais, equipamentos, pessoal e instalações próprias</t>
  </si>
  <si>
    <t>R. FERREIRA DE ALBUQUERQUE - ME</t>
  </si>
  <si>
    <t>09.072.288/0001-84</t>
  </si>
  <si>
    <t>alterar a CLÁUSULA QUARTA -PRAZO DE VIGÊNCIA DO REGISTRO DE PREÇOS E DO CONTRATO, prorrogando o contrato original por mais 12 (doze) meses</t>
  </si>
  <si>
    <t>5031/2013</t>
  </si>
  <si>
    <t>Contratação de empresa para a prestação de serviços continuados de limpeza, asseio e conservação predial, visando a obtenção  de  adequadas  condições  de  salubridade  e  higiene, com a disponibilização de mão-de-obra, saneantes domissanitários, materiais e equipamentos, sob inteira responsabilidade da contratada, para atender as Unidades da Secretaria Municipal de Saúde</t>
  </si>
  <si>
    <t>PIT STOP COMÉRCIO E SERVIÇOS LTDA</t>
  </si>
  <si>
    <t>02.132.510/0001 – 48</t>
  </si>
  <si>
    <t>33.90.37.00</t>
  </si>
  <si>
    <t xml:space="preserve">Alteração da CLÁUSULA TERCEIRA – DO PREÇO E CONDIÇÕES DE PAGAMENTO, acrescendo em 25% (vinte e cinco por cento) perfazendo um valor total de 8.400 m2  nas áreas insalubres </t>
  </si>
  <si>
    <t>alteraçãoda CLÁUSULA QUARTA -PRAZO DE VIGÊNCIA DO CONTRATO, prorrogando o contrato original por mais 12 (doze) meses</t>
  </si>
  <si>
    <t>20004/2013</t>
  </si>
  <si>
    <t>116/2013</t>
  </si>
  <si>
    <t>Contratação de Empresa Especializada para prestação de serviços de Instalação de Rede Lógica, com fornecimento de material, mão-de-obra e fornecimento de equipamentos de informática (incluindo ativos de rede)</t>
  </si>
  <si>
    <t>C. COM INFORMÁTICA IMPORTAÇÃO EXPORTAÇÃO COMÉRCIO E INDUSTRIA LTDA</t>
  </si>
  <si>
    <t>07.471.301/0001-42</t>
  </si>
  <si>
    <t>4.4.90.52.00 e 3.3.90.39.00</t>
  </si>
  <si>
    <t>CENTERDATA ANÁLISES DE SISTEMAS E SERVIÇOS LTDA</t>
  </si>
  <si>
    <t>I9 SOLUÇÕES DO BRASIL LTDA</t>
  </si>
  <si>
    <t>04.361.899/0001-29</t>
  </si>
  <si>
    <t>22722/2013</t>
  </si>
  <si>
    <t>033/2013</t>
  </si>
  <si>
    <t>Tomada de  Preços</t>
  </si>
  <si>
    <t>Contratação de empresa de engenharia para execução de serviços de Construção de Centro de Recuperação de Depenhdentes Químicos no Pólo Agroflorestal Benfica, Ramal Benfica, no Municipio de Rio Branco - Acre.</t>
  </si>
  <si>
    <t>005/2014 - SEOP</t>
  </si>
  <si>
    <t>CONSTRUTORA SOLAR LTDA</t>
  </si>
  <si>
    <t>0.0.01 e 06 (Convênio)</t>
  </si>
  <si>
    <t>234/PCN/2012</t>
  </si>
  <si>
    <t>4.4.90.51.00</t>
  </si>
  <si>
    <t>O presente Termo Aditivo tem como objeto a
prorrogação do prazo da Vigência do contrato, O presente Termo Aditivo tem como objeto a
prorrogação do prazo da Vigência do contrato, referente os serviços de Construção de Centro de Recuperação de Dependentes Químicos no Pólo Agroflorestal Benfica, Ramal Benfica, no Município de Rio branco – Acre, fica prorrogado o prazo de vigência por mais 210 (duzentos e dez) dias, a contar do dia 28/08/2014 até o dia 25/03/2015.</t>
  </si>
  <si>
    <t>O presente Termo Aditivo tem como objeto a Adequação da Planilha Orçamentária, referente os serviços de Construção de Centro de Recuperação de Dependentes Químicos no Pólo Agroflorestal Benfica, Ramal Benfica, no Município de Rio branco – Acre, fica suprimido o valor de R$ 64.360,55 (sessenta e quatro mil, trezentos e sessenta reais e cinquenta e cinco centavos), perfazendo – se o valor global ao contrato de R$ 447.536,12 (quatrocentos e quarenta e sete mil, quinhentos e trinta e seis reais e doze centavos).</t>
  </si>
  <si>
    <t>Com base nas informações identificadas no
preâmbulo do contrato nº 005/2014, referente ao objeto Construção de 96 Segunda-feira, 24 de novembro de 2014 Nº 11.442 DIÁRIO OFICIAL 96
Centro de Recuperação de Dependentes Químicos no Polo Agroflorestal Benfica, Ramal Benfica, passa a ter a seguinte redação:
Como Contratante: O Município de Rio Branco/Acre, através da SECRETARIA MUNICIPAL DE SAÚDE – SEMSA, Órgão Público do Poder Executivo Municipal, inscrita no CNPJ/MF sob o Nº 04.034.583/0006-37, com sede na Avenida Ceará, nº 3.335, Jardim Nazle – Abrahão Alab, neste Município, neste ato representado pelo seu Secretário Adjunto o Senhor Oteniel Almeida dos Santos.</t>
  </si>
  <si>
    <t>31371/2013</t>
  </si>
  <si>
    <t xml:space="preserve">TERMO DE ADESÃO PREGAO 294/2013 </t>
  </si>
  <si>
    <t>Aquisição de Motocicletaspara atender as demandas da Secretaria Municipal de Saúde</t>
  </si>
  <si>
    <t>STAR MOTOS LTDA</t>
  </si>
  <si>
    <t xml:space="preserve">01.444.283/0001-23 </t>
  </si>
  <si>
    <t>17/2013</t>
  </si>
  <si>
    <t>DEPARTAMENTO ESTADUAL DE PAVIMENTAÇÃO E SANEAMENTO - DEPASA</t>
  </si>
  <si>
    <t>2601/2013</t>
  </si>
  <si>
    <t>Contratação de empresa para locação de impressoras multifuncional com sistema bulk ink e multifuncional monocromática, com manutenção preventiva, corretiva e insumos</t>
  </si>
  <si>
    <t>R. S. FREITAS JUCA</t>
  </si>
  <si>
    <t xml:space="preserve">Alteração da CLÁUSULA TERCEIRA DO PREÇO, CONDIÇÕES DE PAGAMENTO E REAJUSTE  do contrato original </t>
  </si>
  <si>
    <t>alteração da CLÁUSULA QUARTA - PRAZO DE VIGÊNCIA DO CONTRATO, prorrogando o contrato original por mais 6 (seis) meses</t>
  </si>
  <si>
    <t>123400175/2012</t>
  </si>
  <si>
    <t>Aquisição de Material Consumo Odontológico</t>
  </si>
  <si>
    <t>DENTAL MED SUL ARTIGOS ODONTOLÓGICOS LTDA</t>
  </si>
  <si>
    <t>02.477.571/0001-47</t>
  </si>
  <si>
    <t>DENTAL MÉDICA COM. E REP. LTDA</t>
  </si>
  <si>
    <t>05.593.405/0001-02</t>
  </si>
  <si>
    <t>DENTAL RIO BRANCO LTDA</t>
  </si>
  <si>
    <t xml:space="preserve">01.920.430/0001-94 </t>
  </si>
  <si>
    <t>EMIGÊ MATERIAIS ODONTOLÓGICOS LTDA</t>
  </si>
  <si>
    <t>71.505.564/0001-24</t>
  </si>
  <si>
    <t>INTERDENTAL IN-DENTAL PRODUTOS ODONTOLÓGICOS MÉDICOS E HOSPITALARES LTDA</t>
  </si>
  <si>
    <t>07.788.510/0001-14</t>
  </si>
  <si>
    <t>MARTINS COMÉRCIO DE MEDICAMENTOS LTDA</t>
  </si>
  <si>
    <t>02.614.637/0001-01</t>
  </si>
  <si>
    <t>131000042/2013</t>
  </si>
  <si>
    <t>023/2013</t>
  </si>
  <si>
    <t>Aquisição de Medicamentos</t>
  </si>
  <si>
    <t>RECOL DISTRIBUIÇÃO E COMÉRCIO LTDA</t>
  </si>
  <si>
    <t>04.598.413/0001-70</t>
  </si>
  <si>
    <t>33.90.32.00</t>
  </si>
  <si>
    <t>Alteração da Cláusula Terceira - do preço e condiçoes de pagamento</t>
  </si>
  <si>
    <t>J. S. NUNES - ME</t>
  </si>
  <si>
    <t>40.802.993/0001-30</t>
  </si>
  <si>
    <t>BIOLAR IMPORTAÇÃO E EXPORTAÇÃO LTDA</t>
  </si>
  <si>
    <t>06.987.995/0001-02</t>
  </si>
  <si>
    <t>DIMASTER COMÉRCIO DE PRODUTOS HOSPITALARES LTDA</t>
  </si>
  <si>
    <t>02.520.829/0001-10</t>
  </si>
  <si>
    <t>01.920.430/0001-94</t>
  </si>
  <si>
    <t>ANBIOTON IMPORTADORA LTDA</t>
  </si>
  <si>
    <t>11.260.846/0001-87</t>
  </si>
  <si>
    <t>DISACRE COMÉRCIO E REPRESENTAÇÃO IMP. E EXP. LTDA</t>
  </si>
  <si>
    <t>05.888.612/0001-86</t>
  </si>
  <si>
    <t>23765/2013</t>
  </si>
  <si>
    <t>092/2013</t>
  </si>
  <si>
    <t>Contratação de empresa especializada no fornecimento de material gráfico para divulgação e veiculação de outdoor, busdoor, adesivos, banner e faixas</t>
  </si>
  <si>
    <t>ACRE PUBLICIDADE LTDA</t>
  </si>
  <si>
    <t>Alteração da CLÁUSULA TERCEIRA - DO PREÇO E CONDIÇÕES DE PAGAMENTO</t>
  </si>
  <si>
    <t>21965/2013</t>
  </si>
  <si>
    <t>035/2013</t>
  </si>
  <si>
    <t>Contratação de empresa de engenharia para a execução de serviços de reforma da Unidade Básica de Saúde Deusimar Pinheiro da Silva, localizado, no Bairro Placas, no Município de Rio Branco – Acre</t>
  </si>
  <si>
    <t>R. M.TERRAPLANAGEM E COMERCIO LTDA</t>
  </si>
  <si>
    <t>18.818.216/0001-24</t>
  </si>
  <si>
    <t>14 (SUS – Convênio: 84317.205000/1130- 20)</t>
  </si>
  <si>
    <t xml:space="preserve">Alteração da CLÁUSULA SEXTA  DA VIGÊNCIA  do contrato original </t>
  </si>
  <si>
    <t xml:space="preserve">Alteração da CLÁUSULA QUINTA  DO VALOR DO CONTRATO do contrato original </t>
  </si>
  <si>
    <t>21959/2013</t>
  </si>
  <si>
    <t>034/2013</t>
  </si>
  <si>
    <t>Contratação de empresa de engenharia para a execução de serviços de reforma da Unidade Básica de Saúde Dr. Mario Maia, no Município de Rio Branco – Acre</t>
  </si>
  <si>
    <t>14 (SUS – Convênio: 162.951-59/2011)</t>
  </si>
  <si>
    <t xml:space="preserve">Alteração da CLÁUSULA SEXTA DA VIGÊNCIA do contrato original </t>
  </si>
  <si>
    <t xml:space="preserve">Alteração da CLÁUSULA QUINTA  DO VALOR do contrato original </t>
  </si>
  <si>
    <t>25081/2013</t>
  </si>
  <si>
    <t xml:space="preserve">TOMADA DE PREÇOS </t>
  </si>
  <si>
    <t>Contratação de empresa de engenharia para a execução de serviços de Construção de Unidade Básica de Saúde Porte I no Loteamento Altamira, no Município de Rio Branco – Acre</t>
  </si>
  <si>
    <t>CONSÓRCIO “LIDER EURO” - EURO CONSTRUÇÕES LTDA</t>
  </si>
  <si>
    <t>05.687.069/0001-59</t>
  </si>
  <si>
    <t>20.09.2014</t>
  </si>
  <si>
    <t>01 (RP) e 14 (SUS - Convênio nº 84317.205000/1130-08)</t>
  </si>
  <si>
    <t xml:space="preserve">Alteração da CLÁUSULA SEXTA DA VIGÊNCIA  do contrato original </t>
  </si>
  <si>
    <t xml:space="preserve">Alteração da CLÁUSULA QUINTA - VALOR E CLÁUSULA SEXTA DA VIGÊNCIA  do contrato original </t>
  </si>
  <si>
    <t>Alteração da CLÁUSULA SEXTA – DA VIGÊNCIA DO CONTRATO, prorrogando a vigência do contrato original por mais 30 (trinta) dias, e prorrogando o prazo de execução dos serviços por mais 30 (trinta) dias, conforme justificativa apresentada através do
Ofício nº 061/DECON/SEOP.</t>
  </si>
  <si>
    <t>25908/2013</t>
  </si>
  <si>
    <t>T. DE ADESÃO AO PREGÃO SRP 224/2013</t>
  </si>
  <si>
    <t>Contratação de empresa para prestação de serviços de hospedagem, alimentação e locação de auditório, destinado a atender as necessidades da Secretaria Municipal de Saúde</t>
  </si>
  <si>
    <t>CRISSOTELES LOUREIRO DE OLIVEIRA - ME</t>
  </si>
  <si>
    <t>14.314.660/0001-51</t>
  </si>
  <si>
    <t>GOVERNO DO ESTADO DO ACRE - SECRETARIA DE ESTADO DE MEIO AMBIENTE - SEMA</t>
  </si>
  <si>
    <t>1529/2013</t>
  </si>
  <si>
    <t xml:space="preserve">05.888.612/0001-86 </t>
  </si>
  <si>
    <t>STOCK COMERCIAL HOSPITALAR</t>
  </si>
  <si>
    <t xml:space="preserve">00.995.371/0001-50 </t>
  </si>
  <si>
    <t>D-HOSP DISTRIBUIDORA HOSPITALAR IMPORTAÇÃO E EXPORTAÇÃO LTDA</t>
  </si>
  <si>
    <t>08.076.127/0001-04</t>
  </si>
  <si>
    <t>RB DISTRIBUIDORA E COM. DE CONSUMO, MEDICAMENTOS E MERC. EM GERAL LTDA</t>
  </si>
  <si>
    <t>13330/2013</t>
  </si>
  <si>
    <t>050/2013</t>
  </si>
  <si>
    <t>Contratação de Empresa Especializada na Confecção de camisetas, abadas, bonés e jalecos para atender as demandas da Secretaria Municipal de Saúde</t>
  </si>
  <si>
    <t>FIBRATEX INDÚSTRIA E COMÉRCIO LTDA</t>
  </si>
  <si>
    <t>02.889.493/0001-98</t>
  </si>
  <si>
    <t>J. ERIVALDO SILVA DE SOUZA - ME</t>
  </si>
  <si>
    <t>M. A. M. LIMA - ME</t>
  </si>
  <si>
    <t>84.308.337/0002-31</t>
  </si>
  <si>
    <t>25194/2013</t>
  </si>
  <si>
    <t>Aquisição de Material de Consumo (Imunização e Rede de Frio)</t>
  </si>
  <si>
    <t>036/2014</t>
  </si>
  <si>
    <t>LABNORTE CIRÚRGICA E DIAGNÓSTICA LTDA</t>
  </si>
  <si>
    <t>037/2014</t>
  </si>
  <si>
    <t xml:space="preserve"> 24582/2013</t>
  </si>
  <si>
    <t>TERMO DE ADESÃO PREGÃO SRP Nº 157/2013 – CPL 06</t>
  </si>
  <si>
    <t>Contratação de serviços de confecção de placas de identificação e homenagem, destinado a atender as necessidades da Secretaria Municipal de Saúde</t>
  </si>
  <si>
    <t>D. C. DA SILVA MILANIN</t>
  </si>
  <si>
    <t>02.629.212/0001-68</t>
  </si>
  <si>
    <t>16/2013</t>
  </si>
  <si>
    <t>ESTADO DO ACRE - SECRETARÍA DA POLÍCIA CIVIL</t>
  </si>
  <si>
    <t>3871/2014</t>
  </si>
  <si>
    <t>TERMO DE ADESÃO PREGÃO SRP Nº 015/2013 – TRE/AC</t>
  </si>
  <si>
    <t>Prestação de Serviços de Internet na área urbana de Rio Branco-AC</t>
  </si>
  <si>
    <t>039/2014</t>
  </si>
  <si>
    <t>EMPRESA BRASILEIRA DE TELECOMUNICAÇÕES S/A - EMBRATEL</t>
  </si>
  <si>
    <t>33.530.486/0001-29</t>
  </si>
  <si>
    <t>59/2013</t>
  </si>
  <si>
    <t>131 DOU</t>
  </si>
  <si>
    <t>TRIBUNAL REGIONAL ELEITORAL DO ACRE</t>
  </si>
  <si>
    <t>1879/2014</t>
  </si>
  <si>
    <t>TERMO DE ADESÃO PREGÃO SRP Nº 027/2013</t>
  </si>
  <si>
    <t>Aquisição de Equipamento de Informática</t>
  </si>
  <si>
    <t>040/2014</t>
  </si>
  <si>
    <t>PREFEITURA MUNICIPAL DE RIO BRANCO - SECRETARIA MUNICIPAL DE MEIO AMBIENTE</t>
  </si>
  <si>
    <t>4943/2014</t>
  </si>
  <si>
    <t xml:space="preserve">005/2014 </t>
  </si>
  <si>
    <t>TERMO DE ADESÃO PREGÃO SRP Nº 130/2013 – CPL 04</t>
  </si>
  <si>
    <t>Aquisição de Materiais Diversos (tampas de caixas d’água)</t>
  </si>
  <si>
    <t>041/2014</t>
  </si>
  <si>
    <t>RECIACRE INDÚSTRIA E COMÉRCIO DE RECICLAVEIS LTDA</t>
  </si>
  <si>
    <t>09.021.657/0001-00</t>
  </si>
  <si>
    <t>312/2013</t>
  </si>
  <si>
    <t>ESTADO DO ACRE - SECRETARIA DE ESTADO DE SAUDE - SESACRE</t>
  </si>
  <si>
    <t>18460/2013</t>
  </si>
  <si>
    <t>Aquisição de Material de Consumo Hospitalar e Laboratorial, para atender o Centro de Apoio e Diagnóstico - CAD</t>
  </si>
  <si>
    <t>042/2014</t>
  </si>
  <si>
    <t xml:space="preserve"> 29235/2013</t>
  </si>
  <si>
    <t>Aquisição de Testes Hormonais com cessão de equipamento, para atender o Centro de Apoio e Diagnostico - CAD</t>
  </si>
  <si>
    <t>043/2014</t>
  </si>
  <si>
    <t>25235/2013</t>
  </si>
  <si>
    <t>082/2013</t>
  </si>
  <si>
    <t>Aquisição de Testes de Bioquímica com cessão de equipamento, para atender o Centro de Apoio e Diagnostico - CAD</t>
  </si>
  <si>
    <t>044/2014</t>
  </si>
  <si>
    <t>3551/2014</t>
  </si>
  <si>
    <t>TERMO DE ADESÃO PREGÃO SRP Nº 028/2013</t>
  </si>
  <si>
    <t>Prestação de Serviços reprográficos (confecção de carimbos, confecção de chaves, encadernações, cópias, plotagens, etc)</t>
  </si>
  <si>
    <t>045/2014</t>
  </si>
  <si>
    <t>POLICÓPIAS SERVIÇOS COMÉRCIO E REPRESENTAÇÕES LTDA</t>
  </si>
  <si>
    <t>ESTADO DO ACRE - PREFEITURA MUNICIPAL DE TARAUACÁ</t>
  </si>
  <si>
    <t>25257/2013</t>
  </si>
  <si>
    <t>Aquisição de Testes de Hemograma com cessão de equipamento, para atender o Centro de Apoio e Diagnostico - CAD</t>
  </si>
  <si>
    <t>046/2014</t>
  </si>
  <si>
    <t>25503/2013</t>
  </si>
  <si>
    <t>Aquisição de Material de Consumo (Limpeza e Gêneros Alimentícios)</t>
  </si>
  <si>
    <t>047/2014</t>
  </si>
  <si>
    <t>F. T DE SOUZA PINTO</t>
  </si>
  <si>
    <t xml:space="preserve">Fica RESCINDIDO DE FORMA AMIGÁVEL e a partir desta data o Contrato nº.047/2014, referente a aquisição de material de consumo (gêneros alimentícios) para atender a Secretaria Municipal de Saúde.
PÁRAGRAFO ÚNICO – A presente rescisão encontra-se motivada na justificativa apresentada pela empresa, Parecer Jurídico nº. 131 e Despacho final do Secretário Adjunto de Saúde.
</t>
  </si>
  <si>
    <t>14883/2013</t>
  </si>
  <si>
    <t>110/2013</t>
  </si>
  <si>
    <t>Aquisição de Gêneros Alimentícios</t>
  </si>
  <si>
    <t>048/2014</t>
  </si>
  <si>
    <t>049/2014</t>
  </si>
  <si>
    <t>MARINILDE S. BATISTA - ME</t>
  </si>
  <si>
    <t>11.340.836/0001-51</t>
  </si>
  <si>
    <t>050/2014</t>
  </si>
  <si>
    <t>RB DIST. E COM. DE CONS. MEDIC. E MERC. EM GERAL LTDA</t>
  </si>
  <si>
    <t>20001/2013</t>
  </si>
  <si>
    <t>064/2013</t>
  </si>
  <si>
    <t>Contratação de empresa para a prestação de serviços continuados de auxiliar de serviços diversos e encarregados</t>
  </si>
  <si>
    <t>COOPSERGE - COOPERATIVA DE TRABALHO AUTÔNOMO EM SERVIÇOS GERAIS</t>
  </si>
  <si>
    <t>16754/2013</t>
  </si>
  <si>
    <t>062/2013</t>
  </si>
  <si>
    <t xml:space="preserve">Aquisição de Material de Expediente </t>
  </si>
  <si>
    <t>052/2014</t>
  </si>
  <si>
    <t>A. A. C. ROCHA - ME</t>
  </si>
  <si>
    <t>1 (R P), 7 (Convênio Estadual) e 14 (SUS)</t>
  </si>
  <si>
    <t>053/2014</t>
  </si>
  <si>
    <t>LEONORA COMÉRCIO INTERNACIONAL LTDA</t>
  </si>
  <si>
    <t>03.064.692/0001-20</t>
  </si>
  <si>
    <t>054/2014</t>
  </si>
  <si>
    <t>EMBALANORTE COMÉRCIO DE EMBALAGENS LTDA</t>
  </si>
  <si>
    <t>01.629.855/0001-49</t>
  </si>
  <si>
    <t>055/2014</t>
  </si>
  <si>
    <t>LUIZ R. S. D'AVILA</t>
  </si>
  <si>
    <t>15.243.115/0001-84</t>
  </si>
  <si>
    <t>29042/2013</t>
  </si>
  <si>
    <t>Contratação de empresa especializada na prestação de serviços de manutenção e reposição de peças de condicionadores de ar, tipo janela e split</t>
  </si>
  <si>
    <t>WAGNER E SILVA LTDA</t>
  </si>
  <si>
    <t xml:space="preserve">84.312.602/0001-74 </t>
  </si>
  <si>
    <t>1111/2014</t>
  </si>
  <si>
    <t>057/2014</t>
  </si>
  <si>
    <t>774/2014</t>
  </si>
  <si>
    <t>Contratação de Serviço especializado em manutenção de equipamentos médico-hospitalares, incluindo manutenção preventiva, corretiva, calibração e gestão da manutenção através de sistema informatizado</t>
  </si>
  <si>
    <t>058/2014</t>
  </si>
  <si>
    <t>CONSTRUTORA CONCRETO LTDA</t>
  </si>
  <si>
    <t xml:space="preserve">14.349.591/0001-11 </t>
  </si>
  <si>
    <t>Alteração da CLÁUSULA TERCEIRA - DO PREÇO E CONDIÇÕES DE PAGAMENTO, acrescendo ao valor contratado 25% (vinte e cinco por cento), que perfaz a quantia de R$ 20.499,99 (vinte mil quatrocentos e noventa e nove reais e noventa e nove centavos), devendo o mesmo ser somado ao valor inicialmente contratado.</t>
  </si>
  <si>
    <t>15802/2013</t>
  </si>
  <si>
    <t>029/2013</t>
  </si>
  <si>
    <t>Aquisição de Material de Consumo Médico-Hospitalar</t>
  </si>
  <si>
    <t>059/2014</t>
  </si>
  <si>
    <t>BASZI COMERCIAL LTDA</t>
  </si>
  <si>
    <t>15.086.174/0001-96</t>
  </si>
  <si>
    <t>060/2014</t>
  </si>
  <si>
    <t>061/2014</t>
  </si>
  <si>
    <t>BRAGA &amp; BRAGA IMPORTAÇÃO E EXPORTAÇÃO LTDA</t>
  </si>
  <si>
    <t xml:space="preserve">63.607.790/0001-98 </t>
  </si>
  <si>
    <t>DISTRIBUIDORA BRASIL COMERCIAL DE PRODUTOS MÉDICOS HOSPITALARES LTDA</t>
  </si>
  <si>
    <t>07.640.617/0001-10</t>
  </si>
  <si>
    <t>MEDPLUS COMÉRCIO E REPRESENTAÇÃO LTDA</t>
  </si>
  <si>
    <t>10.193.608/0001-33</t>
  </si>
  <si>
    <t>065/2014</t>
  </si>
  <si>
    <t>RECMED COMÉRCIO DE MATERIAIS HOSPITALARES LTDA</t>
  </si>
  <si>
    <t>06.696.359/0001-21</t>
  </si>
  <si>
    <t>RECOL DISTRIBUIDORA E COMÉRCIO LTDA</t>
  </si>
  <si>
    <t>STOCK COMERCIAL HOSPITALAR LTDA</t>
  </si>
  <si>
    <t>00.995.371/0001-50</t>
  </si>
  <si>
    <t>30179/2013</t>
  </si>
  <si>
    <t xml:space="preserve">CONVITE  </t>
  </si>
  <si>
    <t>Contratação de Empresa de Engenharia para a Execução do Serviço de Construção do Centro de Convivência, localizado na Rua Santa Rita, Bairro Bahia Nova, Rio Branco – Acre</t>
  </si>
  <si>
    <t>068/2014</t>
  </si>
  <si>
    <t>AZ COMÉRCIO, SERVIÇO E REPRESENTAÇÃO IMP. E EXP. LTDA</t>
  </si>
  <si>
    <t xml:space="preserve">08.078.762/0001-12 </t>
  </si>
  <si>
    <t>01 (RP) e 14 (SUS - Convênio nº 04034583000/1100-10)</t>
  </si>
  <si>
    <t>ALTERAÇÃO DA CLÁUSULA QUINTA - DO VALOR  E SEXTA - DA VIGÊNCIA  DO CONTRATO</t>
  </si>
  <si>
    <t>23891/2013</t>
  </si>
  <si>
    <t>Aquisição de Material de Consumo (Kits Revistinhas)</t>
  </si>
  <si>
    <t>069/2014</t>
  </si>
  <si>
    <t>M. M. PERMANENTES E BENS DE CONSUMO LTDA</t>
  </si>
  <si>
    <t>07.924.474/0001-79</t>
  </si>
  <si>
    <t xml:space="preserve">   </t>
  </si>
  <si>
    <t>1779/2014</t>
  </si>
  <si>
    <t xml:space="preserve">DISPENSA DE LICITAÇÃO </t>
  </si>
  <si>
    <t>Instalação da Unidade de Saúde da Família no Bairro Rui Lino da Secretaria Municipal de Saúde</t>
  </si>
  <si>
    <t>070/2014</t>
  </si>
  <si>
    <t>ANA PAULA DE SOUZA SOBRINHO</t>
  </si>
  <si>
    <t>523.804.912-91</t>
  </si>
  <si>
    <t xml:space="preserve">3.3.90.36.00 </t>
  </si>
  <si>
    <t>2795/2014</t>
  </si>
  <si>
    <t>Contratação de empresa especializada em serviços de Locação de Barcos</t>
  </si>
  <si>
    <t>JOSENILSON MAIA DE LIMA - ME</t>
  </si>
  <si>
    <t xml:space="preserve">05.729.287/0001-09 </t>
  </si>
  <si>
    <t>770/2014</t>
  </si>
  <si>
    <t>Aquisição de Material de Consumo (elétrico, hidráulico e ferramentas)</t>
  </si>
  <si>
    <t>072/2014</t>
  </si>
  <si>
    <t>A. R.  INÁCIO BRAGA - ME</t>
  </si>
  <si>
    <t>03.300.685/0001-80</t>
  </si>
  <si>
    <t>073/2014</t>
  </si>
  <si>
    <t>AC DISTRIBUIDORA IMPORTAÇÃO E EXPORTAÇÃO LTDA</t>
  </si>
  <si>
    <t>ACRE PARAFUSOS IMPORTAÇÃO E EXPORTAÇÃO LTDA</t>
  </si>
  <si>
    <t xml:space="preserve">02.301.164.0001-84 </t>
  </si>
  <si>
    <t>075/2014</t>
  </si>
  <si>
    <t>CODIL IMPORTAÇÃO E EXPORTAÇÃO LTDA</t>
  </si>
  <si>
    <t>04.010.582/0001-48</t>
  </si>
  <si>
    <t>076/2014</t>
  </si>
  <si>
    <t>CONSTRUFÁCIL MATERIAIS PARA CONSTRUÇÃO E SERVIÇOS LTDA</t>
  </si>
  <si>
    <t xml:space="preserve">12.122.811/0001-44 </t>
  </si>
  <si>
    <t>077/2014</t>
  </si>
  <si>
    <t>ELETROFER COMÉRCIO DE MATERIAIS ELETRICOS E CONSTRUÇÃO LTDA</t>
  </si>
  <si>
    <t>13580/2013</t>
  </si>
  <si>
    <t>056/2013</t>
  </si>
  <si>
    <t>Contratação de Empresa Especializada no Fornecimento de Refeições Preparadas e Lanches</t>
  </si>
  <si>
    <t>078/2014</t>
  </si>
  <si>
    <t xml:space="preserve"> CALIL DE OLIVEIRA - ME</t>
  </si>
  <si>
    <t>07.810.876/0001-42</t>
  </si>
  <si>
    <t>01 (R P), 06 (Convênio Federal nº 760547/2011) e 14 (SUS)</t>
  </si>
  <si>
    <t xml:space="preserve"> 06 (Convênio Federal nº 760547/2011)</t>
  </si>
  <si>
    <t>079/2014</t>
  </si>
  <si>
    <t>HELANO LUIZ MONIZ DE ASSIS</t>
  </si>
  <si>
    <t>216.873.402-00</t>
  </si>
  <si>
    <t>080/2014</t>
  </si>
  <si>
    <t>400/2014</t>
  </si>
  <si>
    <t xml:space="preserve"> Menor preço orçado</t>
  </si>
  <si>
    <t>Contratação de Empresa Clínica Radiológica para Prestação de Serviços de Tomada de Radiografia Panorâmica para atender as necessidades da Secretaria Municipal de Saúde</t>
  </si>
  <si>
    <t>081/2014</t>
  </si>
  <si>
    <t>M. A. VALVERDE &amp; SANTOS LTDA</t>
  </si>
  <si>
    <t xml:space="preserve">07.616.992/0001-25 </t>
  </si>
  <si>
    <t>Artigo 24, inciso V da Lei nº. 8.666/1993</t>
  </si>
  <si>
    <t>Contratação do Serviço de Transporte com condutor, veículo tipopick-up (item 07)</t>
  </si>
  <si>
    <t>082/2014</t>
  </si>
  <si>
    <t>JODERLANI DE MOURA SILVA</t>
  </si>
  <si>
    <t>573.720.122-87</t>
  </si>
  <si>
    <t>083/2014</t>
  </si>
  <si>
    <t>2621/2014</t>
  </si>
  <si>
    <t>Aquisição de Material de Proteção Individual (Protetor Solar)</t>
  </si>
  <si>
    <t>085/2014</t>
  </si>
  <si>
    <t>D &amp; D PRODUTOS DE HIGIENE E LIMPEZA LTDA</t>
  </si>
  <si>
    <t>11.372.104/0001-43</t>
  </si>
  <si>
    <t>31260/2013</t>
  </si>
  <si>
    <t>Aquisição de Material Permanente (Tablet)</t>
  </si>
  <si>
    <t>ACRE COMÉRCIO IMPORTAÇÃO E EXPORTAÇÃO LTDA</t>
  </si>
  <si>
    <t>13.831.827/0001-99</t>
  </si>
  <si>
    <t>Rescisão unilateral do Contrato nº. 086/2014,
com base nos arts.77 e 78, inciso I, c/c o art.79, inciso I, todos da Lei nº.8.666/93.</t>
  </si>
  <si>
    <t>2623/2014</t>
  </si>
  <si>
    <t>Aquisição de Produtos de Uso Veterinário</t>
  </si>
  <si>
    <t>087/2014</t>
  </si>
  <si>
    <t>DEL CORSO INDÚSTRIA COMÉRCIO E REPRESENTAÇÃO LTDA</t>
  </si>
  <si>
    <t>01.973.242/0001-24</t>
  </si>
  <si>
    <t>088/2014</t>
  </si>
  <si>
    <t>VETERINÁRIA SUL CATARINENSE LTDA</t>
  </si>
  <si>
    <t>07.266.548/0001-27</t>
  </si>
  <si>
    <t>28807/2013</t>
  </si>
  <si>
    <t>074/2013</t>
  </si>
  <si>
    <t>089/2014</t>
  </si>
  <si>
    <t>CALURINO FERRAZ MIRANDA</t>
  </si>
  <si>
    <t>1 (R P), 7 (Convênio Estadual) e 14 (SUS).</t>
  </si>
  <si>
    <t>2221/2014</t>
  </si>
  <si>
    <t>CONCORRÊNCIA</t>
  </si>
  <si>
    <t>contratação de empresa de engenharia para execução de serviços de construção da policlínica barral y barral, no bairro estação experimental, município de Rio Branco – Acre</t>
  </si>
  <si>
    <t>090/2014</t>
  </si>
  <si>
    <t>LOGUS ARQUITETURA E CONSTRUÇÕES LTDA</t>
  </si>
  <si>
    <t>06.072.344/0001-92</t>
  </si>
  <si>
    <t>01 (R P) e 06 (Convênio Federal – Contrato de Repasse nº 389.578-97/2012)MS</t>
  </si>
  <si>
    <t xml:space="preserve"> 06 (Convênio Federal – Contrato de Repasse nº 389.578-97/2012)MS</t>
  </si>
  <si>
    <t>Alteração da CLÁUSULA QUINTA– DO VALOR DO CONTRATO – EMPENHO E DOTAÇÃO,acrescendo ao valor originalmente contratado a importância de R$ 3.173,52 (três mil cento e setenta e três reais e cinquenta e dois centavos),correspondentea0,09% (zero vírgula zero nove por cento), e, suprimindodo valor originalmente contratado a importância de R$ 2.828,44 (dois mil oitocentos e vinte e oito reais e quarenta e quatro centavos), correspondente a0,08% (zero vírgula zero oito por cento), perfazendo a diferença de R$ 345,08(trezentos e quarenta e cinco reais e oito centavos) a ser acrescidodo valor contratado conforme adequação solicitada através do Ofício nº 1.397/GAB/SEOP.</t>
  </si>
  <si>
    <t>Alteração daCLÁUSULA QUINTA– DO VALOR DO CONTRATO – EMPENHO E DOTAÇÃO,suprimindodo valor originalmente contratado a importância de R$ 812,53 (oitocentos e doze reais e cinquenta e três centavos), conforme adequação solicitada pela Secretaria Municipal de Obras Públicas.</t>
  </si>
  <si>
    <t xml:space="preserve">Alteração da CLÁUSULA QUINTA– DO VALOR DO CONTRATO – EMPENHO E DOTAÇÃO,acrescendo serviços no valor de R$329.007,28 (trezentos e vinte e nove mil e sete reais e vinte e oito centavos), e, suprindo serviços no valor de R$ 45.290,87(quarenta e cinco mil duzentos e noventa reais e  oitenta e sete centavos), perfazendo a diferença de R$ 283.716,41 (duzentos e oitenta e três mil setecentos e dezesseis reais e quarenta e um centavos) a ser acrescido do valor originalmente contratado, conforme adequação apresentada através do oficio nº 2.77./GAB/SEOP. </t>
  </si>
  <si>
    <t xml:space="preserve"> Alteração da CLÁUSULA QUINTA – DO VALOR DO CONTRATO – EMPENHO E DOTAÇÃO, para realização do reajuste contratual com base no Índice Nacional da Construção Civil – INCC, que perfaz o valor de R$ 214.201,43 (duzentos e quatorze mil duzentos
e um reais e quarenta e três centavos), devendo o mesmo ser acrescido ao valor do Contrato, conforme cálculos apresentados pela Secretaria Municipal de Obras Públicas, Parecer da Procuradoria Geral do Município e art. 65, inciso II, alínea “d”, da Lei nº. 8.666/93.</t>
  </si>
  <si>
    <t>18705/2014</t>
  </si>
  <si>
    <t>Contratação de Empresa paraAplicação de Películas em janelas e portas das Unidades de Saúde</t>
  </si>
  <si>
    <t>091/2014</t>
  </si>
  <si>
    <t>L. M. C. DO NASCIMENTO</t>
  </si>
  <si>
    <t>02.904.053/0001-62</t>
  </si>
  <si>
    <t>14 (SUS)</t>
  </si>
  <si>
    <t>Artigo 24 e 62 , inciso II da Lei nº. 8.666/1993</t>
  </si>
  <si>
    <t>10595/2014</t>
  </si>
  <si>
    <t>Contratação de empresa de engenharia para a execução de serviços de construção de unidade básica de saúde porte I av. presidente médice/rua da vila dos oficiais da aeronautica, s/n, bairro comara , Rio Branco – Acre</t>
  </si>
  <si>
    <t>EXPEDITO C. CAVALCANTE - ME</t>
  </si>
  <si>
    <t>84.303.742/0001-86</t>
  </si>
  <si>
    <t>01 (R P) e 14 (SUS – Proposta nº 84317.205000/1130-16)</t>
  </si>
  <si>
    <t xml:space="preserve">Alteração das CLÁUSULAS QUINTA E SEXTA,
acrescendo a importância de R$ 19.219,50 (dezenove mil duzentos e dezenove reais e cinquenta centavos), e, suprimindo a importância de  R$12.189,50 (doze mil cento e oitenta e nove reais e cinquenta centavos), perfazendo a diferença de R$ 7.030,00 (sete mil e trinta reais) a ser acrescida
do valor originalmente contratado; prorrogando a vigência do contrato original por mais 30 (trinta) dias, conforme justificativas apresentadas
através do Ofício nº 2.600/GAB/SEOP e Ofício nº 050/DECON/SEOP.
</t>
  </si>
  <si>
    <t>alteração da CLÁUSULASEXTA – DA VIGÊNCIA DO CONTRATO, prorrogando a vigência do contrato original por mais 60 (sessenta) dias</t>
  </si>
  <si>
    <t>11604/2014</t>
  </si>
  <si>
    <t>Contratação de Empresa Especializada naPrestação de Serviços de Locação de Sistema Bulk Ink em Impressoras</t>
  </si>
  <si>
    <t>093/2014</t>
  </si>
  <si>
    <t>10594/2014</t>
  </si>
  <si>
    <t>CONTRATAÇÃO DE EMPRESA DE ENGENHARIA PARA A EXECUÇÃO DE SERVIÇOS DE CONSTRUÇÃO DE UNIDADE BÁSICA DE SAÚDE PORTE I NO RAMAL BOM JESUS, RUA MACHADO DE ASSIS, Nº 174, BAIRRO VILA ACRE, RIO BRANCO – ACRE</t>
  </si>
  <si>
    <t>094/2014</t>
  </si>
  <si>
    <t>CONSTRUTORA MOREIRA DA COSTA LTDA</t>
  </si>
  <si>
    <t xml:space="preserve">11.346.090/0001-93 </t>
  </si>
  <si>
    <t>01 (R P) e 14 (SUS – Proposta nº 84317.205000/1130-14)</t>
  </si>
  <si>
    <t xml:space="preserve"> Alteração das CLÁUSULAS QUINTA E SEXTA,
acrescendo a importância de R$ 27.391,50 (vinte e sete mil trezentos e noventa e um reais e cinquenta centavos), e, suprimindo a importância de R$ 11.904,59 (onze mil novecentos e quatro reais e cinquenta e nove centavos), perfazendo a diferença de R$ 15.486,91 (quinze mil quatrocentos e oitenta e seis e noventa e um centavos) a ser acrescida do valor originalmente contratado; prorrogando a vigência do contrato original por mais 90 (noventa) dias, e prorrogando o prazo de execução dos serviços por mais 90 (noventa) dias, conforme justificativa presentada através do Ofício nº 2.465/GAB/SEOP</t>
  </si>
  <si>
    <t>10585/2014</t>
  </si>
  <si>
    <t>contratação de empresa de engenharia para a execução de serviços de construção da unidade básica de saúde porte i na rua da paz, s/n, bairro belo jardim ii, Rio Branco – Acre</t>
  </si>
  <si>
    <t>095/2014</t>
  </si>
  <si>
    <t>01 (R P) e 14 (SUS – Proposta nº 84317.205000/1130-05)</t>
  </si>
  <si>
    <t>Alteração da CLÁUSULA SEXTA – DA VIGÊNCIA
DO CONTRATO, prorrogando a vigência do contrato original por mais 6(seis) meses, e prorrogando o prazo de execução dos serviços por mais 5 (cinco) meses</t>
  </si>
  <si>
    <t>10596/2014</t>
  </si>
  <si>
    <t>Contratação de empresa de engenharia para a execução de serviços de construção de unidade básica de saúde porte I na travessa milton lucena, s/n, bairro floresta sul,Rio Branco – Acre.</t>
  </si>
  <si>
    <t>Az Comércio, Serviço E Representação Importação E Exportação Ltda</t>
  </si>
  <si>
    <t>08.078.762/0001-12</t>
  </si>
  <si>
    <t>01 (R P) e 14 (SUS – Proposta nº 84317.205000/1130-17)</t>
  </si>
  <si>
    <t>Alteração da CLÁUSULA SEXTA – DA VIGÊNCIA DO CONTRATO, prorrogando a vigência do contrato original por mais 5 (cinco) meses, e prorrogando o prazo de execução dos serviços por mais 5 (cinco) meses, conforme justificativa apresentada através do Ofício nº 044/DECON/SEOP.</t>
  </si>
  <si>
    <t>10588/2014</t>
  </si>
  <si>
    <t>Contratação de empresa de engenharia para a execução de serviços de construção de unidade básica de saúde porte i na rua das rosas, s/n, bairro jardim primavera, Rio Branco – Acre.</t>
  </si>
  <si>
    <t>AZ COMÉRCIO, SERVIÇO E REPRESENTAÇÃO IMPORTAÇÃO E EXPORTAÇÃO LTDA</t>
  </si>
  <si>
    <t>01 (R P) e 14 (SUS – Proposta nº 84317.205000/1130-09)</t>
  </si>
  <si>
    <t>Alteração da CLÁUSULA SEXTA – DA VIGÊNCIA
DO CONTRATO, prorrogando a vigência do contrato original por mais 6 (seis) meses, e prorrogando o prazo de execução dos serviços por mais
5 (cinco) meses, conforme justificativa apresentada através do Ofício nº 042/DECON/SEOP.</t>
  </si>
  <si>
    <t>24582/2013</t>
  </si>
  <si>
    <t>2184/2014</t>
  </si>
  <si>
    <t>Aquisição de Servidor (Equipamento de Informática)</t>
  </si>
  <si>
    <t>099/2014</t>
  </si>
  <si>
    <t>C. COM INFORMÁTICA IMPORTAÇÃO EXPORTAÇÃO COMÉRCIO E INDÚSTRIA LTDA</t>
  </si>
  <si>
    <t>27612/2013</t>
  </si>
  <si>
    <t>091/2013</t>
  </si>
  <si>
    <t>Contratação de Empresa Especializada no Fornecimento de Material Gráfico</t>
  </si>
  <si>
    <t>100/2014</t>
  </si>
  <si>
    <t>F. B. AMORIM JÚNIOR - ME</t>
  </si>
  <si>
    <t>01 (RP), 06 (Convênio Federal nº 760547/2011) e 14 (SUS)</t>
  </si>
  <si>
    <t xml:space="preserve">3.3.90.30.00 </t>
  </si>
  <si>
    <t>alteração daCLÁUSULA TERCEIRA - DO PREÇO E CONDIÇÕES DE PAGAMENTO, acrescendo aproximadamente 6,44% (seis vírgula quarenta e quatro por cento) ao valor do contrato,que perfaz o montante de R$ 2.125,00(dois mil cento e vinte e cinco reais), referente a quantidade acrescida de 10 (dez)páginas por unidade nas especificações dos itens 14 e 15.</t>
  </si>
  <si>
    <t>101/2014</t>
  </si>
  <si>
    <t>P. L. MARTINI - ME</t>
  </si>
  <si>
    <t>102/2014</t>
  </si>
  <si>
    <t>MULT GRAF INDÚSTRIA GRÁFICA, EDITORA E COMÉRCIO LTDA</t>
  </si>
  <si>
    <t>10.176.343/0001-65</t>
  </si>
  <si>
    <t>103/2014</t>
  </si>
  <si>
    <t>RBM SALLES - EIRELI</t>
  </si>
  <si>
    <t>17.483.369/0001-03</t>
  </si>
  <si>
    <t>A presente rescisão encontra-se motivada no MEMO/Nº. 029/GAB./2014 da Divisão de Comunicação, na Notificação publicada no D.O.E. nº 11.396, Parecer Jurídico nº. 117/2014 e Decisão
do dia 30 de setembro de 2014</t>
  </si>
  <si>
    <t>104/2014</t>
  </si>
  <si>
    <t>CORDEIRO E BATISTA LTDA</t>
  </si>
  <si>
    <t>105/2014</t>
  </si>
  <si>
    <t>M. C. CAVALCANTE OLIVEIRA - ME</t>
  </si>
  <si>
    <t>17.483.432/0001-01</t>
  </si>
  <si>
    <t>A presente rescisão encontra-se motivadano MEMO/Nº. 029/GAB./2014 da Divisão de Comunicação, na Notificação publicada no D.O.E. nº 11.399, Parecer Jurídico nº. 118/2014 e Decisão do dia 03 de outubro de 2014.</t>
  </si>
  <si>
    <t>106/2014</t>
  </si>
  <si>
    <t>A. M. LIMA - ME</t>
  </si>
  <si>
    <t>11.209.953/0001-80</t>
  </si>
  <si>
    <t>107/2014</t>
  </si>
  <si>
    <t>S. L. DE CASTRO - ME</t>
  </si>
  <si>
    <t>108/2014</t>
  </si>
  <si>
    <t>INDÚSTRIA GRÁFICA IMEDIATA LTDA</t>
  </si>
  <si>
    <t>08.755.013/0001-82</t>
  </si>
  <si>
    <t>15610/2014</t>
  </si>
  <si>
    <t xml:space="preserve">CONVITE </t>
  </si>
  <si>
    <t>Contratação De Empresa De Engenharia Para Execução De Serviços De Ampliação Da Urap São Francisco, Localizada Na Rua Joaquim Macedo, Nº 26, Bairro São Francisco, Rio Branco – Acre</t>
  </si>
  <si>
    <t>109/2014</t>
  </si>
  <si>
    <t xml:space="preserve">18.818.216/0001-24 </t>
  </si>
  <si>
    <t>01 (RP) e 14 (SUS – Proposta nº 84317.205000/1130-19).</t>
  </si>
  <si>
    <t>AMPLIAÇÃO</t>
  </si>
  <si>
    <t xml:space="preserve">Alteração da CLÁUSULA SEXTA - DA VIGÊNCIA  do contrato original </t>
  </si>
  <si>
    <t>ALTERAÇÃO DA CLÁUSULA QUINTA do valor  DO CONTRATO - EMPENHO E  DOTAÇÃO  DO VALOR</t>
  </si>
  <si>
    <t>10592/2014</t>
  </si>
  <si>
    <t>Contratação De Empresa De Engenharia Para A Execução De Serviços De Construção De Unidade Básica De Saúde Porte I Na Estrada Do Amapá, Ramal Do Gurgel, Loteamento Kamailla, Bairro Amapá, Rio Branco – Acre</t>
  </si>
  <si>
    <t>110/2014</t>
  </si>
  <si>
    <t>CONSTRUTORA VIANA LTDA</t>
  </si>
  <si>
    <t xml:space="preserve">08.230.254/0001-08 </t>
  </si>
  <si>
    <t>01 (RP) e 14 (SUS – Proposta nº 84317.205000/1130-12)</t>
  </si>
  <si>
    <t xml:space="preserve"> Alteração da CLÁUSULA SEXTA – DA VIGÊNCIA DO CONTRATO, prorrogando a vigência do contrato original por mais 5 (cinco) meses, e prorrogando o prazo de execução dos serviços por mais 5 (cinco) meses, conforme justificativa apresentada através do Ofício nº 039/DECON/SEOP.</t>
  </si>
  <si>
    <t xml:space="preserve"> Alteração da CLÁUSULA QUINTA – DO VALOR DO CONTRATO – EMPENHO E DOTAÇÃO DO VALOR, acrescendo serviços no valor de R$ 78.787,07 (setenta e oito mil setecentos e oitenta e sete reais e sete centavos), e, suprimindo serviços no valor de R$ 40.222,78 (quarenta mil duzentos e vinte e dois reais e setenta e oito centavos), perfazendo a diferença de R$ 38.564,29 (trinta e oito mil quinhentos e sessenta e quatro reais e vinte e nove centavos) a ser acrescido do valor originalmente contratado, conforme adequação
apresentada através do Ofício nº 2.792/GAB/SEOP</t>
  </si>
  <si>
    <t>10591/2014</t>
  </si>
  <si>
    <t>Contratação De Empresa De Engenharia Para A Execução De Serviços De Construção De Unidade Básica De Saúde Porte I Na Estrada Da Sobral, Rua Da Sanacre, S/N, Bairro Sobral, Rio Branco – Acre</t>
  </si>
  <si>
    <t>111/2014</t>
  </si>
  <si>
    <t>Construtora Sol Nascente Ltda</t>
  </si>
  <si>
    <t xml:space="preserve">84.326.628/0001-71 </t>
  </si>
  <si>
    <t>01 (RP) e 14 (SUS – Proposta nº 84317.205000/1130-11)</t>
  </si>
  <si>
    <t>Alteração da CLÁUSULA SEXTA – DA VIGÊNCIA
DO CONTRATO, prorrogando a vigência do contrato original por mais 2(dois) meses, e prorrogando o prazo de execução dos serviços por mais 2 (dois) meses</t>
  </si>
  <si>
    <t>10584/2014</t>
  </si>
  <si>
    <t>Contratação De Empresa De Engenharia Para A Execução De Serviços De Construção De Unidade Básica De Saúde Porte I Na Rua Primavera, Nº 38, Bairro Belo Jardim I, Rio Branco – Acre</t>
  </si>
  <si>
    <t>112/2014</t>
  </si>
  <si>
    <t>01 (RP) e 14 (SUS – Proposta nº 84317.205000/1130-15)</t>
  </si>
  <si>
    <t>10582/2014</t>
  </si>
  <si>
    <t>Contratação De Empresa De Engenharia Para A Execução De Serviços De Construção De Unidade Básica De Saúde Porte I Na Rua Caxias, Nº 57, Bairro Quinze, Rio Branco – Acre</t>
  </si>
  <si>
    <t>113/2014</t>
  </si>
  <si>
    <t>01 (RP) e 14 (SUS – Proposta nº 84317.205000/1130-02)</t>
  </si>
  <si>
    <t xml:space="preserve"> Alteração da CLÁUSULA SEXTA – DA VIGÊNCIA DO CONTRATO, prorrogando a vigência do contrato original por mais 180 (cento e oitenta) dias, conforme justificativa apresentada através do
Ofício nº 055/DECON/SEOP.</t>
  </si>
  <si>
    <t>Até que seja identificada e regularizada nova área para ser implantada a Unidade Básica de Saúde, e que não haja prejuizo na execução do cronograma contratual e início da obra.</t>
  </si>
  <si>
    <t>15605/2014</t>
  </si>
  <si>
    <t>Contratação De Empresa De Engenharia Para Execução De Serviços De Ampliação Da Urap Francisco Roney Rodrigues Meireles, Localizada No Bairro Adalberto Sena, Rio Branco – Acre</t>
  </si>
  <si>
    <t>114/2014</t>
  </si>
  <si>
    <t>01 (RP) e 14 (SUS – Proposta nº 84317.205000/1130-21)</t>
  </si>
  <si>
    <t xml:space="preserve">Alteração da cláusula sexta - da vigência  do contrato </t>
  </si>
  <si>
    <t xml:space="preserve"> Alteração da CLÁUSULA SEXTA – DA VIGÊNCIA DO CONTRATO, prorrogando a vigência do contrato original por mais 45 (quarenta e cinco) dias, conforme justificativa solicitada através do Ofício nº
041/DECON/SEOP. </t>
  </si>
  <si>
    <t>Alteração da CLÁUSULA QUINTA – DO VALOR DO
CONTRATO – EMPENHO E DOTAÇÃO DO VALOR, acrescendo serviços no valor de R$ 35.489,25 (trinta e cinco mil quatrocentos e oitenta e nove reais e vinte e cinco centavos), e, suprimindo serviços no valor de R$ 6.687,23 (seis mil seiscentos e oitenta e sete reais e vinte e três centavos), perfazendo a diferença de R$ 28.802,02 (vinte e oito mil oitocentos e dois reais e dois centavos) a ser acrescido do valor originalmente contratado,
conforme adequação apresentada através do Ofício nº 2.813/GAB/SEOP.</t>
  </si>
  <si>
    <t>Alteração da CLÁUSULA SEXTA – DA VIGÊNCIA DO CONTRATO, prorrogando a vigência do contrato original por mais 45 (quarenta e cinco) dias, conforme justificativa solicitada através do
Ofício nº 062/DECON/SEOP.</t>
  </si>
  <si>
    <t>15608/2014</t>
  </si>
  <si>
    <t>Contratação De Empresa De Engenharia Para Execução De Serviços De Ampliação Da Urap Eduardo Asmar, Localizada No Bairro Quinze, Rio Branco – Acre</t>
  </si>
  <si>
    <t>115/2014</t>
  </si>
  <si>
    <t>Construacre e Serviços Ltda</t>
  </si>
  <si>
    <t xml:space="preserve">10.895.561/0001-50 </t>
  </si>
  <si>
    <t>01 (RP) e 14 (SUS – Proposta nº 84317.205000/1130-22)</t>
  </si>
  <si>
    <t>Alteração da CLÁUSULA QUINTA – DO VALOR DO CONTRATO – EMPENHO E DOTAÇÃO DO VALOR,acrescendo serviços no valor de R$ 17.411,68 (dezessete mil quatrocentos e onze reais e sessenta e oito centavos), correspondente a 29,40% (vinte nove vírgula quarenta por cento),conforme Planilha de Adequaçãoapresentada através do Ofício nº 2.373/GAB/SEOP.</t>
  </si>
  <si>
    <t xml:space="preserve"> Alteração da CLÁUSULA SEXTA – DA VIGÊNCIA
DO CONTRATO, prorrogando a vigência do contrato original por mais 30 (trinta) dias, conforme justificativa solicitada através do Ofício nº 047/
DECON/SEOP.</t>
  </si>
  <si>
    <t>13093/2014</t>
  </si>
  <si>
    <t>Aquisição de VeículoTipo Van</t>
  </si>
  <si>
    <t>116/2014</t>
  </si>
  <si>
    <t>Acrediesel Comercial De Veículos Ltda</t>
  </si>
  <si>
    <t>04.043.949/0001-20</t>
  </si>
  <si>
    <t>06 (Convênio Federal nº 152/PCN/2013) e 1 (RP –Contrapartida Conv. N.º 152/PCN/2013)</t>
  </si>
  <si>
    <t xml:space="preserve">06 (Convênio Federal nº 152/PCN/2013) </t>
  </si>
  <si>
    <t>14110/2014</t>
  </si>
  <si>
    <t>Aquisição de Impressoras Térmicas</t>
  </si>
  <si>
    <t>117/2014</t>
  </si>
  <si>
    <t>S &amp; S Comércio E Representação De Tintas Ltda</t>
  </si>
  <si>
    <t xml:space="preserve">44.90.52.00  e 33.90.30.00 </t>
  </si>
  <si>
    <t>Aquisição de suprimentos para impressora térmica</t>
  </si>
  <si>
    <t>118/2014</t>
  </si>
  <si>
    <t>M.S. MOREIRA-ME</t>
  </si>
  <si>
    <t>22371/2014</t>
  </si>
  <si>
    <t>empreitada por preço global</t>
  </si>
  <si>
    <t>prestação de serviços técnicos especializados com vistas à organização e a realização de Concurso Público para provimento 136 (cento e trinta e seis) vagas de cargos efetivos da Secretaria Municipal de Saúde</t>
  </si>
  <si>
    <t>119/2014</t>
  </si>
  <si>
    <t>FUNDAÇÃO PROFESSOR CARLOS AUGUSTO BITTENCOURT – FUNCAB</t>
  </si>
  <si>
    <t>05.843.211/0001-00</t>
  </si>
  <si>
    <t>oriundos da arrecadação das taxas de inscrição dos candidatos ao concurso público</t>
  </si>
  <si>
    <t>Artigo 24, Inciso XIII, da Lei nº. 8.666/1993</t>
  </si>
  <si>
    <t>10219/2014</t>
  </si>
  <si>
    <t>Aquisição de Material de Consumo (Elétrico)</t>
  </si>
  <si>
    <t>120/2014</t>
  </si>
  <si>
    <t>ELENORTE COMÉRCIO DE MATERIAIS ELETRICOS E DE CONSTRUÇÃO LTDA</t>
  </si>
  <si>
    <t>121/2014</t>
  </si>
  <si>
    <t>30567/2013</t>
  </si>
  <si>
    <t>Aquisição de Material Permanente Hospitalar</t>
  </si>
  <si>
    <t>122/2014</t>
  </si>
  <si>
    <t>FANEM LTDA</t>
  </si>
  <si>
    <t>61.100.244/0001-30</t>
  </si>
  <si>
    <t xml:space="preserve">4.4.90.52.00 </t>
  </si>
  <si>
    <t>123/2014</t>
  </si>
  <si>
    <t>124/2014</t>
  </si>
  <si>
    <t>125/2014</t>
  </si>
  <si>
    <t>ATAS BRASIL COMERCIO E REPRESENTAÇOES LTDA</t>
  </si>
  <si>
    <t>14.214.413/0001-83</t>
  </si>
  <si>
    <t>126/2014</t>
  </si>
  <si>
    <t>63.607.790/0001-98</t>
  </si>
  <si>
    <t>127/2014</t>
  </si>
  <si>
    <t>LIFE PRODUTOS E EQUIPAMENTOS DE LIMPEZA E HOSPITALARES LTDA</t>
  </si>
  <si>
    <t>05.580.502/0001-52</t>
  </si>
  <si>
    <t>128/2014</t>
  </si>
  <si>
    <t>COMÉRCIO DE MATERIAIS MÉDICOS HOSPITALARES MACROSUL LTDA</t>
  </si>
  <si>
    <t>95.433.397/0001-11</t>
  </si>
  <si>
    <t>129/2014</t>
  </si>
  <si>
    <t>M &amp; Z INDÚSTRIA E COMÉRCIO LTDA</t>
  </si>
  <si>
    <t>130/2014</t>
  </si>
  <si>
    <t>DENTAL ALTA MOGIANA COMÉRCIO DE PRODUTOS ODONTOLÓGICOS LTDA</t>
  </si>
  <si>
    <t>04.375.249/0001-03</t>
  </si>
  <si>
    <t>131/2014</t>
  </si>
  <si>
    <t>MÓVEIS ANDRADE INDUSTRIA E COMÉRCIO DE MÓVEIS HOSPITALARES LTDA</t>
  </si>
  <si>
    <t>04.910.323/0001-73</t>
  </si>
  <si>
    <t>14027/2014</t>
  </si>
  <si>
    <t>Contratação De Empresa De Engenharia Para A Execução De Serviços De Construção De Unidade Básica De Saúde Porte II Na Avenida Epaminondas Jácome Esquina Com A Rua Santa Catarina, Bairro Cadeia Velha, Rio Branco – Acre</t>
  </si>
  <si>
    <t>132/2014</t>
  </si>
  <si>
    <t>CONSTRUTORA MOTA &amp; MOTA LTDA</t>
  </si>
  <si>
    <t xml:space="preserve">07.622.497/0001-29 </t>
  </si>
  <si>
    <t>01 (Recurso Próprio) e 14 (SUS – Proposta nº 84317.205000/1130-04)</t>
  </si>
  <si>
    <t>29/02/2015</t>
  </si>
  <si>
    <t>LIDER CONSTRUÇÕES LTDA</t>
  </si>
  <si>
    <t>10587/2014</t>
  </si>
  <si>
    <t>Contratação De Empresa De Engenharia Para A Execução De Serviços De Construção De Unidade Básica De Saúde Porte I Na Rua Domingos De Medeiros, S/N, Bairro Placido De Castro, Rio Branco – Acre</t>
  </si>
  <si>
    <t>133/2014</t>
  </si>
  <si>
    <t>11.346.090/0001-93</t>
  </si>
  <si>
    <t>01 (RP) e 14 (SUS – Proposta nº 84317.205000/1130-06)</t>
  </si>
  <si>
    <t xml:space="preserve"> Alteração da CLÁUSULA SEXTA – DA VIGÊNCIA DO CONTRATO, prorrogando a vigência do contrato original por mais 3 (três) meses, e prorrogando o prazo de execução dos serviços por mais 3 (três) meses, conforme justificativa apresentada através do Ofício nº 2.765/GAB/SEOP.</t>
  </si>
  <si>
    <t>18723/2014</t>
  </si>
  <si>
    <t>Contratação De Empresa De Engenharia Para A Execução De Serviços De Construção De Unidade Básica De Saúde Porte I Na Rua Rio Grande Do Sul, Nº 1.494, Bairro Preventório, Rio Branco – Acre</t>
  </si>
  <si>
    <t>134/2014</t>
  </si>
  <si>
    <t>BELA VISTA CONSTRUÇÕES COMÉRCIO E REPRESENTAÇÕES LTDA</t>
  </si>
  <si>
    <t xml:space="preserve">05.531.473/0001-39 </t>
  </si>
  <si>
    <t xml:space="preserve"> Alteração da CLÁUSULA SEXTA – DA VIGÊNCIA DO CONTRATO, prorrogando o contrato original por mais 120 (cento e vinte) dias, e prorrogando o prazo de execução dos serviços por mais 90 (noventa) dias, conforme justificativa solicitada através do Ofício nº
040/DECON/SEOP.</t>
  </si>
  <si>
    <t>18356/2014</t>
  </si>
  <si>
    <t>135/2014</t>
  </si>
  <si>
    <t>10860/2014</t>
  </si>
  <si>
    <t>136/2014</t>
  </si>
  <si>
    <t>137/2014</t>
  </si>
  <si>
    <t>D. L. RAMOS - ME</t>
  </si>
  <si>
    <t>05.146.814/0001-52</t>
  </si>
  <si>
    <t>138/2014</t>
  </si>
  <si>
    <t>J. R. ASSESSORIA E COMÉRCIO LTDA</t>
  </si>
  <si>
    <t>139/2014</t>
  </si>
  <si>
    <t>L. A. SOM LTDA</t>
  </si>
  <si>
    <t>05.928.420/0001-56</t>
  </si>
  <si>
    <t>140/2014</t>
  </si>
  <si>
    <t>141/2014</t>
  </si>
  <si>
    <t>S &amp; S COMÉRCIO E REPRESENTAÇÃO DE TINTAS LTDA</t>
  </si>
  <si>
    <t xml:space="preserve">07.338.922/0001-52 </t>
  </si>
  <si>
    <t>142/2014</t>
  </si>
  <si>
    <t>TECMAQ LTDA</t>
  </si>
  <si>
    <t>27576/2013</t>
  </si>
  <si>
    <t>Contratação de empresa especializada em fornecimento de combustível (diesel comum S-10), para atender as demandas da Secretaria Municipal de Saúde</t>
  </si>
  <si>
    <t>143/2014</t>
  </si>
  <si>
    <t>AUTO POSTO TREVO LTDA</t>
  </si>
  <si>
    <t>Alteração da CLÁUSULA TERCEIRA - DO PREÇO E CONDIÇÕES DE PAGAMENTO, acrescendo ao valor
contratado 21,12% (vinte e um vírgula doze por cento), que perfaz o valor de R$ 37.002,24 (trinta e sete mil dois reais e vinte e quatro centavos),
referente a quantidade de 12.672 litros de combustível diesel, com amparo legal previsto no § 1º do art. 65 da Lei nº 8.666/93.</t>
  </si>
  <si>
    <t>144/2014</t>
  </si>
  <si>
    <t>06 (Convênio Federal nº 760547/2011)</t>
  </si>
  <si>
    <t>17200/2013</t>
  </si>
  <si>
    <t>057/2013</t>
  </si>
  <si>
    <t>Fornecimento de Cartucho e Toner, para atender as demandas da Secretaria Municipal de Saúde, do município de Rio Branco/AC</t>
  </si>
  <si>
    <t>145/2014</t>
  </si>
  <si>
    <t>146/2014</t>
  </si>
  <si>
    <t>ESTAÇÃO DA RECARGA PRODUTOS PARA INFORMÁTICA LTDA</t>
  </si>
  <si>
    <t xml:space="preserve">84.329.531/0001-12 </t>
  </si>
  <si>
    <t>147/2014</t>
  </si>
  <si>
    <t>SERMATEC COMÉRCIO E SERVIÇOS IMP. E EXP. LTDA</t>
  </si>
  <si>
    <t>04.439.665/0001-57</t>
  </si>
  <si>
    <t>18371/2014</t>
  </si>
  <si>
    <t>Aquisição de Equipamentos de Proteção Individual – EPI</t>
  </si>
  <si>
    <t>148/2014</t>
  </si>
  <si>
    <t>22428/2014</t>
  </si>
  <si>
    <t>Aquisição de Material de Consumo (Etiquetas Térmicas),para impressão do Cartão Nacional de Saúde</t>
  </si>
  <si>
    <t>149/2014</t>
  </si>
  <si>
    <t xml:space="preserve">01 (RP) </t>
  </si>
  <si>
    <t>150/2014</t>
  </si>
  <si>
    <t>151/2014</t>
  </si>
  <si>
    <t>30359/2014</t>
  </si>
  <si>
    <t>Menor preço orçado</t>
  </si>
  <si>
    <t>Aquisição de Ácido Tricloroacético</t>
  </si>
  <si>
    <t>152/2014</t>
  </si>
  <si>
    <t>VERDE VIDA FÓRMULAS MÉDICAS LTDA</t>
  </si>
  <si>
    <t>10.231.523/0001-00</t>
  </si>
  <si>
    <t>3.3.90.32.00</t>
  </si>
  <si>
    <t>Art. 24, Inciso II, da Lei 8.666/93</t>
  </si>
  <si>
    <t>19633/2014</t>
  </si>
  <si>
    <t>Aquisição de Material Permanente (impressora)</t>
  </si>
  <si>
    <t>153/2014</t>
  </si>
  <si>
    <t>J. C. DE LIMA FILHO – EIRELI – ME</t>
  </si>
  <si>
    <t>15.675.651/0001-59</t>
  </si>
  <si>
    <t>26348/2014</t>
  </si>
  <si>
    <t>Serviço de Transporte de Caminhão Tipo Baú, com Condutor destinado ao transporte de medicamentos para as Unidades de Saúde no município de Rio Branco</t>
  </si>
  <si>
    <t>154/2014</t>
  </si>
  <si>
    <t>DENIS CARLOS PAULINO SOLON</t>
  </si>
  <si>
    <t>643.965.172-20</t>
  </si>
  <si>
    <t>26192/2013</t>
  </si>
  <si>
    <t>Aquisição de produtos para recém-nascidos (Kit Bebê)</t>
  </si>
  <si>
    <t>155/2014</t>
  </si>
  <si>
    <t>J. S. COMÉRCIO IMPORTAÇÃO E EXPORTAÇÃO LTDA</t>
  </si>
  <si>
    <t>156/2014</t>
  </si>
  <si>
    <t>O BRITO DE OLIVEIRA</t>
  </si>
  <si>
    <t xml:space="preserve">10.605.999/0001-56 </t>
  </si>
  <si>
    <t>157/2014</t>
  </si>
  <si>
    <t>ROBERTH &amp; SOUSA LTDA</t>
  </si>
  <si>
    <t>24546/2014</t>
  </si>
  <si>
    <t xml:space="preserve">Tomada de Preços </t>
  </si>
  <si>
    <t>CONTRATAÇÃO DE EMPRESA DE ENGENHARIA PARA A EXECUÇÃO DE SERVIÇOS DE CONSTRUÇÃO DE UNIDADE BÁSICA DE SAÚDE PORTE IV NA ESTRADA DA SOBRAL, Nº 1.1757, RIO BRANCO – ACRE</t>
  </si>
  <si>
    <t>158/2014</t>
  </si>
  <si>
    <t>01 (RP) e 14 (SUS) – Proposta nº 84317.205000/1130-10)</t>
  </si>
  <si>
    <t>Construção</t>
  </si>
  <si>
    <t>10223/2014</t>
  </si>
  <si>
    <t>Aquisição de Material Permanente (Informática)</t>
  </si>
  <si>
    <t>159/2014</t>
  </si>
  <si>
    <t>Centerdata Análises de Sistemas e Serviços Ltda</t>
  </si>
  <si>
    <t xml:space="preserve">02.596.872/0001-90 </t>
  </si>
  <si>
    <t>160/2014</t>
  </si>
  <si>
    <t>161/2014</t>
  </si>
  <si>
    <t xml:space="preserve">02.950.813/0001-78 </t>
  </si>
  <si>
    <t>13.614/2014</t>
  </si>
  <si>
    <t>Contratação de Empresa Especializada na Prestação de Serviços de Carregador</t>
  </si>
  <si>
    <t>162/2014</t>
  </si>
  <si>
    <t>14.287.122/0001–15</t>
  </si>
  <si>
    <t>22594/2014</t>
  </si>
  <si>
    <t>163/2014</t>
  </si>
  <si>
    <t>Recmed Comércio De Materiais Hospitalares Ltda</t>
  </si>
  <si>
    <t>01 (RP), 14 (SUS) e 15 Convênio do Estado)</t>
  </si>
  <si>
    <t>164/2014</t>
  </si>
  <si>
    <t>Dimaster Comércio De Produtos Hospitalares Ltda</t>
  </si>
  <si>
    <t>02.520.829/0001-40</t>
  </si>
  <si>
    <t>165/2014</t>
  </si>
  <si>
    <t>Recol Distribuidora E Comércio Ltda</t>
  </si>
  <si>
    <t>166/2014</t>
  </si>
  <si>
    <t>RB Distribuidora e Com. de Consumo, Medicamentos e Merc. em Geral Ltda</t>
  </si>
  <si>
    <t>167/2014</t>
  </si>
  <si>
    <t>Distribuidora Brasil Comércio De Produtos Médicos E Hospitalares Ltda</t>
  </si>
  <si>
    <t>168/2014</t>
  </si>
  <si>
    <t>Anbioton Importadora Ltda</t>
  </si>
  <si>
    <t>169/2014</t>
  </si>
  <si>
    <t>Hospfar Indústria E Comércio De Produtos Hospitalares Ltda</t>
  </si>
  <si>
    <t>26.921.908/0001-21</t>
  </si>
  <si>
    <t>170/2014</t>
  </si>
  <si>
    <t>Novasul Comércio De Produtos Hospitalares Ltda</t>
  </si>
  <si>
    <t>14.595.725/0001-84</t>
  </si>
  <si>
    <t>26429/2014</t>
  </si>
  <si>
    <t>Aquisição de Material Permanente de Informática</t>
  </si>
  <si>
    <t>A. Tadeu de Almeida Importação e Exportação</t>
  </si>
  <si>
    <t>84.648.484/0001-70</t>
  </si>
  <si>
    <t xml:space="preserve"> Alteração da CLÁUSULA TERCEIRA - DO PREÇO E
CONDIÇÕES DE PAGAMENTO, acrescendo ao valor contratado 25% (vinte e cinco por cento), que perfaz o valor de R$ 4.790,00 (quatro mil e setecentos
e noventa reais), referente a quantidade acrescida de 1 unidade de Notebook (item 11), devendo o referido valor ser somado ao valor inicialmente contratado, com amparo legal previsto no § 1º do art. 65 da Lei nº 8.666/93.</t>
  </si>
  <si>
    <t xml:space="preserve">Aquisição de Material Permanente </t>
  </si>
  <si>
    <t>172/2014</t>
  </si>
  <si>
    <t>173/2014</t>
  </si>
  <si>
    <t>J.R. Assessoria E Comércio Ltda</t>
  </si>
  <si>
    <t>174/2014</t>
  </si>
  <si>
    <t>Recmed Comércio de Materiais Hospitalares Ltd</t>
  </si>
  <si>
    <t>23738/2014</t>
  </si>
  <si>
    <t>Contratação de Empresa para Prestação de Serviços Terceirizados de Segurança e Vigilância Patrimonial Armada</t>
  </si>
  <si>
    <t>178/2014</t>
  </si>
  <si>
    <t xml:space="preserve">3.3.90.39.00 </t>
  </si>
  <si>
    <t>35.872/2014</t>
  </si>
  <si>
    <t>DISPENSA DE LICITAÇÃO</t>
  </si>
  <si>
    <t>179/2014</t>
  </si>
  <si>
    <t>Artigo 24, inciso V da Lei nº. 8.666/1993  e suas alterações</t>
  </si>
  <si>
    <t>28047/2014</t>
  </si>
  <si>
    <t>Contratação de empresa de engenharia para a execução de serviços de construção de unidade de acolhimento, no Bairro Vila Acre, Rio Branco – Acre</t>
  </si>
  <si>
    <t>180/2014</t>
  </si>
  <si>
    <t>Bela Vista Construções Comércio E Representações Ltda</t>
  </si>
  <si>
    <t>01 (RP) e 14 (SUS – Proposta nº 84317.205000/1130-26)</t>
  </si>
  <si>
    <t>181/2014</t>
  </si>
  <si>
    <t>Dental Rio Branco Ltda</t>
  </si>
  <si>
    <t>182/2014</t>
  </si>
  <si>
    <t>Labnorte Cirúrgica e Diagnóstica Ltda</t>
  </si>
  <si>
    <t>Atas Brasil Comercio e Representaçoes Ltda</t>
  </si>
  <si>
    <t>184/2014</t>
  </si>
  <si>
    <t>Braga &amp; Braga Importação e Exportação Ltda</t>
  </si>
  <si>
    <t>185/2014</t>
  </si>
  <si>
    <t>Life Produtos e Equipamentos de Limpeza e Hospitalares Ltda</t>
  </si>
  <si>
    <t>186/2014</t>
  </si>
  <si>
    <t>Comércio de Materiais Médicos Hospitalares Macrosul Ltda</t>
  </si>
  <si>
    <t>187/2014</t>
  </si>
  <si>
    <t>M &amp; Z Indústria e Comércio Ltda</t>
  </si>
  <si>
    <t>188/2014</t>
  </si>
  <si>
    <t>Dental Alta Mogiana Comércio de Produtos Odontológicos Ltda</t>
  </si>
  <si>
    <t>40.484/2014</t>
  </si>
  <si>
    <t>Contratação de pessoa jurídica especializada para realização de pesquisa intitulada Vigilância de Acidente e Violência – VIVA Inquérito 2014, a ser executada no Hospital de Urgência e Emergência de Rio Branco – HUERB, visando a implementação do Sistema de Vigilância de Violência e Acidente, no âmbito do Sistema Único de Saúde, na busca da prevenção da morbimortalidade por esses agravos.</t>
  </si>
  <si>
    <t>189/2014</t>
  </si>
  <si>
    <t>FUNDAÇÃO DE APOIO E DESENVOLVI-
MENTO AO ENSINO, PESQUISA E EXTENSÃO UNIVERSITÁRIA NO ACRE - FUNDAPE</t>
  </si>
  <si>
    <t>02.646.829/0001-91</t>
  </si>
  <si>
    <t>14 (SUS - Portaria nº 708/2014 - Ministério da Saúde)</t>
  </si>
  <si>
    <t>Inciso XIII do art.24 da Lei nº 8.
666/93 e suas alterações</t>
  </si>
  <si>
    <t>11395 DOE 180 DOU</t>
  </si>
  <si>
    <t>31695/2014</t>
  </si>
  <si>
    <t>Aquisição de Pneus</t>
  </si>
  <si>
    <t>190/2014</t>
  </si>
  <si>
    <t>Auge Pneus Transportes e Armazenagem Ltda</t>
  </si>
  <si>
    <t>05.391.917/0001-88</t>
  </si>
  <si>
    <t>27373/2013</t>
  </si>
  <si>
    <t>036/2013</t>
  </si>
  <si>
    <t>Técnica e Preço</t>
  </si>
  <si>
    <t>Contratação de prestação de serviços de profissionais especializados para ministrar aulas na capacitação em Assistência Domiciliar para profissionais de saúde e familiares de idosos.</t>
  </si>
  <si>
    <t>191/2014</t>
  </si>
  <si>
    <t>Andressa Nogueira Ribeiro Lira</t>
  </si>
  <si>
    <t xml:space="preserve">766.844.072-00 </t>
  </si>
  <si>
    <t>06 (Convênio Federal nº 760547/2011).</t>
  </si>
  <si>
    <t>192/2014</t>
  </si>
  <si>
    <t>Rosangela Nazaré da Silva Freitas</t>
  </si>
  <si>
    <t xml:space="preserve">188.781.482-53 </t>
  </si>
  <si>
    <t>29318/2014</t>
  </si>
  <si>
    <t>prestação de serviços de profissionais especializados para ministrar aulas na capacitação em assistência domiciliar para profissionais de saúde e familiares de idosos</t>
  </si>
  <si>
    <t>193/2014</t>
  </si>
  <si>
    <t>Danielle da Silva Santana</t>
  </si>
  <si>
    <t xml:space="preserve">884.487.972-72 </t>
  </si>
  <si>
    <t>Inciso V do art.24 da Lei nº 8.
666/93 e suas alterações</t>
  </si>
  <si>
    <t>194/2014</t>
  </si>
  <si>
    <t>682.320.982-87</t>
  </si>
  <si>
    <t>195/2014</t>
  </si>
  <si>
    <t>Francilene Costa Galvão</t>
  </si>
  <si>
    <t>908.856.863-49</t>
  </si>
  <si>
    <t>Iriah Freitas Muniz Dantas</t>
  </si>
  <si>
    <t>029.807.304-83</t>
  </si>
  <si>
    <t>197/2014</t>
  </si>
  <si>
    <t>H. L. MONIZ DE ASSIS</t>
  </si>
  <si>
    <t>07.191.799/0001-90</t>
  </si>
  <si>
    <t>25387/2014</t>
  </si>
  <si>
    <t>Menor Preço (Maior Percentual de Desconto)</t>
  </si>
  <si>
    <t xml:space="preserve">Contratação de Empresa de Engenharia para Execução de Serviços de Manutenção Predial Preventiva e Corretiva, nas Unidades de
Saúde da Família, localizadas no Município de Rio Branco-Acre.       </t>
  </si>
  <si>
    <t>198/2014</t>
  </si>
  <si>
    <t>Euro Construções Ltda</t>
  </si>
  <si>
    <t xml:space="preserve">05.687.069/0001-89 </t>
  </si>
  <si>
    <t>Manutenção Predial Preventiva e Corretiva</t>
  </si>
  <si>
    <t>29263/2014</t>
  </si>
  <si>
    <t xml:space="preserve">Dispensa de Licitação </t>
  </si>
  <si>
    <t xml:space="preserve">Aquisição de Medicamentos </t>
  </si>
  <si>
    <t>199/2014</t>
  </si>
  <si>
    <t>Dimaster Comércio de Produtos Hospitalares Ltda.</t>
  </si>
  <si>
    <t>01 (R P), 14 (SUS) e 15 (Convênio do Estado)</t>
  </si>
  <si>
    <t>Inciso V do art.24 da Lei nº 8.666/93 e suas alterações</t>
  </si>
  <si>
    <t>200/2014</t>
  </si>
  <si>
    <t>Recol Distribuidora e Comércio Ltda</t>
  </si>
  <si>
    <t>201/2014</t>
  </si>
  <si>
    <t>202/2014</t>
  </si>
  <si>
    <t>Disacre Comércio e Representação Imp. e Exp. Ltda</t>
  </si>
  <si>
    <t>203/2014</t>
  </si>
  <si>
    <t>AC DISTRIBUIDORA IMPORTAÇÃO E EXPORTAÇÃO LTDA.</t>
  </si>
  <si>
    <t>42909/2014</t>
  </si>
  <si>
    <t>Prestação de serviço de seguro total para os veículos da frota da Secretaria Municipal de Saúde de Rio Branco/AC</t>
  </si>
  <si>
    <t>204/2014</t>
  </si>
  <si>
    <t>Itaú Seguros de Auto e Residência S.A.</t>
  </si>
  <si>
    <t>08.816.067/0001-00</t>
  </si>
  <si>
    <t>44099/2014</t>
  </si>
  <si>
    <t>TERMO DE ADESÃO   Pregão Eletrônico SRP nº 276/2013</t>
  </si>
  <si>
    <t>Aquisição de Veículos Automotores tipo Pick-up, visando atender as necessidades da Secretaria Municipal de Saúde - SEMSA.</t>
  </si>
  <si>
    <t>205/2014</t>
  </si>
  <si>
    <t>Agro Norte Importação e Exportação Ltda</t>
  </si>
  <si>
    <t xml:space="preserve">Instituto de Meio Ambiente do Acre - IMAC </t>
  </si>
  <si>
    <t>206/2014</t>
  </si>
  <si>
    <t>207/2014</t>
  </si>
  <si>
    <t>208/2014</t>
  </si>
  <si>
    <t>209/2014</t>
  </si>
  <si>
    <t>210/2014</t>
  </si>
  <si>
    <t>211/2014</t>
  </si>
  <si>
    <t>12102/2014</t>
  </si>
  <si>
    <t xml:space="preserve">CONCORRÊNCIA SRP </t>
  </si>
  <si>
    <t>Contratação de Empresa Especializada em Tratamentos de Resíduos Químicos, na prestação dos serviços de coleta, transporte e tratamentos, usando técnicas de incineração e redução de volume, assim como a destinação final em aterro sanitário, realizados de forma continuada para a Secretaria Municipal de Saúde de Rio Branco – SEMSA</t>
  </si>
  <si>
    <t>212/2014</t>
  </si>
  <si>
    <t>PAZ AMBIENTAL LTDA</t>
  </si>
  <si>
    <t>10.331.864/0001-94</t>
  </si>
  <si>
    <t>37559/2014</t>
  </si>
  <si>
    <t>Contratação de Serviços de Reprografia (cópias simples, cópia colorida, cópia e confecção de chaves, encadernação, e carimbo), com a finalidade de atender as necessidades da Secretaria Municipal de Saúde - SEMSA</t>
  </si>
  <si>
    <t>213/2014</t>
  </si>
  <si>
    <t>DIGICÓPIAS LTDA</t>
  </si>
  <si>
    <t>06.234.024/0001-91</t>
  </si>
  <si>
    <t>01 (RP) e 14 (Repasse Fundo a Fundo pelo SUS)</t>
  </si>
  <si>
    <t>214/2014</t>
  </si>
  <si>
    <t xml:space="preserve">01 (RP), 14 (SUS) </t>
  </si>
  <si>
    <t>215/2014</t>
  </si>
  <si>
    <t>29235/2013</t>
  </si>
  <si>
    <t>216/2014</t>
  </si>
  <si>
    <t>217/2014</t>
  </si>
  <si>
    <t>47435/2014</t>
  </si>
  <si>
    <t>Aquisição de veículo tipo PickUp, para atender às necessidades da Secretaria Municipal de Saúde</t>
  </si>
  <si>
    <t>218/2014</t>
  </si>
  <si>
    <t>219/2014</t>
  </si>
  <si>
    <t>S. L. DE CASTRO</t>
  </si>
  <si>
    <t>220/2014</t>
  </si>
  <si>
    <t>Policópias Serviços Comércio e Representações Ltda</t>
  </si>
  <si>
    <t>221/2014</t>
  </si>
  <si>
    <t>J. J. DE SOUZA LTDA</t>
  </si>
  <si>
    <t>02.600.308/0001-42</t>
  </si>
  <si>
    <t>49646/2014</t>
  </si>
  <si>
    <t xml:space="preserve"> 010/2014</t>
  </si>
  <si>
    <t xml:space="preserve">TERMO DE ADESÃO 
PREGÃO SRP Nº 004/2014
</t>
  </si>
  <si>
    <t>Aquisição de materiais permanentes, com montagem e/ou instalação, para as necessidades da Secretaria Municipal de Saúde</t>
  </si>
  <si>
    <t>http://www.mp.ac.gov.br</t>
  </si>
  <si>
    <t>222/2014</t>
  </si>
  <si>
    <t xml:space="preserve">  TECMAQ LTDA</t>
  </si>
  <si>
    <t>Ministério Público do Estado do Acre - MPAC</t>
  </si>
  <si>
    <t>223/2014</t>
  </si>
  <si>
    <t>225/2014</t>
  </si>
  <si>
    <t>226/2014</t>
  </si>
  <si>
    <t>227/2014</t>
  </si>
  <si>
    <t>228/2014</t>
  </si>
  <si>
    <t>229/2014</t>
  </si>
  <si>
    <t>230/2014</t>
  </si>
  <si>
    <t>231/2014</t>
  </si>
  <si>
    <t>232/2014</t>
  </si>
  <si>
    <t>233/2014</t>
  </si>
  <si>
    <t>234/2014</t>
  </si>
  <si>
    <t>235/2014</t>
  </si>
  <si>
    <t>123190056/2012</t>
  </si>
  <si>
    <t>LOCAÇÃO DE IMÓVEL PARA INSTALAÇÃO DA USF FLORESTA SUL</t>
  </si>
  <si>
    <t>009/2006</t>
  </si>
  <si>
    <t>MARIA MARLENE ALVES DE SOUZA</t>
  </si>
  <si>
    <t>339.680.202-00</t>
  </si>
  <si>
    <t>07.08.2006</t>
  </si>
  <si>
    <t>06.08.2007</t>
  </si>
  <si>
    <t>Alteração das Cláusulas segunda - PRAZO, terceira - VALOR MENSALe décima-sexta - VALOR GLOBAL, do contrato original</t>
  </si>
  <si>
    <t>Alteração das CLÁUSULAS SEGUNDA, TERCEIRA  E DÉCIMA SEXTA, prorrogando a vigência do contrato por mais 12 (doze) meses e reajustando o valor mensal que passará a ser R$ 714,18 (setecentos e quatorze reais e dezoito centavos), totalizando o
valor global aditado R$ 8.570,16 (oito mil quinhentos e setenta reais e dezesseis centavos).</t>
  </si>
  <si>
    <t>123180202/2012</t>
  </si>
  <si>
    <t>LOCAÇÃO DE IMÓVEL PARA INSTALAÇÃO DA USF JOÃO PAULO</t>
  </si>
  <si>
    <t>018/2006</t>
  </si>
  <si>
    <t>FRANCISCO BENTO ANTUNIS DIAS</t>
  </si>
  <si>
    <t>521.957.672-00</t>
  </si>
  <si>
    <t>25.09.2006</t>
  </si>
  <si>
    <t>24.09.2007</t>
  </si>
  <si>
    <t xml:space="preserve">Fica RESCINDIDO, o Contrato n.º 018/2006, firmado em 25/09/2006, cuja finalidade era a Instalação da Unidade de Saúde da Família João Paulo, situada na Rua 8 de dezembro, nº.329 - Bairro: João Paulo,
destinados a atender as ações da SEMSA.
PÁRAGRAFO ÚNICO – A presente rescisão encontra-se motivada pelo Memorando n.º 186/DRL/SEMSA/2014, de 23 de outubro de 2014, do
Departamento de Recursos Logísticos.
</t>
  </si>
  <si>
    <t>123420071/2012</t>
  </si>
  <si>
    <t>LOCAÇÃO DE IMÓVEL PARA INSTALAÇÃO DA USF NOVO CALAFATE</t>
  </si>
  <si>
    <t>022/2006</t>
  </si>
  <si>
    <t>JÚLIA BECERRA OLIVEIRA DE MOURA</t>
  </si>
  <si>
    <t>420.825.602-87</t>
  </si>
  <si>
    <t>Fica RESCINDIDO, o VIII Termo Aditivo ao Contrato n.º 022/2006, firmado em 31/12/2013, cuja finalidade era a Instalação da USF Novo Calafate, localizada na Rua Mizael Martins n.º 459 – Novo Calafate, destinados a atender as ações da SEMSA.
PÁRAGRAFO ÚNICO – A presente rescisão encontra-se motivada pelo MEMO/ n.º 01/DRL/SEMSA/2014, de 21 de janeiro de 2014, da Divisão de Apoio Logístico.</t>
  </si>
  <si>
    <t>123310144/2012</t>
  </si>
  <si>
    <t>Instalação da Unidade de Saúde da Família Quinze I</t>
  </si>
  <si>
    <t>007/2008</t>
  </si>
  <si>
    <t>MARIA EDITH DE LIMA MARTINS</t>
  </si>
  <si>
    <t>316.521.902-87</t>
  </si>
  <si>
    <t xml:space="preserve">Fica RESCINDIDO, o VI Termo Aditivo ao Contrato Nº 007/2008, firmado em 31/12/2013, cuja finalidade era a Instalação da Unidade de Saúde da Família Quinze I, localizada na Rua Adolfo Barbosa Leite, nº
438 - Bairro: Quinze, destinado a atender as ações da SEMSA.
PÁRAGRAFO ÚNICO – A presente rescisão encontra-se motivada pelo MEMO/ n.º 63/DRL/SEMSA/2014, de 11 de abril de 2014, da Divisão de Apoio Logístico.
</t>
  </si>
  <si>
    <t>123350114/2012</t>
  </si>
  <si>
    <t>LOCAÇÃO DE IMÓVEL PARA INSTALAÇÃO DA DIVISÃO DE TRANSPORTES</t>
  </si>
  <si>
    <t>HENRIQUE DA COSTA FERREIRA</t>
  </si>
  <si>
    <t>005.718.222-15</t>
  </si>
  <si>
    <t>18.09.2008</t>
  </si>
  <si>
    <t>31.12.2008</t>
  </si>
  <si>
    <t xml:space="preserve"> Alteração das Cláusulas segunda - PRAZO, terceira - VALOR MENSALe décima-sexta - VALOR GLOBAL, do contrato original</t>
  </si>
  <si>
    <t>Alteração das CLÁUSULAS SEGUNDA, TERCEIRA  E DÉCIMA SEXTA, prorrogando a vigência do contrato por mais 12 (doze) meses e reajustando o valor mensal que passará a ser R$ 11.673,55 (onze mil seiscentos e setenta e três reais e cinquenta e cinco
centavos), totalizando o valor global aditado R$ 140.082,60 (cento e quarenta mil oitenta e dois reais e sessenta centavos).</t>
  </si>
  <si>
    <t>92890020/2009</t>
  </si>
  <si>
    <t xml:space="preserve">019/2009 </t>
  </si>
  <si>
    <t>REGISTRO DE PREÇO - PREGÃO</t>
  </si>
  <si>
    <t>082/2009</t>
  </si>
  <si>
    <t xml:space="preserve">CHRISTIANE OLIVEIRA CARVALHO </t>
  </si>
  <si>
    <t>616.266.782-00</t>
  </si>
  <si>
    <t>31.12.2009</t>
  </si>
  <si>
    <t xml:space="preserve">Alteração da CLÁUSULA QUARTA - PRAZO DE VIGÊNCIA DO REGISTRO DE PREÇOS e  do contrato original </t>
  </si>
  <si>
    <t>092710108/2009</t>
  </si>
  <si>
    <t xml:space="preserve">017/2009 </t>
  </si>
  <si>
    <t xml:space="preserve">Registro de Preço - Pregão </t>
  </si>
  <si>
    <t>Serviços de Locação de Transportes (Locação de Veículo Pick-Up Cabine Dupla com condutor, marca TOYOTA HILUX CD 4x4, Diesel, Placa MZO 6556)</t>
  </si>
  <si>
    <t>057/2009</t>
  </si>
  <si>
    <t xml:space="preserve">Stênio Oliveira Carvalho </t>
  </si>
  <si>
    <t>659.577.682-00</t>
  </si>
  <si>
    <t xml:space="preserve">Alteração da CLÁUSULA QUARTA - PRAZO DE VIGÊNCIA DO REGISTRO DE PREÇOS e  do contrato original  </t>
  </si>
  <si>
    <t>Serviços de Locação de Transportes (Locação de Veículo Pick-Up Cabine Dupla com condutor, Marca F-250 XLT 4x4, ano 2009/2010, Placa NAB 2058)</t>
  </si>
  <si>
    <t>081/2009</t>
  </si>
  <si>
    <t xml:space="preserve">JENNER PESSOA FONTES DA SILVA </t>
  </si>
  <si>
    <t>233.520.192-15</t>
  </si>
  <si>
    <t>123190064/2012</t>
  </si>
  <si>
    <t>LOCAÇÃO DE IMÓVEL PARA INSTALAÇÃO DA USF MONTANHES</t>
  </si>
  <si>
    <t>VALDEMIR LIMA DA SILVA</t>
  </si>
  <si>
    <t>484.456.572-91</t>
  </si>
  <si>
    <t>Fica RESCINDIDO, o V Termo Aditivo ao Contrato n.º 010/2009, firmado em 31/12/2013, cuja finalidade era a Instalação da USF no Bairro Montanhês, localizada na Rua Raimundo Melo n.º 241 – Bairro Montanhês,destinados a atender as ações da SEMSA
PÁRAGRAFO ÚNICO – A presente rescisão encontra-se motivada peloMEMO/ n.º 45/DRL/SEMSA/2014, de 24 de março de 2014, da Divisãode Apoio Logístico</t>
  </si>
  <si>
    <t>LOCAÇÃO DE IMÓVEL PARA INSTALAÇÃO DA USFAIRTON SENNA II</t>
  </si>
  <si>
    <t>015/2009</t>
  </si>
  <si>
    <t>SILVANA LENTZ DA COSTA</t>
  </si>
  <si>
    <t>990.732.262-87</t>
  </si>
  <si>
    <t>Alteração das CLÁUSULAS SEGUNDA, TERCEIRA  E DÉCIMA SEXTA, prorrogando a vigência do contrato por mais 12 (doze) meses e reajustando o valor mensal que passará a ser R$ 713,14 (setecentos e treze reais e quatorze centavos), totalizando o valor
global aditado R$ 8.557,68 (oito mil quinhentos e cinquenta e sete reais e sessenta e oito centavos).</t>
  </si>
  <si>
    <t>LOCAÇÃO DE IMÓVEL PARA INSTALAÇÃO DA FARMÁCIA POPULAR DO BRASIL</t>
  </si>
  <si>
    <t>023/2009</t>
  </si>
  <si>
    <t>JOSÉ ALBERTO PAZ EPP</t>
  </si>
  <si>
    <t>84.327.105/0001-40</t>
  </si>
  <si>
    <t>Alteração das CLÁUSULAS SEGUNDA, TERCEIRA E DÉCIMA SEXTA, prorrogando a vigência do contrato por mais 12 (doze) meses e reajustando o valor mensal que passará a ser R$ 5.830,55 (cinco mil oitocentos e trinta reais e cinquenta e cinco centavos), totalizando o valor global aditado R$ 69.966,60 (sessenta e nove mil novecentos e sessenta e seis reais e sessenta centavos).</t>
  </si>
  <si>
    <t>LOCAÇÃO DE IMÓVEL PARA INSTALAÇÃO DA USF PLÁCIDO DE CASTRO</t>
  </si>
  <si>
    <t>018/2009</t>
  </si>
  <si>
    <t>KEILA APARECIDA MENDONÇA DOS SANTOS</t>
  </si>
  <si>
    <t>434.154.072-68</t>
  </si>
  <si>
    <t>22/07/2009</t>
  </si>
  <si>
    <t>alteração das CLÁUSULAS SEGUNDA, TERCEIRA E DÉCIMA SEXTA, prorrogando a vigência do contrato por mais 12 (doze) meses e reajustando o valor mensal que passará a ser R$ 592,90 (quinhentos e noventa e dois reais e noventa centavos), totalizando o valor global aditado R$ 7.114,80 (sete mil cento e quatorze reais e oitenta centavos)</t>
  </si>
  <si>
    <t>LOCAÇÃO DE IMÓVEL PARA INSTALAÇÃO DA USF CIDADE NOVA II</t>
  </si>
  <si>
    <t>006/2009</t>
  </si>
  <si>
    <t>MARIA LUZINETE MORAES DE OLIVEIRA</t>
  </si>
  <si>
    <t>444.188.922-49</t>
  </si>
  <si>
    <t>Alteração das CLÁUSULAS SEGUNDA, TERCEIRA E DÉCIMA SEXTA, prorrogando a vigência do contrato por mais 6 (seis) meses e reajustando o valor mensal que passará a ser R$ 665,46 (seiscentos e sessenta e cinco reais e quarenta e seis centavos), totalizando o valor global aditado R$ 3.992,76 (três mil  ovecentos
e noventa e dois reais e setenta e seis centavos).</t>
  </si>
  <si>
    <t>LOCAÇÃO DE IMÓVEL PARA INSTALAÇÃO DO DEPARTAMENTO DE GESTÃO DE PESSOAS</t>
  </si>
  <si>
    <t>001/2009</t>
  </si>
  <si>
    <t>ADAUTO ALVES BANDEIRA</t>
  </si>
  <si>
    <t>Alteração das Cláusulas segunda - PRAZO, terceira - VALOR MENSAL e décima-sexta - VALOR GLOBAL, do contrato original</t>
  </si>
  <si>
    <t>Art.24,  da Lei 8666/93 e suas alterações</t>
  </si>
  <si>
    <t>9.991</t>
  </si>
  <si>
    <t>Alterar a Cláusula Décima Sexta  - Valor Gobal do Contrato original</t>
  </si>
  <si>
    <t xml:space="preserve">Alteração das CLÁUSULAS SEGUNDA, TERCEIRA
E DÉCIMA SEXTA, prorrogando a vigência do contrato por mais 12 (doze) meses e reajustando o valor mensal que passará a ser R$ 6.425,36 (seis mil quatrocentos e vinte e cinco reais e trinta e seis centavos), totalizando o valor global aditado R$ 77.104,32 (setenta e sete mil cento e quatro reais e trinta e dois centavos). </t>
  </si>
  <si>
    <t>LOCAÇÃO DE IMÓVEL PARA INSTALAÇÃO DA USF TAQUARI II</t>
  </si>
  <si>
    <t>014/2010</t>
  </si>
  <si>
    <t>FRANCISCA EDINÉIA DE OLIVEIRA DOS SANTOS</t>
  </si>
  <si>
    <t>795.882.122-00</t>
  </si>
  <si>
    <t>Art.24, inciso X    da Lei 8666/93 e suas alterações</t>
  </si>
  <si>
    <t xml:space="preserve">Fica RESCINDIDO, ao Contrato n.º 014/2010, firmado em 31/12/2013, cuja finalidade era a Instalação da USF Taquari II, localizada na Rua Passeio, n.º 603 – Bairro Taquari, destinados a atender as ações da SEMSA.
PÁRAGRAFO ÚNICO –A presente rescisão encontra-se motivada peloMEMO/ n.º 84/DRL/SEMSA/2014, de 12 de maio de 2014, da Divisão de Apoio Logístico
</t>
  </si>
  <si>
    <t>LOCAÇÃO DE IMÓVEL PARA INSTALAÇÃO DA USF SEIS DE AGOSTO II</t>
  </si>
  <si>
    <t>013/2010</t>
  </si>
  <si>
    <t>JOSÉ CÉLIO CRUZ DE SOUZA</t>
  </si>
  <si>
    <t>581.412.782-15</t>
  </si>
  <si>
    <t xml:space="preserve">     </t>
  </si>
  <si>
    <t>Art.24,  inciso X   da Lei 8666/93 e suas alterações</t>
  </si>
  <si>
    <t>Alteração das CLÁUSULAS SEGUNDA, TERCEIRA E DÉCIMA SEXTA, prorrogando a vigência do contrato por mais 12 (doze) meses e reajustando o valor mensal que passará a ser R$ 558,70 (quinhentos e cinquenta e oito reais e setenta centavos), totalizando o valor global aditado R$ 6.704,40 (seis mil setecentos e quatro reais e quarenta centavos).</t>
  </si>
  <si>
    <t>LOCAÇÃO DE IMÓVEL PARA INSTALAÇÃO DO ALMOXARIFADO</t>
  </si>
  <si>
    <t>Art.24,  inciso X  da Lei 8666/93 e suas alterações</t>
  </si>
  <si>
    <t>Alteração das CLÁUSULAS SEGUNDA, TERCEIRA E DÉCIMA SEXTA, prorrogando a vigência do contrato por mais 12 (doze) meses e reajustando o valor mensal que passará a ser R$ 7.128,31 (sete mil cento e vinte e oito reais e trinta e um centavos),
totalizando o valor global aditado R$ 85.539,72 (oitenta e cinco mil quinhentos e trinta e nove reais e setenta e dois centavos).</t>
  </si>
  <si>
    <t>LOCAÇÃO DE IMÓVEL PARA INSTALAÇÃO DA USF COMARA</t>
  </si>
  <si>
    <t>001/2011</t>
  </si>
  <si>
    <t>ELZA BARBOSA DE OLIVEIRA</t>
  </si>
  <si>
    <t>060.709.902-00</t>
  </si>
  <si>
    <t xml:space="preserve"> Alteração das CLÁUSULAS SEGUNDA, TERCEIRA
E DÉCIMA SEXTA, prorrogando a vigência do contrato por mais 12 (doze) meses e reajustando o valor mensal que passará a ser R$ 1.243,85 (um mil duzentos e quarenta e três reais e oitenta e cinco centavos), totalizando o valor global aditado R$ 14.926,20 (quatorze mil novecentos e vinte e seis reais e vinte centavos) </t>
  </si>
  <si>
    <t>LOCAÇÃO DE IMÓVEL PARA INSTALAÇÃO DA USF RECANTO II</t>
  </si>
  <si>
    <t>MARLOM MAUCO DE OLIVEIRA MARTINS</t>
  </si>
  <si>
    <t>494.881.122-04</t>
  </si>
  <si>
    <t xml:space="preserve"> Alteração das CLÁUSULAS SEGUNDA, TERCEIRA
E DÉCIMA SEXTA, prorrogando a vigência do contrato por mais 12 (doze) meses e reajustando o valor mensal que passará a ser R$ 981,61 (novecentos e oitenta e um reais e sessenta e um centavos),
totalizando o valor global aditado R$ 11.779,32 (onze mil setecentos e setenta e nove reais e trinta e dois centavos). </t>
  </si>
  <si>
    <t>077/2010</t>
  </si>
  <si>
    <t>Serviço de transporte com condutor</t>
  </si>
  <si>
    <t>214/2011</t>
  </si>
  <si>
    <t>JENNER PESSOA FONTES DA SILVA</t>
  </si>
  <si>
    <t xml:space="preserve">233.520.192-15 </t>
  </si>
  <si>
    <t xml:space="preserve">Alteração da CLÁUSULA QUARTA DO PRAZO DE VIGÊNCIA DO REGISTRO DE PREÇOS e do contrato original </t>
  </si>
  <si>
    <t>alteração da CLÁUSULA QUARTA – DO PRAZO DE VIGÊNCIA DO REGISTRO DE PREÇO E DO CONTRATO, prorrogando o contrato original por mais 12 (doze) meses</t>
  </si>
  <si>
    <t>LOCAÇÃO DE IMÓVEL PARA INSTALAÇÃO DA ASSISTÊNCIA FARMACÊUTICA</t>
  </si>
  <si>
    <t>SILDO BARBOSA GOMES DE FREITAS</t>
  </si>
  <si>
    <t>020.425.762-04</t>
  </si>
  <si>
    <t>Art.24,   inciso X  da Lei 8666/93 e suas alterações</t>
  </si>
  <si>
    <t>alteração das CLÁUSULAS SEGUNDA, TERCEIRA E DÉCIMA SEXTA, prorrogando a vigência do contrato por mais 12 (doze) meses e reajustando o valor mensal que passará a ser R$ 5.338,20 (cinco mil trezentos e trinta e oito reais e vinte centavos), totalizando o valor global aditado R$ 64.058,40 (sessenta e quatro mil cinquenta e oito reais e quarenta centavos)</t>
  </si>
  <si>
    <t>LOCAÇÃO DE IMÓVEL PARA INSTALAÇÃO DA USF AMAPÁ</t>
  </si>
  <si>
    <t>003/2011</t>
  </si>
  <si>
    <t>SEBASTIANA BARBOSA DE LIMA</t>
  </si>
  <si>
    <t>563.709.972-34</t>
  </si>
  <si>
    <t>Alteração das CLÁUSULAS SEGUNDA, TERCEIRA
E DÉCIMA SEXTA, prorrogando a vigência do contrato por mais 12 (doze) meses e reajustando o valor mensal que passará a ser R$ 1.417,99 (um mil quatrocentos e dezessete reais e noventa e nove centavos), totalizando o valor global aditado R$ 17.015,88 (dezessete mil quinze reais e oitenta e oito centavos).</t>
  </si>
  <si>
    <t>111450173/2011</t>
  </si>
  <si>
    <t>004/2011</t>
  </si>
  <si>
    <t>TERMO DE ADESÃO REGISTRO DE PREÇOS Nº 024/2010</t>
  </si>
  <si>
    <t>Contratação de empresa especializada em locação de impressora/fotocopiadora colorida, monocromática e a laser, incluindo serviços de manutenção preventiva e corretiva com fornecimento de suprimentos</t>
  </si>
  <si>
    <t>118/2011</t>
  </si>
  <si>
    <t>R.S FREITAS JUCÁ -ME</t>
  </si>
  <si>
    <t xml:space="preserve">Alteração da CLÁUSULA QUARTA DO PRAZO DE VIGÊNCIA DO REGISTRO DE PREÇOS E DO CONTRATO  original </t>
  </si>
  <si>
    <t>CONSELHO GESTOR DO LABORATÓRIO CENTRAL DE SAÚDE PUBLICA DO ESTADO DO ACRE</t>
  </si>
  <si>
    <t>alteração da CLÁUSULA QUARTA – DO PRAZO DE VIGÊNCIA DO REGISTRO DE PREÇO E DO CONTRATO, prorrogando o contrato original por mais 7 (sete) meses</t>
  </si>
  <si>
    <t>LOCAÇÃO DE IMÓVEL PARA INSTALAÇÃO DO ALMOXARIFADO V</t>
  </si>
  <si>
    <t>FRANCISCO AFONSO GONÇALVES DE FREITAS</t>
  </si>
  <si>
    <t>138.144.862-34</t>
  </si>
  <si>
    <t>alteração das CLÁUSULAS SEGUNDA, TERCEIRA E DÉCIMA SEXTA, prorrogando a vigência do contrato por mais 12 (doze) meses e reajustando o valor mensal que passará a ser R$ 5.027,23 (cinco mil vinte e sete reais e vinte e três centavos), totalizando o valor global aditado R$ 60.326,76 (sessenta mil trezentos e vinte e seis reais e setenta e seis centavos)</t>
  </si>
  <si>
    <t xml:space="preserve">               </t>
  </si>
  <si>
    <t>LOCAÇÃO DE IMPOVEL PARA INSTALAÇÃO DA REDE DE FRIOS</t>
  </si>
  <si>
    <t>ELY ASSEM DE CARVALHO</t>
  </si>
  <si>
    <t>040.745.212-53</t>
  </si>
  <si>
    <t>Alteração das CLÁUSULAS SEGUNDA, TERCEIRA E DÉCIMA SEXTA, prorrogando a vigência do contrato por mais 12 (doze) meses e reajustando o valor mensal que passará a ser R$ 13.966,38 (treze
mil novecentos e sessenta e seis reais e trinta e oito centavos), totalizando o valor global aditado R$ 167.596,56 (cento e sessenta e sete mil quinhentos
e noventa e seis reais e cinquenta e seis centavos).</t>
  </si>
  <si>
    <t>LOCAÇÃO DE IMÓVEL PARA INSTALAÇÃO DA VIGILÂNCIA EPIDEMIOLÓGICA E AMBIENTAL</t>
  </si>
  <si>
    <t>001/2012</t>
  </si>
  <si>
    <t>Alteração das CLÁUSULAS SEGUNDA, TERCEIRA E DÉCIMA SEXTA, prorrogando a vigência do contrato por mais 12 (doze) meses e reajustando o valor mensal que passará a ser R$ 11.494,23 (onze mil quatrocentos e noventa e quatro reais e vinte e três centavos), totalizando o valor global aditado R$
137.930,76 (cento e trinta e sete mil novecentos e trinta reais e setenta e seis centavos).</t>
  </si>
  <si>
    <t>LOCAÇÃO DE IMÓVEL PARA INSTALAÇÃO DO ALMOXARIFADO DA ASSISTÊNCIA FARMACÊUTICA</t>
  </si>
  <si>
    <t>GRÁFICA GLOBO LTDA</t>
  </si>
  <si>
    <t>04.521.035/0001-27</t>
  </si>
  <si>
    <t>Alteração das CLÁUSULAS SEGUNDA, TERCEIRA E DÉCIMA SEXTA, prorrogando a vigência do contrato por mais 12 (doze) meses e reajustando o valor mensal que passará a ser R$ 7.114,83 (sete mil cento e quatorze reais e oitenta e três centavos), totalizando o valor global aditado R$ 85.377,96 (oitenta e cinco mil trezentos e setenta e sete reais e noventa e seis centavos).</t>
  </si>
  <si>
    <t xml:space="preserve">LOCAÇÃOI DE IMÓVEL PARA INSTALAÇÃO DO ALMOXARIFADO CENTRAL </t>
  </si>
  <si>
    <t>Alteração das CLÁUSULAS SEGUNDA, TERCEIRA E DÉCIMA SEXTA, prorrogando a vigência do contrato por mais 12 (doze) meses e reajustando o valor mensal que passará a ser R$ 6.581,01 (seis mil quinhentos e oitenta e um reais e um centavo), totalizando o valor global aditado R$ 78.972,12 (setenta e oito mil novecentos e setenta e dois reais e doze centavos).</t>
  </si>
  <si>
    <t>LOCAÇÃO DE IMÓVEL PARA INSTALAÇÃO DO COMPLEXO ADMINSITRATIVO DA SEMSA</t>
  </si>
  <si>
    <t>003/2012</t>
  </si>
  <si>
    <t>Alterar a Cláusula  Décima Sexta - VALOR GLOBAL do Contrato original</t>
  </si>
  <si>
    <t xml:space="preserve"> Alteração da CLÁUSULA SEGUNDA – DO PRAZO DE VIGÊNCIA, prorrogando a vigência do contrato por mais 12 (doze) meses, tendo como valor mensal a importância de R$ 53.183,87 (cinquenta e três mil cento e oitenta e três reais e oitenta e sete reais),
totalizando o valor global de R$ 638.206,44 (seiscentos e trinta e oito mil duzentos e seis reais e quarenta e quatro centavos).</t>
  </si>
  <si>
    <t>INSTALAÇÃO DA USF BOA VISTA SOBRAL</t>
  </si>
  <si>
    <t>008/2012</t>
  </si>
  <si>
    <t>MAURÍCIO DO NASCIMENTO BARRETO</t>
  </si>
  <si>
    <t>648.252.052-91</t>
  </si>
  <si>
    <t>10.829</t>
  </si>
  <si>
    <t>Alteração das CLÁUSULAS SEGUNDA, TERCEIRA E DÉCIMA SEXTA, prorrogando a vigência do contrato por mais 12 (doze) meses e reajustando o valor mensal que passará a ser R$ 981,61 (novecentos e oitenta e um reais e sessenta e um centavos),
totalizando o valor global aditado R$ 11.779,32 (onze mil setecentos e setenta e nove reais e trinta e dois centavos).</t>
  </si>
  <si>
    <t>MARIA PERPÉTUA BEZERRA GOMES</t>
  </si>
  <si>
    <t>045.729.632-15</t>
  </si>
  <si>
    <t>Alteração das CLÁUSULAS SEGUNDA, TERCEIRA E DÉCIMA SEXTA, prorrogando a vigência do contrato por mais 12 (doze) meses e reajustando o valor mensal que passará a ser R$ 762,90 (setecentos e sessenta e dois reais e noventa centavos), totalizando o valor global aditado R$ 9.154,80 (nove mil cento e cinquenta e quatro reais e oitenta centavos).</t>
  </si>
  <si>
    <t>123190061/2012</t>
  </si>
  <si>
    <t>LOCAÇÃO DE IMÓVEL PARA INSTALAÇÃO DA USF PORTAL DA AMAZONIA</t>
  </si>
  <si>
    <t>012/2007</t>
  </si>
  <si>
    <t>MARTA NUNES DE LIMA</t>
  </si>
  <si>
    <t>573.810.892-20</t>
  </si>
  <si>
    <t>22.10.2007</t>
  </si>
  <si>
    <t>21.10.2008</t>
  </si>
  <si>
    <t>09.11.2007</t>
  </si>
  <si>
    <t>Alteração das CLÁUSULAS SEGUNDA, TERCEIRA E DÉCIMA SEXTA, prorrogando a vigência do contrato por mais 12 (doze) meses e reajustando o valor mensal que passará a ser R$ 654,06 (seiscentos e cinquenta e quatro reais e seis centavos), totalizando o valor global aditado R$ 7.848,72 (sete mil oitocentos e quarenta e oito reais e setenta e dois centavos).</t>
  </si>
  <si>
    <t>123420160/2012</t>
  </si>
  <si>
    <t>LOCAÇÃO DE IMÓVEL PARA INSTALAÇÃO DA USF JORGE LAVOCAT</t>
  </si>
  <si>
    <t>014/2009</t>
  </si>
  <si>
    <t xml:space="preserve">Fica RESCINDIDO, ao Contrato n.º 014/2010, firmado em 31/12/2013, cuja finalidade era a Instalação da USF Taquari II, localizada na Rua Passeio, n.º 603 – Bairro Taquari, destinados a atender as ações da SEMSA.
PÁRAGRAFO ÚNICO – A presente rescisão encontra-se motivada pelo MEMO/ n.º 84/DRL/SEMSA/2014, de 12 de maio de 2014, da Divisão de Apoio Logístico.
</t>
  </si>
  <si>
    <t>LOCAÇÃO DE IMÓVEL PARA INSTALAÇÃO DA USF BOA UNIÃO</t>
  </si>
  <si>
    <t>010/2011</t>
  </si>
  <si>
    <t>LUCIVÂNIA DE OLIVEIRA CHAVES VIANA</t>
  </si>
  <si>
    <t>665.383.432-87</t>
  </si>
  <si>
    <t xml:space="preserve">  </t>
  </si>
  <si>
    <t>Alteração das CLÁUSULAS SEGUNDA, TERCEIRA
E DÉCIMA SEXTA, prorrogando a vigência do contrato por mais 12 (doze) meses e reajustando o valor mensal que passará a ser R$ 984,72 (novecentos e oitenta e quatro reais e setenta e dois centavos),
totalizando o valor global aditado R$ 11.816,64 (onze mil oitocentos e dezesseis reais e sessenta e quatro centavos).</t>
  </si>
  <si>
    <t>112010056/2011</t>
  </si>
  <si>
    <t>014/11</t>
  </si>
  <si>
    <t>Termo de Adesão Registro de Preço nº.: 032/2010</t>
  </si>
  <si>
    <t>Contratação de empresa para a prestação de serviços continuados de limpeza e conservação</t>
  </si>
  <si>
    <t>109/2011</t>
  </si>
  <si>
    <t xml:space="preserve">Alteração da CLÁUSULA QUARTA  DO PRAZO DE VIGÊNCIA do contrato original </t>
  </si>
  <si>
    <t>002/2010</t>
  </si>
  <si>
    <t>GABINETE DO PREFEIRO MUNICIPAL DE RIO BRANCO ACRE</t>
  </si>
  <si>
    <t xml:space="preserve">Alteração da CLÁUSULA TERCEIRA DO PREÇO  do contrato original </t>
  </si>
  <si>
    <t>Fica RESCINDIDO, o V Termo Aditivo ao Contrato nº 109/2011, firmado em 31/12/2013, cuja finalidade era a prestação de serviços de limpeza e conservação, destinados a atender as ações da SEMSA.
PÁRAGRAFO ÚNICO – A presente rescisão encontra-se motivada na justificativa de 19 de fevereiro de 2014, do Secretário Adjunto da Secretaria Municipal de Saúde.</t>
  </si>
  <si>
    <t>123420155/2012</t>
  </si>
  <si>
    <t>LOCAÇÃO DE IMÓVEL PARA INSTALAÇÃO DA USF PREVENTÓRIO</t>
  </si>
  <si>
    <t>013/2007</t>
  </si>
  <si>
    <t>LEYLA MARIA ALVES DA SILVA</t>
  </si>
  <si>
    <t>326.759.762-53</t>
  </si>
  <si>
    <t>alteração das CLÁUSULAS SEGUNDA, TERCEIRA E DÉCIMA SEXTA, prorrogando a vigência do contrato por mais 12 (doze) meses e reajustando o valor mensal que passará a ser R$ 865,51 (oitocentos e sessenta e cinco reais e cinquenta e um centavos), totalizando o valor global aditado R$ 10.386,12 (dez mil trezentos e oitenta e seis reais e doze centavos)</t>
  </si>
  <si>
    <t>017/2009</t>
  </si>
  <si>
    <t xml:space="preserve">REGISTRO DE PREÇO - PREGÃO </t>
  </si>
  <si>
    <t>Serviços de Locação de Transportes (Locação de Motocicleta com condutor, marca Honda/CG FAN KS 2009/2009, Placa MZY 9316)</t>
  </si>
  <si>
    <t>054/2009</t>
  </si>
  <si>
    <t>FRANCICLÁUDIO ROCHA DOS SANTOS</t>
  </si>
  <si>
    <t>918.240.952-87</t>
  </si>
  <si>
    <t xml:space="preserve">Alteração da CLÁUSULA QUARTA - PRAZO DE VIGÊNCIA DO REGISTRO DE PREÇOS e  do contrato original   </t>
  </si>
  <si>
    <t>102/2011</t>
  </si>
  <si>
    <t>Contratação de Serviços de Transporte, Veículo tipo passeio, quatro portas, com ar condicionadocom condutor, destinados atender as ações da SEMSA no perímetro de Rio Branco (zona urbana e rural)</t>
  </si>
  <si>
    <t>ELAYNE DE ARAÚJO PAIVA</t>
  </si>
  <si>
    <t>001.571.422-56</t>
  </si>
  <si>
    <t>14(SUS).</t>
  </si>
  <si>
    <t>Alteraçao sa Cláusula Quarta DO PRAZO DE VIGÊNCIA DO REGISTRO DE PREÇOS E DO CONTRATO original</t>
  </si>
  <si>
    <t>Serviços de Locação de Transporte com Condutor (Locação Pick-Up Cabine Dupla (4x4), cor prata, marca I/Ford Ranger XLT 12A, ano 2008/2008, Gasolina, Placa MZS 2635)</t>
  </si>
  <si>
    <t>164/2010</t>
  </si>
  <si>
    <t>J.M.G. DE SOUZA LTDA</t>
  </si>
  <si>
    <t>31.12.2010</t>
  </si>
  <si>
    <t>11 (SUS)</t>
  </si>
  <si>
    <t>Fica RESCINDIDO DE FORMA AMIGÁVEL, o Contrato nº. 164/2010, acontar do dia 08.05.2014, firmado em 23/09/2010, cuja finalidade era a Contratação de serviços de transporte de veículos, destinados a atender as ações da SEMSA.
PÁRAGRAFO ÚNICO – A presente rescisão encontra-se motivada no Memorando n.º 086/2014/DiT/DFMS/SEMSA e Parecer Jurídico n.º
066/2014</t>
  </si>
  <si>
    <t>Serviços de Locação de Transporte com Condutor (Locação Pick-Up Cabine Dupla (4x4), cor prata, marca MMC/L-200 Outdoor, ano 2010/2010, Diesel, Placa MZR 6614)</t>
  </si>
  <si>
    <t>163/2010</t>
  </si>
  <si>
    <t>alteração da CLÁUSULA QUARTA – DO PRAZO DE VIGÊNCIA DO REGISTRO DE PREÇO E DO CONTRATO, prorrogando o contrato original por mais 8 (oito) meses</t>
  </si>
  <si>
    <t>Serviços de Locação de Transportes (Locação de Veículo Passeio com condutor, marca FIAT PÁLIO FIRE FLEX 2007/2008, PLACA MZY 6718)</t>
  </si>
  <si>
    <t>055/2009</t>
  </si>
  <si>
    <t>POLIANY LIMA DE HOLANDA</t>
  </si>
  <si>
    <t>837.052.522-91</t>
  </si>
  <si>
    <t>LOCAÇÃO DE IMÓVEL PARA INSTALAÇÃO DA USF CADEIA VELHA II</t>
  </si>
  <si>
    <t>020/2009</t>
  </si>
  <si>
    <t>MANOEL INÁCIO GADELHA DOS SANTOS</t>
  </si>
  <si>
    <t>005.684.652-53</t>
  </si>
  <si>
    <t>092890020/2009</t>
  </si>
  <si>
    <t>019/2009</t>
  </si>
  <si>
    <t xml:space="preserve">REGISTRO DE PREÇO </t>
  </si>
  <si>
    <t>serviço de Locação de Veículo com condutor, tipo Motocicleta, movido à gasolina, destinado atender as ações da SEMSA</t>
  </si>
  <si>
    <t>192/2010</t>
  </si>
  <si>
    <t>SIMEY DO NASCIMENTO BARDALES</t>
  </si>
  <si>
    <t>648.358.802-00</t>
  </si>
  <si>
    <t>14(SUS)</t>
  </si>
  <si>
    <t>alteração da CLÁUSULA QUARTA – DO PRAZO DE VIGÊNCIA DO REGISTRO DE PREÇO E DO CONTRATO, prorrogando ocontrato original por mais 9 (nove) meses</t>
  </si>
  <si>
    <t>103400228/2010</t>
  </si>
  <si>
    <t xml:space="preserve">SRP PREGÃO </t>
  </si>
  <si>
    <t>Contratação de Serviço de Transporte, destinados atender as ações da SEMSA no perímetro de Rio Branco (zona urbana e rural)</t>
  </si>
  <si>
    <t>096/2011</t>
  </si>
  <si>
    <t>LUIZ CARLOS CRISPIM</t>
  </si>
  <si>
    <t>800.102.882-87</t>
  </si>
  <si>
    <t>112900141/2011</t>
  </si>
  <si>
    <t>313/2012</t>
  </si>
  <si>
    <t>JOSÉ MOREIRA LINS</t>
  </si>
  <si>
    <t>905.153.908-87</t>
  </si>
  <si>
    <t>INSTALAÇÃO DA USF BELO JARDIM II</t>
  </si>
  <si>
    <t>013/2012</t>
  </si>
  <si>
    <t>ANDREA APARECIDA DE AMARO</t>
  </si>
  <si>
    <t>484.436.622-04</t>
  </si>
  <si>
    <t>Alterar a  Cláusula Décima Sexta do valor global do  Contrato original</t>
  </si>
  <si>
    <t>alteração da CLÁUSULA SEGUNDA – DO PRAZO DE VIGÊNCIA, prorrogando a vigência do contrato por mais 12 (doze) meses, tendo como valor mensal a importância de R$ 894,00 (oitocentos e noventa e quatro reais), totalizando o valor global de R$ 10.728,00 (dez mil setecentos e vinte e oito reais)</t>
  </si>
  <si>
    <t>INSTALAÇÃO DA USF CHICO MENDES I</t>
  </si>
  <si>
    <t>011/2012</t>
  </si>
  <si>
    <t>FRANCISCO MARTINS DA SILVA</t>
  </si>
  <si>
    <t>516.436.512-00</t>
  </si>
  <si>
    <t>alteração das CLÁUSULAS SEGUNDA, TERCEIRA E DÉCIMA SEXTA, prorrogando a vigência do contrato por mais 4 (quatro) meses e reajustando o valor mensal que passará a ser R$ 470,59 (quatrocentos e setenta reais e cinquenta e nove centavos), totalizando o valor global aditado R$ 1.882,36 (um mil oitocentos e oitenta e dois reais e trinta e seis centavos)</t>
  </si>
  <si>
    <t>Serviços de Locação de Transportes (Locação de Veículo Pick-Up Cabine Dupla com condutor, Marca Toyota Hilux CD 4x4, Placa MZY 3579)</t>
  </si>
  <si>
    <t>058/2009</t>
  </si>
  <si>
    <t>LINCOLN PEREIRA BRITO</t>
  </si>
  <si>
    <t>360.065.532-68</t>
  </si>
  <si>
    <t>Fica RESCINDIDO DE FORMA AMIGÁVEL, o Contrato nº. 058/2009, a contar do dia 31.03.2014, firmado em 16/11/2009, cuja finalidade era a Contratação de
serviços de transporte de veículos, destinados a atender as ações da SEMSA.
PÁRAGRAFO ÚNICO – A presente rescisão encontra-se motivada no Memorando n.º 52/2014/DiT/DFMS/SEMSA</t>
  </si>
  <si>
    <t>CONVÊNIO</t>
  </si>
  <si>
    <t xml:space="preserve">IMPLANTAÇÃO E MANUTENÇÃO DE UMA UNIDADE DE ACOLHIMENTO PARA PESSOAS COM NECESSIDADES DO USO DE CRACK, ALCOOL E OUTRAS DROGAS NO MUNICIPIO DE RIO BRANCO    </t>
  </si>
  <si>
    <t>CENTRAL ART. DAS ENTIDADES DE SAÚDE - CADES</t>
  </si>
  <si>
    <t>05.889.641/0001-62</t>
  </si>
  <si>
    <t>1 (RP) e          14 (SUS)</t>
  </si>
  <si>
    <t>33.50.41.00</t>
  </si>
  <si>
    <t>ADICIONAL DE RECURSOS PARA AMPLIAÇÃO DOS PROFISSIONAIS QUE ATUARÃO NA UNIDADE DE ACOLHIMENTO - UA</t>
  </si>
  <si>
    <t xml:space="preserve">ALTERAÇÃO DA CLAUSULA  TERCEIRA – DO VALOR E DA DOTAÇÃO ORÇAMENTÁRIA, acrescendo o valor de R$ 29.800,00 (vinte e nove mil e oitocentos reais),e CLÁUSULASEXTA – DA VIGÊNCIA </t>
  </si>
  <si>
    <t xml:space="preserve">Alteração da CLÁUSULA TERCEIRA – DO VALOR E DA DOTAÇÃO ORÇAMENTÁRIA, acrescendo o valor de R$ 370.283,26 (trezentos e setenta mil duzentos e oitenta e três reais e vinte e seis centavos), e CLÁUSULA SEXTA – DA VIGÊNCIA, prorrogando a vigência do convênio até 31/12/2013 </t>
  </si>
  <si>
    <t>Alteração da Cláusula Terceira – DO VALOR E DA DOTAÇÂO ORÇAMANTARIA, acrescentando o valor de R$ 921.915,80 (novecentos e vinte e um mil, novecentos e quinze reais e oitenta centavos), e
Cláusula – DA VIGÊNCIA, prorrogando a vigência por mais 12 (doze) meses</t>
  </si>
  <si>
    <t>Instalação do Conselho Municipal de Saúde da Secretaria Municipal de Saúde</t>
  </si>
  <si>
    <t xml:space="preserve">Isaque Judson Lima Nascimento, através da Imobiliária M. C. M. </t>
  </si>
  <si>
    <t>010.430.272-03 / 07.626.075/0001-21</t>
  </si>
  <si>
    <t xml:space="preserve">Fica RESCINDIDO, o Contrato n.º 014/2012, firmado em 31/12/2012,cuja finalidade era a Instalação do Conselho Municipal de Saúde, localizado na Estrada do Aviário nº 845 – José Augusto, destinados a atender as ações da SEMSA.
PÁRAGRAFO ÚNICO – A presente rescisão encontra-se motivada pelo MEMO/ nº 182/DRL/SEMSA/2014, de 20 de outubro de 2014, do Departamento de Recursos Logísticos.
</t>
  </si>
  <si>
    <t>Instalação da USF Baixada do Habitasa da Secretaria Municipal de Saúde</t>
  </si>
  <si>
    <t>Rita Maria Mansour de Araújo</t>
  </si>
  <si>
    <t>183.093.722-72</t>
  </si>
  <si>
    <t>FEV./2014</t>
  </si>
  <si>
    <t xml:space="preserve"> Alteração da CLÁUSULA SEGUNDA – DO PRAZO DE VIGÊNCIA, prorrogando a vigência do contrato por mais 12 (doze) meses, tendo como valor mensal a importância de R$ 1.182,00 (um mil cento e oitenta e dois reais), totalizando o valor global de R$
14.184,00 (quatorze mil cento e oitenta e quatro reais).</t>
  </si>
  <si>
    <t>Instalação da USF Quinze I da Secretaria Municipal de Saúde</t>
  </si>
  <si>
    <t>Francisco Ubiratan de Vasconcelos</t>
  </si>
  <si>
    <t>005.644.272-68</t>
  </si>
  <si>
    <t>Alterar a CLÁUSULA DÉCIMA SEXTA (DO VALOR
DO CONTRATO) reajustando o valor mensal que passará a ser R$ 1.268,00 (um mil duzentos e sessenta e oito reais), com efeito financeiro
a partir de fevereiro/2014, referente ao reajuste contratual, com amparo legal previsto na Cláusula Quinta – Do Reajuste do Aluguel. Valor Mensal Reajustado: R$ 1.268,00 (um mil duzentos e sessenta e oito reais).</t>
  </si>
  <si>
    <t>Alteração da CLÁUSULA SEGUNDA – DO PRAZO DE VIGÊNCIA, prorrogando a vigência do contrato por mais 12 (doze) meses, tendo como valor mensal a importância de R$ 1.268,00 (um mil duzentos e sessenta e oito reais), totalizando o valor global de
R$ 15.216,00 (quinze mil duzentos e dezesseis reais).</t>
  </si>
  <si>
    <t>122540034/2012</t>
  </si>
  <si>
    <t>010/2012</t>
  </si>
  <si>
    <t>PREGÃO - CONVÊNIO</t>
  </si>
  <si>
    <t>SERVIÇO DE MANUTENÇÃO E SUPORTE TÉCNICO DA REDE METROPOLITANA SEM FIO</t>
  </si>
  <si>
    <t>MFNET COMÉRCIO E SERV. LTDA</t>
  </si>
  <si>
    <t>33.90.39.01</t>
  </si>
  <si>
    <t>ALTERAÇÃO DA CLAUSULA TERCEIRA - DO PREÇO  E QUARTA - DO PRAZO</t>
  </si>
  <si>
    <t xml:space="preserve">ALTERAR A CLAUSULA QUARTA - DO PRAZO </t>
  </si>
  <si>
    <t>3608/2013</t>
  </si>
  <si>
    <t>Contratação de empresa para execução de serviços de Manutenção nas Unidades de Saúde da Família da SEMSA</t>
  </si>
  <si>
    <t>151/2013</t>
  </si>
  <si>
    <t>M. S. CONTRUÇÕES COMÉRCIO E CONSERVAÇÃO LTDA</t>
  </si>
  <si>
    <t xml:space="preserve">10.279.715/0001-89 </t>
  </si>
  <si>
    <t>MANUTENÇÃO</t>
  </si>
  <si>
    <t>CLÁUSULA QUARTA – DO PRAZO
DE VIGÊNCIA DO REGISTRO DE PREÇO E DO CONTRATO</t>
  </si>
  <si>
    <t xml:space="preserve">II </t>
  </si>
  <si>
    <t>ALTERAÇÃO DA CLAUSULA QUINTA - DO VALOR DO CONTRATO - EMPENHO E DOTAÇÃO DO VALOR</t>
  </si>
  <si>
    <t xml:space="preserve"> 008/2013</t>
  </si>
  <si>
    <t>051/2013</t>
  </si>
  <si>
    <t>BRAUMAG LTDA</t>
  </si>
  <si>
    <t>02.485.501/0001-30</t>
  </si>
  <si>
    <t>1 (RP), 6 (Convênio Federal),7 (Convênio Estadual), 14 (SUS) e 15 (SUS Estadual)</t>
  </si>
  <si>
    <t>Alterar a Cláusula QUARTA PRAZO DE VIGÊNCIA DO REGISTRO DE PREÇOS E DO CONTRATO original</t>
  </si>
  <si>
    <t>120880225/2012</t>
  </si>
  <si>
    <t>028/2012</t>
  </si>
  <si>
    <t>Contratação de empresa especializada em Centrais de Atendimento (Call Center) para oferecer serviço de tele atendimento na Ouvidoria Municipal de Saúde - SEMSA</t>
  </si>
  <si>
    <t>A. S. B. COMÉRCIO E SERVIÇOS LTDA</t>
  </si>
  <si>
    <t xml:space="preserve">14.288.275/0001-87 </t>
  </si>
  <si>
    <t>Alterar a Cláusula QUARTA  PRAZO DE VIGÊNCIA DO REGISTRO DE PREÇOS E do Contrato original</t>
  </si>
  <si>
    <t>Alterar a Cláusula TERCEIRA  DO PREÇO E CONDIÇÕES DE PAGAMENTO do Contrato original</t>
  </si>
  <si>
    <t>131330151/2013</t>
  </si>
  <si>
    <t>TERMO DE ADESÃO PREGÃO SRP Nº 126/2013</t>
  </si>
  <si>
    <t>Contratação de empresa de prestação de serviços de segurança armada, destinada a segurança patrimonial dos imóveis, instalações físicas e bens diversos</t>
  </si>
  <si>
    <t>132/2013</t>
  </si>
  <si>
    <t>ESTAÇÃO VIP SEGURANÇA PRIVADA LTDA</t>
  </si>
  <si>
    <t>Alterar a Cláusula QUARTA  DA VIGÊNCIA do Contrato original</t>
  </si>
  <si>
    <t>DEPARTAMENTO ESTADUAL DE PAVIMENTAÇÃO E SANEAMENTO-DEPASA</t>
  </si>
  <si>
    <t>Alterar a Cláusula TERCEIRA  DO PREÇO E CONDIÇÕES  - REPACTUAÇÃO DE PREÇO EM 7%  COM EFEITOS RETROATIVOS A 24/04/2014</t>
  </si>
  <si>
    <t>RESCINDIDO DE FORMA AMIGÁVEL, o Contrato nº. 132/2013, a contar do dia 01/09/2014.</t>
  </si>
  <si>
    <t>123490034/2013</t>
  </si>
  <si>
    <t>Contratação de empresa para prestação de serviços de Manutenção preventiva e corretiva em veículos (Tipo Motocicleta)</t>
  </si>
  <si>
    <t xml:space="preserve">04.035.754/0001-38 </t>
  </si>
  <si>
    <t>01 (RP), 06 (Convênio Federal), 07 (Convênio Estadual) e 14 (SUS)</t>
  </si>
  <si>
    <t xml:space="preserve">Alterar a CLÁUSULA QUARTA -PRAZO DE VIGÊNCIA DO REGISTRO DE PREÇOS E DO CONTRATO, prorrogando o contrato original </t>
  </si>
  <si>
    <t>122480179/2012</t>
  </si>
  <si>
    <t>055/2012</t>
  </si>
  <si>
    <t xml:space="preserve">PREGÃO PRESENCIAL </t>
  </si>
  <si>
    <t>Menor Preço unitário por lote</t>
  </si>
  <si>
    <t>Contratação de Empresa Especializada em Manutenção corretiva e preventiva em Consultórios odontológicos, com reposição de peças e montagem e desmontagem dos mesmos, destinado a atender às necessidades das Unidades de Saúde da Secretaria Municipal de Saúde - SEMSA</t>
  </si>
  <si>
    <t>SERTEC ODONTO COM. REPRESENTAÇÕES LTDA</t>
  </si>
  <si>
    <t>1(RP) e 14 (SUS)</t>
  </si>
  <si>
    <t>Alterar a Cláusula QUARTA  PRAZO DE VIGÊNCIA DO REGISTRO DE PREÇOS E DO CONTRATO  original</t>
  </si>
  <si>
    <t>alteração da CLÁUSULA QUARTA – DO PRAZO DE VIGENCIA DO REGISTRO DE PREÇO E DO CONTRATO, prorrogando o contrato original por mais 12 (doze) meses</t>
  </si>
  <si>
    <t>130240028/2013</t>
  </si>
  <si>
    <t xml:space="preserve">TERMO DE ADESÃO PREGÃO SRP 1.137/2012 </t>
  </si>
  <si>
    <t>Aquisição de Água Mineral</t>
  </si>
  <si>
    <t>Alterar a Cláusula QUARTA PRAZO DE VIGÊNCIA DO REGISTRO DE PREÇOS E DO CONTRATO  original</t>
  </si>
  <si>
    <t>INSTITUTO DE ADMINISTRAÇÃO PENITENCIÁRIA DO ACRE - IAPEN/AC</t>
  </si>
  <si>
    <t>123620097/2012</t>
  </si>
  <si>
    <t>009/2013</t>
  </si>
  <si>
    <t>Contratação de empresa para fornecimento de passagens aéreas e terrestres em território nacional (estaduais e interestaduais) com prestação se serviços de reserva</t>
  </si>
  <si>
    <t>068/2013</t>
  </si>
  <si>
    <t>KAMPA VIAGENS SERVIÇOS E EVENTOS LTDA</t>
  </si>
  <si>
    <t>01 (RP), 06 (Convênio Federal), 07 (Convênio Estadual), 14 (SUS) e 15 (SUS Estadual)</t>
  </si>
  <si>
    <t>1234200139/2012</t>
  </si>
  <si>
    <t>Aquisição de material de consumo combustível (gasolina, óleo diesel e álcool)</t>
  </si>
  <si>
    <t>J. CHIKOWISKI - (AUTO POSTO J C)</t>
  </si>
  <si>
    <t>04.513.855/0001-77</t>
  </si>
  <si>
    <t xml:space="preserve">33.90.30.00 </t>
  </si>
  <si>
    <t>Alterar a Cláusula QUARTA  DO PRAZO DE VIGÊNCIA DO REGISTRO DE PREÇOS E DO CONTRATO original</t>
  </si>
  <si>
    <t>Contratação de empresa para prestação de serviços de Manutenção preventiva e corretiva em veículos (Tipo Passeio, Pick-Up, Caminhão 3/4, Ônibus/Micro Ônibus)</t>
  </si>
  <si>
    <t>A. CARNEIRO DE LIMA – EPP</t>
  </si>
  <si>
    <t>84.313.394/0001-28</t>
  </si>
  <si>
    <t>alterar a CLÁUSULA QUARTA -PRAZO DE VIGÊNCIA DO REGISTRO DE PREÇOS E DO CONTRATO, prorrogando o contrato original por mais 12 (doze)</t>
  </si>
  <si>
    <t>02.003850/2013</t>
  </si>
  <si>
    <t>MANUTENÇÃO DA COMUNIDADE TERAPEUTICA DA APADEQ QUE RECEBE 12 PESSOAS DO SEXO FEMININO COM NECESSIDADES DECORRENTES DO USO DE CRAK, ÁLCOOL E OUTRAS DROGAS, A FIM DE OFERECER ASSISTÊNCIA INTEGRADA E GARANTIR SUA REINSERÇÃO SÓCIO-FAMILIAR E COMUNITÁRIA.</t>
  </si>
  <si>
    <t>ASSOCIAÇÃO DE PARENTES E AMIGOS DOS DEPENDENTES QUIMICOS - APADEQ</t>
  </si>
  <si>
    <t>00.672.330/0001-23</t>
  </si>
  <si>
    <t>Alteração da CLÁUSULA QUARTA  da liveração de recursos</t>
  </si>
  <si>
    <t xml:space="preserve">Alteração da CLÁUSULA TERCEIRA  do valor do contrato original </t>
  </si>
  <si>
    <t>PROMOVER AÇÕES DE PREVENÇÃO E PROMOÇÃO DA SAÚDE, ATRAVÉS DE OFICINAS DE ORIENTAÇÃO SOBRE EQUIDADE DE GÊNERO, SAÚDE E SEXUALIDADE E DA POTENCIALIZAÇÃO DOS SERVIÇOS PÚBLICOS DE LAZER COM ATIVIDADES FISCAIS, INCIDINDO NA MELHORIA DA QUALIDADE DE VIDA DA POPULAÇÃO DE RIO BRANCO</t>
  </si>
  <si>
    <t>REDE ACREANA DE MULHERES E HOMENS</t>
  </si>
  <si>
    <t>63.603.658/0001-08</t>
  </si>
  <si>
    <t>ALTERAÇÃO DA  Cláusula TERCEIRA  DO PREÇO</t>
  </si>
  <si>
    <t>IMPLANTAÇÃO DE UMA CASA DE PASSAGEM NA ESTRADA AC 10, KM 04, Nº 3.600 PARA RECEBER CRIANÇAS EM BUSCA DE TRATAMENTO DE SAÚDE EM RIO BRANCO, ORIUNDAS DA ZONA RURAL, AREAS RIBEIRINHAS, SERINGAIS, AFIM DE OFERECER TODA ASSISTÊNCIA INTEGRAL A ESTES PACIENTES</t>
  </si>
  <si>
    <t>CENTRAL DE ARTICULAÇÃO DAS ENTIDADES DE SAÚDE - CADES</t>
  </si>
  <si>
    <t>58.896.641/0001-62</t>
  </si>
  <si>
    <t xml:space="preserve">1 (RP) </t>
  </si>
  <si>
    <t>FORTALECIMENTO DAS AÇÕES REALIZADAS NA COMUNIDADE TERAPEUTICA GILEADE COM O ACOLHIMENTO DE PESSOAS EM SITUAÇÃO DE RUA E USO ABUSIVO DE ÁLCOOL E OUTRAS DROGAS</t>
  </si>
  <si>
    <t>ASSOCIAÇÃO AMIGOS DA FAMILIA - AFAM</t>
  </si>
  <si>
    <t>11.467.757/0001-06</t>
  </si>
  <si>
    <t>112910002/2011</t>
  </si>
  <si>
    <t>038/2011</t>
  </si>
  <si>
    <t>Contratação de empresa especializada para execução de Serviços de Construção de uma Unidade de Saúde, no Bairro da Conquista, no Município de Rio Branco-Acre</t>
  </si>
  <si>
    <t>286/2011</t>
  </si>
  <si>
    <t>REAL CONSTRUÇÕES LTDA</t>
  </si>
  <si>
    <t xml:space="preserve">11.641.902/0001-23 </t>
  </si>
  <si>
    <t>01 (RP) e 14 ( SUS)</t>
  </si>
  <si>
    <t xml:space="preserve">4.4.90.51.00 </t>
  </si>
  <si>
    <t>ATÉ QUE SEJAM RESOLVIDOS OS PROBLEMAS NO SISTEMA DE DRENAGEM DO TERRENO PROPOSTO PARA SER IMPLANTADA A UBS</t>
  </si>
  <si>
    <t>ALTERAÇÃO DA CLÁUSULA QUINTA - do valor do contrato E SEXTA - da vigencia DO CONTRATO ORIGINAL</t>
  </si>
  <si>
    <t>30/02/2014</t>
  </si>
  <si>
    <t>ALTERAÇÃO DA CLÁUSULA QUINTA do valor  DO CONTRATO ORIGINAL</t>
  </si>
  <si>
    <t>ALTERAÇÃO DA CLÁUSULA SEXTA - da vigencia DO CONTRATO ORIGINAL</t>
  </si>
  <si>
    <t>ALTERAÇÃO DA CLÁUSULA QUINTA  do valor DO CONTRATO ORIGINAL</t>
  </si>
  <si>
    <t xml:space="preserve">ALTERAÇÃO DA CLÁUSULA QUINTA do valor  DO CONTRATO - EMPENHO E  DOTAÇÃO </t>
  </si>
  <si>
    <t>Alteração da CLÁUSULA SEXTA – DOS PRAZOS E SUAS PRORROGAÇÕES</t>
  </si>
  <si>
    <t>Responsável pela elaboração: Marlise Scherer</t>
  </si>
  <si>
    <t>Responsável pelo Fundo Municipal: Oteniel Almeida dos Santos e Maria Reginalda Lima da Silva</t>
  </si>
  <si>
    <t>DEMONSTRATIVO DE LICITAÇÕES E CONTRATOS - MODALIDADE - CONVITE</t>
  </si>
  <si>
    <t>Licitação</t>
  </si>
  <si>
    <t>Contrato/Termo Aditivo</t>
  </si>
  <si>
    <t>Especificações</t>
  </si>
  <si>
    <t>Vigência</t>
  </si>
  <si>
    <t>Recursos</t>
  </si>
  <si>
    <t>Nº Processo</t>
  </si>
  <si>
    <t>Nº DOE</t>
  </si>
  <si>
    <t>Nº Contrato/Aditivo</t>
  </si>
  <si>
    <t>Contrato</t>
  </si>
  <si>
    <t xml:space="preserve"> Aditivo</t>
  </si>
  <si>
    <t xml:space="preserve"> Executado no Exercício</t>
  </si>
  <si>
    <t>Acumulado</t>
  </si>
  <si>
    <t>Fim</t>
  </si>
  <si>
    <t>206/2013</t>
  </si>
  <si>
    <t>Sondagens de Simples Reconhecimento, a serem realizados para o desenvolvimento de projetos e acompanhamento de obras da Secretaria Municipal de desenvolvimento Urbano e Obras Públicas</t>
  </si>
  <si>
    <t>062/2012</t>
  </si>
  <si>
    <t>CONVITE Nº 034/2012</t>
  </si>
  <si>
    <t>062/2012            1º aditivo</t>
  </si>
  <si>
    <t>O. P- ENGENHARIA TÉCNICA LTDA</t>
  </si>
  <si>
    <t>062/2012                        2º aditivo</t>
  </si>
  <si>
    <t>294/2013</t>
  </si>
  <si>
    <t>CONVITE Nº. 001/2013</t>
  </si>
  <si>
    <t>Serviços de Serralheria (Fornecimento e Instalação) de grades para proteção e bicicletários das edificações das Unidades Básicas de Saúde, no Município de Rio Branco-Acre</t>
  </si>
  <si>
    <t>FERROARTE CONSTRUÇÕES E REPRESENTAÇÕES LTDA,</t>
  </si>
  <si>
    <t>004/2013             1º aditivo</t>
  </si>
  <si>
    <t>004/2013                    2º aditivo</t>
  </si>
  <si>
    <t>004/2013                         3º aditivo</t>
  </si>
  <si>
    <t>004/2013               4º aditivo</t>
  </si>
  <si>
    <t>004/2013                   6º aditivo</t>
  </si>
  <si>
    <t>004/2013                   8º aditivo</t>
  </si>
  <si>
    <t>157/2013</t>
  </si>
  <si>
    <t>CONVITE Nº. 010/2013</t>
  </si>
  <si>
    <t>Prestação de Serviços de Reforma e Recuperação dos Pergolados em Espaços Públicos</t>
  </si>
  <si>
    <t>054/2013</t>
  </si>
  <si>
    <t>ENTEC CONSTRUÇÕESCOMÉRCIO IMP. E EXP. LTDA</t>
  </si>
  <si>
    <t>054/2013                      1º aditivo</t>
  </si>
  <si>
    <t>209/2013</t>
  </si>
  <si>
    <t>Construção de abrigo de taxista, mototaxista e Reforma do Mercado Elias Mansour</t>
  </si>
  <si>
    <t>CONSTRUACRE E SERVIÇOS LTDA</t>
  </si>
  <si>
    <t>062/2013                 1º aditivo</t>
  </si>
  <si>
    <t>062/2013                       3º aditivo</t>
  </si>
  <si>
    <t>062/2013                     4º aditivo</t>
  </si>
  <si>
    <t>292/2013</t>
  </si>
  <si>
    <t>CONVITE 014/2013</t>
  </si>
  <si>
    <t>Reforma do memorial casa Chico Mendes, banheiros e Recinto da Jaguatirica</t>
  </si>
  <si>
    <t>ALANA CONSTRUÇÕES LTDA</t>
  </si>
  <si>
    <t>11.161
11.167</t>
  </si>
  <si>
    <t>087/2013                     1º aditivo</t>
  </si>
  <si>
    <t>369/2013</t>
  </si>
  <si>
    <t>CONVITE Nº 019/2013
Proc. 369/2013</t>
  </si>
  <si>
    <t>Reforma da antiga sede da SMDGU e DTI</t>
  </si>
  <si>
    <t>AZ COMERCIO SERVIÇO E REPRESENTAÇÃO IMP. E EXP. LTDA</t>
  </si>
  <si>
    <t>004/2014                           2º aditivo</t>
  </si>
  <si>
    <t>004/2014             3º aditivo</t>
  </si>
  <si>
    <t>375/2013</t>
  </si>
  <si>
    <t>Convite Nº 020/2013
Proc. 375/2013</t>
  </si>
  <si>
    <t>Reforma do prédio onde funcionava a sede das coordenadorias da PMRB</t>
  </si>
  <si>
    <t>MOTA &amp; MOTA LTDA</t>
  </si>
  <si>
    <t>007/2014               2º aditivo</t>
  </si>
  <si>
    <t>007/2014                    3º aditivo</t>
  </si>
  <si>
    <t>219/2013</t>
  </si>
  <si>
    <t>CONVITE Nº 012/2013
Proc. 219/2013</t>
  </si>
  <si>
    <t>Reforma do Prédio para funcionamento da Sede da Secretaria Municipal de Esporte e Lazer</t>
  </si>
  <si>
    <t>CONSTRUTORA MIRANDA LTDA</t>
  </si>
  <si>
    <t>009/2014                  2º aditivos</t>
  </si>
  <si>
    <t>CONVITE Nº 2/2014
Proc. 22/2014</t>
  </si>
  <si>
    <t>Reforma da praça da Igreja do Calafate</t>
  </si>
  <si>
    <t>CONSTRUACRE E SERVIÇOSLTDA</t>
  </si>
  <si>
    <t>1 e 7</t>
  </si>
  <si>
    <t>024/2014
1º aditivo</t>
  </si>
  <si>
    <t>024/2014
2º aditivo</t>
  </si>
  <si>
    <t>024/2014
3º aditivo</t>
  </si>
  <si>
    <t>Proc. 81/2015</t>
  </si>
  <si>
    <t>CONVITE 02/2014</t>
  </si>
  <si>
    <t>Construção de abrigos pata taxista e moto taxista, na rua palmeiral</t>
  </si>
  <si>
    <t>ANDRADE COMERCIO E CONSTRUÇÕES LTDA</t>
  </si>
  <si>
    <t>051/2014
1º aditivo</t>
  </si>
  <si>
    <t>Proc. 078/2014</t>
  </si>
  <si>
    <t>CONVITE 1/2014</t>
  </si>
  <si>
    <t>Reforma do prédio da junta militar</t>
  </si>
  <si>
    <t>R. M. TERRAPLANAGEM E COMERCIO LTDA</t>
  </si>
  <si>
    <t>056/2014
1º aditivo</t>
  </si>
  <si>
    <t>CONVITE 4/2014</t>
  </si>
  <si>
    <t>Reforma do escritório da regional da  São Francisco</t>
  </si>
  <si>
    <t>77/2014</t>
  </si>
  <si>
    <t>A. G. M. CONSTRUTORA LTDA - ME</t>
  </si>
  <si>
    <t>77/2014
  1º aditivo</t>
  </si>
  <si>
    <t>77/2014
 2º aditivo</t>
  </si>
  <si>
    <t>CONVITE 005/2014</t>
  </si>
  <si>
    <t>Construção de Quiosque na Praça Florêncio Mesquita – Praça da UNIMED, no Município de Rio Branco – Acre.</t>
  </si>
  <si>
    <t>R. M. TERRAPLANGEM E COMÉRCIO LTDA</t>
  </si>
  <si>
    <t>78/2014                 1º aditivo</t>
  </si>
  <si>
    <t>78/2014                 2º aditivo</t>
  </si>
  <si>
    <t>288/2014</t>
  </si>
  <si>
    <t>CONVITE 010/2014</t>
  </si>
  <si>
    <t>Manutenção de Academias ao Ar Livre</t>
  </si>
  <si>
    <t>PROGRESSO CONSTRUÇÕES LTDA</t>
  </si>
  <si>
    <t>CONVITE 012/2014</t>
  </si>
  <si>
    <t>Construção de Praça da Transacreana, Localizado no KM 58, no Município de Rio Branco/Acre.</t>
  </si>
  <si>
    <t>AZ Comércio Serviço</t>
  </si>
  <si>
    <t>321/2014</t>
  </si>
  <si>
    <t>CONVITE 013/2014</t>
  </si>
  <si>
    <t>Execução de Sondagens de Simples Reconhecimento, A Serem Realizados no Desenvolvimento de Projetos e Acompanhamento de Obras da Secretaria Municipal de Obras Públicas, no Município de Rio Branco/Acre.</t>
  </si>
  <si>
    <t xml:space="preserve"> O.P. Engenharia Técnica Ltda</t>
  </si>
  <si>
    <t>1 e 6</t>
  </si>
  <si>
    <t>DEMONSTRATIVO DE LICITAÇÕES E CONTRATOS - MODALIDADE - TOMADA DE PREÇOS</t>
  </si>
  <si>
    <t>123/2010</t>
  </si>
  <si>
    <t>Tomada de Preços nº 014/2010 CEL/PMRB</t>
  </si>
  <si>
    <t>Pavimentação e Drenagem na Rua São Paulo, localizada no Bairro Taquari, no município de Rio Branco-Acre</t>
  </si>
  <si>
    <t>044/2010</t>
  </si>
  <si>
    <t>ETENGE EMP. ENG. EM ELET. E COM. LTDA</t>
  </si>
  <si>
    <t>044/2010
1º aditivo</t>
  </si>
  <si>
    <t>044/2010
2º aditivo</t>
  </si>
  <si>
    <t>044/2010
3º aditivo</t>
  </si>
  <si>
    <t>044/2010
4º aditivo</t>
  </si>
  <si>
    <t>044/2010
5º aditivo</t>
  </si>
  <si>
    <t>044/2010
6º aditivo</t>
  </si>
  <si>
    <t>044/2010
7º aditivo</t>
  </si>
  <si>
    <t>044/2010
8º aditivo</t>
  </si>
  <si>
    <t>044/2010
9º aditivo</t>
  </si>
  <si>
    <t>044/2010
10 º aditivo</t>
  </si>
  <si>
    <t>044/2010
11º ditivo</t>
  </si>
  <si>
    <t>044/2010
12º aditivo</t>
  </si>
  <si>
    <t>044/2010
13º aditivo</t>
  </si>
  <si>
    <t>044/2010
14º aditivo</t>
  </si>
  <si>
    <t>044/2010
15º aditivo</t>
  </si>
  <si>
    <t>044/2010
16 º aditivo</t>
  </si>
  <si>
    <t xml:space="preserve">044/2010
17º aditivo </t>
  </si>
  <si>
    <t xml:space="preserve">044/2010
18º aditivo </t>
  </si>
  <si>
    <t xml:space="preserve">044/2010
19º aditivo </t>
  </si>
  <si>
    <t xml:space="preserve">044/2010
20º aditivo </t>
  </si>
  <si>
    <t xml:space="preserve">044/2010
21 º aditivo </t>
  </si>
  <si>
    <t xml:space="preserve">044/2010
22 º aditivo </t>
  </si>
  <si>
    <t xml:space="preserve">044/2010
23 º aditivo </t>
  </si>
  <si>
    <t xml:space="preserve">044/2010
24 º aditivo </t>
  </si>
  <si>
    <t xml:space="preserve">044/2010
25 º aditivo </t>
  </si>
  <si>
    <t>235/2012</t>
  </si>
  <si>
    <t>TOMADA E PREÇOS Nº 030/2012</t>
  </si>
  <si>
    <t>Prestação de Serviços de Acompanhamento dos Contratos firmados entre o Município de Rio Branco, através da SECRETARIA MUNICIPAL DE DESENVOLVIMENTO URBANO E OBRAS PÚBLICAS - SEDUOP e as Empresas Contratadas para Execução dos Serviços de Manutenção, Eficientização, Ampliação do Sistema de Iluminação Pública do Município de Rio Branco, Estado do Acre, incluindo a Atualização do Cadastro Geofísico</t>
  </si>
  <si>
    <t>071/2012</t>
  </si>
  <si>
    <t>VECTRA LTDA</t>
  </si>
  <si>
    <t>071/2012
1º aditivo</t>
  </si>
  <si>
    <t>071/2012
2º aditivo</t>
  </si>
  <si>
    <t>071/2012
3º aditivo</t>
  </si>
  <si>
    <t>071/2012
4º aditivo</t>
  </si>
  <si>
    <t>071/2012
5º aditivo</t>
  </si>
  <si>
    <t>071/2012
6º aditivo</t>
  </si>
  <si>
    <t>TOMADA DE PREÇOS Nº 003/2013</t>
  </si>
  <si>
    <t>Execução dos serviços de Reforma do Mercado Rui Lino</t>
  </si>
  <si>
    <t>DESTAK CONSTRUÇÃO CIVIL LTDA</t>
  </si>
  <si>
    <t>022/2013
1º aditivo</t>
  </si>
  <si>
    <t>022/2013
2º aditivo</t>
  </si>
  <si>
    <t>TOMADA DE PREÇOS Nº 012/2013</t>
  </si>
  <si>
    <t>Construção de Praça e Quadra Poliesportiva no Bairro Ilson Ribeiro</t>
  </si>
  <si>
    <t>023/2013
1º aditivo</t>
  </si>
  <si>
    <t>023/2013
2º aditivo</t>
  </si>
  <si>
    <t>023/2013                       3º aditivo</t>
  </si>
  <si>
    <t>023/2013                       4º aditivo</t>
  </si>
  <si>
    <t>023/2013                       5º aditivo</t>
  </si>
  <si>
    <t>27/092014</t>
  </si>
  <si>
    <t>023/2013                       6º aditivo</t>
  </si>
  <si>
    <t>60/2013</t>
  </si>
  <si>
    <t>TP 011/2013</t>
  </si>
  <si>
    <t>Execução de reforma e ampliação do ginásio poliesportivo do Conjunto Universitário</t>
  </si>
  <si>
    <t>J. S. ENGENHARIA E SERVIÇOS ELÉTRICOS LTDA</t>
  </si>
  <si>
    <t>026/2013
1º aditivo</t>
  </si>
  <si>
    <t>026/2013
2º aditivo</t>
  </si>
  <si>
    <t>026/2013
3º aditivo</t>
  </si>
  <si>
    <t>026/2013
4º aditivo</t>
  </si>
  <si>
    <t>026/2013
5º aditivo</t>
  </si>
  <si>
    <t>026/2013
6º aditivo</t>
  </si>
  <si>
    <t>026/2013
7º aditivo</t>
  </si>
  <si>
    <t>026/2013
8º aditivo</t>
  </si>
  <si>
    <t>TP 013/2013</t>
  </si>
  <si>
    <t>Execução de Serviços de Reforma de Quadra de Esporte, localizada na Rua Rio Grande do Sul, Bairro Preventório</t>
  </si>
  <si>
    <t>036/2013
1º aditivo</t>
  </si>
  <si>
    <t>036/2013
2º adaitivo</t>
  </si>
  <si>
    <t>036/2013
3º aditivo</t>
  </si>
  <si>
    <t>036/2013
4º aditivo</t>
  </si>
  <si>
    <t>172/2013</t>
  </si>
  <si>
    <t>TP. 11/2013</t>
  </si>
  <si>
    <t>Serviço de recuperação de calçadas - etapa 2, lote 1</t>
  </si>
  <si>
    <t>071/2013</t>
  </si>
  <si>
    <t>CONSTRUTORA RIOS NITERÓIS LTDA</t>
  </si>
  <si>
    <t>071/2013
1º aditivo</t>
  </si>
  <si>
    <t>071/2013
2º aditivo</t>
  </si>
  <si>
    <t>204/2013</t>
  </si>
  <si>
    <t>TP. 015/2013</t>
  </si>
  <si>
    <t>Prestação de serviços de levantamento físico, cadastral e atualização do mapa geofísico de todos os pontos que compoe o sistema de iluminação pública, compreendendo toda área territorial urbana e rural</t>
  </si>
  <si>
    <t>072/2013</t>
  </si>
  <si>
    <t>JVM CONSULTORIA LTDA</t>
  </si>
  <si>
    <t>072/2013
1º aditivo</t>
  </si>
  <si>
    <t>240/2013</t>
  </si>
  <si>
    <t>TP. 017/2013</t>
  </si>
  <si>
    <t>Execução de serviços de construção e manutenção de elementos metálicos de espaços e prédios públicos</t>
  </si>
  <si>
    <t>FERROARTE COMERCIO E CONSTRUÇÕES LTDA</t>
  </si>
  <si>
    <t>074/2013
1º aditivo</t>
  </si>
  <si>
    <t>205/2013</t>
  </si>
  <si>
    <t>TP. 014/2013</t>
  </si>
  <si>
    <t>Implantação e manutenção de praças e rotatórias, compreentendo toda área territorial urbana</t>
  </si>
  <si>
    <t>ETENGE - EMPRESA DE ENGENHARIA EM ELETRICIDADE E COMÉRCIO LTDA</t>
  </si>
  <si>
    <t>075/2013
1º aditivo</t>
  </si>
  <si>
    <t>11315      11334</t>
  </si>
  <si>
    <t>075/2013
2º aditivo</t>
  </si>
  <si>
    <t>247/2013</t>
  </si>
  <si>
    <t>TP. 020/2013</t>
  </si>
  <si>
    <t>Serviço de expansão do sistema de iluminação pública, com implantação de 500 novos pontos de iluminação pública</t>
  </si>
  <si>
    <t>080/2013
1º aditivo</t>
  </si>
  <si>
    <t>080/2013
2º aditivo</t>
  </si>
  <si>
    <t>249/2013</t>
  </si>
  <si>
    <t>TP.Nº 19/13</t>
  </si>
  <si>
    <t>Serviço de demolição do antigo prédio da rodoviária e ocupação adjacentes</t>
  </si>
  <si>
    <t>LIDER CONSTRUÇÃO LTDA</t>
  </si>
  <si>
    <t>084/2013
1º aditivo</t>
  </si>
  <si>
    <t>084/2013
2º aditivo</t>
  </si>
  <si>
    <t>241/2013</t>
  </si>
  <si>
    <t>TP. 022/13</t>
  </si>
  <si>
    <t>Execução de serviços de construção de dois quiosques na praça da Revolução e Ampliação de um quiosque da praça do Relógio e vedação da base de duas bancas de revista</t>
  </si>
  <si>
    <t>TERRA NOVA CONSTRUÇÕES COMÉRCIO IMPORTAÇÃO E EXPORTAÇÃO LTDA</t>
  </si>
  <si>
    <t>085/2013
1º aditivo</t>
  </si>
  <si>
    <t>085/2013
2º aditivo</t>
  </si>
  <si>
    <t>085/2013
4º aditivo</t>
  </si>
  <si>
    <t>085/2013
5º aditivo</t>
  </si>
  <si>
    <t>295/2013</t>
  </si>
  <si>
    <t>TP. 024/13</t>
  </si>
  <si>
    <t>Instalação elétrica e decoração Natalina no calçadão Benjamim Constant</t>
  </si>
  <si>
    <t>089/2013</t>
  </si>
  <si>
    <t>TP. 011/2013</t>
  </si>
  <si>
    <t>Execução de Serviços de Recuperação de Calçadas - Etapa II - Lote 2</t>
  </si>
  <si>
    <t>092/13</t>
  </si>
  <si>
    <t>092/13
1º aditivo</t>
  </si>
  <si>
    <t>092/13
3º aditivo</t>
  </si>
  <si>
    <t>092/13
4º aditivo</t>
  </si>
  <si>
    <t>092/13
5º aditivo</t>
  </si>
  <si>
    <t>298/2013</t>
  </si>
  <si>
    <t>TP. 030/2013</t>
  </si>
  <si>
    <t>Construção do Microterminal Urbano no bairro Tucumã</t>
  </si>
  <si>
    <t>094/13</t>
  </si>
  <si>
    <t>CONSÓRCIO JEOVÁ (Destak Construções e Euro Construções)</t>
  </si>
  <si>
    <t>094/13
1º aditivo</t>
  </si>
  <si>
    <t>094/13
2º aditivo</t>
  </si>
  <si>
    <t>094/13
3º aditivo</t>
  </si>
  <si>
    <t>299/2013</t>
  </si>
  <si>
    <t>TP. 029/2013</t>
  </si>
  <si>
    <t>Construção de Quadra Poliesportiva no Loteamento Aroeira</t>
  </si>
  <si>
    <t>FERRAÇO EMPREENDIMENTOS</t>
  </si>
  <si>
    <t>097/2013
1º aditivo</t>
  </si>
  <si>
    <t>097/2013
2ª aditivo</t>
  </si>
  <si>
    <t>TP. Nº 033/13
Proc. 331/2013</t>
  </si>
  <si>
    <t>Construção de Centro de recuperação de dependentes químicos no pólo agroflorestal e ramal benfica</t>
  </si>
  <si>
    <t>005/2014                               1º aditivo</t>
  </si>
  <si>
    <t>120/2013</t>
  </si>
  <si>
    <t>TP. Nº 008/13
Proc. 120/2013</t>
  </si>
  <si>
    <t>Construção de fechamento lateral ao horto florestal com muro em alvenaria e alambrado</t>
  </si>
  <si>
    <t>AMAZÔNIA CONSTRUÇÕES E COMÉRCIO LTDA</t>
  </si>
  <si>
    <t>008/2014
2º aditivo</t>
  </si>
  <si>
    <t>TP. Nº 011/13
Proc. 172/2013</t>
  </si>
  <si>
    <t>Recuperação de calçadas, Etapa II - lote 03</t>
  </si>
  <si>
    <t>CONTRUTORA RIOS NITEROI LTDA</t>
  </si>
  <si>
    <t>010/2014                             2º aditivo</t>
  </si>
  <si>
    <t>010/2014                            3º aditivo</t>
  </si>
  <si>
    <t>TP. 028/2013</t>
  </si>
  <si>
    <t>Execução de serviços de Manutenção de Praças e Quadras de Esportes, no Municipio de Rio Branco-Acre.</t>
  </si>
  <si>
    <t>CONSÓRCIO LIDER EURO,</t>
  </si>
  <si>
    <t>012/2014
1º aditivo</t>
  </si>
  <si>
    <t>012/2014
2º aditivo</t>
  </si>
  <si>
    <t>368/2013</t>
  </si>
  <si>
    <t>TP. Nº 039/13
Proc. 368/2013</t>
  </si>
  <si>
    <t>Reforma da praça do Tropical - lote 1</t>
  </si>
  <si>
    <t>014/2014
1º aditivo</t>
  </si>
  <si>
    <t>014/2014
2º aditivo</t>
  </si>
  <si>
    <t>014/2014
3º aditivo</t>
  </si>
  <si>
    <t>014/2014
4º aditivo</t>
  </si>
  <si>
    <t>014/2014                     5º aditivo</t>
  </si>
  <si>
    <t>91.160.35</t>
  </si>
  <si>
    <t>Reforma da praça Primavera - lote 2</t>
  </si>
  <si>
    <t>CONSÓRCIO LÍDER EURO</t>
  </si>
  <si>
    <t>015/2014
1º aditivo</t>
  </si>
  <si>
    <t>015/2014
2º aditivo</t>
  </si>
  <si>
    <t>015/2014
3º aditivo</t>
  </si>
  <si>
    <t>015/2014
4º aditivo</t>
  </si>
  <si>
    <t>410/2013</t>
  </si>
  <si>
    <t>TP. Nº 001/2014
Proc. 410/2014</t>
  </si>
  <si>
    <t>Construção de escritório de obra na rua Quintino Bocaiuva, Centro</t>
  </si>
  <si>
    <t>016/2014
1º aditivo</t>
  </si>
  <si>
    <t>016/2014
2º aditivo</t>
  </si>
  <si>
    <t>016/2014
3º aditivo</t>
  </si>
  <si>
    <t>016/2014
4º aditivo</t>
  </si>
  <si>
    <t>TP. 2/2014
Proc. 67/2014</t>
  </si>
  <si>
    <t>Drenagem na trav. Da Serra, Jardim São Francisco, bairro Conquista</t>
  </si>
  <si>
    <t>HAGA CONSTRUÇÕES COMERCIO E REPRESETAÇÕES LTDA</t>
  </si>
  <si>
    <t>TP. 002/2014
Proc. 37/2014</t>
  </si>
  <si>
    <t>Construção da ponte e passarela em madeira - lote 1</t>
  </si>
  <si>
    <t>CONSTRUTORA J &amp; J LTDA</t>
  </si>
  <si>
    <t>028/2014
1º aditivo</t>
  </si>
  <si>
    <t>028/2014
2º aditivo</t>
  </si>
  <si>
    <t>028/2014
3º aditivo</t>
  </si>
  <si>
    <t>Construção da ponte e passarela em madeira - lote 2</t>
  </si>
  <si>
    <t>029/2014
1º aditivo</t>
  </si>
  <si>
    <t>029/2014
2º aditivo</t>
  </si>
  <si>
    <t>029/2014
3º aditivo</t>
  </si>
  <si>
    <t>TP. 003/2014
Proc. 61/2014</t>
  </si>
  <si>
    <t>Construção de banheiro e instalação de toldos na praça dos tocos</t>
  </si>
  <si>
    <t>031/2014
1º aditivo</t>
  </si>
  <si>
    <t>031/2014
2º aditivo</t>
  </si>
  <si>
    <t>031/2014
3º aditivo</t>
  </si>
  <si>
    <t>031/2014
4º aditivo</t>
  </si>
  <si>
    <t>031/2014
5º aditivo</t>
  </si>
  <si>
    <t>Proc. 060/2014</t>
  </si>
  <si>
    <t>T.P 04/2014</t>
  </si>
  <si>
    <t>Manutenção e readequação elétrica lógica e telefônica nos prédios públicos de Rio Branco</t>
  </si>
  <si>
    <t>LÍDER CONSTRUÇÕES E LTDA</t>
  </si>
  <si>
    <t>052/2014
1º aditivo</t>
  </si>
  <si>
    <t>Proc. 82/2014</t>
  </si>
  <si>
    <t>TP. 05/2014</t>
  </si>
  <si>
    <t>Serviços de Recuperação de Calçadas - lote 1 - etapa 3</t>
  </si>
  <si>
    <t>062/2014
1º aditvo</t>
  </si>
  <si>
    <t>Serviços de Recuperação de Calçadas - lote 2- etapa 3</t>
  </si>
  <si>
    <t>ECC CONSTRUÇÃO CIVIL</t>
  </si>
  <si>
    <t>063/2014
1º aditivo</t>
  </si>
  <si>
    <t>063/2014
2º aditivo</t>
  </si>
  <si>
    <t>1.417/2014</t>
  </si>
  <si>
    <t>TP.</t>
  </si>
  <si>
    <t>CESSÃO</t>
  </si>
  <si>
    <t>063/2014
TC 00/14</t>
  </si>
  <si>
    <t>REFICOM LTDA</t>
  </si>
  <si>
    <t>Serviços de Recuperação de Calçadas - lote 3- etapa 3</t>
  </si>
  <si>
    <t xml:space="preserve">064/2014
1º aditivo       </t>
  </si>
  <si>
    <t xml:space="preserve">064/2014
2º aditivo       </t>
  </si>
  <si>
    <t xml:space="preserve">064/2014
3º aditivo       </t>
  </si>
  <si>
    <t>Serviços de Recuperação de Calçadas - lote 4- etapa 3</t>
  </si>
  <si>
    <t>065/2014
1º aditivo</t>
  </si>
  <si>
    <t>065/2014
2º aditivo</t>
  </si>
  <si>
    <t>Proc. 148/2017</t>
  </si>
  <si>
    <t>TP. 015/2014</t>
  </si>
  <si>
    <t>Construção de unidade de acolhimento no bairro cidade nova</t>
  </si>
  <si>
    <t>CONSÓRCIO RODOACRE CIDADE NOVA - COMPOSTA PELAS EMPRESAS CONSTRUTORA NOVO TEMPO LTDA E CONSTRUTORA MOREIRA DA COSTA LTDA</t>
  </si>
  <si>
    <t>070/2014
1º aditivo</t>
  </si>
  <si>
    <t>070/2014
2º aditivo</t>
  </si>
  <si>
    <t>070/2014
3º aditivo</t>
  </si>
  <si>
    <t>Serviços de Recuperação de Calçadas - lote 4- etapa 2</t>
  </si>
  <si>
    <t>TP. 1/2014</t>
  </si>
  <si>
    <t>Reforma e ampliação do Restaurante Popular</t>
  </si>
  <si>
    <t>072/2014
1º aditivo</t>
  </si>
  <si>
    <t>072/2014
2º aditivo</t>
  </si>
  <si>
    <t>TP. 16/2014</t>
  </si>
  <si>
    <t>Construção de quadra de grama sintética no bairro Raimundo Melo</t>
  </si>
  <si>
    <t>073/2014
1º aditivo</t>
  </si>
  <si>
    <t>073/2014
2º aditivo</t>
  </si>
  <si>
    <t>TP. 17/2014</t>
  </si>
  <si>
    <t>Construção de quadra de grama sintética no bairro João Eduardo II</t>
  </si>
  <si>
    <t>CONSORCIO MZ - (EURO CONSTRUÇÕES e CONSTRUTORA NASCIMENTO LTDA)</t>
  </si>
  <si>
    <t>075/2014
1º aditivo</t>
  </si>
  <si>
    <t>TP. 18/2014</t>
  </si>
  <si>
    <t>Construção da quadra de grama sintética coberta em estrutura metálica no bairro Xavier Maia</t>
  </si>
  <si>
    <t>076/2014
1º aditivo</t>
  </si>
  <si>
    <t>076/2014
2º aditivo</t>
  </si>
  <si>
    <t>Construção do Micro Terminal do Wanderley Dantas</t>
  </si>
  <si>
    <t>86/2014</t>
  </si>
  <si>
    <t>ANCORA CONSTRUÇÕES CIVIL LTDA</t>
  </si>
  <si>
    <t>86/2014                             2º aditivo</t>
  </si>
  <si>
    <t>Proc. 139/2014</t>
  </si>
  <si>
    <t>TP. 13/2013</t>
  </si>
  <si>
    <t>Construção de abrigos para usuários de transporte coletivo - lote 01</t>
  </si>
  <si>
    <t>87/2014</t>
  </si>
  <si>
    <t>CONSTRUTORA J &amp; L LTDA</t>
  </si>
  <si>
    <t>18 e 6</t>
  </si>
  <si>
    <t>87/2014
1º aditivo</t>
  </si>
  <si>
    <t>Construção de abrigos para usuários de transporte coletivo - lote 02</t>
  </si>
  <si>
    <t>88/2014</t>
  </si>
  <si>
    <t>88/2014
1º aditivo</t>
  </si>
  <si>
    <t>Construção de abrigos para usuários de transporte coletivo - lote 03</t>
  </si>
  <si>
    <t>89/2014</t>
  </si>
  <si>
    <t>89/2014
1º aditivo</t>
  </si>
  <si>
    <t>Proc. 15/2013</t>
  </si>
  <si>
    <t>TP. 15/2013</t>
  </si>
  <si>
    <t>Acompanhamento de contratos firmados, Divisão de iluminação pública</t>
  </si>
  <si>
    <t>96/2014</t>
  </si>
  <si>
    <t>NEO CONSTRUÇÃO E COMÉRCIO LTDA</t>
  </si>
  <si>
    <t>Proc. 199/2014</t>
  </si>
  <si>
    <t>TP. 20/2014</t>
  </si>
  <si>
    <t>Reforma do piso e implantação do sistema de detecção de incêndio do CEASA - lote 01</t>
  </si>
  <si>
    <t>97/2014</t>
  </si>
  <si>
    <t>44905100
33903900</t>
  </si>
  <si>
    <t>97/2014
1º aditivo</t>
  </si>
  <si>
    <t>97/2014
2º aditivo</t>
  </si>
  <si>
    <t>Reforma do piso e implantação do sistema de detecção de incêndio do CEASA - lote 02</t>
  </si>
  <si>
    <t>98/2014</t>
  </si>
  <si>
    <t>98/2014
1º aditivo</t>
  </si>
  <si>
    <t>98/2014
2º aditivo</t>
  </si>
  <si>
    <t>98/2014
3º aditivo</t>
  </si>
  <si>
    <t>98/2014
4º aditivo</t>
  </si>
  <si>
    <t>98/2014
5º aditivo</t>
  </si>
  <si>
    <t>Proc. 150/2014</t>
  </si>
  <si>
    <t>Construção de passarela, reforma de piso e da cobertura do recinto das onças no parque Chico Mendes</t>
  </si>
  <si>
    <t>A. G. M. CONSTRUTORA LTDA</t>
  </si>
  <si>
    <t>100/2014
1º aditivo</t>
  </si>
  <si>
    <t>100/2014
2º aditivo</t>
  </si>
  <si>
    <t>Proc. 205/2014</t>
  </si>
  <si>
    <t>TP 22/2014</t>
  </si>
  <si>
    <t>Manutenção em obras de arte especiais, passarelas e escadarias de madeira</t>
  </si>
  <si>
    <t>110/2014                        1º aditivo</t>
  </si>
  <si>
    <t>TP 23/2014</t>
  </si>
  <si>
    <t>Reforma da praça dos Tocos - Centro, Rio Branco/Acre</t>
  </si>
  <si>
    <t>279/2014</t>
  </si>
  <si>
    <t>TP 30/2014</t>
  </si>
  <si>
    <t>Reforma da praça do conjunto São Francisco</t>
  </si>
  <si>
    <t>EGS CONSTRUÇÕES E COMERCIO LTDA - ME</t>
  </si>
  <si>
    <t>120/2014                     1º aditivo</t>
  </si>
  <si>
    <t>309/2014</t>
  </si>
  <si>
    <t>TP nº                                033/2013</t>
  </si>
  <si>
    <t>Construção de comércio e calçadas de acesso na rua Epaminondas Jácome</t>
  </si>
  <si>
    <t>PARAISO CONSTRUÇÕES LTDA-ME</t>
  </si>
  <si>
    <t>TP nº                                033/2014</t>
  </si>
  <si>
    <t>Reforma do Prédio do Centro Cultural Lydia Hammes</t>
  </si>
  <si>
    <t>CONSTRUTORA VALE DO YACO LTDA</t>
  </si>
  <si>
    <t>323/2014</t>
  </si>
  <si>
    <t>TP 35/2014</t>
  </si>
  <si>
    <t>Decoração Natalina 2014</t>
  </si>
  <si>
    <t>315/2014</t>
  </si>
  <si>
    <t>Construção de Centro de Convivnência do Idoso, Localizado  na Trav. Luiz Pereira Bairro Calafate</t>
  </si>
  <si>
    <t>DEMONSTRATIVO DE LICITAÇÕES E CONTRATOS POR MODALIDADE - CONCORRÊNCIA</t>
  </si>
  <si>
    <t>20/2009</t>
  </si>
  <si>
    <t>Concorrência nº 002/2009  Lote 02</t>
  </si>
  <si>
    <t>Urbanização do Bairro Eldorado, no município de Rio Branco-Ac – Lote 02</t>
  </si>
  <si>
    <t>027/2009</t>
  </si>
  <si>
    <t>ABACO ENGENHARIA CONSTRUÇÕES E COMERCIO LTDA</t>
  </si>
  <si>
    <t>027/2009
1º aditivo</t>
  </si>
  <si>
    <t>027/2009
2º aditivo</t>
  </si>
  <si>
    <t>027/2009
3º aditivo</t>
  </si>
  <si>
    <t>027/2009
4º aditivo</t>
  </si>
  <si>
    <t>027/2009
5º aditivo</t>
  </si>
  <si>
    <t>027/2009
6º aditivo</t>
  </si>
  <si>
    <t>027/2009
7º aditivo</t>
  </si>
  <si>
    <t>027/2009
8º aditivo</t>
  </si>
  <si>
    <t>027/2009
9º aditivo</t>
  </si>
  <si>
    <t>027/2009
10º aditivo</t>
  </si>
  <si>
    <t>027/2009
11º aditivo</t>
  </si>
  <si>
    <t>168/2010</t>
  </si>
  <si>
    <t>Concorrência nº 006/2010</t>
  </si>
  <si>
    <t>Execução  dos serviços de Urbanização do Bairro João Eduardo II</t>
  </si>
  <si>
    <t>043/2010</t>
  </si>
  <si>
    <t>MAV. CONSTRUÇÕES LTDA</t>
  </si>
  <si>
    <t>m</t>
  </si>
  <si>
    <t>043/2010
1º aditivo</t>
  </si>
  <si>
    <t>043/2010
3º aditivo</t>
  </si>
  <si>
    <t xml:space="preserve">043/2010
4 º aditivo </t>
  </si>
  <si>
    <t>10905  10997</t>
  </si>
  <si>
    <t>043/2010
5º aditivo</t>
  </si>
  <si>
    <t>043/2010
6º aditivo</t>
  </si>
  <si>
    <t>043/2010
7º aditivo</t>
  </si>
  <si>
    <t>155/2011</t>
  </si>
  <si>
    <t>Concorrência nº 003/2011</t>
  </si>
  <si>
    <t>serviços de manutenção do Sistema de Iluminação Pública do município de Rio Branco-Ac.</t>
  </si>
  <si>
    <t>047/2011</t>
  </si>
  <si>
    <t>ELEACRE ENGENHARIA LTDA</t>
  </si>
  <si>
    <t>047/2011
1º aditivo</t>
  </si>
  <si>
    <t>047/2011
2º aditivo</t>
  </si>
  <si>
    <t>047/2011
3º aditivo</t>
  </si>
  <si>
    <t>047/2011
4º aditivo</t>
  </si>
  <si>
    <t>Concorrência 003/2011</t>
  </si>
  <si>
    <t>Contratação de empresa especializada para execução de serviços de manutenção do Sistema de Iluminação Pública do município de Rio Branco-Ac.</t>
  </si>
  <si>
    <t>047/2011
5º aditivo</t>
  </si>
  <si>
    <t>047/2011
 6º aditivo</t>
  </si>
  <si>
    <t>047/2011
7º aditivo</t>
  </si>
  <si>
    <t>09/12/201</t>
  </si>
  <si>
    <t>248/2011</t>
  </si>
  <si>
    <t xml:space="preserve">CONCORRÊNCIA Nº 009/2011 </t>
  </si>
  <si>
    <t>Construção de 10(dez) sobrados geminados (20 Unidades Habitacional) em alvenaria e madeira no Bairro Ilson Ribeiro</t>
  </si>
  <si>
    <t>073/2011</t>
  </si>
  <si>
    <t>REAL CONSTRUÇÃO LTDA</t>
  </si>
  <si>
    <t>073/2011
3º aditivo</t>
  </si>
  <si>
    <t>073/2011
4º aditivo</t>
  </si>
  <si>
    <t>073/2011
5º aditivo</t>
  </si>
  <si>
    <t>073/2011
6º aditivo</t>
  </si>
  <si>
    <t>073/2011
8º aditivo</t>
  </si>
  <si>
    <t>073/2011
9º aditivo</t>
  </si>
  <si>
    <t>073/2011
10º aditivo</t>
  </si>
  <si>
    <t>246/2011</t>
  </si>
  <si>
    <t>CONCORRêNCIA Nº 011/2011</t>
  </si>
  <si>
    <t>Construção de 08 sobrados geminados no Bairro Ilson Ribeiro</t>
  </si>
  <si>
    <t>CARDOSO &amp; RODRIGUES</t>
  </si>
  <si>
    <t>001/2012
3º aditivo</t>
  </si>
  <si>
    <t>001/2012
5º aditivo</t>
  </si>
  <si>
    <t>001/2012
6º aditivo</t>
  </si>
  <si>
    <t>001/2012
8º aditivo</t>
  </si>
  <si>
    <t>001/2012
9º aditivo</t>
  </si>
  <si>
    <t>CONCORRÊNCA Nº 010/2011</t>
  </si>
  <si>
    <t>Construção de 36 sobrados geminados no Bairro Ilson Ribeiro</t>
  </si>
  <si>
    <t>M. C. Costa Eng Ltda</t>
  </si>
  <si>
    <t>004/2012 3ºaditivo</t>
  </si>
  <si>
    <t>004/2012
4º aditivo</t>
  </si>
  <si>
    <t xml:space="preserve">CONCORRÊNCIA Nº 010/2011 </t>
  </si>
  <si>
    <t>Construção de 36 (trinta e seis) sobrados geminados (72 Unidades Habitacionais) em alvenaria e madeira no  Loteamento Santo Afonso, no Município de Rio Branco - Acre</t>
  </si>
  <si>
    <t>004/2012
6º aditivo</t>
  </si>
  <si>
    <t>M. C. COSTA ENGENHARIA LTDA</t>
  </si>
  <si>
    <t>004/2012
7º aditivo</t>
  </si>
  <si>
    <t>39/2012</t>
  </si>
  <si>
    <t>CONCORRÊNCIA Nº 005/2012</t>
  </si>
  <si>
    <t>Demolição e Construção da Praça dos Esportes e da Cultura no Bairro Cidade Nova</t>
  </si>
  <si>
    <t>022/2012</t>
  </si>
  <si>
    <t>NEO CONSTRUÇÕES E COM. LTDA</t>
  </si>
  <si>
    <t>10.790
10.809</t>
  </si>
  <si>
    <t>022/2012
2º aditivo</t>
  </si>
  <si>
    <t>022/2012
4º aditivo</t>
  </si>
  <si>
    <t>022/2012
5º aditivo</t>
  </si>
  <si>
    <t>022/2012
7º aditivo</t>
  </si>
  <si>
    <t>022/2012
8º aditivo</t>
  </si>
  <si>
    <t>022/2012
9º aditivo</t>
  </si>
  <si>
    <t>141/2012</t>
  </si>
  <si>
    <t>CONCORRÊNCIA Nº 009/2012</t>
  </si>
  <si>
    <t>Urbanização no Bairro Nova Esperança</t>
  </si>
  <si>
    <t>047/2012</t>
  </si>
  <si>
    <t>E.M.C Construção e Transp. Ltda</t>
  </si>
  <si>
    <t>047/2012
1º aditivo</t>
  </si>
  <si>
    <t>047/2012
2º aditivo</t>
  </si>
  <si>
    <t>246/2013</t>
  </si>
  <si>
    <t>CONCORRêNCIA nº 12/13</t>
  </si>
  <si>
    <t>Serviço de estrutura metálica em aço para complementação da Praça dos Esportes e da Cultura no bairro Cidade Nova</t>
  </si>
  <si>
    <t>VS. CONSTRUÇÕES E COM. IMP. EXP. LTDA</t>
  </si>
  <si>
    <t>083/2013
1º aditivo</t>
  </si>
  <si>
    <t>083/2013
2º ditivo</t>
  </si>
  <si>
    <t>083/2013
3º aditivo</t>
  </si>
  <si>
    <t>083/2013
4º aditivo</t>
  </si>
  <si>
    <t>083/2013
5º aditivo</t>
  </si>
  <si>
    <t>083/2013
6º atidivo</t>
  </si>
  <si>
    <t>083/201
7º atidivo</t>
  </si>
  <si>
    <t>083/2013
8º atidivo</t>
  </si>
  <si>
    <t>CONCORRÊNCIA Nº 012/2013</t>
  </si>
  <si>
    <t>Execução dos Serviços de Estruturas Metálicas em Aço, para a Complementação da Praça dos Esportes e da Cultura no Bairro Cidade Nova</t>
  </si>
  <si>
    <t>083/2013            9º aditivo</t>
  </si>
  <si>
    <t>225/2013</t>
  </si>
  <si>
    <t>Concorrência nº 002/2013
Proc. 225/2013</t>
  </si>
  <si>
    <t>Manutenção de iluminação pública na área urbana e rural</t>
  </si>
  <si>
    <t>098/2013</t>
  </si>
  <si>
    <t>ÂNGULO CONSTRUÇÕES E COMERCIO LTDA</t>
  </si>
  <si>
    <t>098/2013
1º aditivo</t>
  </si>
  <si>
    <t>098/2013
2º aditivo</t>
  </si>
  <si>
    <t>098/2013
3º aditivo</t>
  </si>
  <si>
    <t>311/2013</t>
  </si>
  <si>
    <t>Concorrência Nº 015/2013
Proc. 311/2013</t>
  </si>
  <si>
    <t>Construção do Centro Popular de Compras no calçadão da Rua Benjamim constant</t>
  </si>
  <si>
    <t>CONSÓRCIO SHOPPING RIO BRANCO (TL. Engenharia e Bessa Terraplanagem e Construção LTDA)</t>
  </si>
  <si>
    <t>006/2014
1º aditivo</t>
  </si>
  <si>
    <t>006/2014
2º aditivo</t>
  </si>
  <si>
    <t>374/2013</t>
  </si>
  <si>
    <t>Conc. 17/2013</t>
  </si>
  <si>
    <t>Reforma do mercado do XV</t>
  </si>
  <si>
    <t>Reforma do mercado do XI</t>
  </si>
  <si>
    <t>017/2014
1º aditivo</t>
  </si>
  <si>
    <t>017/2014
2º aditivo</t>
  </si>
  <si>
    <t>017/2014
3º aditivo</t>
  </si>
  <si>
    <t>Proc. 412/2013</t>
  </si>
  <si>
    <t>concorrencia para resistro de preço 002/2014</t>
  </si>
  <si>
    <t>Prestação de Serviços Técnicos na Elaboração de Projetos Executivos Para Obras de Intervenção de Alargamento/Duplicação/Urbanização De Vias Urbanas</t>
  </si>
  <si>
    <t>VETOR ENGENHARIA E CONSTRUÇÕES LTDA</t>
  </si>
  <si>
    <t>069/2014
1º aditivo</t>
  </si>
  <si>
    <t>069/2014
2º aditivo</t>
  </si>
  <si>
    <t>Conc. Para Registro de Preço nº 002/2014</t>
  </si>
  <si>
    <t xml:space="preserve">Prestação de Serviços Técnicos na Elaboração de Projetos Executivos Para Obras de Intervenção de Alargamento/Duplicação/Urbanização De Vias Urbanas, no Município de Rio Branco/Acre. </t>
  </si>
  <si>
    <t>069/2014
3º aditvo</t>
  </si>
  <si>
    <t>Concorrência 002/2014</t>
  </si>
  <si>
    <t>Construção do Centro de Esportes Radicais</t>
  </si>
  <si>
    <t>ADINN CONSTRUÇÃO E PAVIMENTAÇÃO LTDA</t>
  </si>
  <si>
    <t>103/2014
1º aditivo</t>
  </si>
  <si>
    <t>Concorrência nº 002/2014</t>
  </si>
  <si>
    <t>Construção de Centro de Esportes Radicais, Localizado na Estrada do Quixadá, km 03</t>
  </si>
  <si>
    <t>103/2014
2º aditivo</t>
  </si>
  <si>
    <t>ADINN CONSTRUÇÕES E PAVIMENTAÇÃO LTDA</t>
  </si>
  <si>
    <t>Proc. 198/2014</t>
  </si>
  <si>
    <t>Concorrência 004/2014</t>
  </si>
  <si>
    <t>Recuperação de calçadas, Etapa IV - lote 01</t>
  </si>
  <si>
    <t>VIX CONSTRUÇÕES E SERVIÇOS LTDA</t>
  </si>
  <si>
    <t>104/2014
1º aditivo</t>
  </si>
  <si>
    <t>11.453   11.456</t>
  </si>
  <si>
    <t>Serviço de recuperação de calçadas - etapa IV -  lote 2</t>
  </si>
  <si>
    <t>105/2014
1º aditivo</t>
  </si>
  <si>
    <t>11.454   11.456</t>
  </si>
  <si>
    <t>Serviço de recuperação de calçadas - etapa IV -  lote 3</t>
  </si>
  <si>
    <t>106/2014
1º aditivo</t>
  </si>
  <si>
    <t>11.453         11.456</t>
  </si>
  <si>
    <t>Serviço de recuperação de calçadas - etapa IV -  lote 4</t>
  </si>
  <si>
    <t>107/2014
 1º aditivo</t>
  </si>
  <si>
    <t>11453  11.456</t>
  </si>
  <si>
    <t>DEMONSTRATIVO DE LICITAÇÕES E CONTRATOS POR MODALIDADE - PREGÃO</t>
  </si>
  <si>
    <t>Critério</t>
  </si>
  <si>
    <t>431/2008</t>
  </si>
  <si>
    <t>PREGÂO Nº 002/2009</t>
  </si>
  <si>
    <t>Contratação de empresa especializada na execução de serv. De limpeza e conservação, com fornecimento de material</t>
  </si>
  <si>
    <t>07/2009</t>
  </si>
  <si>
    <t>JWC SUPPORT CORPORATION LTDA</t>
  </si>
  <si>
    <t>07/2009
1º aditivo</t>
  </si>
  <si>
    <t>07/2009
3º aditivo</t>
  </si>
  <si>
    <t>31/9/2010</t>
  </si>
  <si>
    <t>07/2009
4º  aditivo</t>
  </si>
  <si>
    <t>31/6/11</t>
  </si>
  <si>
    <t>07/2009
5º aditivo</t>
  </si>
  <si>
    <t>07/2009
7º aditivo</t>
  </si>
  <si>
    <t>07/2009
10º aditivo</t>
  </si>
  <si>
    <t>31/9/2013</t>
  </si>
  <si>
    <t>89/2010</t>
  </si>
  <si>
    <t>PREGÃO Nº. 024/2010</t>
  </si>
  <si>
    <t>Contratação de Pessoa Física para prestação de serviços de transporte, dispondo de veículo com capacidade para transportar 05(cinco) passageiros</t>
  </si>
  <si>
    <t>32/2010</t>
  </si>
  <si>
    <t>JEAN CARLOS LEAL DA SILVA</t>
  </si>
  <si>
    <t>32/2010
1º aditivo</t>
  </si>
  <si>
    <t>32/2010
2º aditivo</t>
  </si>
  <si>
    <t>32/201
3º aditivo</t>
  </si>
  <si>
    <t>32/2010 
4º aditivo</t>
  </si>
  <si>
    <t>32/2010 
5º aditivo</t>
  </si>
  <si>
    <t>73/2011</t>
  </si>
  <si>
    <t>Pregão 05/2010</t>
  </si>
  <si>
    <t>Prestação de serv. De reprografia</t>
  </si>
  <si>
    <t>COPIART IND. COM. DE DOPIAS LTDA</t>
  </si>
  <si>
    <t>007/2011
1º aditivo</t>
  </si>
  <si>
    <t>007/2011
2º aditivo</t>
  </si>
  <si>
    <t>007/2011
3º aditivo</t>
  </si>
  <si>
    <t>007/2011
4º aditivo</t>
  </si>
  <si>
    <t>007/2011
5º aditivo</t>
  </si>
  <si>
    <t>45/2011</t>
  </si>
  <si>
    <t>PREGÃO Nº. 009/2011</t>
  </si>
  <si>
    <t>015/2011</t>
  </si>
  <si>
    <t>EMERSON JORDAN MORAIS COSTA</t>
  </si>
  <si>
    <t>015/2011
1º aditivo</t>
  </si>
  <si>
    <t>015/2011
2º aditivo</t>
  </si>
  <si>
    <t>015/2011
3º aditivo</t>
  </si>
  <si>
    <t>015/2011
4º aditivo</t>
  </si>
  <si>
    <t>015/2011
5º aditivo</t>
  </si>
  <si>
    <t>016/2011</t>
  </si>
  <si>
    <t>LUCIENE RODRIGUES DE OLIVEIRA</t>
  </si>
  <si>
    <t>016/2011
1º aditivo</t>
  </si>
  <si>
    <t>016/2011
2º aditivo</t>
  </si>
  <si>
    <t>016/2011
3º aditivo</t>
  </si>
  <si>
    <t>016/2011
4º aditivo</t>
  </si>
  <si>
    <t>016/2011
5º aditivo</t>
  </si>
  <si>
    <t>DAMIAO CAVALCANE DE SOUZA</t>
  </si>
  <si>
    <t>017/2011
1º aditivo</t>
  </si>
  <si>
    <t>017/2011
2º aditivo</t>
  </si>
  <si>
    <t>017/2011
3º aditivo</t>
  </si>
  <si>
    <t>017/2011
4º aditivo</t>
  </si>
  <si>
    <t>017/2011
5º aditivo</t>
  </si>
  <si>
    <t>019/2011</t>
  </si>
  <si>
    <t>ROSINO FRANCISCO</t>
  </si>
  <si>
    <t>019/2011
1º aditivo</t>
  </si>
  <si>
    <t>019/2011
2º aditivo</t>
  </si>
  <si>
    <t>019/2011
3º aditivo</t>
  </si>
  <si>
    <t>019/2011
4º aditivo</t>
  </si>
  <si>
    <t>019/2011
5º aditivo</t>
  </si>
  <si>
    <t>020/2011</t>
  </si>
  <si>
    <t>FRANCISCO DE ASSIS DINIZ DE SOUZA</t>
  </si>
  <si>
    <t xml:space="preserve">020/2011
1º aditivo </t>
  </si>
  <si>
    <t>020/2011
2º aditivo</t>
  </si>
  <si>
    <t>020/2011
3º aditivo</t>
  </si>
  <si>
    <t>020/2011
4º aditivo</t>
  </si>
  <si>
    <t>020/2011
5º aditivo</t>
  </si>
  <si>
    <t>020/2011
6º aditivo</t>
  </si>
  <si>
    <t>020/2011
7º aditivo</t>
  </si>
  <si>
    <t>026/2011</t>
  </si>
  <si>
    <t>CLEILSON HOLANDA DE SOUZA</t>
  </si>
  <si>
    <t>026/2011
1º aditivo</t>
  </si>
  <si>
    <t>026/2011
2º aditivo</t>
  </si>
  <si>
    <t>026/2011
3º aditivo</t>
  </si>
  <si>
    <t>026/2011
4º aditivo</t>
  </si>
  <si>
    <t>026/2011
5º aditivo</t>
  </si>
  <si>
    <t>027/2011</t>
  </si>
  <si>
    <t>ADRIANA DA SILVA FARIAS</t>
  </si>
  <si>
    <t>027/2011
1º aditivo</t>
  </si>
  <si>
    <t>027/2011
2º aditivo</t>
  </si>
  <si>
    <t>027/2011
3º aditivo</t>
  </si>
  <si>
    <t>027/2011
4º aditivo</t>
  </si>
  <si>
    <t>027/2011
5º aditivo</t>
  </si>
  <si>
    <t>028/2011</t>
  </si>
  <si>
    <t>LUIZ CARLOS CRISPIN DE SOUZA</t>
  </si>
  <si>
    <t>028/2011           1º aditivo</t>
  </si>
  <si>
    <t>028/2011          2º aditivo</t>
  </si>
  <si>
    <t>028/2011            3º aditivo</t>
  </si>
  <si>
    <t>028/2011               4º aditivo</t>
  </si>
  <si>
    <t>028/2011              5º aditivo</t>
  </si>
  <si>
    <t>40/2012</t>
  </si>
  <si>
    <t>PREGÃO Nº 036/2012</t>
  </si>
  <si>
    <t>MARIA ELVIRA DIAS SOARES</t>
  </si>
  <si>
    <t>028/2012            1º aditivo</t>
  </si>
  <si>
    <t>028/2012              2º aditivo</t>
  </si>
  <si>
    <t>028/2012              3º aditivo</t>
  </si>
  <si>
    <t>031/2012</t>
  </si>
  <si>
    <t>GLEIBY PEREIRA DE SOUZA LIMA</t>
  </si>
  <si>
    <t>031/2012
1º aditivo</t>
  </si>
  <si>
    <t>031/2012              2º aditivo</t>
  </si>
  <si>
    <t>031/2012               3º aditivo</t>
  </si>
  <si>
    <t>032/2012</t>
  </si>
  <si>
    <t>FERNANDO HENRIQUE ALMEIDA DE SOUZA</t>
  </si>
  <si>
    <t>032/2012                   1º aditivo</t>
  </si>
  <si>
    <t>032/2012                 2º aditivo</t>
  </si>
  <si>
    <t>032/2012                 3º aditivo</t>
  </si>
  <si>
    <t>356/2013</t>
  </si>
  <si>
    <t>PREGÃO 032/2013</t>
  </si>
  <si>
    <t>Aquisição de equipamentos de informática (07 computadores, 7 monitores e 4 nobreaks)</t>
  </si>
  <si>
    <t>CENTER DATA ANÁLISES DE SISTEMAS E SERVIÇOS LTDA</t>
  </si>
  <si>
    <t>PREGÃO Nº 002/2014
Proc. 388/2013</t>
  </si>
  <si>
    <t>Aquisição de equipamentos, mobiliários e materiais para estruturação do Centro de Artes e Esportes Unificados/CEU'S</t>
  </si>
  <si>
    <t>018/2014               1º aditivo</t>
  </si>
  <si>
    <t xml:space="preserve">TECMAQ LTDA                   </t>
  </si>
  <si>
    <t>018/2014                    2º aditivo</t>
  </si>
  <si>
    <t xml:space="preserve">TECMAQ LTDA                </t>
  </si>
  <si>
    <t>388/2013</t>
  </si>
  <si>
    <t>D. D. DE ALENCAR - ME</t>
  </si>
  <si>
    <t>019/2014                  1º aditivo</t>
  </si>
  <si>
    <t>019/2014                  2º aditivo</t>
  </si>
  <si>
    <t>020/2014                  1º aditivo</t>
  </si>
  <si>
    <t>020/2014                  2º aditivo</t>
  </si>
  <si>
    <t>ACRE COMÉRCIO IMPORTAÇÃO E EXPORTAÇÃO</t>
  </si>
  <si>
    <t>021/2014               1º aditivo</t>
  </si>
  <si>
    <t>021/2014               2º aditivo</t>
  </si>
  <si>
    <t>021/2014               3º aditivo</t>
  </si>
  <si>
    <t>022/2014                    1º adaitivo</t>
  </si>
  <si>
    <t>022/2014                    2º adaitivo</t>
  </si>
  <si>
    <t>PREGÃO 10/2014
Proc. 96/2014</t>
  </si>
  <si>
    <t>Aquisição de equipamentos, mobiliarios e materiais para estruturação do Centro de Artes e Esportes Unificados/CEU's</t>
  </si>
  <si>
    <t>030/2014               1º aditivo</t>
  </si>
  <si>
    <t>030/2014               2º aditivo</t>
  </si>
  <si>
    <t>030/2014               3º aditivo</t>
  </si>
  <si>
    <t>Proc. 52/2015</t>
  </si>
  <si>
    <t>PREGÃO 8/2014</t>
  </si>
  <si>
    <t xml:space="preserve">Contratação de pessoa jurídica para prestação de serviços especializados de locação de veículo automotor, provido de condutores habilitados </t>
  </si>
  <si>
    <t>KAUANNA LUZ DE HOLANDA</t>
  </si>
  <si>
    <t>035/2014                    1º aditivo</t>
  </si>
  <si>
    <t>THIAGO COUTINHO DA SILVA</t>
  </si>
  <si>
    <t>036/2014                       1º aditivo</t>
  </si>
  <si>
    <t>PHALMIERYS KONIGSPALME DE ALENCAR PALMEIRAS</t>
  </si>
  <si>
    <t>037/2014                         1º aditivo</t>
  </si>
  <si>
    <t>RONEY FELIX DE LIMA</t>
  </si>
  <si>
    <t>038/2014                     1º aditivo</t>
  </si>
  <si>
    <t>039/2014                      1º aditivo</t>
  </si>
  <si>
    <t>040/2014                     1º aditivo</t>
  </si>
  <si>
    <t>EDSON OLIVEIRA DE SOUZA</t>
  </si>
  <si>
    <t>041/2014                     1º aditivo</t>
  </si>
  <si>
    <t>GLEICIANE ANGELO DE SOUZA SILVA</t>
  </si>
  <si>
    <t xml:space="preserve">042/2014                  1º aditivo </t>
  </si>
  <si>
    <t>MARIA ELVIRA DIAS SOAREZ</t>
  </si>
  <si>
    <t>043/2014                         1º aditivo</t>
  </si>
  <si>
    <t>WILKER MARTINS DA SILVA</t>
  </si>
  <si>
    <t>044/2014                        1º aditivo</t>
  </si>
  <si>
    <t>GLEYSON AQUINO DA SILVA</t>
  </si>
  <si>
    <t>LUANA ROCHA DA SILVA</t>
  </si>
  <si>
    <t>048/2014
1º aditivo</t>
  </si>
  <si>
    <t>MARIA DA GLÓRIA RODRIGUES</t>
  </si>
  <si>
    <t>049/2014
1º aditivo</t>
  </si>
  <si>
    <t>Proc. 95/2014</t>
  </si>
  <si>
    <t>PREGÃO REGISTRO DE PREÇO
46/2014</t>
  </si>
  <si>
    <t>Manutenção preventiva e/ou corretiva em prédios públicos das secretarias administrativas da prefeitura</t>
  </si>
  <si>
    <t>R. M. TERRAPLANAGEM E COMÉRCIO LTDA</t>
  </si>
  <si>
    <t>050/2014                    1º aditivo</t>
  </si>
  <si>
    <t>Proc. 088/2014</t>
  </si>
  <si>
    <t>PREGÃO 11/2014</t>
  </si>
  <si>
    <t>Aquisição de equipamentos e materiais para estruturação do Centro de artes e esportes - CEUS</t>
  </si>
  <si>
    <t>PHYSICUS COMÉRCIO DE ARTIGOS ESPORTIVOS - EIRELI</t>
  </si>
  <si>
    <t>053/2014                  1º aditivo</t>
  </si>
  <si>
    <t>053/2014                  2º aditivo</t>
  </si>
  <si>
    <t>M. S. FEITOSA - ME</t>
  </si>
  <si>
    <t>054/2014
1º aditvio</t>
  </si>
  <si>
    <t>054/2014                      2º aditivo</t>
  </si>
  <si>
    <t>054/2014                      3º aditivo</t>
  </si>
  <si>
    <t>055/2014
 1º aditivo</t>
  </si>
  <si>
    <t>055/2014                    2º aditivo</t>
  </si>
  <si>
    <t>TAYLANE PEREIRA DA SILVA DE LIMA</t>
  </si>
  <si>
    <t>057/2014                        1º aditivo</t>
  </si>
  <si>
    <t>PAMALA MENEZES BEZERRA</t>
  </si>
  <si>
    <t>058/2014                             1º aditivo</t>
  </si>
  <si>
    <t>Proc. 52/2014</t>
  </si>
  <si>
    <t>TP. 82/2014</t>
  </si>
  <si>
    <t>IVAN SOUZA DE HOLANDA</t>
  </si>
  <si>
    <t>066/2014                    1º aditivo</t>
  </si>
  <si>
    <t>Proc. 38/2014</t>
  </si>
  <si>
    <t>pregão preseNCIAL Nº. 005/2014</t>
  </si>
  <si>
    <t>Prestação de serviço de limpeza e conservação, com fornecimento de material necessário a serem executados no prédio da SEOP</t>
  </si>
  <si>
    <t>68/22014</t>
  </si>
  <si>
    <t>ACCA SERVIÇOS E COMÉRCIO LTDA</t>
  </si>
  <si>
    <t>68/22014                    1º aditivo</t>
  </si>
  <si>
    <t>PREGÃO 16/2014</t>
  </si>
  <si>
    <t>Aquisição de equipamentos e materiais de arte e esportes do Centro de artes e esportes - CEUS</t>
  </si>
  <si>
    <t>CARULINO FERRAZ MIRANDA</t>
  </si>
  <si>
    <t>074/2014
1º aditivo</t>
  </si>
  <si>
    <t>JOSÉ ELIEZE LIMA DE HOLANDA</t>
  </si>
  <si>
    <t>080/2014
1º aditivo</t>
  </si>
  <si>
    <t>081/014</t>
  </si>
  <si>
    <t>ANTÔNIA ALVES DE OLIVEIRA</t>
  </si>
  <si>
    <t>081/014
1º aditivo</t>
  </si>
  <si>
    <t>MARIA AUXILIADORA MOREIRA DE SOUZA</t>
  </si>
  <si>
    <t>082/2014
1º aditivo</t>
  </si>
  <si>
    <t xml:space="preserve">  MARIA JUCILEIDE FLORENTINA LEMOS DA SILVA</t>
  </si>
  <si>
    <t>JOSÉ AMURIM DE MESQUITA FILHO</t>
  </si>
  <si>
    <t>Proc. 203/2014</t>
  </si>
  <si>
    <t>PREGÃO 13/2014</t>
  </si>
  <si>
    <t>Aquisição de material de consumo e expediente</t>
  </si>
  <si>
    <t>J. S. CORDEIRO - ME</t>
  </si>
  <si>
    <t>91/2014</t>
  </si>
  <si>
    <t>ARNALDO COMERCIO E REPRESENTAÇÕES</t>
  </si>
  <si>
    <t>92/2014</t>
  </si>
  <si>
    <t>93/2014</t>
  </si>
  <si>
    <t>F. F. DE MEDEIROS - ME</t>
  </si>
  <si>
    <t>94/2014</t>
  </si>
  <si>
    <t>T. F. NASCIMENTO - ME</t>
  </si>
  <si>
    <t>95/2014</t>
  </si>
  <si>
    <t>M. S. MOREIRA - ME</t>
  </si>
  <si>
    <t>95/2014                      1º aditivo</t>
  </si>
  <si>
    <t>Proc. 52/014</t>
  </si>
  <si>
    <t>Pregão 8/2014</t>
  </si>
  <si>
    <t>WELLINGTON BARBOSA DE SOUZA</t>
  </si>
  <si>
    <t>101/2014                       1º aditivo</t>
  </si>
  <si>
    <t>ADVILSON DA SILVA ARAÚJO</t>
  </si>
  <si>
    <t>102/2014
1º aditivo</t>
  </si>
  <si>
    <t>DEMONSTRATIVO DE LICITAÇÕES E CONTRATOS POR MODALIDADE - PREGÃO SRP</t>
  </si>
  <si>
    <t>195/2013</t>
  </si>
  <si>
    <t>prestação de serviços técnicos de elaboração de projetos executivos de edificações, projetos executivos de pontes com estrutura mista e levantamentos topográficos do tpo planialtimétrico e cadastral com objetivo de atender as necessidades da SEOP</t>
  </si>
  <si>
    <t>11096                 11148</t>
  </si>
  <si>
    <t>282/2013</t>
  </si>
  <si>
    <t>Acompanhamento Topografico para Obras de Urbanização, Qaulificação e Alargamento de Vias, no Municipio de Rio Branco.</t>
  </si>
  <si>
    <t>096/2013</t>
  </si>
  <si>
    <t xml:space="preserve"> 335/2013 </t>
  </si>
  <si>
    <t>Aquisição de material permanente (aquisição de uma estação total de topografia)</t>
  </si>
  <si>
    <t>SILVA SOUZA &amp; SANTOS LTDA,</t>
  </si>
  <si>
    <t>281/2014</t>
  </si>
  <si>
    <t>Pregão SRP 105/2014</t>
  </si>
  <si>
    <t>Manutenção em Equipamentos Públicos Esportivos e de Lazer, localizados no Município de Rio Branco/Acre</t>
  </si>
  <si>
    <t>CONSTRUPLAN EMPREENDIMENTOS LTDA</t>
  </si>
  <si>
    <t>DEMONSTRATIVO DE LICITAÇÕES E CONTRATOS POR MODALIDADE - REGIME DIFERENCIADO DE CONTRATAÇÃO - RDC</t>
  </si>
  <si>
    <t>Regime</t>
  </si>
  <si>
    <t>RDC Nº 003/2013</t>
  </si>
  <si>
    <t>Empreitada por Preço Unitário</t>
  </si>
  <si>
    <t>Execução de serviços Remanescentes de Urbanização da Vitória – Etapa II - Lote 01, no município de Rio Branco – Acre.</t>
  </si>
  <si>
    <t xml:space="preserve">051/2013
</t>
  </si>
  <si>
    <t>CONSÓRCIO Shallom Construções e Comércio Ltda - ME, Enéas Frota – ME e Moreira Construções</t>
  </si>
  <si>
    <t>051/2013
1º aditivo</t>
  </si>
  <si>
    <t>051/2013
3º aditivo</t>
  </si>
  <si>
    <t>167/2013</t>
  </si>
  <si>
    <t>REGIME DIFERENCIADO DE CONTRATAÇÃO Nº 004/2013</t>
  </si>
  <si>
    <t>Execução de serviços Remanescentes de Urbanização da Poligonal Vila Acre e Vila da Amizade - Lote 01</t>
  </si>
  <si>
    <t>CONSÓRCIO ACRE CONTRUÇÕES LTDAE ENÉAS FROTA - ME</t>
  </si>
  <si>
    <t>11071   11352</t>
  </si>
  <si>
    <t>056/2013
1º aditivo</t>
  </si>
  <si>
    <t>Execução de serviços Remanescentes de Urbanização da  Poligonal Vila Acre e Vila da Amizade - Lote 02</t>
  </si>
  <si>
    <t>INCA - CONSTRUÇÕES E COMÉRCIO LTDA</t>
  </si>
  <si>
    <t>057/2013
1º aditivo</t>
  </si>
  <si>
    <t>057/2013
3º aditivo</t>
  </si>
  <si>
    <t>RDC 005/2013
Termo de compromisso 350.955-41/2011 - PAC 2</t>
  </si>
  <si>
    <t>Execução de serviços remasnescentes de urbanização da poligonal da baixada I (bahia velha, glória e pista), lote 2</t>
  </si>
  <si>
    <t>063/2013</t>
  </si>
  <si>
    <t>PRUMO ENGENHARIA COMERCIO E REPRESENTAÇÕES LTDA</t>
  </si>
  <si>
    <t>063/2013
1º aditivo</t>
  </si>
  <si>
    <t>063/2013
2º aditivo</t>
  </si>
  <si>
    <t>063/2013
4º aditivo</t>
  </si>
  <si>
    <t>203/2013</t>
  </si>
  <si>
    <t>RDC 006/2013
Termo de compromisso 346.605-49/2011- PAC 2</t>
  </si>
  <si>
    <t>Execução de serviços remanescentes da urbanização d poligonal vitória - etapa II - lote 2</t>
  </si>
  <si>
    <t>064/2013
2º aditivo</t>
  </si>
  <si>
    <t>207/2013</t>
  </si>
  <si>
    <t>RDC 007/2013</t>
  </si>
  <si>
    <t>Execução de serviços remanescentes de urbanização da poligonal Vitória - etapa I - lote 02</t>
  </si>
  <si>
    <t>CONSÓRCIO VITÓRIA - LIDER CONSTRUÇÕES LTDA E CONSTRUTORA NASCIMENTO LTDA</t>
  </si>
  <si>
    <t>066/2013
1º aditivo</t>
  </si>
  <si>
    <t>Execução de serviços remanescentes de urbanização da poligonal Vitória - etapa I - lote 1</t>
  </si>
  <si>
    <t>CONSÓRCIO EDIFICAR - SHALLOM - EDIFICAR CONSTRUÇÕES REPRESENTAÇÕES LTDA E SHALLOM CONSTRUÇÕES E COMÉRCIO LTDA</t>
  </si>
  <si>
    <t>069/2013
1º aditivo</t>
  </si>
  <si>
    <t xml:space="preserve">
 RDC Nº 004/2014
Proc. 023/2014
</t>
  </si>
  <si>
    <t>Duplicação da Estrada das Placas e Custódio Freire (segmento entre a Avenida Getúlio Vargas e Rua Flaviano Melo)</t>
  </si>
  <si>
    <t>SILTY ENGENHARIA LTDA</t>
  </si>
  <si>
    <t>RDC 008/2014
Proc. 69/2014</t>
  </si>
  <si>
    <t>Duplicação da estrada da Floresta (segmento entre a Omar Sabino e rodovia br-364)</t>
  </si>
  <si>
    <t>CONSÓRCIO BV - BESSA TERRAPLANAGEM E CONSTRUÇÕES LTDA E CONSTRUTORA VIANA LTDA</t>
  </si>
  <si>
    <t>RDC 006/2014
Proc. 24/2014</t>
  </si>
  <si>
    <t>Alargamento e melhoria da rua João XXIII</t>
  </si>
  <si>
    <t>ABACO ENGENHARIA CONSTRUÇÕES E COMÉRCIO LTDA</t>
  </si>
  <si>
    <t>RDC 0032014
Proc. 10/2014</t>
  </si>
  <si>
    <t>Duplicação da estrada Jarbas Passarinho</t>
  </si>
  <si>
    <t>CONSÓRCIO ESTRADA JARBAS PASSARINHO</t>
  </si>
  <si>
    <t>Proc. 73/2015</t>
  </si>
  <si>
    <t>RDC 9/2014</t>
  </si>
  <si>
    <t>Duplicação da Avenida Getúlio Vargas, (Segmento entre a Rua João XXIII e Estrada das Placas)</t>
  </si>
  <si>
    <t>CONSÓRCIO BV – COMPOSTA PELAS EMPRESAS BESSA TERRAPLANAGEM E CONSTRUÇÕES LTDA E CONSTRUTORA VIANA LTDA</t>
  </si>
  <si>
    <t>Proc. 60/2014</t>
  </si>
  <si>
    <t>RDC 5/2014</t>
  </si>
  <si>
    <t>Duplicação da estrada da Transacreana (Segmento entre a Estrada da Sobral e Rodovia BR 364/Via Verde)</t>
  </si>
  <si>
    <t>LIMA &amp; PINHEIRO CONSTRUTORA LTDA</t>
  </si>
  <si>
    <t>Proc. 30/2014</t>
  </si>
  <si>
    <t>RDC 7/2014</t>
  </si>
  <si>
    <t>Alargamento do corredor Campo Grande/São Salvador</t>
  </si>
  <si>
    <t>MAV CONSTRUTORA LTDA</t>
  </si>
  <si>
    <t>DEMONSTRATIVO DE LICITAÇÕES E CONTRATOS - ADESÕES SRP</t>
  </si>
  <si>
    <t>Ata de Registro de Preços</t>
  </si>
  <si>
    <t>Nº da ATA</t>
  </si>
  <si>
    <t>Orgão Gerenciador</t>
  </si>
  <si>
    <t>Nº DOE do Termo de Adesão</t>
  </si>
  <si>
    <t xml:space="preserve">Nº </t>
  </si>
  <si>
    <t xml:space="preserve">Valor </t>
  </si>
  <si>
    <t>Aditivo</t>
  </si>
  <si>
    <t>Executado no Exercício</t>
  </si>
  <si>
    <t>Ata de Registro de Preços nº 002/2011</t>
  </si>
  <si>
    <t>Secretaria  de Estado da Gestão  Aaministrativa</t>
  </si>
  <si>
    <t>Locação de impressoras e multifuncionais, a laser, com fornecimento de suprimento, manutenção preventiva e corretiva</t>
  </si>
  <si>
    <t>DUX COMERCIO REP. IMP. E EXP. LTDA</t>
  </si>
  <si>
    <t>Ata de Registro de Preços nº 017/2011</t>
  </si>
  <si>
    <t>SEHAB</t>
  </si>
  <si>
    <t>Cont. de Empresa especializada em vigilancia eletronica monitorada das dependencias da SEDOP</t>
  </si>
  <si>
    <t>VIGILANCIA PATRIMONIAL LTDA - VIGIACRE</t>
  </si>
  <si>
    <t>Ata de Registro de Preços nº 116/2012</t>
  </si>
  <si>
    <t>Secretaria de Educação do Estado do Acre</t>
  </si>
  <si>
    <t>Prestação de Serviços de Terceirização de APOIO ADMINISTRATIVO E OPERACIONAL, no Município de Rio Branco-Acre</t>
  </si>
  <si>
    <t>TEIXEIRA &amp; AGUIAR LTDA (MARCOS J. S. TEXEIRA)</t>
  </si>
  <si>
    <t xml:space="preserve">Ata de Registro de Preços nº 007/2012 </t>
  </si>
  <si>
    <t xml:space="preserve"> SEOP DO ESTADO</t>
  </si>
  <si>
    <t>ROBERVAL OLIVEIRA DA SILVA JÚNIOR</t>
  </si>
  <si>
    <t xml:space="preserve"> SEOP do Estado</t>
  </si>
  <si>
    <t xml:space="preserve">Ata de Registro de Preços nº 001/2012 </t>
  </si>
  <si>
    <t>SEMCAS</t>
  </si>
  <si>
    <t>Contratação de Serviço de Locação de Veículo, tipo Van, Marca VW, Modelo KOMBI</t>
  </si>
  <si>
    <t>SAIONARA SOARES DAMASCENO - ME</t>
  </si>
  <si>
    <t>Adesão à Ata de Registro de Preços nº 157/2013</t>
  </si>
  <si>
    <t>Contratação de serviço de confecção de placas de identificação e homenagem para SEOP</t>
  </si>
  <si>
    <t>058/2013</t>
  </si>
  <si>
    <t>D. C. DA SILVA MILANIN - ME</t>
  </si>
  <si>
    <t>Ata de Registro de Preços nº 011/2013</t>
  </si>
  <si>
    <t xml:space="preserve"> SEMSA</t>
  </si>
  <si>
    <t>Aquisição de materiais permanentes para atividades físicas para promoção de saúde e prevenção das doenças e agravos não transmissíveis/DANT</t>
  </si>
  <si>
    <t>ADRIANE MARQUES FERNANDES ME</t>
  </si>
  <si>
    <t>Ata de Registro de Preços nº 001/2014</t>
  </si>
  <si>
    <t>Fornecimento de água mineral</t>
  </si>
  <si>
    <t>R. MARTINS DA COSTA ME</t>
  </si>
  <si>
    <t>Ata de Registro de Preços nº 020/2013</t>
  </si>
  <si>
    <t>RBTRANS</t>
  </si>
  <si>
    <t>Manutenção nas instalações físicas dos espaços internos e externos dos prédios municipais</t>
  </si>
  <si>
    <t>JM CONSTRUÇÕES</t>
  </si>
  <si>
    <t>INSTITUTO DOM MOACYR GHECHI</t>
  </si>
  <si>
    <t>C. COM INFORMÁTICA IMPORTAÇÃO, EXPORTAÇÃO COM. E INDUSTRIA LTDA</t>
  </si>
  <si>
    <t>IBGE</t>
  </si>
  <si>
    <t>Contratação de empresa especializada na prestação de Aquisição de Ar Condicionados com Instalação</t>
  </si>
  <si>
    <t>A. C. CASTRO – ME,</t>
  </si>
  <si>
    <t>SEMSA</t>
  </si>
  <si>
    <t>Manutenção e reposição de peças de condicionadores de ar, tipo janela e split</t>
  </si>
  <si>
    <t>85/2014</t>
  </si>
  <si>
    <t>WAGNER &amp; SILVA LTDA</t>
  </si>
  <si>
    <t>Ata de Registro de Preços nº 004/2014</t>
  </si>
  <si>
    <t>Aquisição de Diversos Equipamentos e Material Permanente (Informática e Outros)</t>
  </si>
  <si>
    <t>CENTERDATA ANÁLISES DE SISTEMAS E SERVIÇOS LTDA - ME</t>
  </si>
  <si>
    <t xml:space="preserve">Aquisição de Diversos Materiais de Consumo (Placas e Suportes Metálicos) </t>
  </si>
  <si>
    <t>J. ERIVALDO SILVA DE SOUZA – ME</t>
  </si>
  <si>
    <t>Ata de Registro de Preços nº 085/2014</t>
  </si>
  <si>
    <t>Aquisição de Material Permanente e de Consumo (Informática e Outros</t>
  </si>
  <si>
    <t>Ata de Registro de Preços nº 064/2014</t>
  </si>
  <si>
    <t>J. ERIVALDO SILVA DE SOUZA – ME,</t>
  </si>
  <si>
    <t>DEMONSTRATIVO DE CONTRATOS POR DISPENSA E INEXIGIBILIDADE DE LICITAÇÃO</t>
  </si>
  <si>
    <t>Da Dispensa/Inexigibilidade</t>
  </si>
  <si>
    <t>Fundamentação</t>
  </si>
  <si>
    <t>Nº D.O.E. Autorização</t>
  </si>
  <si>
    <t>Data</t>
  </si>
  <si>
    <t>Nº D.O.E Ratificação</t>
  </si>
  <si>
    <t>D.O.E</t>
  </si>
  <si>
    <t>Lei 8666/93</t>
  </si>
  <si>
    <t>Serviços de Pavimentação dos Bairros Nova Estação e Placas</t>
  </si>
  <si>
    <t>035/2011</t>
  </si>
  <si>
    <t>EMURB</t>
  </si>
  <si>
    <t>Artigo 25 da Lei 8666/93</t>
  </si>
  <si>
    <t>035/201
1º aditivo</t>
  </si>
  <si>
    <t>035/2011
2º aditivo</t>
  </si>
  <si>
    <t>035/2011
3º aditivo</t>
  </si>
  <si>
    <t>035/2011
4º aditivo</t>
  </si>
  <si>
    <t>035/2011
5º aditivo</t>
  </si>
  <si>
    <t>Urbanizção do Bairro da Paz</t>
  </si>
  <si>
    <t>050/2012</t>
  </si>
  <si>
    <t>050/2012
2º aditivo</t>
  </si>
  <si>
    <t>050/2012
3º aditivo</t>
  </si>
  <si>
    <t>050/2012
4º aditivo</t>
  </si>
  <si>
    <t>050/2012
6 º aditivo</t>
  </si>
  <si>
    <t>050/2012
7 º aditivo</t>
  </si>
  <si>
    <t>050/2012
8 º aditivo</t>
  </si>
  <si>
    <t>050/2012
10 º aditivo</t>
  </si>
  <si>
    <t>050/2012
11º aditivo</t>
  </si>
  <si>
    <t>Serviços remanescentes de Urbanização da Poligonal baixada I (Bahia Velha, Glória e Pista)</t>
  </si>
  <si>
    <t>077/2013
1º aditivo</t>
  </si>
  <si>
    <t>1.298/2013</t>
  </si>
  <si>
    <t>Conservação, manutenção e recuperaçaõ de estradas vacinais/ramais pavimentados</t>
  </si>
  <si>
    <t>079/2013
1º aditivo</t>
  </si>
  <si>
    <t>Construção do Microterminal Urbano no bairro Floresta</t>
  </si>
  <si>
    <t>COLUNA CONSTRUÇÕES E COMERCIO LTDA</t>
  </si>
  <si>
    <t xml:space="preserve">Drenagem e muro de arrimo no Beco da Cobal </t>
  </si>
  <si>
    <t>090/2013</t>
  </si>
  <si>
    <t>Melhoramento, recuperação, pavimentação e drenagem de vias urbanas</t>
  </si>
  <si>
    <t>093/2013</t>
  </si>
  <si>
    <t>Contratação de pessoa jurídica para prestação de serviços de apoio administrativo e operacional de natureza contínua, visando atender o desenvolvimento de atividades vinculadas a execução d obras públicas</t>
  </si>
  <si>
    <t>Manutenção preventica e corretiva da plataforma elevatória hidráulica instalada na SEOP, incluindo serviços de plantão, emergência e acompanhamento técnico de vistoria.</t>
  </si>
  <si>
    <t>BRAGA CONSTRUÇÕES E ENGENHARIA LTDA</t>
  </si>
  <si>
    <t>Melhoramento, Recuperação, Pavimentação de Vias Urbanas</t>
  </si>
  <si>
    <t>025/2014
1º aditivo</t>
  </si>
  <si>
    <t>Proc. 20/2014</t>
  </si>
  <si>
    <t>Pavimentação de Corredores de Transporte coletivo</t>
  </si>
  <si>
    <t>99/2014</t>
  </si>
  <si>
    <t>1.272/2014</t>
  </si>
  <si>
    <t>serviços de controle geotécnico para subsidiar o controle de qualidade das obras de intervenções nas ruas deste Município</t>
  </si>
  <si>
    <t>FUNDAÇÃO DE TECNOLOGIA DO ESTADO DO ACRE - FUNTAC</t>
  </si>
  <si>
    <t>1.389/2014</t>
  </si>
  <si>
    <t>serviços remanescentes da Construção de Quadra Poliesportiva no Loteamento Aroeira, no Município de Rio Branco – Acre</t>
  </si>
  <si>
    <t xml:space="preserve">CONSÓRCIO MZ </t>
  </si>
  <si>
    <t>1.477/2014</t>
  </si>
  <si>
    <t>Serviços de Conservação, Manutenção e Recuperação de Vias Urbanas, no Munícipio de Rio Branco/Acre</t>
  </si>
  <si>
    <t>1.732/2014</t>
  </si>
  <si>
    <t>serviços de realização de ensaios de resistência à compressão do concreto a ser utilizado na obra de construção do Centro Popular de Compras, neste Município</t>
  </si>
  <si>
    <t>Consumo de energia elétrica</t>
  </si>
  <si>
    <t>DISPENSA</t>
  </si>
  <si>
    <t>ELETROACRE</t>
  </si>
  <si>
    <t>Proc. 1/2014</t>
  </si>
  <si>
    <t>Adequação na procuradoria do município</t>
  </si>
  <si>
    <t>TALIA CONSTRUÇÕES EMPREENDIMENTOS LTDA</t>
  </si>
  <si>
    <t>Proc. 3/2014</t>
  </si>
  <si>
    <t>Recuperação de cerca de madeira no Centro de Artesanato Rui Lino</t>
  </si>
  <si>
    <t>CONSTRUÇÕES E COMERCIO LIMPEZA</t>
  </si>
  <si>
    <t>Proc. 2/2014</t>
  </si>
  <si>
    <t>Reforma da Cobertura do Prédio do Arquivo Municipal</t>
  </si>
  <si>
    <t>Proc. 4/2014</t>
  </si>
  <si>
    <t>Serviços de adequação de box nos mercados municipais</t>
  </si>
  <si>
    <t>Proc. 6/2014</t>
  </si>
  <si>
    <t>Construção de Tapume</t>
  </si>
  <si>
    <t>A &amp; M COMERCIO E SERVIÇOS LTDA</t>
  </si>
  <si>
    <t>Proc. 5/2014</t>
  </si>
  <si>
    <t>Construção de cerca em madeira e banheiro</t>
  </si>
  <si>
    <t>M.B. NETO COMERCIO E REPRESENTAÇÕES LTDA</t>
  </si>
  <si>
    <t>Proc. 214/2014</t>
  </si>
  <si>
    <t>Confecção de 55 blocos de ordem de serviço</t>
  </si>
  <si>
    <t>JAQUELINE C. DE OLIVEIRA (GRAFICA EDIT. B)</t>
  </si>
  <si>
    <t>Proc. 8/2014</t>
  </si>
  <si>
    <t>Reforma na Sede da Morhan</t>
  </si>
  <si>
    <t>A.G.M. CONSTRUTORA LTDA-ME</t>
  </si>
  <si>
    <t>Proc. 9/2014</t>
  </si>
  <si>
    <t>Recupecuperação do porto da catráia</t>
  </si>
  <si>
    <t>ELO ENGENHARIA COM. REP. - LTDA</t>
  </si>
  <si>
    <t>Proc. 7/2014</t>
  </si>
  <si>
    <t>Desmontagem de torre no antigo prédio da DTI e montagem no parque de exposições</t>
  </si>
  <si>
    <t>R. J. G. DE ALENCAR</t>
  </si>
  <si>
    <t>Proc. 11/2014</t>
  </si>
  <si>
    <t>Construção de ponte na Sobral</t>
  </si>
  <si>
    <t>EURO CONSTRUÇÕES LTDA - ME</t>
  </si>
  <si>
    <t>Proc. 10/2014</t>
  </si>
  <si>
    <t>Montagem e Instalação de lavadora e secadora de roupa na lavanderia comunitária do Taquarí</t>
  </si>
  <si>
    <t>MECERLANE TAVARES DA COSTA E CIA LTDA</t>
  </si>
  <si>
    <t>Construção de passarela entre o anexo da sede da regional VI e a Creche da Sobral</t>
  </si>
  <si>
    <t>GAMA CONSTRUÇÕES COM. E REP. LTDA</t>
  </si>
  <si>
    <t>Proc. 17/2014</t>
  </si>
  <si>
    <t>Construção para base de lixeira na Av. Epaminondas Jácome e recuperação do palco da regional do Quinze</t>
  </si>
  <si>
    <t>Reforma do escritório da regional da cadeia velha</t>
  </si>
  <si>
    <t>FALCON IND. COM. SERV E ARTIGOS</t>
  </si>
  <si>
    <t>Adequação e recuperação dos anexos da SEAD</t>
  </si>
  <si>
    <t>IMOBILIARIA MANUELLA CONST. E COM. LTDA</t>
  </si>
  <si>
    <t>Instalações provisórias na feira do peixe</t>
  </si>
  <si>
    <t>JUNIOR E SILVA SERVIÇOS LTDA</t>
  </si>
  <si>
    <t>Recuperação de pavimentação e drenagem do entorno da praça da baixada do João Eduardo</t>
  </si>
  <si>
    <t>M &amp; M P MAIA CONSTRUÇÕES LTDA</t>
  </si>
  <si>
    <t>Reparo Castelo d'agua da hosta comunitária da Sobral</t>
  </si>
  <si>
    <t>19/2014</t>
  </si>
  <si>
    <t>Reparo emergencial de reforma emergencial Parque Capitão Ciriaco</t>
  </si>
  <si>
    <t>Fornecimento de palmeiras imperiais para paisagismo da CEUS</t>
  </si>
  <si>
    <t>PAISAGISMO MEURER LTDA - APP</t>
  </si>
  <si>
    <t>Fornecimento de Material Gráfico</t>
  </si>
  <si>
    <t>J. AFONSO - ME</t>
  </si>
  <si>
    <t>Manutenção de Academia Popular</t>
  </si>
  <si>
    <t>Construção de piso para prática de esportes no parque Chico Mendes</t>
  </si>
  <si>
    <t>Execução de plataforma de madeira de acessibilidade no bairro Dom Giocondo</t>
  </si>
  <si>
    <t>RIO BRANCO MARMORES E GRANITOS LTDA</t>
  </si>
  <si>
    <t>Aquisição de 6 bandeiras</t>
  </si>
  <si>
    <t>N.F. GRANDE E CIA LTDA</t>
  </si>
  <si>
    <t>Aquisição de um HD Externo</t>
  </si>
  <si>
    <t>Execução de Tapume em chapa de madeira compensada e drenagem</t>
  </si>
  <si>
    <t>Adequação da casa de farinha no ramal da Judia</t>
  </si>
  <si>
    <t>Execução de plataforma de madeira e acesso ao lago para Triathon</t>
  </si>
  <si>
    <t>COSTA &amp; PAIVA CONSTRUTORA LTDA</t>
  </si>
  <si>
    <t>Construção de mureta em alvenaria na quadra de areia do conj. Esperança III</t>
  </si>
  <si>
    <t>Aquisição de 10 cameras digitais</t>
  </si>
  <si>
    <t>PREMIER COMERCIO E SERVIÇOS LTDA</t>
  </si>
  <si>
    <t>Construção de unidades habitacionais na Tv. Ramos Ferreira</t>
  </si>
  <si>
    <t>H.J.S CRUZ-ME</t>
  </si>
  <si>
    <t>Construção de bueiro de águas pluviais no Jardim Primavera e rua 1º de março, bairro Alto Alegre</t>
  </si>
  <si>
    <t>GESPP CONSTRUÇÕES LTDA</t>
  </si>
  <si>
    <t>Execução de caixa de esgoto na rua Novo Estado</t>
  </si>
  <si>
    <t>Confecção de material gráfico, blocos de ordem de serviço</t>
  </si>
  <si>
    <t>Reparos emergenciais em áreas públicas</t>
  </si>
  <si>
    <t>SOUZA &amp; SILVA CONSTRUÇÕES LTDA</t>
  </si>
  <si>
    <t>Aquisição de 02 estações de trabalho com 3 lugares</t>
  </si>
  <si>
    <t>Confecção de 40 blocos de ordem de serviço</t>
  </si>
  <si>
    <t>F. B. AMORIM JUNIOR - ME</t>
  </si>
  <si>
    <t>Material de Topografia</t>
  </si>
  <si>
    <t>C. A. GOTARDO (MADEIREIRA CONSTRUINDO)</t>
  </si>
  <si>
    <t>Reforma do Mercado do Bosque</t>
  </si>
  <si>
    <t>Plantio de Grama no Centro de Esportes Radicais</t>
  </si>
  <si>
    <t>DIRCEL PERDOME TELES MACHADO</t>
  </si>
  <si>
    <t>Instalação provisória(hidrosanitária) para feira do Peixe</t>
  </si>
  <si>
    <t>J. A. CONSTRUÇÃO COM. E REP. LTDA</t>
  </si>
  <si>
    <t>Entrega de Jornal</t>
  </si>
  <si>
    <t>M. SOARES DANTAS</t>
  </si>
  <si>
    <t>TERRA ARTES E PROPAGANDA LTDA</t>
  </si>
  <si>
    <t>CONSELHO DE ARQUITETURA E URBANIZAÇÃO</t>
  </si>
  <si>
    <t>OUTRAS DESPESAS</t>
  </si>
  <si>
    <t>CONSELHO DE ENGENHARIA</t>
  </si>
  <si>
    <t>INSS</t>
  </si>
  <si>
    <t>Devolução de saldos e rendimentos</t>
  </si>
  <si>
    <t>MINISTÉRIO DA FAZENDA</t>
  </si>
  <si>
    <t xml:space="preserve">Pagamento de licenças e taxas </t>
  </si>
  <si>
    <t>SECRETARIA DE ESTADO DA FAZENDA PÚBLICA</t>
  </si>
  <si>
    <t>Pagamento de DLE e DRT</t>
  </si>
  <si>
    <t>CAIXA ECONÔMICA FEDERAL</t>
  </si>
  <si>
    <t>013/2009</t>
  </si>
  <si>
    <t>LOCAÇÃO DE VEICULO TIPO MOTOCICLETA (COM CONDUTOR)</t>
  </si>
  <si>
    <t>CONT./SEME/Nº 001/2009</t>
  </si>
  <si>
    <t>EDIVAN SILVEIRA DE MORAIS</t>
  </si>
  <si>
    <t>817.132.742-72</t>
  </si>
  <si>
    <t xml:space="preserve">1º TERMO ADITIVO  </t>
  </si>
  <si>
    <t>prorrogação de Prazo 12 meses</t>
  </si>
  <si>
    <t xml:space="preserve">2º TERMO ADITIVO </t>
  </si>
  <si>
    <t>3º TERMO ADITIVO</t>
  </si>
  <si>
    <t xml:space="preserve">4º TERMO ADITIVO </t>
  </si>
  <si>
    <t>5º TERMO ADITIVO</t>
  </si>
  <si>
    <t>Prorrogação de Prazo 1 mês e 17 dias  e reajuste de valor</t>
  </si>
  <si>
    <t>162/14</t>
  </si>
  <si>
    <t>PRESTAÇÃO DE SERVIÇOS DE TRANSPORTES - VEÍCULO TIPO PASSEIO COM CONDUTOR</t>
  </si>
  <si>
    <t>CONT.SEME/Nº 103/14</t>
  </si>
  <si>
    <t>AMARILDO NASCIMENTO DE LIMA</t>
  </si>
  <si>
    <t>308.593.872-91</t>
  </si>
  <si>
    <t>SERVIÇOS DE TRANPORTE CARRO TIPO PASSEIO (COM CONDUTOR)</t>
  </si>
  <si>
    <t>CONT./SEME/Nº 058/2009</t>
  </si>
  <si>
    <t>ELIAS ALVES DA SILVA</t>
  </si>
  <si>
    <t>583.516.472-68</t>
  </si>
  <si>
    <t>01</t>
  </si>
  <si>
    <t xml:space="preserve">1º TERMO ADITIVO </t>
  </si>
  <si>
    <t>Prorrogação de Prazo 12 meses</t>
  </si>
  <si>
    <t xml:space="preserve">3º TERMO ADITIVO </t>
  </si>
  <si>
    <t xml:space="preserve">5º TERMO ADITIVO </t>
  </si>
  <si>
    <t>Prorrogação de Prazo 03 meses e reajuste de valor</t>
  </si>
  <si>
    <t>124/12</t>
  </si>
  <si>
    <t>CONTRATAÇÃO DE EMPRESA ESPECIALIZADA PARA FORNECIMENTO DOS SERVIÇOS DE MANUTENÇÃO E SUPORTE TÉCNICO DA REDE METROPOLITANA SEM FIO</t>
  </si>
  <si>
    <t>CONTRATO Nº 005/2012</t>
  </si>
  <si>
    <t>MFNET COMÉRCIO E SERVIÇOS LTDA</t>
  </si>
  <si>
    <t>11/06/212</t>
  </si>
  <si>
    <t>Prorrogação de Prazo  6 meses</t>
  </si>
  <si>
    <t>Prorrogação de Prazo 6 meses</t>
  </si>
  <si>
    <t xml:space="preserve">CONTRATAÇÃO DE EMPRESA PARA PRESTAÇÃO DE SERVIÇOS DE MANUTENÇÃO DE EQUIPAMENTOS </t>
  </si>
  <si>
    <t>CONT./SEME/Nº 020/2013</t>
  </si>
  <si>
    <t>REFRIGERAÇÃO CHAMA AZUL LTDA</t>
  </si>
  <si>
    <t>07.850.772/0001-61</t>
  </si>
  <si>
    <t>Aditivo de Valor</t>
  </si>
  <si>
    <t>Supressão de Valor</t>
  </si>
  <si>
    <t>PRESTAÇÃO DE SERVIÇOS DE TRANSPORTES</t>
  </si>
  <si>
    <t>CONT./SEME/Nº 039/2013</t>
  </si>
  <si>
    <t>RENILDO PESSOA DE SOUZA</t>
  </si>
  <si>
    <t>899.894.523-09</t>
  </si>
  <si>
    <t>1º TERMO DE APOSTILAMENTO</t>
  </si>
  <si>
    <t>Reajuste de Valor</t>
  </si>
  <si>
    <t>CONT./SEME/Nº 041/2013</t>
  </si>
  <si>
    <t>WONEY BRANA BISPO</t>
  </si>
  <si>
    <t>587.211.502-49</t>
  </si>
  <si>
    <t>Prorrogação de Prazo 03 meses</t>
  </si>
  <si>
    <t>045/2013</t>
  </si>
  <si>
    <t>CONT./SEME/Nº 044/2013</t>
  </si>
  <si>
    <t>ANA CRISTINA MATOS DOS SANTOS</t>
  </si>
  <si>
    <t>885.572.272-72</t>
  </si>
  <si>
    <t>TERMO DE RESCISÃO</t>
  </si>
  <si>
    <t>Rescisão Contratual</t>
  </si>
  <si>
    <t>CONT./SEME/Nº 045/2013</t>
  </si>
  <si>
    <t>JOSIMAR DE OLIVEIRA XIMENES</t>
  </si>
  <si>
    <t>892.890.212-68</t>
  </si>
  <si>
    <t xml:space="preserve">1º TERMO DE APOSTILAMENTO </t>
  </si>
  <si>
    <t>CONT./SEME/Nº 046/2013</t>
  </si>
  <si>
    <t>GABRIEL SANTOS DA CONCEIÇÃO</t>
  </si>
  <si>
    <t>019.889.982-39</t>
  </si>
  <si>
    <t>Prorrogação de Prazo 02 meses</t>
  </si>
  <si>
    <t>CONT./SEME/Nº 047/2013</t>
  </si>
  <si>
    <t>JOSÉ DE JESUS PONTES DIAS</t>
  </si>
  <si>
    <t>016.434.752-66</t>
  </si>
  <si>
    <t>PRESTAQÇÃO DE SERVIÇOS DE TRNSPORTE</t>
  </si>
  <si>
    <t>CONT./SEME/Nº 050/2013</t>
  </si>
  <si>
    <t>EDJANE DANTAS DA SILVA</t>
  </si>
  <si>
    <t>484.421.872-87</t>
  </si>
  <si>
    <t>Prorrogação de Prazo</t>
  </si>
  <si>
    <t>PREGÃO PRESENCIAL</t>
  </si>
  <si>
    <t>CONTRATAÇÃO DE SERVIÇOS DE TRANSPORTE ESCOLAR</t>
  </si>
  <si>
    <t>CONT./SEME/Nº 057/2013</t>
  </si>
  <si>
    <t>EDINALDO ALMEIDA DE MORAIS</t>
  </si>
  <si>
    <t>233.250.972-00</t>
  </si>
  <si>
    <t>06</t>
  </si>
  <si>
    <t>PRESTAÇÃO DE SERVIÇOS DE MANUTENÇÃO DE VEÍCULOS AUTOMOTORES (MECÂNICA, ELÉTRICA, LANTERNAGEM, PINTURA, ALINHAMENTO, BALANCEAMENTO, CAMBAGEN E BORRACHARIA DE VEÍCULOS PESADOS).</t>
  </si>
  <si>
    <t>CONT./SEME/Nº 066/2013</t>
  </si>
  <si>
    <t>MERCETOYA PEÇAS E ACESSÓRIOS IMP.E EXP. LTDA</t>
  </si>
  <si>
    <t>34.709.857/0001-05</t>
  </si>
  <si>
    <t>PRESTAÇÃO DE SERVIÇOS DE TRNSPORTE - VEICULO TIPO PASSEIO COM CONDUTOR</t>
  </si>
  <si>
    <t>CONT./SEME/Nº 074/2013</t>
  </si>
  <si>
    <t>442/2013</t>
  </si>
  <si>
    <t>CONT./SEME/Nº 095/2013</t>
  </si>
  <si>
    <t>DEUZA RODRIGUES DE MENDONÇA</t>
  </si>
  <si>
    <t>217.173.832-34</t>
  </si>
  <si>
    <t>1º TERMO ADITIVO</t>
  </si>
  <si>
    <t>CONT./SEME/Nº 101/2013</t>
  </si>
  <si>
    <t>CLEBER LUIZ DA SILVA</t>
  </si>
  <si>
    <t>601.285.962-04</t>
  </si>
  <si>
    <t>235/2013</t>
  </si>
  <si>
    <t xml:space="preserve">PREGÃO </t>
  </si>
  <si>
    <t>PRESTAÇÃO DE SERVIÇOS DE TRANSPORTES - VEÍCULOS TIPO MOTO COM CONDUTOR</t>
  </si>
  <si>
    <t>CONT./SEME/Nº 125/2013</t>
  </si>
  <si>
    <t>FÁBIO DE SOUZA BARBOSA</t>
  </si>
  <si>
    <t>006.891.272-27</t>
  </si>
  <si>
    <t>Prorrogação de Prazo 12 meses inclusão de cláusula de reajuste de valor</t>
  </si>
  <si>
    <t>CONT./SEME/Nº 126/2013</t>
  </si>
  <si>
    <t>JOSÉ BENVINDO NASCIMENTO DE ARAÚJO</t>
  </si>
  <si>
    <t>521.584.462-34</t>
  </si>
  <si>
    <t>CONT./SEME/Nº 127/2013</t>
  </si>
  <si>
    <t>DEUZIMAR RODRIGUES DE MENDONÇA</t>
  </si>
  <si>
    <t>434.882.182-87</t>
  </si>
  <si>
    <t>2º TERMO ADITIVO</t>
  </si>
  <si>
    <t>231/2013</t>
  </si>
  <si>
    <t>TOMADA DE PREÇO</t>
  </si>
  <si>
    <t>CONTRATAÇÃO DE PROFISSIONAIOS EDUCACIONAIS PARA REALIZAÇÃO DE CAPACITAÇÃO/TREINAMENTO (FORMAÇÃO INICIAL E CONTINUADA)</t>
  </si>
  <si>
    <t>CONT./SEME/Nº 128/2013</t>
  </si>
  <si>
    <t>LEILA MARIA RIBOURA DE OLIVEIRA</t>
  </si>
  <si>
    <t>380.498.487/87</t>
  </si>
  <si>
    <t>CONTRATQAÇÃO DE PROFISSIONAIOS EDUCACIONAIS PARA REALIZAÇÃO DE CAPACITAÇÃO/TREINAMENTO (FORMAÇÃO INICIAL E CONTINUADA)</t>
  </si>
  <si>
    <t>CONT./SEME/Nº 129/2013</t>
  </si>
  <si>
    <t>MARIA DAS GRAÇAS NOGUEIRA DE SOUZA</t>
  </si>
  <si>
    <t>469.082.427-49</t>
  </si>
  <si>
    <t>313/2013</t>
  </si>
  <si>
    <t>PRESTAÇÃO DE SRVIÇOS DE LOCAÇÃO DE ESPAÇO FISICO, UTENSILIOS, EQUIPAMENTOS E MOBILIÁRIOS</t>
  </si>
  <si>
    <t>CONT./SEME/Nº 211/2013</t>
  </si>
  <si>
    <t>D.M.S BORGES</t>
  </si>
  <si>
    <t>06.039.862/0001-04</t>
  </si>
  <si>
    <t>144/2010</t>
  </si>
  <si>
    <t>038/2010</t>
  </si>
  <si>
    <t>CONTRATAÇÃO DE EMPRESA PARA PRESTAÇÃO DE SERVIÇOS TERCEIRIZADOS ESPECIALIZADOS EM SUPORTE DE ATIVIDADES AUXILIARES, LIMPEZA E CONSERVAÇÃO (SERVENTES, ZELADORES DIURNOS, AGENTE DE PORTARIA DIURNO E AGENTE DE PORTARIA NOTURNO), SEM FORNECIMENTO DE MATERIAL DE CONSUMO</t>
  </si>
  <si>
    <t>CONT./SEME/Nº 111/2010</t>
  </si>
  <si>
    <t xml:space="preserve">SUPORTE ASSESSORIA E CONSULTORIA ORGANIZACIONAL LTDA </t>
  </si>
  <si>
    <t>07.802.045/0001-29</t>
  </si>
  <si>
    <t xml:space="preserve">01 e 04 </t>
  </si>
  <si>
    <t>Supressão no Quantitativo de Postos</t>
  </si>
  <si>
    <t>Repactuação</t>
  </si>
  <si>
    <t>APOSTILA Nº 001/2012</t>
  </si>
  <si>
    <t>Alteração de Dotação Orçamentária e Fonte de Recurso</t>
  </si>
  <si>
    <t>Acréscimo no Quantitativo de Postos</t>
  </si>
  <si>
    <t>6º TERMO ADITIVO</t>
  </si>
  <si>
    <t>7º TERMO ADITIVO</t>
  </si>
  <si>
    <t xml:space="preserve">8º TERMO ADITIVO </t>
  </si>
  <si>
    <t xml:space="preserve">9º TERMO ADITIVO </t>
  </si>
  <si>
    <t xml:space="preserve">10º TERMO ADITIVO </t>
  </si>
  <si>
    <t xml:space="preserve">11º TERMO ADITIVO </t>
  </si>
  <si>
    <t xml:space="preserve">12º TERMO ADITIVO </t>
  </si>
  <si>
    <t>014/2011</t>
  </si>
  <si>
    <t>005/2011</t>
  </si>
  <si>
    <t>CONT./SEME/Nº 072/2011</t>
  </si>
  <si>
    <t>DOUGLAS VICENTE DE CASTRO</t>
  </si>
  <si>
    <t>791.646.922-72</t>
  </si>
  <si>
    <t>Prorrogação de Prazo e valor</t>
  </si>
  <si>
    <t>024/2011</t>
  </si>
  <si>
    <t>LOCAÇÃO DE EQUIPAMENTOS DE INFORMÁTICA (ESTAÇÃO DE TRABALHO, NOTEBOOK, NO-BREAKS).</t>
  </si>
  <si>
    <t>CONT./SEME/Nº 105/2011</t>
  </si>
  <si>
    <t>Aditivo de Quantitativo</t>
  </si>
  <si>
    <t>Prorrogação de Prazo 04 meses</t>
  </si>
  <si>
    <t>não está no processo</t>
  </si>
  <si>
    <t>Supressão de valor</t>
  </si>
  <si>
    <t>113/2011</t>
  </si>
  <si>
    <t>SERVIÇOS DE LOCAÇÃO DE IMPRESSORAS (ADAPATADAS COM SISTEMA BULK INKS E ANTI-REFLUXO E ALIMENTAÇÃO CONTINUA DE TINTA COM CARTUCHOS RECARREGÁVEIS) E IMPRESSORAS MULTIFUNCIONAIS (IMPRESSORA, SCANER E COPIADORA), ADAPTADAS COM SISTEMA DE ALIMENTAÇÃO CONTÍNUA DE TINTA COM CARTUCHOS RECARREGÁVEIS.</t>
  </si>
  <si>
    <t>CONT./SEME/Nº 109/2011</t>
  </si>
  <si>
    <t>ROBERTO BEZERRA-ME</t>
  </si>
  <si>
    <t>09.286.947/0001-87</t>
  </si>
  <si>
    <t>CONT./SEME/Nº 110/2011</t>
  </si>
  <si>
    <t>TRANSFER SISTEMAS DE ENERGIA LTDA - EPP</t>
  </si>
  <si>
    <t>Prorrogação de Prazo 3 meses e 23 dias</t>
  </si>
  <si>
    <t>4º TERMO ADITIVO</t>
  </si>
  <si>
    <t>069/2012</t>
  </si>
  <si>
    <t>018/2012</t>
  </si>
  <si>
    <t>CONTRATAÇÃO DE EMPRESA PARA PRESTAÇÃO DO SERVIÇOS TERCEIRIZADOS ESPECIALIZADOS EM SUPORTE DE ATIVIDADES AUXILIARES, LIMPEZA E CONSERVAÇÃO (SERVENTES, ZELADORES DIURNOS, AUXILIAR DE DEPÓSITO, OFICCE BOY, RECEPCIONISTA, COPEIRO, ARTÍFICE DE SERVIÇOS GERAIS), SEM FORNECIMENTO DE MATERIAL DE CONSUMO</t>
  </si>
  <si>
    <t>CONT./SEME/Nº 119/2012</t>
  </si>
  <si>
    <t>J. W. C. NASCIMENTO</t>
  </si>
  <si>
    <t>04.090.759/0001-63</t>
  </si>
  <si>
    <t>Prorrogação de Prazo de 12 meses</t>
  </si>
  <si>
    <t>Repactuação de Valor</t>
  </si>
  <si>
    <t>Aditivo de Valor (Quantitativo)</t>
  </si>
  <si>
    <t>CONTRATAÇÃO DE EMPRESA PARA PRESTAÇÃO DE SERVIÇOS TERCEIRIZADOS ESPECIALIZADOS EM SUPORTE DE ATIVIDADES AUSILIARES, LIMPEZA E CONSERVAÇÃO (SERVENTES, ZELADORES DIURNOS, AUXILIAR DE DEPÓSITO, OFICE BOY, RECEPCIONISTA, COPEIRO, ARTIFICE DE SERVIÇOS GERAIS), SEM FORNECIMENTO DE MATERIAL  DE CONSUMO</t>
  </si>
  <si>
    <t>CONT./SEME/Nº 120/2012</t>
  </si>
  <si>
    <t>COOPERATIVA DE TRABALHADORES AUTONOMOS EM SERVIÇOS GERAIS - COOPSERGE</t>
  </si>
  <si>
    <t>Supressão de Quantitativo</t>
  </si>
  <si>
    <t>Supressão de Quantitativo e Repactuação</t>
  </si>
  <si>
    <t>238/2012</t>
  </si>
  <si>
    <t>060/2012</t>
  </si>
  <si>
    <t>SERVIÇOS DE LOCAÇÃO DE IMPRESSORAS MULTIFUNCIONAIS, ADAPATADAS COM SISTEMA BULK INKS E ANTI-REFLUXO</t>
  </si>
  <si>
    <t>CONT./SEME/Nº 171/2013</t>
  </si>
  <si>
    <t>09.286.947/0001-85</t>
  </si>
  <si>
    <t>Prorrogação de Prazo 12 meses e Supressão de valor</t>
  </si>
  <si>
    <t>403/12</t>
  </si>
  <si>
    <t xml:space="preserve">PREGÃO  </t>
  </si>
  <si>
    <t>PRESTAÇÃO DE SERVIÇOS DE AGENCIAMENTO DE PASSAGENS AÉREAS E TERRESTRES</t>
  </si>
  <si>
    <t>CONT.SEME/Nº 007/14</t>
  </si>
  <si>
    <t>KAMPA VIAGENS SERVILOS E EVENTOS LTDA</t>
  </si>
  <si>
    <t>16</t>
  </si>
  <si>
    <t>008/14</t>
  </si>
  <si>
    <t>PREGÃO  SRP</t>
  </si>
  <si>
    <t>PRESTAÇÃO DE SERVIÇOS DE MANUTENÇÃO DE VEÍCULOS AUTOMOTORES</t>
  </si>
  <si>
    <t>CONT.SEME/Nº 059/14</t>
  </si>
  <si>
    <t>MERCETOYA PEÇAS E ACESSÓRIOS IMP. E EXP.LTDA</t>
  </si>
  <si>
    <t>33.90.30.00/33.90.39.00</t>
  </si>
  <si>
    <t>070/14</t>
  </si>
  <si>
    <t>PRESTAÇÃO DE SERVIÇO DE TRANSPORTE - VEÍCULO TIPO MOTO COM CONDUTOR</t>
  </si>
  <si>
    <t>CONT.SEME/Nº 060/14</t>
  </si>
  <si>
    <t>REGINALDO DA SILVA SOARES</t>
  </si>
  <si>
    <t>692.138.282-68</t>
  </si>
  <si>
    <t>CONT.SEME/Nº 061/14</t>
  </si>
  <si>
    <t>LEVI FREITAS DE ANDRADE</t>
  </si>
  <si>
    <t>753.135.102-15</t>
  </si>
  <si>
    <t>PRESTAÇÃO DE SERVIÇO DE TRANSPORTE - VEÍCULO TIPO PASSEIO COM CONDUTOR</t>
  </si>
  <si>
    <t>CONT.SEME/Nº 062/14</t>
  </si>
  <si>
    <t>NIVALDO CARDOSO DE MOURA</t>
  </si>
  <si>
    <t>521.476.222-49</t>
  </si>
  <si>
    <t>CONT.SEME/Nº 063/14</t>
  </si>
  <si>
    <t>MC CAVALCANTE - ME</t>
  </si>
  <si>
    <t>CONT.SEME/Nº 064/14</t>
  </si>
  <si>
    <t>JANIOS PEREIRA DA SILVA</t>
  </si>
  <si>
    <t>898.205.092-20</t>
  </si>
  <si>
    <t>CONT.SEME/Nº 065/14</t>
  </si>
  <si>
    <t>CLEILSON SILVA DE LIMA</t>
  </si>
  <si>
    <t>625.004.732-87</t>
  </si>
  <si>
    <t>CONT.SEME/Nº 066/14</t>
  </si>
  <si>
    <t>IRALDO MUNIZ ONOFRE</t>
  </si>
  <si>
    <t>384.149.962-72</t>
  </si>
  <si>
    <t>CONT.SEME/Nº 067/14</t>
  </si>
  <si>
    <t>RICARDO VEIGA DE LIMA</t>
  </si>
  <si>
    <t>836.530.402-30</t>
  </si>
  <si>
    <t>CONT.SEME/Nº 068/14</t>
  </si>
  <si>
    <t>ADVILSON DA SILVA ARAUJO</t>
  </si>
  <si>
    <t>629.610.392-15</t>
  </si>
  <si>
    <t>CONT.SEME/Nº 113/14</t>
  </si>
  <si>
    <t>WEBERSON DE OLIVEIRA ARAUJO</t>
  </si>
  <si>
    <t>856.653.392-53</t>
  </si>
  <si>
    <t>PRESTAÇÃO DE SERVIÇOS TERCEIRIADOS ESPECIALIZADOS EM SUPORTE DE ATIVIDADES AUXILIARES, LIMPEZA E CONSERVAÇÃO (ITEM 03 - AUXILIAR DE DEPÓSITO, ITEM 04 – OFFICE BOY, ITEM 05 – RECEPCIONISTA E ITEM 06 - COPEIRO)</t>
  </si>
  <si>
    <t>CONT./SEME/Nº 001/2013</t>
  </si>
  <si>
    <t>Aditivo e Supressão de Quantitativo</t>
  </si>
  <si>
    <t>Repactuação e Supressão de Quantitativo</t>
  </si>
  <si>
    <t>Prorrogação de Prazo e Aditivo de Quantitativo</t>
  </si>
  <si>
    <t>320/2012</t>
  </si>
  <si>
    <t>14/2013</t>
  </si>
  <si>
    <t>SERVIÇOS DE REPROGRAFIA - FOTOCOPIAS SIMPLES</t>
  </si>
  <si>
    <t>CONT./SEME/Nº 007/2013</t>
  </si>
  <si>
    <t>COPIART INDUSTRIA E COMERCIO DE COPIAS LTDA</t>
  </si>
  <si>
    <t>84.313.063/0001-98</t>
  </si>
  <si>
    <t>318/2012</t>
  </si>
  <si>
    <t>AQUISIÇÃO DE MATERIAL DE CONSUMO(RECARGA DE GÁS LIQUEFEITO DE PETRÓLEO 13KG)</t>
  </si>
  <si>
    <t>CONT./SEME/Nº 008/2013</t>
  </si>
  <si>
    <t>A.A.C.ROCHA</t>
  </si>
  <si>
    <t>31/12/25013</t>
  </si>
  <si>
    <t>33.90..30.00</t>
  </si>
  <si>
    <t>321/2012</t>
  </si>
  <si>
    <t xml:space="preserve">AQUISIÇÃO DE GÊNEROS ALIMENTICIOS PERECÍVEIS </t>
  </si>
  <si>
    <t>CONT./SEME/Nº 011/2013</t>
  </si>
  <si>
    <t>J.L.F. DA SILVA</t>
  </si>
  <si>
    <t>02.278.888/0001-78</t>
  </si>
  <si>
    <t>CONT./SEME/Nº 012/2013</t>
  </si>
  <si>
    <t>G.SANTOS DA SILVA</t>
  </si>
  <si>
    <t>14.317.275/0001-68</t>
  </si>
  <si>
    <t>CONT./SEME/Nº 013/2013</t>
  </si>
  <si>
    <t>SANTOS &amp; BARBOSA LTDA</t>
  </si>
  <si>
    <t>00.415.832/0001-79</t>
  </si>
  <si>
    <t>CONT./SEME/Nº 014/2013</t>
  </si>
  <si>
    <t>E.P.G.DE ARAÚJO</t>
  </si>
  <si>
    <t>10.851.671/0001-10</t>
  </si>
  <si>
    <t>CONT./SEME/Nº 015/2013</t>
  </si>
  <si>
    <t>M.R.C. AGUIAR</t>
  </si>
  <si>
    <t>0001/013</t>
  </si>
  <si>
    <t>CONT./SEME/Nº 016/2013</t>
  </si>
  <si>
    <t>COOPERATIVA CENTRAL DE COMERCIALIZAÇÃO EXTRATIVISTA DO ESTADO DO ACRE</t>
  </si>
  <si>
    <t>04.814.502/0001-07</t>
  </si>
  <si>
    <t>MENOR PRÇO</t>
  </si>
  <si>
    <t>CONT./SEME/Nº 017/2013</t>
  </si>
  <si>
    <t>ACREAVES ALIMENTOS LTDA</t>
  </si>
  <si>
    <t>06.368.718/0001-11</t>
  </si>
  <si>
    <t>CONT./SEME/Nº 018/2013</t>
  </si>
  <si>
    <t>COOPERATIVA DOS CRIADORES E PRODUTORES RURAIS - COOPEIXE BUJARI</t>
  </si>
  <si>
    <t>13.857.351/0001-65</t>
  </si>
  <si>
    <t>69/2012</t>
  </si>
  <si>
    <t xml:space="preserve">MENOR PREÇO </t>
  </si>
  <si>
    <t xml:space="preserve">PRESTAÇÃO DE SERVIÇOS TERCEIRIZADOS ESPECIALIZADOS EM SUPORTE DE ATIVIDADES AUXILIARE3S, LIMPEZA E CONSERVAÇÃO </t>
  </si>
  <si>
    <t>CONT./SEME/Nº 019/2013</t>
  </si>
  <si>
    <t>COOPERATIVA DE TRABALHADORES AUTONÔMOS EM SERVIÇOS GERAIS - COOPSERGE</t>
  </si>
  <si>
    <t>317/2012</t>
  </si>
  <si>
    <t>AQUISIÇÃO DE COMBUSTÍVEL E DERIVADOS DE PETRÓLEO</t>
  </si>
  <si>
    <t>CONT./SEME/Nº 022/2013</t>
  </si>
  <si>
    <t>046/2013</t>
  </si>
  <si>
    <t>25/2013</t>
  </si>
  <si>
    <t>PRESTAÇÃO DE SERVIÇOS DE LAVAGENS E LUBRIFICAÇÃO DE VEÍCULOS</t>
  </si>
  <si>
    <t>CONT./SEME/Nº 024/2013</t>
  </si>
  <si>
    <t>NASCIMENTO E NUNES REPRESENTAÇÕES COMERCIAIS LTDA</t>
  </si>
  <si>
    <t>08.903.456/0001-73</t>
  </si>
  <si>
    <t>238/2013</t>
  </si>
  <si>
    <t>60/2012</t>
  </si>
  <si>
    <t>PRESTAÇÃO DE SERVIÇOS DE LOCAÇÃO DE IMPRESSORAS MULTIFUNCIONAIS ADAPTADAS COM SISTEMA BULK INKS, ANTI-REFLUXO E ALIMENTAÇÃO CONTÍNUA DE TINTA COM CARTUCHOS RECARREGÁVEIS</t>
  </si>
  <si>
    <t>CONT./SEME/Nº 043 - A/2013</t>
  </si>
  <si>
    <t>ROBERTO BEZERRA - ME</t>
  </si>
  <si>
    <t>Supressão de Quantitativo e Prorrogação de Prazo 12 meses</t>
  </si>
  <si>
    <t>319/2012</t>
  </si>
  <si>
    <t>13/2013</t>
  </si>
  <si>
    <t>AQUISIÇÃO DE ÁGUA POTÁVEL</t>
  </si>
  <si>
    <t>CONT./SEME/Nº 064/2013</t>
  </si>
  <si>
    <t>EDIMAR PASQUIM - EPP</t>
  </si>
  <si>
    <t>08.223.466/0001-68</t>
  </si>
  <si>
    <t>PRESTAÇÃO DE SERVIÇOS DE REPROGRAFIA - FOTOCOPIAS SIMPLES, NAS DEPENDÊNCIAS DA SECRETARIA MUNICIPAL DE EDUCAÇÃO - SEME</t>
  </si>
  <si>
    <t>CONT./SEME/Nº 073/2013</t>
  </si>
  <si>
    <t>COPIART INDÚSTRIA E COMÉRCIO DE CÓPIAS LTDA</t>
  </si>
  <si>
    <t>AQUISIÇÃO DE GÊNEROS ALIMENTICIOS PERECÍVEIS</t>
  </si>
  <si>
    <t>CONT./SEME/Nº 079/2013</t>
  </si>
  <si>
    <t>06.368.718/001-11</t>
  </si>
  <si>
    <t>CONTRATAÇÃO DE EMPRESA PARA PRESTAÇÃO DE SERVIÇOS TERCEIRIZADOS ESPECIALIZADOS EM SUPORTE E ATIVIDADES AUXILIARES, LIMPEZA E CONSERVAÇÃO (SERVENTES, ZELADORES DIURNOS, AUXILIAR DE DEPOSITO, OFFICE BOY, RECEPCIONISTA, COPEIRO, ARTÍFICE DE SERVIÇOS GERAIS), SEM FORNECIMENTO DE MATERIAL DE CONSUMO</t>
  </si>
  <si>
    <t>CONT./SEME/Nº 085/2013</t>
  </si>
  <si>
    <t>ASA - AGENCIA DE SERVIÇOS DO ACRE LTDA</t>
  </si>
  <si>
    <t>11.815.892/0001-03</t>
  </si>
  <si>
    <t>1º TERMO DE ADITIVO</t>
  </si>
  <si>
    <t>Prorrogação de prazo 12 meses</t>
  </si>
  <si>
    <t>2º TERMO DE ADITIVO</t>
  </si>
  <si>
    <t>REPACTUAÇÃO DO VALOR</t>
  </si>
  <si>
    <t>3º TERMO DE ADITIVO</t>
  </si>
  <si>
    <t>AQUISIÇÃO DE GENÊROS ALIMENTÍCIOS PERECÍVEIS</t>
  </si>
  <si>
    <t>CONT./SEME/Nº 137/2013</t>
  </si>
  <si>
    <t xml:space="preserve">AQUISIÇÃO DE GENÊROS ALIMENTÍCIOS PERECÍVEIS </t>
  </si>
  <si>
    <t>CONT./SEME/Nº 138/2013</t>
  </si>
  <si>
    <t>E.P.G. DE ARAUJO - ME</t>
  </si>
  <si>
    <t>CONT./SEME/Nº 139/2013</t>
  </si>
  <si>
    <t>G.SANTOS DA SILVA - ME</t>
  </si>
  <si>
    <t>CONT./SEME/Nº 140/2013</t>
  </si>
  <si>
    <t>M.R.C.AGUIAR</t>
  </si>
  <si>
    <t>321/2013</t>
  </si>
  <si>
    <t>AQUISIÇÃO DE GENÊROS ALIMENTÍCIOS PERECÍVEIS VISANDO ATENDER A DEMANDA DOS ALUNOS PNAEF, PNAEP, PNAEJA, PNAEC, MAIS EDUCAÇÃO E PROJOVEM</t>
  </si>
  <si>
    <t>CONT./SEME/Nº 150/2013</t>
  </si>
  <si>
    <t xml:space="preserve">J.L.F DA SILVA </t>
  </si>
  <si>
    <t>07.278.888/0001-78</t>
  </si>
  <si>
    <t>CONT./SEME/Nº 151/2013</t>
  </si>
  <si>
    <t>CONT./SEME/Nº 152/2013</t>
  </si>
  <si>
    <t>COOPERATIVA DOS CRIADORES E PRODUTORES RURAIS - COOPEIXE</t>
  </si>
  <si>
    <t>CONT./SEME/Nº 153/2013</t>
  </si>
  <si>
    <t>AQUISIÇÃO DE MATERIAL DE CONSUMO</t>
  </si>
  <si>
    <t>CONT./SEME/Nº 162/2013</t>
  </si>
  <si>
    <t>FONTENELLE E CIA LTDA</t>
  </si>
  <si>
    <t>34.778.803/0001-93</t>
  </si>
  <si>
    <t>CONT./SEME/Nº 165/2013</t>
  </si>
  <si>
    <t>M.S. FEITOSA - ME</t>
  </si>
  <si>
    <t>01.044.745/0001-15</t>
  </si>
  <si>
    <t>CONT./SEME/Nº 168/2013</t>
  </si>
  <si>
    <t>AMAZON IMP. E EXP. LTDA</t>
  </si>
  <si>
    <t>CONT./SEME/Nº 175/2013</t>
  </si>
  <si>
    <t>FONTENELE E CIA LTDA</t>
  </si>
  <si>
    <t>CONT./SEME/Nº 176/2013</t>
  </si>
  <si>
    <t>18/2013</t>
  </si>
  <si>
    <t>AQUISIÇÃO DE MATERIAL PERMANENTE</t>
  </si>
  <si>
    <t>CONT./SEME/Nº 178/2013</t>
  </si>
  <si>
    <t>MARINILDES S. BATISTA - ME</t>
  </si>
  <si>
    <t>288/2013</t>
  </si>
  <si>
    <t>109/2013</t>
  </si>
  <si>
    <t>CONT./SEME/Nº 198/2013</t>
  </si>
  <si>
    <t>CLEUSA DE OLIVEIRA - ME</t>
  </si>
  <si>
    <t>11.165.729/0001-34</t>
  </si>
  <si>
    <t>278/2013</t>
  </si>
  <si>
    <t>107/2013</t>
  </si>
  <si>
    <t>PRESTAÇÃO DE SERVIÇOS DE LOCAÇÃO DE EQUIPAMENTOS DE INFORMÁTICAS (PROJETOR) INCLUINDO SERVIÇOS DE ASSISTÊNCIA TÉCNICA</t>
  </si>
  <si>
    <t>CONT./SEME/Nº 207/2013</t>
  </si>
  <si>
    <t>R.S. FREITAS JUCA</t>
  </si>
  <si>
    <t>322/2012</t>
  </si>
  <si>
    <t>AQUISIÇÃO DE GÊNEROS ALIMETÍCIOS</t>
  </si>
  <si>
    <t>AUTORIZAÇÃO DE ENTREGA</t>
  </si>
  <si>
    <t>MARINILDE  BATISTA</t>
  </si>
  <si>
    <t>41/2013</t>
  </si>
  <si>
    <t>F T SOUZA</t>
  </si>
  <si>
    <t>MARINILDE BATISTA</t>
  </si>
  <si>
    <t>A A C ROCHA</t>
  </si>
  <si>
    <t xml:space="preserve">AQUISIÇÃO DE MATERIAL DE CONSUMO </t>
  </si>
  <si>
    <t>ABRAHAO ALVES</t>
  </si>
  <si>
    <t>34.701.425/0001-40</t>
  </si>
  <si>
    <t>FONTENELLE E CIA</t>
  </si>
  <si>
    <t>M. S. FEITOSA</t>
  </si>
  <si>
    <t>PREMIER</t>
  </si>
  <si>
    <t>AMAZON IMP.</t>
  </si>
  <si>
    <t>LEONORA COM.</t>
  </si>
  <si>
    <t>S &amp; S COMÉRCIO</t>
  </si>
  <si>
    <t>408/2013</t>
  </si>
  <si>
    <t>AQUISIÇÃO DE GENEROS ALIMENTICIOS PERECIVEIS</t>
  </si>
  <si>
    <t>A.M.SCHAFER - ME</t>
  </si>
  <si>
    <t>17.332.592/0001-41</t>
  </si>
  <si>
    <t>PREGÃO SRP 02/2013</t>
  </si>
  <si>
    <t>AQUISIÇÃO DE GENEROS ALIMENTICIOS PERECÍVEIS NÃO PERECÍVEIS</t>
  </si>
  <si>
    <t>F.F DE MEDEIROS -ME</t>
  </si>
  <si>
    <t>09.638.709/0001-91</t>
  </si>
  <si>
    <t>F.C. MESQUITA -ME</t>
  </si>
  <si>
    <t>01.489.290/0001-41</t>
  </si>
  <si>
    <t>AQUISIÇÃO DE MATERIAL ELÉTRICO, HIDRÁULICO E FERRAMENTAS</t>
  </si>
  <si>
    <t>M.C.CAVALCANTE OLIVEIRA -ME</t>
  </si>
  <si>
    <t>M.A.M.LIMA - ME</t>
  </si>
  <si>
    <t>84.308.337/0001-50</t>
  </si>
  <si>
    <t>004/12</t>
  </si>
  <si>
    <t>CONTRATAÇÃO DE EMPRESA PARA PRESTAÇÃO SERVIÇOS DE LIMPEZA E ESGOTAMENTO DE FOSSAS, LIMPEZA DE CAIXA D'ÁGUA E CISTERNA</t>
  </si>
  <si>
    <t>CONT.SEME/Nº 001/14</t>
  </si>
  <si>
    <t>ACRELIMP - SERVIÇOS DE LIMPEZA LTDA</t>
  </si>
  <si>
    <t>06.239.786/0001-80</t>
  </si>
  <si>
    <t>320/12</t>
  </si>
  <si>
    <t xml:space="preserve">PRESTAÇÃO DE SERVIÇOS DE REPROGRAFIA - FOTOCOPIAS SIMPLES </t>
  </si>
  <si>
    <t>CONT.SEME/Nº 002/14</t>
  </si>
  <si>
    <t>COPIART- INDUSTRIA E COMERCIO DE CÓPIAS LTDA</t>
  </si>
  <si>
    <t>317/12</t>
  </si>
  <si>
    <t>AQUISIÇÃO DE COMBUSTÍVEIS E DERIVADOS DE PETRÓLEO</t>
  </si>
  <si>
    <t>CONT.SEME/Nº 003/14</t>
  </si>
  <si>
    <t>316/12</t>
  </si>
  <si>
    <t>CONT.SEME/Nº 005/14</t>
  </si>
  <si>
    <t>MARINILDES S.BATISTA - ME</t>
  </si>
  <si>
    <t>352/12</t>
  </si>
  <si>
    <t>121/2013</t>
  </si>
  <si>
    <t>CONTRATAÇÃO DE EMPRESA PARA PRESTÇAÕ DE SERVIÇOS DE MANUTENÇÃO DE EQUIPAMENTOS E UTENSÍLIOS COM REPOSIÇÃO DE PEÇAS E INSUMO</t>
  </si>
  <si>
    <t>CONT.SEME/Nº 006/14</t>
  </si>
  <si>
    <t>319/12</t>
  </si>
  <si>
    <t>AQUIÇÃO DE ÁGUA POTÁVEL</t>
  </si>
  <si>
    <t>CONT.SEME/Nº 008/14</t>
  </si>
  <si>
    <t>1. TERMO ADITIVO</t>
  </si>
  <si>
    <t>318/12</t>
  </si>
  <si>
    <t>CONT.SEME/Nº 009/14</t>
  </si>
  <si>
    <t>A.A.C.ROCHA - ME</t>
  </si>
  <si>
    <t>321/12</t>
  </si>
  <si>
    <t>AQUISIÇÃO DE GÊNEROS ALIMENTÍCIOS PERECÍVEIS</t>
  </si>
  <si>
    <t>CONT.SEME/Nº 010/14</t>
  </si>
  <si>
    <t>ADITIVO DE SUPRESSÃO</t>
  </si>
  <si>
    <t>CONT.SEME/Nº 011/14</t>
  </si>
  <si>
    <t>J.L.F.DA SILVA</t>
  </si>
  <si>
    <t>CONT.SEME/Nº 012/14</t>
  </si>
  <si>
    <t>CONT.SEME/Nº 013/14</t>
  </si>
  <si>
    <t>CONT.SEME/Nº 014/14</t>
  </si>
  <si>
    <t>E.P.G. DE ARAÚJO</t>
  </si>
  <si>
    <t>SUPRESSÃO DE VALOR</t>
  </si>
  <si>
    <t>CONT.SEME/Nº 015/14</t>
  </si>
  <si>
    <t>CONT.SEME/Nº 016/14</t>
  </si>
  <si>
    <t>COOP.CENTRAL DE COM.EXT.DO EST. AC</t>
  </si>
  <si>
    <t>322/12</t>
  </si>
  <si>
    <t>AQUISIÇÃO DE GÊNEROS ALIMENTÍCIOS NÃO PERECÍVEIS</t>
  </si>
  <si>
    <t>CONT.SEME/Nº 017/14</t>
  </si>
  <si>
    <t>N.F.MARRUCHI</t>
  </si>
  <si>
    <t>14.291.256/0001-00</t>
  </si>
  <si>
    <t>CONT.SEME/Nº 018/14</t>
  </si>
  <si>
    <t>MIRAGINA S/A IND.E COM.</t>
  </si>
  <si>
    <t>04.063.681/0001-98</t>
  </si>
  <si>
    <t>CONT.SEME/Nº 019/14</t>
  </si>
  <si>
    <t>J.S.COMERCIO IMP.EXP.LTDA</t>
  </si>
  <si>
    <t>CONT.SEME/Nº 020/14</t>
  </si>
  <si>
    <t>RB.DIST.E COM.DE CONSUMO.MEDICAÇÃO E MERCADORIAS EM GERAL LTDA</t>
  </si>
  <si>
    <t>07.987.265/0001-47</t>
  </si>
  <si>
    <t>CONT.SEME/Nº 021/14</t>
  </si>
  <si>
    <t xml:space="preserve">M &amp; R DISTRIBUIDORA </t>
  </si>
  <si>
    <t>11.001.135/0001-98</t>
  </si>
  <si>
    <t>SERVIÇOS DE MANUTENÇÃO PREDIAL -COMPREENDENDO PEQ.SERVIÇOS</t>
  </si>
  <si>
    <t>CONT.SEME/Nº 022/14</t>
  </si>
  <si>
    <t>E.NOMINATO IMP.E EXP.</t>
  </si>
  <si>
    <t>09.374.006/001-01</t>
  </si>
  <si>
    <t>CONT.SEME/Nº 023/14</t>
  </si>
  <si>
    <t>MAQPEÇAS MÁQUINAS E IMPLEMENTOS AGRÍCOLAS IMP. E EXP.LTDA</t>
  </si>
  <si>
    <t>05.128.507/0001-49</t>
  </si>
  <si>
    <t>024/14</t>
  </si>
  <si>
    <t>PRESTAÇÃO DE SERVIÇOS DE ALIMENTAÇÃO(ALMOÇO E JANTAR)</t>
  </si>
  <si>
    <t>CONT.SEME/Nº 024/14</t>
  </si>
  <si>
    <t>M.W.AMAZÔNIA SERVIÇOS LTDA</t>
  </si>
  <si>
    <t>10.700.757/0001-41</t>
  </si>
  <si>
    <t>046/13</t>
  </si>
  <si>
    <t>025/2013</t>
  </si>
  <si>
    <t>CONT.SEME/Nº 026/14</t>
  </si>
  <si>
    <t>NASCIMENTO &amp; NUNES REP.COMERCIAIS LTDA</t>
  </si>
  <si>
    <t>001/13</t>
  </si>
  <si>
    <t>AQUISIÇÃO DE MATERIAL DE CONSUMO E PERMANENTE</t>
  </si>
  <si>
    <t>CONT.SEME/Nº 027/14</t>
  </si>
  <si>
    <t>J.SABINO DA COSTA-ME</t>
  </si>
  <si>
    <t>01.287.016/0001-90</t>
  </si>
  <si>
    <t>44.90.52.00/33.90.30.00</t>
  </si>
  <si>
    <t>AQUISIÇÃO DE MATERIAL  PERMANENTE</t>
  </si>
  <si>
    <t>CONT.SEME/Nº 028/14</t>
  </si>
  <si>
    <t>MARCENARIA SULATINA IMP.E EXP.LTDA</t>
  </si>
  <si>
    <t>34.704.163/0001-77</t>
  </si>
  <si>
    <t>CONT.SEME/Nº 029/14</t>
  </si>
  <si>
    <t>REAL MÓVEIS LTDA</t>
  </si>
  <si>
    <t>05.392.144/0001-54</t>
  </si>
  <si>
    <t>CONT.SEME/Nº 030/14</t>
  </si>
  <si>
    <t>UNIACRE IND.E COMERCIO LTDA</t>
  </si>
  <si>
    <t>63.603.666/0001-54</t>
  </si>
  <si>
    <t>CONT.SEME/Nº 032/14</t>
  </si>
  <si>
    <t>M.&amp; R DISTRIBUIDORA LTDA</t>
  </si>
  <si>
    <t>CONT.SEME/Nº 033/14</t>
  </si>
  <si>
    <t>T.F.NASCIMENTO</t>
  </si>
  <si>
    <t>10.940.181/0001-90</t>
  </si>
  <si>
    <t>CONT.SEME/Nº 034/14</t>
  </si>
  <si>
    <t>CONT.SEME/Nº 035/14</t>
  </si>
  <si>
    <t>CONT.SEME/Nº 036/14</t>
  </si>
  <si>
    <t>CONT.SEME/Nº 037/14</t>
  </si>
  <si>
    <t>EDINAURO B.RODRIGUES</t>
  </si>
  <si>
    <t>07.788.396/0001-22</t>
  </si>
  <si>
    <t>ADITIVO DE VALOR</t>
  </si>
  <si>
    <t>CONT.SEME/Nº 038/14</t>
  </si>
  <si>
    <t>07.987.265/0001/74</t>
  </si>
  <si>
    <t>CONT.SEME/Nº 039/14</t>
  </si>
  <si>
    <t>07.914.493/0001-14</t>
  </si>
  <si>
    <t>408/13</t>
  </si>
  <si>
    <t>AQUISIÇÃIO DE GÊNEROS ALIMENTICIOS PERECÍVEIS</t>
  </si>
  <si>
    <t>CONT.SEME/Nº 040/14</t>
  </si>
  <si>
    <t>CONT.SEME/Nº 041/14</t>
  </si>
  <si>
    <t>CONT.SEME/Nº 042/14</t>
  </si>
  <si>
    <t>M.R.C.AGUIAR - ME</t>
  </si>
  <si>
    <t>CONT.SEME/Nº 043/14</t>
  </si>
  <si>
    <t>COOP.DE PRODUTORES DE POLPA DE FRUTAS DO EST.ACRE</t>
  </si>
  <si>
    <t>10.663.905/0001-03</t>
  </si>
  <si>
    <t>CONT.SEME/Nº 044/14</t>
  </si>
  <si>
    <t>F.T.DE SOUZA PINTO</t>
  </si>
  <si>
    <t>11/03/201</t>
  </si>
  <si>
    <t>34/14</t>
  </si>
  <si>
    <t xml:space="preserve">PRESTAÇÃO DE SERVIÇOS DE REPROGRAFIA E OUTROS </t>
  </si>
  <si>
    <t>CONT.SEME/Nº 045/14</t>
  </si>
  <si>
    <t>LFP3 FOTOGRAFIA LTDA</t>
  </si>
  <si>
    <t>160/13</t>
  </si>
  <si>
    <t>073/2013</t>
  </si>
  <si>
    <t>AQUISIÇÃIO DE MAT. DE CONSUMO</t>
  </si>
  <si>
    <t>CONT.SEME/Nº 047/14</t>
  </si>
  <si>
    <t>LABNORTE CIRURGIA E DIAGNOSTICA IMP.E EXP.LTDA</t>
  </si>
  <si>
    <t>02/477.571/0001-47</t>
  </si>
  <si>
    <t>096/13</t>
  </si>
  <si>
    <t>AQUISIÇÃO DE MAT. DE CONSUMO</t>
  </si>
  <si>
    <t>CONT.SEME/Nº 048/14</t>
  </si>
  <si>
    <t>CONT.SEME/Nº 049/14</t>
  </si>
  <si>
    <t>MARINILDES S.BATISTA -ME</t>
  </si>
  <si>
    <t>CONT.SEME/Nº 050/14</t>
  </si>
  <si>
    <t>J.S.COM.E IMP.LTDA</t>
  </si>
  <si>
    <t>016/13</t>
  </si>
  <si>
    <t>CONT.SEME/Nº 051/14</t>
  </si>
  <si>
    <t xml:space="preserve">ARNALDO COMÉRCIO E REPRESENTAÇÕES </t>
  </si>
  <si>
    <t>CONT.SEME/Nº 052/14</t>
  </si>
  <si>
    <t>LEONORA COMERCIO DE PAPEIS IMP.E EXP.LTDA</t>
  </si>
  <si>
    <t>03.064.692/0001-15</t>
  </si>
  <si>
    <t>CONT.SEME/Nº 053/14</t>
  </si>
  <si>
    <t>PORTOMAQ COMERCIO E REPRESENTAÇÕES LTDA</t>
  </si>
  <si>
    <t>02.502.572/0001-02</t>
  </si>
  <si>
    <t>CONT.SEME/Nº 054/14</t>
  </si>
  <si>
    <t>RICHARD S.MIRANDA</t>
  </si>
  <si>
    <t>07.650.136/0001-96</t>
  </si>
  <si>
    <t>CONT.SEME/Nº 055/14</t>
  </si>
  <si>
    <t>M.S. FEITOSA-ME</t>
  </si>
  <si>
    <t>CONT.SEME/Nº 056/14</t>
  </si>
  <si>
    <t>FONTENELE E CIA LTDA - ME</t>
  </si>
  <si>
    <t>001/14</t>
  </si>
  <si>
    <t xml:space="preserve">AQUISIÇÃO DE COMBUSTIVEIS </t>
  </si>
  <si>
    <t>CONT.SEME/Nº 057/14</t>
  </si>
  <si>
    <t>035/14</t>
  </si>
  <si>
    <t xml:space="preserve">PREGÃO SRP  </t>
  </si>
  <si>
    <t>AQUISIÇÃO DE ÁGUA MINERAL SEM GÁS</t>
  </si>
  <si>
    <t>CONT.SEME/Nº 058/14</t>
  </si>
  <si>
    <t>DILSON A.RIBEIRO - ME</t>
  </si>
  <si>
    <t>04.522.609/0001-81</t>
  </si>
  <si>
    <t>033/14</t>
  </si>
  <si>
    <t xml:space="preserve">AQUISIÇÃO DE EXTINTORES, RECARGAS E PLACAS DE IDENTIFICAÇÃO </t>
  </si>
  <si>
    <t>CONT.SEME/Nº 069/14</t>
  </si>
  <si>
    <t>R. E. B. DE SOUZA EXTINTORES LTDA - ME</t>
  </si>
  <si>
    <t>07.422.870/0001-06</t>
  </si>
  <si>
    <t>404/13</t>
  </si>
  <si>
    <t>CONT.SEME/Nº 070/14</t>
  </si>
  <si>
    <t>CONT.SEME/Nº 071/14</t>
  </si>
  <si>
    <t>11/04/201</t>
  </si>
  <si>
    <t>011/14</t>
  </si>
  <si>
    <t>CONT.SEME/Nº 072/14</t>
  </si>
  <si>
    <t>CONT.SEME/Nº 073/14</t>
  </si>
  <si>
    <t>CONT.SEME/Nº 074/14</t>
  </si>
  <si>
    <t>MIRAGINA S/A IND.E COM</t>
  </si>
  <si>
    <t>CONT.SEME/Nº 075/14</t>
  </si>
  <si>
    <t>E. NOMINATO IMP.E EXP</t>
  </si>
  <si>
    <t>07.914.493/0001-01</t>
  </si>
  <si>
    <t>CONT.SEME/Nº 076/14</t>
  </si>
  <si>
    <t>CONT.SEME/Nº 077/14</t>
  </si>
  <si>
    <t>1104/2014</t>
  </si>
  <si>
    <t>CONT.SEME/Nº 078/14</t>
  </si>
  <si>
    <t>CONT.SEME/Nº 079/14</t>
  </si>
  <si>
    <t>CONT.SEME/Nº 080/14</t>
  </si>
  <si>
    <t>13.334.554/0001-58</t>
  </si>
  <si>
    <t>CONT.SEME/Nº 081/14</t>
  </si>
  <si>
    <t>014/20114</t>
  </si>
  <si>
    <t>CONT.SEME/Nº 082/14</t>
  </si>
  <si>
    <t>CONT.SEME/Nº 083/14</t>
  </si>
  <si>
    <t>CONT.SEME/Nº 084/14</t>
  </si>
  <si>
    <t>CONT.SEME/Nº 085/14</t>
  </si>
  <si>
    <t>CONT.SEME/Nº 086/14</t>
  </si>
  <si>
    <t>099/14</t>
  </si>
  <si>
    <t>CONT.SEME/Nº 088/14</t>
  </si>
  <si>
    <t>CONT.SEME/Nº 089/14</t>
  </si>
  <si>
    <t>CONT.SEME/Nº 090/14</t>
  </si>
  <si>
    <t>AQUISIÇÃO DE GÊNEROS ALIMENTICIOS  PERECIVEIS</t>
  </si>
  <si>
    <t>CONT.SEME/Nº 091/14</t>
  </si>
  <si>
    <t>ADITIVO  DE SUPRESSÃO</t>
  </si>
  <si>
    <t>CONT.SEME/Nº 092/14</t>
  </si>
  <si>
    <t>R B M SALES - EIRELE ME</t>
  </si>
  <si>
    <t>260/214</t>
  </si>
  <si>
    <t>CONTRATAÇÃO DE SERVIÇOS DE TRANSPOSTE ESCOLAR  COM CONDUTOR E MONITOR</t>
  </si>
  <si>
    <t>CONT.SEME/Nº 148/14</t>
  </si>
  <si>
    <t>SID ROBERTO SILVA DE OLIVEIRA</t>
  </si>
  <si>
    <t>749.477.882-91</t>
  </si>
  <si>
    <t>110/14</t>
  </si>
  <si>
    <t xml:space="preserve">CONTRATAÇÃO DE SERVIÇOS DE TRANSPOSTE ESCOLAR </t>
  </si>
  <si>
    <t>CONT.SEME/Nº 093/14</t>
  </si>
  <si>
    <t>VALQUIMAR MELO DA SILVA</t>
  </si>
  <si>
    <t>322.086.932-72</t>
  </si>
  <si>
    <t>CONT.SEME/Nº 094/14</t>
  </si>
  <si>
    <t>LEIBE DOS SANTOS BARROS</t>
  </si>
  <si>
    <t>767.714.822-00</t>
  </si>
  <si>
    <t>CONT.SEME/Nº 095/14</t>
  </si>
  <si>
    <t>SERGIO DA COSTA BEZERRA</t>
  </si>
  <si>
    <t>508.149.072-53</t>
  </si>
  <si>
    <t>CONT.SEME/Nº 096/14</t>
  </si>
  <si>
    <t>LUIZ CARLOS VIANA FONTENELE</t>
  </si>
  <si>
    <t>483.751.792-72</t>
  </si>
  <si>
    <t>1ª TERMO ADITIVO</t>
  </si>
  <si>
    <t>31/12/204</t>
  </si>
  <si>
    <t>CONT.SEME/Nº 097/14</t>
  </si>
  <si>
    <t>CONT.SEME/Nº 098/14</t>
  </si>
  <si>
    <t>ELINETE SOARES DA SILVA</t>
  </si>
  <si>
    <t>434.690.602-82</t>
  </si>
  <si>
    <t>CONT.SEME/Nº 099/14</t>
  </si>
  <si>
    <t>SIDMIR GARCIA BEZERRA</t>
  </si>
  <si>
    <t>052.047.712-04</t>
  </si>
  <si>
    <t>CONT.SEME/Nº 100/14</t>
  </si>
  <si>
    <t>SAMIR ARAUJO DE CASTRO</t>
  </si>
  <si>
    <t>095.897.672-49</t>
  </si>
  <si>
    <t>109/14</t>
  </si>
  <si>
    <t>PRESTAÇÃO DE SERVIÇOS GRAFICOS</t>
  </si>
  <si>
    <t>CONT.SEME/Nº 102/14</t>
  </si>
  <si>
    <t>F.B.AMORIM JUNIOR - ME</t>
  </si>
  <si>
    <t>404/14</t>
  </si>
  <si>
    <t>AQUISIÇÃO DE GÊNEROS ALIMENTICIOS NÃO PERECIVEIS</t>
  </si>
  <si>
    <t>CONT.SEME/Nº 105/14</t>
  </si>
  <si>
    <t>354/13</t>
  </si>
  <si>
    <t>MATERIAL DE CONSUMO</t>
  </si>
  <si>
    <t>CONT.SEME/Nº 106/14</t>
  </si>
  <si>
    <t>G.M.DOS SANTOS CARVALHO-ME</t>
  </si>
  <si>
    <t>CONT.SEME/Nº 107/14</t>
  </si>
  <si>
    <t>S &amp; S COM.E REP. DE TINTAS LTDA</t>
  </si>
  <si>
    <t>33.90.30.00/44.90.52.00</t>
  </si>
  <si>
    <t>MATERIAL DE CONSUMO(INFORMÁTICA)</t>
  </si>
  <si>
    <t>CONT.SEME/Nº 108/14</t>
  </si>
  <si>
    <t>CENTERDATA ANÁLISE DE SISTEMAS E SERVIÇOS LTDA - ME</t>
  </si>
  <si>
    <t>20/05/214</t>
  </si>
  <si>
    <t>CONT.SEME/Nº 109/14</t>
  </si>
  <si>
    <t>SERMATEC COM.E SERV. IMP.E EXP. LTDA - EPP</t>
  </si>
  <si>
    <t>036/14</t>
  </si>
  <si>
    <t>CONT.SEME/Nº 110/14</t>
  </si>
  <si>
    <t>169/13</t>
  </si>
  <si>
    <t>CONT.SEME/Nº 114/14</t>
  </si>
  <si>
    <t>F.B.AMORIM - ME</t>
  </si>
  <si>
    <t>03.802085/0001-10</t>
  </si>
  <si>
    <t>CONT.SEME/Nº 115/14</t>
  </si>
  <si>
    <t>MULT GRAF INDUSTRIA GRAFICA, EDITORA E COM.LTDA -ME</t>
  </si>
  <si>
    <t>150/14</t>
  </si>
  <si>
    <t>CONT.SEME/Nº 118/14</t>
  </si>
  <si>
    <t>FIBRATEX COMERCIAL LTDA</t>
  </si>
  <si>
    <t>02.889493/0001-98</t>
  </si>
  <si>
    <t>CONT.SEME/Nº 119/14</t>
  </si>
  <si>
    <t>MYTSUYO NISHIZAWA - ME</t>
  </si>
  <si>
    <t>10.209.617/0001-75</t>
  </si>
  <si>
    <t>97/13</t>
  </si>
  <si>
    <t>AQUISIÇÃO DE EQUIPAMENTOS, MATERIAIS PERMANENTES E MATERIAIS DE CONSUMO (ELETRODOMESTICOS, ELETRO-ELETRONICOS, MOBILIARIOS E OUTROS DIVERSOS)</t>
  </si>
  <si>
    <t>CONT.SEME/Nº 125/14</t>
  </si>
  <si>
    <t>CONT.SEME/Nº 126/14</t>
  </si>
  <si>
    <t>A. C. CASTRO - ME</t>
  </si>
  <si>
    <t>02.828.261/0001-20</t>
  </si>
  <si>
    <t>33.90.30.00                     44.90.52.00</t>
  </si>
  <si>
    <t>CONT.SEME/Nº 127/14</t>
  </si>
  <si>
    <t>AGRIMAQ COMÉRCIO E SERVIÇOS LTDA - EPP</t>
  </si>
  <si>
    <t>13.638.097/0001-04</t>
  </si>
  <si>
    <t>AQUISIÇÃO DE EQUIPAMENTOS E MATERIAL PERMANENTE</t>
  </si>
  <si>
    <t>CONT.SEME/Nº 130/14</t>
  </si>
  <si>
    <t>G.N.DE ALENCAR-ME</t>
  </si>
  <si>
    <t>14772-3/2013</t>
  </si>
  <si>
    <t>691/2013</t>
  </si>
  <si>
    <t>AQUISIÇÃO DE PERSIANAS</t>
  </si>
  <si>
    <t>CONT.SEME/Nº 140/14</t>
  </si>
  <si>
    <t>S.F.CAVALCANTE -ME</t>
  </si>
  <si>
    <t>06.093.772/0001-00</t>
  </si>
  <si>
    <t>CONT.SEME/Nº 141/14</t>
  </si>
  <si>
    <t>STAMP DISTRIBUIDORA DE MALHAS LTDA</t>
  </si>
  <si>
    <t>AQUISIÇÃO DE GENEROS  ALIMENTICIOS NÃO PERECIVEIS</t>
  </si>
  <si>
    <t>CONT.SEME/Nº 142/14</t>
  </si>
  <si>
    <t>CONT.SEME/Nº 144/14</t>
  </si>
  <si>
    <t xml:space="preserve">G.SANTOS DA SILVA </t>
  </si>
  <si>
    <t>260/2014</t>
  </si>
  <si>
    <t>CONTRATAÇÃO DE SERVIÇOS DE TRANSPOSTE ESCOLAR COM CONDUTOR E MONITOR</t>
  </si>
  <si>
    <t>CONT.SEME/Nº 146/14</t>
  </si>
  <si>
    <t>EGIMIO MENEZES DA SILVA</t>
  </si>
  <si>
    <t>SERVIÇOS DE TRANSPORT ESCOLAR COM CONDUTOR E MONITOR</t>
  </si>
  <si>
    <t>CONT./SEME/Nº 147/14</t>
  </si>
  <si>
    <t>VALDIR PINHEIRO LEAL</t>
  </si>
  <si>
    <t>561.452.842-34</t>
  </si>
  <si>
    <t>274/2014</t>
  </si>
  <si>
    <t>LOCAÇÃO DE ESPAÇO FISICO.EQUIPAMENTOS E MOBILIÁRIOS</t>
  </si>
  <si>
    <t>CONT.SEME/Nº 151/14</t>
  </si>
  <si>
    <t>B.S.PINHEIRO - ME</t>
  </si>
  <si>
    <t>17.113.282/0001-36</t>
  </si>
  <si>
    <t>AQUISIÇÃO DE GENEROS  ALIMENTICIOS PERECIVEIS</t>
  </si>
  <si>
    <t>CONT.SEME/Nº 152/14</t>
  </si>
  <si>
    <t>ROBERTH &amp; SOUZA LTDA</t>
  </si>
  <si>
    <t>CONT.SEME/Nº 154/14</t>
  </si>
  <si>
    <t>CONT.SEME/Nº 157/14</t>
  </si>
  <si>
    <t>06/10/201</t>
  </si>
  <si>
    <t>354/2013</t>
  </si>
  <si>
    <t>CONT.SEME/Nº 159/14</t>
  </si>
  <si>
    <t>CONT.SEME/Nº 160/14</t>
  </si>
  <si>
    <t>CONT.SEME/Nº 161/14</t>
  </si>
  <si>
    <t>AQUISIÇÃO DE GENEROS ALIMENTICIOS NÃO PERECXIVIEIS</t>
  </si>
  <si>
    <t>CONT.SEME/Nº 162/14</t>
  </si>
  <si>
    <t>CONT.SEME/Nº 163/14</t>
  </si>
  <si>
    <t>404/2013</t>
  </si>
  <si>
    <t>CONT.SEME/Nº 164/14</t>
  </si>
  <si>
    <t>CONT.SEME/Nº 167/14</t>
  </si>
  <si>
    <t>CONT.SEME/Nº 168/14</t>
  </si>
  <si>
    <t>CONT.SEME/Nº 170/14</t>
  </si>
  <si>
    <t>CONT.SEME/Nº 171/14</t>
  </si>
  <si>
    <t>CONT.SEME/Nº 174/14</t>
  </si>
  <si>
    <t>334/2014</t>
  </si>
  <si>
    <t>LOCAÇÃO DE ESPAÇO FISICO.EQUIPAMENTOS, HOSPEDAGEM E FORNECIMENTO DE REFEIÇÕES</t>
  </si>
  <si>
    <t>CONT.SEME/Nº 175/14</t>
  </si>
  <si>
    <t>M.W.AMAZONIA SERVIÇOS LTDA</t>
  </si>
  <si>
    <t>CONT.SEME/Nº 124/14</t>
  </si>
  <si>
    <t>EDVALDO PASQUIM AVARE - ME</t>
  </si>
  <si>
    <t>02.564.396/0001-25</t>
  </si>
  <si>
    <t>PARCELA ÚNICA AUT.ENT</t>
  </si>
  <si>
    <t>F.C.MESQUITA</t>
  </si>
  <si>
    <t>01.489290/0001-41</t>
  </si>
  <si>
    <t>150/13</t>
  </si>
  <si>
    <t>OLIVEIRA &amp; ALVES LTDA</t>
  </si>
  <si>
    <t>03.978.576/0001-16</t>
  </si>
  <si>
    <t>169/2013</t>
  </si>
  <si>
    <t>SERVIÇO GRÁFICO</t>
  </si>
  <si>
    <t>S L DE CASTRO</t>
  </si>
  <si>
    <t>AQUISIÇÃO DE GENEROS ALIMENTICIOS PERECÍVEIS</t>
  </si>
  <si>
    <t>CORDEIRO &amp; BATISTA COM. E SERVIÇOS LTDA</t>
  </si>
  <si>
    <t xml:space="preserve">PRESTAÇÃO DE SERVIÇOS GRÁFICOS </t>
  </si>
  <si>
    <t>P.L.MARTINI - ME</t>
  </si>
  <si>
    <t>97/2013</t>
  </si>
  <si>
    <t>W F SALES</t>
  </si>
  <si>
    <t>04.649.565/0001-55</t>
  </si>
  <si>
    <t>*</t>
  </si>
  <si>
    <t>CHAMADA PUBLICA</t>
  </si>
  <si>
    <t>CONT./SEME/Nº 096/2013</t>
  </si>
  <si>
    <t>COOPERATIVA CENTRAL DE COMERCIALIZAÇÃO EXTRATIVISTA DO ESTADO DO ACRE LTDA</t>
  </si>
  <si>
    <t>CONT./SEME/Nº 097/2013</t>
  </si>
  <si>
    <t>COOPERATIVA DOS PRODUTORES DE AVES</t>
  </si>
  <si>
    <t>09.235.515/0001-13</t>
  </si>
  <si>
    <t>CONT./SEME/Nº 098/2013</t>
  </si>
  <si>
    <t>COOPERATIVA DOS PRODUTORES DE POLPA DE FRUTAS DO ESTADO DO ACRE</t>
  </si>
  <si>
    <t xml:space="preserve">AQUISIÇÃO DE GENEROS ALIMENTICIOS </t>
  </si>
  <si>
    <t>CONT./SEME/Nº 136/14</t>
  </si>
  <si>
    <t>CONT./SEME/Nº 137/14</t>
  </si>
  <si>
    <t>323/2013</t>
  </si>
  <si>
    <t>CONTRATAÇÃO DE EMPRESA PARA EXECUÇÃO DE SERVIÇOS DE MANUTENÇÃO DAS UNIDADES DE ENSINO E PREDIOS AMINISTRATIVOS DA SEME</t>
  </si>
  <si>
    <t>CONT./SEME/Nº 051/2013</t>
  </si>
  <si>
    <t>SERVIÇO</t>
  </si>
  <si>
    <t>INDIRETA</t>
  </si>
  <si>
    <t>188/2013</t>
  </si>
  <si>
    <t>23/2013</t>
  </si>
  <si>
    <t>CONTRATAÇÃO DE EMPRESA DE ENGENHARIA PARA A EXECUÇÃO  DE SERVIÇOS EMERGENCIAIS DE REFORMA DA COBERTURA, REPAROS E PINTURA DA ESCOLA MUNICIPALIZADA LUIZ DE CARVALHO FONTINELE.</t>
  </si>
  <si>
    <t>CONT./SEME/Nº 114/2013</t>
  </si>
  <si>
    <t>CONSTRUTORA RIOS NITEROIS LTDA</t>
  </si>
  <si>
    <t>16 S.ED(R. A PAGAR-2013)</t>
  </si>
  <si>
    <t>231/13</t>
  </si>
  <si>
    <t>PRESTAÇÃO DE SERVIÇOS DE PROFISSIONAL EDUCACIONAL/TREINAMENTO</t>
  </si>
  <si>
    <t xml:space="preserve"> CONT.SEME/Nº 128/13</t>
  </si>
  <si>
    <t xml:space="preserve">LEILA MARIA RIBOURA DE OLIVEIRA </t>
  </si>
  <si>
    <t>380.498.487-87</t>
  </si>
  <si>
    <t xml:space="preserve"> CONT.SEME/Nº 129/13</t>
  </si>
  <si>
    <t xml:space="preserve">MARIA DAS GRAÇAS NOGUEIRA DE SOUZA </t>
  </si>
  <si>
    <t>006/14</t>
  </si>
  <si>
    <t>CONTRATAÇÃO DE EMPRESA DE ENGENHARIA PARA A EXECUÇÃO DOS SERVIÇOS DE REFORMA - ESC. ANITA DOS S.JANGLES</t>
  </si>
  <si>
    <t>CONT.SEME/Nº 101/14</t>
  </si>
  <si>
    <t>00.484.230/0001-73</t>
  </si>
  <si>
    <t>08/05/204</t>
  </si>
  <si>
    <t>prorrogação de prazo 90 dias</t>
  </si>
  <si>
    <t>prorrogação de prazo de execução 60 dias</t>
  </si>
  <si>
    <t>Aditivo de Valor e prorrogação de prazo 60 dias</t>
  </si>
  <si>
    <t>103/14</t>
  </si>
  <si>
    <t>CONTRATAÇÃO DE EMPRESA DE ENGENHARIA PARA A EXECUÇÃO DOS SERVIÇOS DE REFORMA - ESC. MAURICILIA SANT'ANA</t>
  </si>
  <si>
    <t>CONT.SEME/Nº 104/14</t>
  </si>
  <si>
    <t>NEO CONTRUÇÕES E COM.LTDA</t>
  </si>
  <si>
    <t>05.155.291/0001-00</t>
  </si>
  <si>
    <t>102/14</t>
  </si>
  <si>
    <t>CONTRATAÇÃO DE EMPRESA DE EMGENHARIA PARA A EXECUÇÃO DOS SERVIÇOS DE REFORMA DA ESC. LUIZA C.DANTAS</t>
  </si>
  <si>
    <t>CONT.SEME/Nº 111/14</t>
  </si>
  <si>
    <t>CONSÓRCIO EURO</t>
  </si>
  <si>
    <t>05.687.069/0001-59          05.552.585/0001-76</t>
  </si>
  <si>
    <t>CONTRATAÇÃO DE EMPRESA DE EMGENHARIA PARA A EXECUÇÃO DOS SERVIÇOS DE REFORMA DA ESC. SHEILA M.NASSERALA</t>
  </si>
  <si>
    <t>CONT.SEME/Nº 112/14</t>
  </si>
  <si>
    <t>prorrogação do prazo 90 dias</t>
  </si>
  <si>
    <t>100/4</t>
  </si>
  <si>
    <t>CONTRATAÇÃO DE EMPRESA DE EMGENHARIA PARA A EXECUÇÃO DOS SERVIÇOS DE REFORMA DA ESC. IONE PORTELA</t>
  </si>
  <si>
    <t>CONT.SEME/Nº 116/14</t>
  </si>
  <si>
    <t>AZ COMERCIO, SERV. E REP. E EXPORTAÇÃO LTDA</t>
  </si>
  <si>
    <t>16-S.ED</t>
  </si>
  <si>
    <t>prorrogação do prazo por 90 dias</t>
  </si>
  <si>
    <t>aditivo de valor</t>
  </si>
  <si>
    <t>prorrogação do prazo por 150 dias</t>
  </si>
  <si>
    <t>107/14</t>
  </si>
  <si>
    <t>CONTRATAÇÃO DE EMPRESA DE ENGENHARIA PARA A EXECUÇÃO DOS SERVIÇOS DE REFORMA DA ESCOLA VALDIVA DE CASTRO SANTOS</t>
  </si>
  <si>
    <t>CONT.SEME/Nº 117/14</t>
  </si>
  <si>
    <t>EXPEDITO C.CAVALCANTE -ME</t>
  </si>
  <si>
    <t>16 S. Educ.</t>
  </si>
  <si>
    <t>CONTRATAÇÃO DE EMPRESA DE ENGENHARIA PARA A EXECUÇÃO DOS SERVIÇOS DE REFORMA DA ESCOLA BEM TE VI</t>
  </si>
  <si>
    <t>CONT.SEME/Nº 120/14</t>
  </si>
  <si>
    <t>133/14</t>
  </si>
  <si>
    <t>CONTRATAÇÃO DE EMPRESA PARA EXECUÇÃO DE SERVIÇOS DE CONSTRUÇÃO DE SUBESTAÇÕES PARA ATENDER CRECHES MUNICIPAIS</t>
  </si>
  <si>
    <t>CONT.SEME/Nº 122/14</t>
  </si>
  <si>
    <t>JURUA SERVIÇOS TECNICOS LTDA</t>
  </si>
  <si>
    <t>01.153.381/0001-01</t>
  </si>
  <si>
    <t>101/14</t>
  </si>
  <si>
    <t>CONTRATAÇÃO DE EMPRESA DE ENGENHARIA PARA A EXECUÇÃO DOS SERVIÇOS DE REFORMA DA ESCOLA JOSÉ POTYGUARA</t>
  </si>
  <si>
    <t>CONT.SEME/Nº 123/14</t>
  </si>
  <si>
    <t>Aditivo  de Valor</t>
  </si>
  <si>
    <t>Aditivo e Supressão de valor</t>
  </si>
  <si>
    <t>108/14</t>
  </si>
  <si>
    <t>CONTRATAÇÃO DE EMPRESA DE ENGENHARIA PARA A EXECUÇÃO DOS SERVIÇOS AMPLIAÇÃO DOS BANHEIROS E REFORMA DA COBERTURA DA CRECHE JAIRO JUNIOR</t>
  </si>
  <si>
    <t>CONT.SEME/Nº 131/14</t>
  </si>
  <si>
    <t>CONSÓRCIO LIDER APURINÃ</t>
  </si>
  <si>
    <t>03.200.207/0001-06</t>
  </si>
  <si>
    <t>239/14</t>
  </si>
  <si>
    <t>PREÇO E TÉCNICA</t>
  </si>
  <si>
    <t>PRESTAÇÃO DE SERVIÇOS TÉCNICOS, COM PROFISSIONAIS ESPECIALIZADOS PARA APOIAR O DESENVOLVIMENTO, AMPLIAÇÃO E A CONSOLIDAÇÃO PROGRESSIVA DO PROGRAMA FORMAÇÃO CONTINUADA</t>
  </si>
  <si>
    <t>CONT.SEME/Nº 153/14</t>
  </si>
  <si>
    <t>INSTITUTO ABAPORU DE EDUCAÇÃO E CULTURA</t>
  </si>
  <si>
    <t>08.511.760/0001-75</t>
  </si>
  <si>
    <t>042/2013</t>
  </si>
  <si>
    <t>CONCORÊNCIA</t>
  </si>
  <si>
    <t>CONTRATAÇÃO DE EMPRESA DE ENGENHARIA PARA A EXECUÇÃO DE SERVIÇOS DE CONSTRUÇÃO DE CRECHE PADRÃO PRO INFANCIA/ESCOLA INFANTIL TIPO B - LOTEAMENTO AROEIRA</t>
  </si>
  <si>
    <t>CONT./SEME/Nº 080/2013</t>
  </si>
  <si>
    <t xml:space="preserve">NEO CONSTRUÇÃO E COMÉRCIO LTDA </t>
  </si>
  <si>
    <t>OBRA</t>
  </si>
  <si>
    <t>Prorrogação de Prazo 07 meses</t>
  </si>
  <si>
    <t>Remanejamento de Valor para o orçamento do exercicio financeiro de 2014</t>
  </si>
  <si>
    <t>2º TERMO DE APOSTILAMENTO</t>
  </si>
  <si>
    <t>3 º TERMO ADITIVO</t>
  </si>
  <si>
    <t>3º TERMO DE APOSTILAMENTO</t>
  </si>
  <si>
    <t>CONTRATAÇÃO DE EMPRESA DE ENGENHARIA PARA A EXECUÇÃO DE SERVIÇOS DE CONSTRUÇÃO DE CRECHE PADRÃO PRO INFANCIA/ESCOLA INFANTIL TIPO B - LOTE II (CONST. MURO) - LOTEAMENTO AROEIRA</t>
  </si>
  <si>
    <t>CONT./SEME/Nº 081/2013</t>
  </si>
  <si>
    <t>CONSTRUTORA FRIZONI LTDA</t>
  </si>
  <si>
    <t>84.327.295/0001-03</t>
  </si>
  <si>
    <t>Aditivo de  Valor</t>
  </si>
  <si>
    <t>40/2013</t>
  </si>
  <si>
    <t xml:space="preserve">CONTRATAÇÃO DE EMPRESA DE ENGENHARIA PARA EXECUÇÃO DE SERVIÇOS DE CONSTRUÇÃO DE UMA CRECHE PADRÃO PRÓINFÂNCIA - LOTEAMENTO ANDIRÁ </t>
  </si>
  <si>
    <t>CONT./SEME/Nº 086/2013</t>
  </si>
  <si>
    <t>01 e 06</t>
  </si>
  <si>
    <t>Prorrogação de Prazo 05 meses</t>
  </si>
  <si>
    <t xml:space="preserve">2º TERMO DE APOSTILAMENTO </t>
  </si>
  <si>
    <t xml:space="preserve">3º TERMO DE APOSTILAMENTO </t>
  </si>
  <si>
    <t>Reajuste de /valor</t>
  </si>
  <si>
    <t>CONTRATAÇÃO DE EMPRESA DE ENGENHARIA PARA EXECUÇÃO DE SERVIÇOS DE CONSTRUÇÃO DE UMA CRECHE PADRÃO PRÓINFÂNCIA - LOTEAMENTO VALE DO CARANDÁ</t>
  </si>
  <si>
    <t>CONT./SEME/Nº 087/2013</t>
  </si>
  <si>
    <t>Prorrogação de Prazo de 5 meses</t>
  </si>
  <si>
    <t>04</t>
  </si>
  <si>
    <t>Remanejamento de valor para o orçamento do exercicio financeiro de 2014</t>
  </si>
  <si>
    <t>Prorrogação de Prazo de 7 meses</t>
  </si>
  <si>
    <t>Reajuste de valor</t>
  </si>
  <si>
    <t>Prorrogação de Prazo de Execução</t>
  </si>
  <si>
    <t>039/2013</t>
  </si>
  <si>
    <t>CONTRATAÇÃO DE EMPRESA DE ENGENHARIA PAR EXECUÇÃO DE SERVIÇOS DE CONSTRUÇÃO  DE CRECHE PADRÃO PRO INFANCIA/ESCOLA INFANTIL TIPO B - LOTEAMENTO JEQUITIBA LOTE I</t>
  </si>
  <si>
    <t>CONT./SEME/Nº 094/2013</t>
  </si>
  <si>
    <t>PRUMO CONSTRUÇÕES LTDA</t>
  </si>
  <si>
    <t>04.882.728/0001-45</t>
  </si>
  <si>
    <t>Prorrogação de Prazo - 05 meses</t>
  </si>
  <si>
    <t>041/2013</t>
  </si>
  <si>
    <t>CONTRATAÇÃO DE EMPRESA DE ENGENHARIA PAR EXECUÇÃO DE SERVIÇOS DE CONSTRUÇÃO  DE CRECHE PADRÃO PRO INFANCIA/ESCOLA INFANTIL TIPO B - LOTEAMENTO JENIPAPO</t>
  </si>
  <si>
    <t>CONT./SEME/Nº 099/2013</t>
  </si>
  <si>
    <t>ÁGAPE LTDA</t>
  </si>
  <si>
    <t>07.931.393/0001-04</t>
  </si>
  <si>
    <t>01 e 16</t>
  </si>
  <si>
    <t>Prorrogação do Prazo de Execução</t>
  </si>
  <si>
    <t>038/2013</t>
  </si>
  <si>
    <t>CONTRATAÇÃO DE EMPRESA DE ENGENHARIA PAR EXECUÇÃO DE SERVIÇOS DE CONSTRUÇÃO  DE CRECHE PADRÃO PRO INFANCIA/ESCOLA INFANTIL TIPO B - LOTEAMENTO JUAREZ TÁVORA</t>
  </si>
  <si>
    <t>CONT./SEME/Nº 100/2013</t>
  </si>
  <si>
    <t>Prorrogaçao de Prazo 07 meses</t>
  </si>
  <si>
    <t>01  e 16</t>
  </si>
  <si>
    <t>CONTRATAÇÃO DE EMPRESA DE ENGENHARIA PAR EXECUÇÃO DE SERVIÇOS DE CONSTRUÇÃO  DE CRECHE PADRÃO PRO INFANCIA/ESCOLA INFANTIL TIPO B - LOTEAMENTO CABREÚVA</t>
  </si>
  <si>
    <t>LÍDER CONSTRUÇÕES</t>
  </si>
  <si>
    <t>Prorrogação de Prazo - 07 meses</t>
  </si>
  <si>
    <t xml:space="preserve">Aditivo de Valor </t>
  </si>
  <si>
    <t>CONTRATAÇÃO DE EMPRESA DE ENGENHARIA PAR EXECUÇÃO DE SERVIÇOS DE CONSTRUÇÃO  DE CRECHE PADRÃO PRO INFANCIA/ESCOLA INFANTIL TIPO B - LOTEAMENTO ROSA LINDA III</t>
  </si>
  <si>
    <t>CONT./SEME/Nº 103/2013</t>
  </si>
  <si>
    <t>COLUNA CONSTRUÇÕES E COMÉRCIO LTDA</t>
  </si>
  <si>
    <t>03.488.438/001-59</t>
  </si>
  <si>
    <t xml:space="preserve">Prorrogação de Prazo 210 dias </t>
  </si>
  <si>
    <t xml:space="preserve">Prorrogação de Prazo de Esecução 150 dias </t>
  </si>
  <si>
    <t>4º TERMO DE APOSTILAMENTO</t>
  </si>
  <si>
    <t xml:space="preserve">CONCORÊNCIA </t>
  </si>
  <si>
    <t>CONTRATAÇÃO DE EMPRESA DE ENGENHARIA PAR EXECUÇÃO DE SERVIÇOS DE CONSTRUÇÃO  DE CRECHE PADRÃO PRO INFANCIA/ESCOLA INFANTIL TIPO B - LOTEAMENTO JACAMIM</t>
  </si>
  <si>
    <t>CONT./SEME/Nº 104/2013</t>
  </si>
  <si>
    <t>03.488.438/0001/59</t>
  </si>
  <si>
    <t xml:space="preserve">04 </t>
  </si>
  <si>
    <t>prorrogação de Prazo</t>
  </si>
  <si>
    <t>043/2012</t>
  </si>
  <si>
    <t>CONTRATAÇÃO DE EMPRESA DE ENGENHARIA PARA A EXECUÇÃO DE SERVIÇOS DE CONSTRUÇÃO DE CRECHE PRO INFANCIA/ESCOLA INFANTIL TIPO B  - LOTEAMENTO NOVO ELDORADO</t>
  </si>
  <si>
    <t>CONT./SEME/Nº 122/2013</t>
  </si>
  <si>
    <t xml:space="preserve">CONSÓRCIO JOAFRA - Const. Nascimento/R.M. </t>
  </si>
  <si>
    <t>08.731.640/0001-83</t>
  </si>
  <si>
    <t>CONTRATAÇÃO DE SERVIÇO DE CONSTRUÇÃO DE CRECHE PADRÃO PRO INFANCIA/ESCOL INFANTIL TIPO B, LOTE II (CONST. MURO) NO LOTEAMENTO CARANDÁ</t>
  </si>
  <si>
    <t>CONT./SEME/Nº 133/2013</t>
  </si>
  <si>
    <t xml:space="preserve">3º TERMO APOSTILAMENTO </t>
  </si>
  <si>
    <t>Aditivo de valor</t>
  </si>
  <si>
    <t xml:space="preserve">CONTRATAÇÃO DE SERVIÇO DE CONSTRUÇÃO DE CRECHE PADRÃO PRO INFANCIA/ESCOL INFANTIL TIPO B, LOTE II (CONST. MURO), NO LOTEAMENTO CABREUVA </t>
  </si>
  <si>
    <t>CONT./SEME/Nº 134/2013</t>
  </si>
  <si>
    <t xml:space="preserve">1º TERMO APOSTILAMENTO </t>
  </si>
  <si>
    <t xml:space="preserve">2º TERMO APOSTILAMENTO </t>
  </si>
  <si>
    <t>CONTRATAÇÃO DE EMPRESA DE ENGENHARIA PARA EXECUÇÃO DE SERVIÇOS DE CONSTRUÇÃO DE CRECHE PADRÃO PRO INFANCIA/ESCOLA  INFANTIL TIPO B, LOTE II (CONST. MUTO), NO LOTEAMENTO JUAREZ TÁVORA</t>
  </si>
  <si>
    <t>CONT./SEME/Nº 190/2013</t>
  </si>
  <si>
    <t>CONTRATAÇÃO DE EMPRESA DE ENGENHARIA PARA EXECUÇÃO DE SERVIÇOS DE CONSTRUÇÃO DE CRECHE PADRÃO PRO INFANCIA/ESCOLA  INFANTIL TIPO B, LOTE II (CONST. MURO), NO LOTEAMENTO ROSA LINDA</t>
  </si>
  <si>
    <t>CONT./SEME/Nº 191/2013</t>
  </si>
  <si>
    <t>CONTRATAÇÃO DE EMPRESA DE ENGENHARIA PARA EXECUÇÃO DE SERVIÇOS DE CONSTRUÇÃO DE CRECHE PADRÃO PRO INFANCIA/ESCOLA  INFANTIL TIPO B, LOTE II (CONST. MURO), NO LOTEAMENTO JUNIPAPO</t>
  </si>
  <si>
    <t>CONT./SEME/Nº 192/2013</t>
  </si>
  <si>
    <t>CONTRATAÇÃO DE EMPRESA DE ENGENHARIA PARA EXECUÇÃO DE SERVIÇOS DE CONSTRUÇÃO DE CRECHE PADRÃO PRO INFANCIA/ESCOLA  INFANTIL TIPO B, LOTE II (CONST. MURO), NO LOTEAMENTO JEQUITIBÁ</t>
  </si>
  <si>
    <t>CONT./SEME/Nº 193/2013</t>
  </si>
  <si>
    <t>040/2013</t>
  </si>
  <si>
    <t>CONTRATAÇÃO DE EMPRESA DE ENGENHARIA PARA EXECUÇÃO DE SERVIÇOS DE CONSTRUÇÃO DE CRECHE PADRÃO PRO INFANCIA/ESCOLA  INFANTIL TIPO B, LOTE II (CONST. MURO), NO LOTEAMENTO ANDIRÁ</t>
  </si>
  <si>
    <t>CONT./SEME/Nº 194/2013</t>
  </si>
  <si>
    <t xml:space="preserve">1º TERMO APOSTILAMNETO </t>
  </si>
  <si>
    <t xml:space="preserve">2º TERMO APOSTILAMNETO </t>
  </si>
  <si>
    <t xml:space="preserve">3º TERMO APOSTILAMNETO </t>
  </si>
  <si>
    <t>CONTRATAÇÃO DE EMPRESA DE ENGENHARIA PARA EXECUÇÃO DE SERVIÇOS DE CONSTRUÇÃO DE CRECHE PADRÃO PRO INFANCIA/ESCOLA  INFANTIL TIPO B, LOTE II (CONSTR. MURO), NO LOTEAMENTO JACAMIM</t>
  </si>
  <si>
    <t>CONT./SEME/Nº 195/2013</t>
  </si>
  <si>
    <t>043/2013</t>
  </si>
  <si>
    <t>CONTRATAÇÃO DE EMPRESA DE ENGENHARIA PARA EXECUÇÃO DE SERVIÇOS DE CONSTRUÇÃO DE CRECHE PADRÃO PRO INFANCIA/ESCOLA  INFANTIL TIPO B, LOTE II (CONST. MURO) NO LOTEAMENTO NOVO ELDORADO</t>
  </si>
  <si>
    <t>CONT./SEME/Nº 196/2013</t>
  </si>
  <si>
    <t>Reajuste Contratual</t>
  </si>
  <si>
    <t>40201-7/2011</t>
  </si>
  <si>
    <t>1145/2011</t>
  </si>
  <si>
    <t>ADESÃO SRP</t>
  </si>
  <si>
    <t>AQISIÇÃO DE ÁGUA MINERAL SEM GÁS (CARGAS DE 20 LITROS)</t>
  </si>
  <si>
    <t>CONT./SEME/Nº 002/2013</t>
  </si>
  <si>
    <t>DILSON A. RIBEIRO</t>
  </si>
  <si>
    <t xml:space="preserve">Secretaria de Estado de Segurança Pública - SESP </t>
  </si>
  <si>
    <t>39920-5/2011</t>
  </si>
  <si>
    <t>CONTRATAÇÃO DE PESSOA JURIDICA PARA A PRESTAÇÃO DE SERVIÇOS DE TERCEIRIZADOS DE APOIO ADMINISTRATIVO E OPERACIONAIS DE NATUREZA CONTINUA</t>
  </si>
  <si>
    <t>CONT./SEME/Nº 072/2013</t>
  </si>
  <si>
    <t>TEIXEIRA &amp; AGUIAR LTDA</t>
  </si>
  <si>
    <t>02.600.863/0001-25</t>
  </si>
  <si>
    <t>116/2012</t>
  </si>
  <si>
    <t xml:space="preserve">Secretaria de Estado de Educação e Esporte - SEE </t>
  </si>
  <si>
    <t>Supressão de valor e Prorrogação de Praza 12 meses</t>
  </si>
  <si>
    <t>ADESÃO  SRP</t>
  </si>
  <si>
    <t>PRESTAÇÃO DE SERVIÇOS DE SEGURANÇA ELETRÔNICA COM MONITORAMENTO REMOTO DE SISTEMAS DE ALARMES E MONITORAMENTO DIGITAL COM CÂMERAS EM CIRCUTOS FECHADOS COM ACESSO REMOTO VIA INTERNET IP 24(VINTE E QUATRO) HORAS POR DIA, 07 (SETE) DIAS POR SEMANAS COM LOCAÇÃO DE EQUIPAMENTOS A TÍTULO DE COMODATO.</t>
  </si>
  <si>
    <t>CONT./SEME/Nº 116/2013</t>
  </si>
  <si>
    <t xml:space="preserve">Secretaria Municipal de Saúde </t>
  </si>
  <si>
    <t>Supressão de valor (redução do valor unitário)</t>
  </si>
  <si>
    <t>Prorrogação de prazo 05 meses</t>
  </si>
  <si>
    <t>Prorrogação de prazo 12 meses e Acréscimo de Quantitativo</t>
  </si>
  <si>
    <t>23034.005848/2012-85</t>
  </si>
  <si>
    <t>50/2012</t>
  </si>
  <si>
    <t xml:space="preserve">AQUISIÇÃO DE VEÍCULOS DE TRANSPORTE ESCOLAR  </t>
  </si>
  <si>
    <t>CONT./SEME/Nº 202/2013</t>
  </si>
  <si>
    <t xml:space="preserve">MERCEDES BENZ DO BRASIL LTDA, </t>
  </si>
  <si>
    <t>59.104.273/0001-24</t>
  </si>
  <si>
    <t>065/2012</t>
  </si>
  <si>
    <t>DOU 147.236</t>
  </si>
  <si>
    <t>Fundo Nacional de Desenvolvimento da Educação - FNDE</t>
  </si>
  <si>
    <t>15924-3/2013</t>
  </si>
  <si>
    <t>AQUISIÇÃO DE MATERIAL PERMANENTE (CAMINHONETE)</t>
  </si>
  <si>
    <t>CONT./SEME/Nº 206/2013</t>
  </si>
  <si>
    <t>2013/025</t>
  </si>
  <si>
    <t xml:space="preserve">Secretaria de Estado de Pequenos Negócios </t>
  </si>
  <si>
    <t>0015541-7/2013</t>
  </si>
  <si>
    <t xml:space="preserve">ADESÃO SRP </t>
  </si>
  <si>
    <t>GAMA CONSTRUÇÕES COM. E REP.LTDA</t>
  </si>
  <si>
    <t>10/2013</t>
  </si>
  <si>
    <t>SECRETARIA DE ESTADO DA FEZENDA</t>
  </si>
  <si>
    <t>PRESTAÇÃO DE SERVIÇO DE AGENCIAMENTO DE PASSAGENS AÉREAS E TERRESTRES, LOCAÇÃO DE ESPAÇO FISICO, EQUIPAMENTOS, HOSPEDAGENS E FORNECIMENTO DE REFEIÇOES</t>
  </si>
  <si>
    <t>CONT./SEME/Nº 121/14</t>
  </si>
  <si>
    <t>M. W. AMAZONIA SERVIÇOS LTDA</t>
  </si>
  <si>
    <t>VT</t>
  </si>
  <si>
    <t>CONT.SEME/Nº 138/14</t>
  </si>
  <si>
    <t>SECRETARIA MUNICIPAL DE ADMINISTRAÇÃO DE PESSOAS</t>
  </si>
  <si>
    <t>16 SE</t>
  </si>
  <si>
    <t>0022233-3/2013</t>
  </si>
  <si>
    <t>ADESÃO SRP Nº1.077/2013</t>
  </si>
  <si>
    <t>CONT.SEME/Nº 139/14</t>
  </si>
  <si>
    <t>D.D. ALENCAR-ME</t>
  </si>
  <si>
    <t>SECRETARIA DE ESTADO  DE EDUCAÇÃO E ESPORTE</t>
  </si>
  <si>
    <t>LOCAÇÃO DE IMOVEL, SITUADO NA AVENIDA ANTONIO DA ROCHA VIANA, S/Nº, BAIRRO BOSQUE, NESTA CIDADE, DESTINADO AO FUNCIONAMENTO DO DEPÓSITO DA MERENDA ESCOLAR E ALMOXARIFADO DA SEME</t>
  </si>
  <si>
    <t>CONT./SEME/Nº 091/2005</t>
  </si>
  <si>
    <t>VALDOMIRO LOPES VITOLLO E ANTONIO GARCIA MOCHON</t>
  </si>
  <si>
    <t>316.755.228/04</t>
  </si>
  <si>
    <t>Art. 24, inciso X da Lei 8.666/93</t>
  </si>
  <si>
    <t>Prorrogação de Prazo 13 meses e Reajuste de valor</t>
  </si>
  <si>
    <t>Prorrogação de Prazo 12 meses e Reajuste de valor</t>
  </si>
  <si>
    <t>Prorrogação de Prazo 11 meses</t>
  </si>
  <si>
    <t xml:space="preserve">APOSTILA Nº 32/2010 </t>
  </si>
  <si>
    <t xml:space="preserve">6º TERMO ADITIVO </t>
  </si>
  <si>
    <t xml:space="preserve">APOSTILA Nº 10/2011 </t>
  </si>
  <si>
    <t>Reajuste</t>
  </si>
  <si>
    <t xml:space="preserve">7º TERMO ADITIVO </t>
  </si>
  <si>
    <t xml:space="preserve">APOSTILA Nº 29/2012 </t>
  </si>
  <si>
    <t xml:space="preserve">APOSTILA Nº 38/2013 </t>
  </si>
  <si>
    <t>2090/05</t>
  </si>
  <si>
    <t>LOCAÇÃO DE 01 (UM) IMÓVEL DESTINADO EXCLUSIVAMENTO PARA ATENDER O CENTRO DE MULTIMEIOS DA SECRETARIA MUNICIPAL DE EDUCAÇÃO</t>
  </si>
  <si>
    <t>CONT./SEME/Nº 099/2006</t>
  </si>
  <si>
    <t>ARRAS ADM. DE BENS IMÓVEIS</t>
  </si>
  <si>
    <t>63.600449/0001-00</t>
  </si>
  <si>
    <t>Prorrogação de Prazo 05 meses e Reajuste de valor</t>
  </si>
  <si>
    <t>APOSTILA nº 004/2010</t>
  </si>
  <si>
    <t>APOSTILA nº 05/2011</t>
  </si>
  <si>
    <t>APOSTILA nº 009/2012</t>
  </si>
  <si>
    <t>8º TERMO ADITIVO</t>
  </si>
  <si>
    <t>Inclusão de Nome nas Partes Contratadas</t>
  </si>
  <si>
    <t>9º TERMO ADITIVO</t>
  </si>
  <si>
    <t>Prorrogação de Prazo 06 meses</t>
  </si>
  <si>
    <t>10º TERMO ADITIVO</t>
  </si>
  <si>
    <t>APOSTILA nº 39/2013</t>
  </si>
  <si>
    <t>11º TERMO ADITIVO</t>
  </si>
  <si>
    <t>014/09</t>
  </si>
  <si>
    <t xml:space="preserve">PRESTAÇÃO DE SERVIÇOS POSTAIS, TELEMATICOS E ADICIONAIS  </t>
  </si>
  <si>
    <t>CONT./SEME/Nº 090/2009</t>
  </si>
  <si>
    <t>EMPRESA BRASILEIRA DE COREIOS E TELEGRAFOS - ECT</t>
  </si>
  <si>
    <t>Art. 25 da Lei 8.666/93 
Art. 21, inciso X, da Constituição Federal
Lei nº 6.583/78</t>
  </si>
  <si>
    <t>Aditivito de Supressão de valor</t>
  </si>
  <si>
    <t>APOSTILAMENTO Nº 037/2013</t>
  </si>
  <si>
    <t>Alteração de Programa de Trabalho</t>
  </si>
  <si>
    <t>025/2011</t>
  </si>
  <si>
    <t>LOCAÇÃO DE 05 (CINCO) SALAS COMERCIAIS DESTINADAS ESCLUSIVAMENTE PARA O CONSELHO MUNICIPAL DE EDUCAÇÃO, CONSELHO MUNICIPAL DO FUNDEB E CONSELHO DE ALIMENTAÇÃO ESCOLAR</t>
  </si>
  <si>
    <t>CONT./SEME/Nº 019/2012</t>
  </si>
  <si>
    <t>ALDO DE SOUZA LIMA JUNIOR</t>
  </si>
  <si>
    <t>573.601.462-91</t>
  </si>
  <si>
    <t>Reajuste de  Valor</t>
  </si>
  <si>
    <t>LOCAÇÃO DE 1 (UM) IMÓVEL DESTINADO EXCLUSIVAMENTE PARA SER UTILIZADO COMO SEDE DA SECRETARIA MUNICIPAL DE EDUCAÇÃO</t>
  </si>
  <si>
    <t>CONT./SEME/Nº 016/2012</t>
  </si>
  <si>
    <t>IMOBILIARIA FORTALEZA LTDA</t>
  </si>
  <si>
    <t>14.294.326/001/83</t>
  </si>
  <si>
    <t>APOSTILA Nº 001/2013</t>
  </si>
  <si>
    <t>257/2012</t>
  </si>
  <si>
    <t>LOCAÇÃO DE UM IMOVEL  DESTINADO AO FUNCIONAMENTO DA ESCOLA MUNICIPAL IRMÃ MARIA GABRIELA</t>
  </si>
  <si>
    <t>CONT./SEME/Nº 064/2012</t>
  </si>
  <si>
    <t>EDUCANDÁRIO SANTA MARGARIDA</t>
  </si>
  <si>
    <t>04.003.224/0001-08</t>
  </si>
  <si>
    <t>APOSTILA Nº 004/2013</t>
  </si>
  <si>
    <t>1º TERMO APOSTILAMENTO</t>
  </si>
  <si>
    <t>CONT./SEME/Nº 132/14</t>
  </si>
  <si>
    <t>Art. 24, inciso II da Lei 8.666/93</t>
  </si>
  <si>
    <t>CONTRATAÇÃO DE INSTRUTOR PARA MINISTRAR CURSO NA REALIZAÇÃO DO PROGRAMA DE EDUCAÇÃO INCLUSIVA</t>
  </si>
  <si>
    <t>CONT./SEME/Nº 134/14</t>
  </si>
  <si>
    <t>MONICA LEDO SILVESTRI</t>
  </si>
  <si>
    <t>606.665.287-72</t>
  </si>
  <si>
    <t>796/2014</t>
  </si>
  <si>
    <t>CONT./SEME/Nº 135/14</t>
  </si>
  <si>
    <t xml:space="preserve">LOCAÇÃO DE UM IMOVEL </t>
  </si>
  <si>
    <t>CONT./SEME/Nº 145/14</t>
  </si>
  <si>
    <t>M.M.PAIM EDITORA E DISTRIB. DE LIVROS LTDA</t>
  </si>
  <si>
    <t>04.515.235/0001-77</t>
  </si>
  <si>
    <t>CONT.SEME/Nº 149/14</t>
  </si>
  <si>
    <t>AQUISIÇÃO DE MATERIAL DE DISTRIBUIÇÃO GATUITA DVD</t>
  </si>
  <si>
    <t>CONT./SEME/Nº 150/14</t>
  </si>
  <si>
    <t>J.R. ARAUJO &amp; ARAUJO -LTDA</t>
  </si>
  <si>
    <t>66.998.691/0001-72</t>
  </si>
  <si>
    <t>Art. 25, inciso I da Lei 8.666/93</t>
  </si>
  <si>
    <t>SERVIÇOS DE LOCAÇÃO, COM ASSITÊNCIA TÉCNICA DE PROJETORES DE MULTIMÍDIAS E MICROCOMPUTADORES COMPLETOS</t>
  </si>
  <si>
    <t xml:space="preserve">CONT./SEME/Nº 074 - A </t>
  </si>
  <si>
    <t>R. S. FREITAS JUCÁ</t>
  </si>
  <si>
    <t>07.190927/0001-80</t>
  </si>
  <si>
    <t>CONT./SEME/Nº 177/14</t>
  </si>
  <si>
    <t>DANIEL DA SILVA KLEIN</t>
  </si>
  <si>
    <t>798.953.952-72</t>
  </si>
  <si>
    <t>933/2013</t>
  </si>
  <si>
    <t>LOCAÇÃO DE 01(UM) IMÓVEL</t>
  </si>
  <si>
    <t>CONT./SEME/Nº 123/2013</t>
  </si>
  <si>
    <t>ALIANÇA LTDA</t>
  </si>
  <si>
    <t>04.269.548/0001-92</t>
  </si>
  <si>
    <t>11148</t>
  </si>
  <si>
    <t>01/082013</t>
  </si>
  <si>
    <t>934/2013</t>
  </si>
  <si>
    <t xml:space="preserve">LOCAÇÃO DE 01 (UM) IMÓVEL </t>
  </si>
  <si>
    <t>CONT./SEME/Nº 160/2013</t>
  </si>
  <si>
    <t>IÃ LUCAS CONDUTA</t>
  </si>
  <si>
    <t>005.225.772/02</t>
  </si>
  <si>
    <t>11.160</t>
  </si>
  <si>
    <t>1º TERMO ADTIVO</t>
  </si>
  <si>
    <t>371/2013</t>
  </si>
  <si>
    <t>AQUISIÇÃO DE PEÇAS PARA VEÍCULOS</t>
  </si>
  <si>
    <t>NOVESA</t>
  </si>
  <si>
    <t>237/2014</t>
  </si>
  <si>
    <t>AQUISIÇÃO DE MATERIAL DIVERSOS</t>
  </si>
  <si>
    <t>RIO JET CARTUCHOS LTDA</t>
  </si>
  <si>
    <t>08.000.720/0001-69</t>
  </si>
  <si>
    <t>ASSINATURA DE JORNAL</t>
  </si>
  <si>
    <t>TERRA ARTE E PROPAGANDA LTDA</t>
  </si>
  <si>
    <t xml:space="preserve">M.Z. REPRESENTAÇÕES </t>
  </si>
  <si>
    <t>S.O.S CARVALHO</t>
  </si>
  <si>
    <t>M.SOARES DANTAS</t>
  </si>
  <si>
    <t>1038/2014</t>
  </si>
  <si>
    <t>E.E. NOGUEIRA</t>
  </si>
  <si>
    <t>04.701.852/0001-67</t>
  </si>
  <si>
    <t>1037/2014</t>
  </si>
  <si>
    <t>ACRE COMERCIO E ADMINISTRAÇÃO LTDA</t>
  </si>
  <si>
    <t>63.605.653/0001-14</t>
  </si>
  <si>
    <t>924/2013</t>
  </si>
  <si>
    <t>372/2013</t>
  </si>
  <si>
    <t>SERVIÇOS DE MANUTENÇÃO DE  VEÍCULOS</t>
  </si>
  <si>
    <t>526/2013</t>
  </si>
  <si>
    <t>925/2013</t>
  </si>
  <si>
    <t>816/14</t>
  </si>
  <si>
    <t>SERVIÇOS DE REVISÃO E CONSERTO DE VEICULO TOYOTA HILUX DE PLACA OVG 4410</t>
  </si>
  <si>
    <t>ORDEM DE SERVIÇO</t>
  </si>
  <si>
    <t>DISPENSA.DE LICITAÇÃO</t>
  </si>
  <si>
    <t>LOCAÇÃO DE IMÓVEL</t>
  </si>
  <si>
    <t>CONT.SEME/Nº 004/14</t>
  </si>
  <si>
    <t>CACILDA PEREIRA SARAIVA</t>
  </si>
  <si>
    <t>339.659.782-68</t>
  </si>
  <si>
    <t>Art. 24 da Lei 8.666/93</t>
  </si>
  <si>
    <t>AQUISIÇÃO DE MAERIAIS DE DISTRIBIÇÃO GRATUITA DE LIVROS</t>
  </si>
  <si>
    <t>CONT.SEME/Nº 031/14</t>
  </si>
  <si>
    <t xml:space="preserve">J.R. ARAUJO &amp; ARAUJO -LTDA </t>
  </si>
  <si>
    <t>Aditivo de quantitativo</t>
  </si>
  <si>
    <t>Art. 25 Inciso I da Lei 8666/93</t>
  </si>
  <si>
    <t xml:space="preserve">CONSTRUÇÃO DE CRECHE PADRÃO PRO INFANCIA/ESC.INF.TIPO B LOT.JEQUITIBÁ </t>
  </si>
  <si>
    <t>CONT.SEME/Nº 087/14</t>
  </si>
  <si>
    <t>33.90.51.00</t>
  </si>
  <si>
    <t>Lei 8.666/93</t>
  </si>
  <si>
    <t>32/14</t>
  </si>
  <si>
    <t>SERVIÇOS DE AGENCIAMENTO DE PASSAGENS AÉREAS E TERRESTRES</t>
  </si>
  <si>
    <t>S M GOMES</t>
  </si>
  <si>
    <t>34.709.071/0001-80</t>
  </si>
  <si>
    <t>847/2014</t>
  </si>
  <si>
    <t>AQUISIÇÃO DE MATERIAL DE CONSUMO DIVERSOS</t>
  </si>
  <si>
    <t>ACRE PARAFUSOS IMP. &amp; EXP. LTDA</t>
  </si>
  <si>
    <t>909/2014</t>
  </si>
  <si>
    <t>Art. 25 da Lei 8.666/93</t>
  </si>
  <si>
    <t>Prorrogação de Prazo de 210 dias</t>
  </si>
  <si>
    <t>0022122-0/2013</t>
  </si>
  <si>
    <t>143/2011</t>
  </si>
  <si>
    <t>Pregão Sistema Registro de Preços</t>
  </si>
  <si>
    <t>Aquisição de material pewrmanente (cadeiras sem braço tipo secretária, bebedouro para garrafão, aparelho para DVD, impressora Jato de Tinta, Tela de Projeção).</t>
  </si>
  <si>
    <t>C. COM INFORMÁTICA IMPORTAÇÃO, EXPORTAÇÃO COMÉRCIO E INDUSTRIA LTDA.</t>
  </si>
  <si>
    <t>1 RP</t>
  </si>
  <si>
    <t>276.318-52/2008</t>
  </si>
  <si>
    <t>Aquisição de 02 veículos utilitário, com peso bruto total de até 3,5 toneladas</t>
  </si>
  <si>
    <t>ACREDIESEL COMERCIAL DE VEÍCULOS LTDA</t>
  </si>
  <si>
    <t>1003340-91/2012</t>
  </si>
  <si>
    <t>Aquisição de caminhão 3/4 e caminhão tipo carga seca</t>
  </si>
  <si>
    <t>MERCETOYA PEÇAS E ACESSÓRIOS IMP. E EXP. LTDA</t>
  </si>
  <si>
    <t>Aquisição de veículo utilitário, tipo pick-up, cabine dupla</t>
  </si>
  <si>
    <t>AGRONORTE IMP. E EXP. LTDA</t>
  </si>
  <si>
    <t>04.582.979/0001-54</t>
  </si>
  <si>
    <t>06/01</t>
  </si>
  <si>
    <t>Aquisição de máquinas e equipamentos, 02 tratores agrícolas de pneus e 01gradeniveladora</t>
  </si>
  <si>
    <t>MOTORAUTO VEÍCULOS E MÁQUINAS LTDA</t>
  </si>
  <si>
    <t>04.043.451/0001-67</t>
  </si>
  <si>
    <t>Aquisição de 01 beneficiadsora de arroz e 01 batedeira de cereais, 01 tritutador de grãos</t>
  </si>
  <si>
    <t>D. L. RAMOS- ME</t>
  </si>
  <si>
    <t>Aquisição de 01 veículo utilitário</t>
  </si>
  <si>
    <t>Aquisição de 04 caminhões tipo 3/4 e 01 caminhão tipo catga seca</t>
  </si>
  <si>
    <t>Aquisição de veículo utilitário tipo caminhonete com tração 4X4, cabine simples</t>
  </si>
  <si>
    <t>REGISTRO DE PREÇO</t>
  </si>
  <si>
    <t>Aquisição de equipamentos (TVS, Antenas e Tubo Galvanizado para antena externa)</t>
  </si>
  <si>
    <t>ALFA COMÉRCIO E SERVIÇOS LTDA</t>
  </si>
  <si>
    <t>17.724.193/0001-26</t>
  </si>
  <si>
    <t>ALBERTO FELÍCIO ABRAHÃO LTDA</t>
  </si>
  <si>
    <t>84.304.112/0001-26</t>
  </si>
  <si>
    <t>TELEMÁTICA MATERIAIS ELÉTRICOS DE TELECOM E SEGURANÇA</t>
  </si>
  <si>
    <t>02.2014.261/0001-30</t>
  </si>
  <si>
    <t>Aquisição de material de consumo micro-aspersosr tipo bailarina e mangueira transparente, medindo 1"de diâmetro)</t>
  </si>
  <si>
    <t>CODIL IMPORTAÇÃO E EXPORTAÇÃO E EXPORTAÇÃO LTDA</t>
  </si>
  <si>
    <t>Aquisição de material de consumo (pernamancas de 1ª, medindo 3m de comprimento)</t>
  </si>
  <si>
    <t>020/214</t>
  </si>
  <si>
    <t>CASA DO MARCENEIRO LTDA</t>
  </si>
  <si>
    <t>15.260.040/0001-40</t>
  </si>
  <si>
    <t>259/2014</t>
  </si>
  <si>
    <t>Aquisição de material de consumo( tela sombrite, medindo 3 m, tela sombrite medindo, medindo 6x100m)</t>
  </si>
  <si>
    <t>DEL CORSO  COMÉRCIO E REP. LTDA.</t>
  </si>
  <si>
    <t xml:space="preserve">01.973.242/0001-24 </t>
  </si>
  <si>
    <t>784757/2013</t>
  </si>
  <si>
    <t>Aquisição  de material de consumo( lona plástica transparente de 150 micras, medindo 6x100m)</t>
  </si>
  <si>
    <t>CONTRUFÁCIL MATERIAIS PARA CONSTRUÇÃO E SSERVIÇOS LTDA</t>
  </si>
  <si>
    <t>12.122.811/0001-44</t>
  </si>
  <si>
    <t>334/2013</t>
  </si>
  <si>
    <t>Contratação de Empresa para o fornecimento de combustível (gasolina comum e óleo diesel).</t>
  </si>
  <si>
    <t>Secretaria  Municipal de Serviços Urbanos -SEMSUR</t>
  </si>
  <si>
    <t>0012441-3/2013</t>
  </si>
  <si>
    <t>707/2013</t>
  </si>
  <si>
    <t>Menor Preço por Lote</t>
  </si>
  <si>
    <t>Aquisição de material de consumo (material de higiene e limpeza).</t>
  </si>
  <si>
    <t>M &amp; R DISTRIBUIDORA LTDA</t>
  </si>
  <si>
    <t>Aditivo de Preço</t>
  </si>
  <si>
    <t>30/2013</t>
  </si>
  <si>
    <t>0014174-8/2013</t>
  </si>
  <si>
    <t>733/2013</t>
  </si>
  <si>
    <t>Contratação de empresa para locação de purificadores de água, visando atender às necessidades da Secretaria.</t>
  </si>
  <si>
    <t>V. L. F. GASPAR - ME</t>
  </si>
  <si>
    <t>06.255.086/0001-80</t>
  </si>
  <si>
    <t>08/2013</t>
  </si>
  <si>
    <t>Secretaria de Estado da Gestão Administrativa - SGA</t>
  </si>
  <si>
    <t>002.305/2013</t>
  </si>
  <si>
    <t>1059/2013</t>
  </si>
  <si>
    <t>Pregão Presencial para Registro de Preços</t>
  </si>
  <si>
    <t>Aquisição de material de consumo – material para manutenção de equipamentos de terraplanagem</t>
  </si>
  <si>
    <t>RONDOMAZA AUTO PEÇAS LTDA</t>
  </si>
  <si>
    <t>09.468.769/0001-03</t>
  </si>
  <si>
    <t>Departamento de Estradas de Rodagem, Infraestrutura Hidroviária e Aeroportuaria do Acre - DERACRE</t>
  </si>
  <si>
    <t>0011765-2/2013</t>
  </si>
  <si>
    <t>202/2013</t>
  </si>
  <si>
    <t>Contratação de empresa para prestação de serviços de conserto de pneu, vulcanização, duplagem, recapagem e conserto de câmara de ar, visando atender às necessidades da Secretaria</t>
  </si>
  <si>
    <t>OLIVEIRA &amp; CIA. IND. COM. IMP. EXP. LTDA</t>
  </si>
  <si>
    <t>02.477.407/0001-30</t>
  </si>
  <si>
    <t>Secretaria de Estado de Extensão Agroflorestal e Produção Familiar - SEAPROF</t>
  </si>
  <si>
    <t>0026083-1/2013</t>
  </si>
  <si>
    <t>1234/2013</t>
  </si>
  <si>
    <t>Contratação de empresa para prestação de serviços de alinhamento, balanceamento, cambagem e Borracharia.</t>
  </si>
  <si>
    <t>BRAUMAR LTDA</t>
  </si>
  <si>
    <t>Secretaria de Estado de Planejamento - SEPLAN</t>
  </si>
  <si>
    <t>0031177-1/2012</t>
  </si>
  <si>
    <t>1241/2012</t>
  </si>
  <si>
    <t>Contratação de empresa para aquisição de material de consumo (água potável em carro pipa).</t>
  </si>
  <si>
    <t>IZAIAS DE SOUZA - ME</t>
  </si>
  <si>
    <t>08.581.016/0001-47</t>
  </si>
  <si>
    <t>Secretaria de Estado de Educação e Esporte - SEE</t>
  </si>
  <si>
    <t>0033183-0/2012</t>
  </si>
  <si>
    <t>1325/2012</t>
  </si>
  <si>
    <t>Contratação de empresa para prestação de serviços de fossas, caixa d’água e cisterna, rede de esgoto, dedetização, descupinização e desratização.</t>
  </si>
  <si>
    <t>ACRELIMP SERVIÇOS DE LIMPEZA LTDA</t>
  </si>
  <si>
    <t>09/2013</t>
  </si>
  <si>
    <t xml:space="preserve">Secretaria de Estado da Polícia Civil </t>
  </si>
  <si>
    <t>Contratação de empresa especializada em locação de impressora multifuncional, com fornecimento de todo material necessário, exceto papel A4, para realização do serviço, tecnologia digital laser, led ou superior</t>
  </si>
  <si>
    <t>DUX COMÉRCIO REPRESENTAÇÕES IMPORTAÇÕES E EXPORTAÇÕES LTDA</t>
  </si>
  <si>
    <t>Tribunal de Contas do Estado do Acre - TCU</t>
  </si>
  <si>
    <t>0029300-5/2013</t>
  </si>
  <si>
    <t>1395/2013</t>
  </si>
  <si>
    <t>Pregão Presencial SRP</t>
  </si>
  <si>
    <t>Contratação de empresa para fornecimento de materiais (pneus, câmara de ar e bateria).</t>
  </si>
  <si>
    <t>AUGE PNEUS TANSPORTES E ARMAZENAGENS LTDA</t>
  </si>
  <si>
    <t>0029200-4/2013</t>
  </si>
  <si>
    <t>1382/2013</t>
  </si>
  <si>
    <t>Contratação de empresa para aquisição de material de consumo água mineral em garrafão plástico de 20 litros, garrafas de 500 ml e embalagens vazias.</t>
  </si>
  <si>
    <t>MASATOSHI BARROS NISHIZAWA - ME</t>
  </si>
  <si>
    <t>14.524.596/0001-33</t>
  </si>
  <si>
    <t>Secreta de Estado de Educação e Esporte -SEE</t>
  </si>
  <si>
    <t>208/2013</t>
  </si>
  <si>
    <t>Contratação de empresa para aquisição de mangueiras.</t>
  </si>
  <si>
    <t>M. J. JÚNIOR LTDA</t>
  </si>
  <si>
    <t>10.215.697/0001-71</t>
  </si>
  <si>
    <t>Contratação de empresa para aquisição de material de consumo (elétrico, hidráulico e ferramentas).</t>
  </si>
  <si>
    <t xml:space="preserve">ELETROFER COMÉRCIO DE MATERIAIS ELÉTRICOS E CONSTRUÇÕES LTDA </t>
  </si>
  <si>
    <t>02.828/376/0001-14</t>
  </si>
  <si>
    <t>380/2013</t>
  </si>
  <si>
    <t>Contratação de empresa para aquisição de material de consumo(lonas, irrigadores e caixa d’água).</t>
  </si>
  <si>
    <t>DEL CORSO INDÚSTRIA, COMÉRCIO E REP. LTDA</t>
  </si>
  <si>
    <t>Secretaria Municipal de Cidadania e Assistência Social - SEMCAS</t>
  </si>
  <si>
    <t>000.342/2013</t>
  </si>
  <si>
    <t>352/2013</t>
  </si>
  <si>
    <t>Contratação de serviços especializados em  consertos e reforma de radiadores, freios e turbinas, soldas e tornearia para máquinas e equipamentos de terraplanagem.</t>
  </si>
  <si>
    <t>0021757-4/2013</t>
  </si>
  <si>
    <t>1050/2013</t>
  </si>
  <si>
    <t>Contratação de empresa para fornecimento de derivados de petróleo (Arla 32).</t>
  </si>
  <si>
    <t>04.034.949/0001-20</t>
  </si>
  <si>
    <t>23107.005830/2013</t>
  </si>
  <si>
    <t>21/2013</t>
  </si>
  <si>
    <t xml:space="preserve">Pregão Eletrônico </t>
  </si>
  <si>
    <t>Contratação de empresa para prestação de serviços de banner, faixas, painel e outros.</t>
  </si>
  <si>
    <t>SULVEP VEICULAÇÃO E PROPAGANDA EIRELLI - ME</t>
  </si>
  <si>
    <t>04.339.437/0001-05</t>
  </si>
  <si>
    <t>Universidade Federal do Acre - UFAC</t>
  </si>
  <si>
    <t>000.317/2014</t>
  </si>
  <si>
    <t>286/2014</t>
  </si>
  <si>
    <t>Contratação de serviços especializados em  consertos e reforma de estofamento, motores e estofamento para veículos, máquinas e equipamentos.</t>
  </si>
  <si>
    <t>SANDRO DE FRANÇA PEREIRA</t>
  </si>
  <si>
    <t>13.693.476/0001-05</t>
  </si>
  <si>
    <t>Departamento  de Estradas de Rodagem, Infraestrutura Hidroviária e Aeroportuária do Acre - DERACRE</t>
  </si>
  <si>
    <t>Menor Valor Global</t>
  </si>
  <si>
    <t>Contratação de empresa para prestação de serviços reprográficos (confecção de carimbos, confecção de chaves, encadernação, cópias, plotagens e etc.)</t>
  </si>
  <si>
    <t>POLICÓPIAS SERVIÇOS COMÉRCIO E REPRESENTAÇÃO LTDA.</t>
  </si>
  <si>
    <t>1121/2013</t>
  </si>
  <si>
    <t>Contratação de empresa para locação de equipamentos de informatica e eleteronicos, com manutenção  e reposição de peças se necessário.</t>
  </si>
  <si>
    <t>Instituto Estadual de Desenvolvimento da Educação Profissional e Tecnológica Dom Moacyr Grechi</t>
  </si>
  <si>
    <t>Constratação de empresa para aquisição de combustivel (óleo diesel S10).</t>
  </si>
  <si>
    <t>Secretaria Municipal de Educação - SEME</t>
  </si>
  <si>
    <t>0014371-7/2014</t>
  </si>
  <si>
    <t>460/2014</t>
  </si>
  <si>
    <t>Contratação de empresa para prestação de serviço de manutenção preventiva e corretiva, com fornecimento de peças e acessórios, nos tratores de esteira, pás carregadeiras, escavadeiras hidráulicas, tratores de pneus, colheideiras e implementos agrícolas de diversas marcas.</t>
  </si>
  <si>
    <t>MOTORAUTO VEÍCULOS E MÁQUINAS LTDA.</t>
  </si>
  <si>
    <t>33.90.39.00 33.90.30.00</t>
  </si>
  <si>
    <t>0017150/2013</t>
  </si>
  <si>
    <t>1071/2013</t>
  </si>
  <si>
    <t>Contratação de empresa para locação de veículos com condutores.</t>
  </si>
  <si>
    <t>CONSTRUTORA CONQUISTA LTDA</t>
  </si>
  <si>
    <t>07.690.446/0001-34</t>
  </si>
  <si>
    <t>Contratação de empresa para a prestação terceirizada de apoio administrativo e operacional, de natureza contínua.</t>
  </si>
  <si>
    <t>Aditivo de Prazo</t>
  </si>
  <si>
    <t>303/2010</t>
  </si>
  <si>
    <t>028/2010</t>
  </si>
  <si>
    <t>Contratação de empresa especializada em prestação de serviços de vigilância patrimonial armada.</t>
  </si>
  <si>
    <t>012/2011</t>
  </si>
  <si>
    <t>ESTAÇÃO VIP SEGURANÇA LTDA</t>
  </si>
  <si>
    <t>11238 e 11.333</t>
  </si>
  <si>
    <t>Aditivo de Prazo e Preço</t>
  </si>
  <si>
    <t>004/2010</t>
  </si>
  <si>
    <t>Secretaria Municipal de Administração - SEAD</t>
  </si>
  <si>
    <t>067/2011</t>
  </si>
  <si>
    <t>Contratação de empresa para prestação de serviços terceirizados especializados em suporte de atividade auxiliares, limpeza e conservação.</t>
  </si>
  <si>
    <t>023/2012</t>
  </si>
  <si>
    <t>J. W. C. SUPPORT CORPORATION LTDA</t>
  </si>
  <si>
    <t>Secretaria Municipal de Meio ambiente - SEMEIA</t>
  </si>
  <si>
    <t>180/2013</t>
  </si>
  <si>
    <t>Contratação de empresa para serviços de limpeza e conservaçãon dos mercados muncipais  e centros comerciais.</t>
  </si>
  <si>
    <t>COOPERATIVA DE TRABALHARDORES AUTÔNOMOS EM SERVIÇOS GERAIS - COOPSERGE</t>
  </si>
  <si>
    <t>Aquisição de material permanente (02 armários em MDF).</t>
  </si>
  <si>
    <t>D.D. DE ALENCAR - ME</t>
  </si>
  <si>
    <t>06/022014</t>
  </si>
  <si>
    <t>Dispensa</t>
  </si>
  <si>
    <t>Art. 24, inciso II</t>
  </si>
  <si>
    <r>
      <t>Constitui objeto do presente contrato: Reforma e Ampliação de rede lógica em mais de 30 (trinta) pontos, manutenção na telefonia e reconfiguração dos serviços como DHCP, DNS, Servidor de Arquivos e Firewall</t>
    </r>
    <r>
      <rPr>
        <b/>
        <sz val="10"/>
        <color theme="1"/>
        <rFont val="Arial"/>
        <family val="2"/>
      </rPr>
      <t>,</t>
    </r>
    <r>
      <rPr>
        <sz val="10"/>
        <color theme="1"/>
        <rFont val="Arial"/>
        <family val="2"/>
      </rPr>
      <t xml:space="preserve"> de acordo com as necessidades desta Secretaria.</t>
    </r>
  </si>
  <si>
    <t>MUNIZ &amp; BRITO SERVIÇOS DE INTORMÁTICA LTDA - ME</t>
  </si>
  <si>
    <t>18.276.622/0001-02</t>
  </si>
  <si>
    <t>Contratação de empresa especializada na prestação de serviços elétricos, a serem realizados nas unidades de comercialização de gestão da Secretaria Municipal de Agricultura e Floresta, bem como em sua sede e nos seguintes Mercados Municipais e centros comerciais: Mercado Elias Mansour Simão, Centro Comercial Luiz Galvez, Centro Comercial Aziz Abucater, Centro Comercial Álvaro Rocha, Centro de Abastecimento Francisco de Assis Marinheiro, Centro Comercial Júlio Saldanha, Centro Comercial Flávio de Barros Pimentel e Centro Comercial Eduardo Pinho</t>
  </si>
  <si>
    <t>F. H. DIAS LIRA - ME</t>
  </si>
  <si>
    <t>18.033.983/0001-28</t>
  </si>
  <si>
    <t>Constitui objeto do presente contrato: Serviço de consultoria (a ser realizada por Pessoa Física) para serviços especializados em Assistência Técnica e Extensão Rural para agricultores familiares, destinada à elaboração do Projeto de Criação do Instituto de ATER, vinculado à secretária Municipal de agricultura e Floresta - SAFRA, abrangendo os seguintes pontos: 1- Proposta de Regimento Interno; 2- Proposta de Decreto-Lei; Proposta metodológica de ATER, com base nos princípios da lei n° 12.188 que instituiu a Política Nacional de ATER</t>
  </si>
  <si>
    <t>ANA LUIZA SOARES DE SALES</t>
  </si>
  <si>
    <t>222.399.873-91</t>
  </si>
  <si>
    <t>Constitui objeto do presente contrato: Diagnostico da situação de moradias nas comunidades rurais de Rio Branco e, apresentação de propostas de reformas/ ampliações e adequações bem como apresentação de sugestões para construção em áreas alagadiças.</t>
  </si>
  <si>
    <t>TAIANE BELARMINO DOS SANTOS</t>
  </si>
  <si>
    <t>006.351.182-70</t>
  </si>
  <si>
    <t>Constitui objeto do presente contrato: Realização de Serviços de Consultoria Técnica no acompanhamento de construções civis e rurais e Orientação de Profissionais da Construção Civil (pedreiros).</t>
  </si>
  <si>
    <t>KLEBER PEREIRA CAMPOS JUNIOR</t>
  </si>
  <si>
    <t>359.776.122-49</t>
  </si>
  <si>
    <t>Constitui objeto do presente contrato: Realização de Serviço de Assessoria Técnica, voltado ao acompanhamento social das famílias contempladas no 2º grupo do PNHR, nos Pólos Agroflorestais (Custódio Freire, Novo Pólo, Geraldo Fleming) e algumas famílias da Comunidade Limoeiro.</t>
  </si>
  <si>
    <t>THIAGO DA SILVA VIEIRA</t>
  </si>
  <si>
    <t>805.426.702-91</t>
  </si>
  <si>
    <t>Contratação de empresa para execução de serviços de recuperação de ramais não pavimentados no Município de Rio Branco</t>
  </si>
  <si>
    <t xml:space="preserve">EMPRESA MUNICIPAL DE URBANIZAÇÃO DE RIO BRANCO </t>
  </si>
  <si>
    <t>04.518.601/0001-41</t>
  </si>
  <si>
    <t>Art. 24, inciso VII</t>
  </si>
  <si>
    <t>Contratação de empresa Prestadora de Serviços de Refrigeração: Manutenção, Limpeza, Instalação e Carga de Gás</t>
  </si>
  <si>
    <t>AMAZONAS COMÉRCIO SERVIÇOS E REPRESERNTAÇÃO LTDA</t>
  </si>
  <si>
    <t>08.580.940/0001-09</t>
  </si>
  <si>
    <t>Constitui objeto do presente contrato: Realização de Serviços de Condutor de Embarcação Tipo Voadeira, para auxiliar a Equipe Técnica da SAFRA, na Realização do Diagnóstico, nas Propriedades Rurais Ribeirinhas de Rio Branco, referente a perdas da Produção Agrícola ocasionada pela enchente do Rio Acre e seus afluentes no ano de 2014</t>
  </si>
  <si>
    <t xml:space="preserve">TIAGO ARAÚJO CLEVESTON </t>
  </si>
  <si>
    <t>012.374.562-40</t>
  </si>
  <si>
    <t>011//2014</t>
  </si>
  <si>
    <t>Contratação direta dos serviços de conserto de pneus da frota de veículos e maquinas agrícolas desta Secretaria: Veículos de Passeio, Caminhonetes, Caminhões Carga seca 1318; Caminhões ¾, Tratores Agrícolas e Grades Aradoura</t>
  </si>
  <si>
    <t>S M PNEUS E ACESSÓRIOS LTDA</t>
  </si>
  <si>
    <t>11.838.522/0001-83</t>
  </si>
  <si>
    <t>REALIZADO DISTRATO DO CONTRATO</t>
  </si>
  <si>
    <t>Contratacão direta de empresa para fornecimento de material de consumo (colete em brim, com faixa reflexiva) para atender as demandas da Secretaria Municipal de Agricultura e Floresta - SAFRA</t>
  </si>
  <si>
    <t>NASCIMENTO E CAVALCANTE LTDA - ME</t>
  </si>
  <si>
    <t>15.119.300/0001-61</t>
  </si>
  <si>
    <t>Contratação direta de empresa para fornecimento de material de consumo (Camiseta gola pólo com serigrafia; camiseta de malha PV, manga longa, com serigrafia) para atender as demandas da Secretaria Municipal de Agricultura e Floresta - SAFRA</t>
  </si>
  <si>
    <t>L. C. GUIMARÃES - EPP</t>
  </si>
  <si>
    <t>Constitui objeto do presente contrato: Prestação de Serviços de Sonorização para animação de evento a ser realizado por esta Secretaria</t>
  </si>
  <si>
    <t>IVAN DE CARVALHO DA SILVA</t>
  </si>
  <si>
    <t>340.363.772-72</t>
  </si>
  <si>
    <t>Contratação direta de empresa para Serviços de Locação de veículo, no período de 18(dezoito) dias, para atender as demandas da Secretaria Municipal de Agricultura e Floresta - SAFRA</t>
  </si>
  <si>
    <t>FRANCISCO LOPES FÉLIX</t>
  </si>
  <si>
    <t>17.606.490/0001-77</t>
  </si>
  <si>
    <t>Contratação de empresa especializada em serviços, montagem e parte elétrica de TVs de LED 48 polegadas, ambas instaladas na CEASA Rio Branco e mercados Municipais.</t>
  </si>
  <si>
    <t>ALFA COMERCIO E SERVIÇOS LTDA</t>
  </si>
  <si>
    <t xml:space="preserve">17.724.193/0001-26 </t>
  </si>
  <si>
    <t xml:space="preserve">33.90.39.00 e 44.90.52.00 </t>
  </si>
  <si>
    <t>Contrato cancelado</t>
  </si>
  <si>
    <t>Contratação de aquisição de material permanente ( banco em madeira, cadeira de engraxate, expositores de verdeduras)</t>
  </si>
  <si>
    <t>ASSIS FRANCISCO DE ARAÚJO LIMA</t>
  </si>
  <si>
    <t>10.170.769/0001-01</t>
  </si>
  <si>
    <t>RP1</t>
  </si>
  <si>
    <t>Execução de serviços de recuperação de ramais no Municipio de Rio Branco</t>
  </si>
  <si>
    <t>Art. 24, inciso VIII</t>
  </si>
  <si>
    <t>Contatação de medico veterinario para prestação de serviços por um periodo de 90 dias na area de inspençao sanitaria animal, para atender as necessidades do matadouro modelo, abate de bovinos, nos Municipio de Rio Branco.</t>
  </si>
  <si>
    <t xml:space="preserve">FRANCISCO LOPES DANTAS </t>
  </si>
  <si>
    <t>360.685.782-91</t>
  </si>
  <si>
    <t xml:space="preserve">Contratação de empresa especializada em manutenção preventiva e corretiva de veículos (tipo caminhão), com capacidade de 4 a 8 toneladas, de marca Agrale/8700/2014, Agrale/14000/2014. Devendo a empresa estar habilitada e credenciada junto ao fabricante, para assegurar a garantia dos veículos. </t>
  </si>
  <si>
    <t>44.90.39</t>
  </si>
  <si>
    <t>053/2012</t>
  </si>
  <si>
    <t>Menor Preço por item</t>
  </si>
  <si>
    <t>LOTE I TRATAMENTO E DISPOSIÇÃO FINAL DE RESÍDUOS SÓLIDOS.    LOTE II OPERAÇÃO E MANUTENÇÃO DA AUTOCLAVE</t>
  </si>
  <si>
    <t>FARIAS &amp; COSTA CONSERVAÇÃO E LIMPEZA LTDA</t>
  </si>
  <si>
    <t>01.012.674/0001-79</t>
  </si>
  <si>
    <t>02/07/2012</t>
  </si>
  <si>
    <t>1º TERMO</t>
  </si>
  <si>
    <t>Acréscimo de  valor</t>
  </si>
  <si>
    <t>2º TERMO</t>
  </si>
  <si>
    <t>11.393</t>
  </si>
  <si>
    <t>Acréscimo de valor e prorrogação de  prazo</t>
  </si>
  <si>
    <t>25247/13</t>
  </si>
  <si>
    <t>COLETA E TRANSPORTE DOS RESÍDUOS</t>
  </si>
  <si>
    <t>LIMPEBRAS ENGENHARIA AMBIENTAL LTDA</t>
  </si>
  <si>
    <t>00.609.820/0001-85</t>
  </si>
  <si>
    <t>26/11/2013</t>
  </si>
  <si>
    <t>SERVIÇOS FUNERÁRIOS</t>
  </si>
  <si>
    <t>MORADA DA PAZ</t>
  </si>
  <si>
    <t>02.688.986/0001-60</t>
  </si>
  <si>
    <t>25/05/1999</t>
  </si>
  <si>
    <t xml:space="preserve">Pregão </t>
  </si>
  <si>
    <t xml:space="preserve">Maior Percentual de Desconto </t>
  </si>
  <si>
    <t>Aquisição de gasolina e oleo diesel</t>
  </si>
  <si>
    <t xml:space="preserve">Auto Posto Ale V </t>
  </si>
  <si>
    <t>06.321.359/0001-47</t>
  </si>
  <si>
    <t>03/04/2014</t>
  </si>
  <si>
    <t>078/2012</t>
  </si>
  <si>
    <t>012/2012</t>
  </si>
  <si>
    <t>Fornecimento kit café da manhã</t>
  </si>
  <si>
    <t>021/2012</t>
  </si>
  <si>
    <t>Celio Pereira</t>
  </si>
  <si>
    <t>14.362.842/0001-06</t>
  </si>
  <si>
    <t>01/06/2012</t>
  </si>
  <si>
    <t>1º Termo</t>
  </si>
  <si>
    <t>2º Termo</t>
  </si>
  <si>
    <t>3º Termo</t>
  </si>
  <si>
    <t>233/2011</t>
  </si>
  <si>
    <t>21/2011</t>
  </si>
  <si>
    <t>Serviços de transporte Terrestre(Onibus)</t>
  </si>
  <si>
    <t>Elaine Fatima Pozzebon Biazi</t>
  </si>
  <si>
    <t>316.639.662-49</t>
  </si>
  <si>
    <t>4º Termo</t>
  </si>
  <si>
    <t>5º Termo</t>
  </si>
  <si>
    <t>6º Termo</t>
  </si>
  <si>
    <t>7º Termo</t>
  </si>
  <si>
    <t>006/2010</t>
  </si>
  <si>
    <t>Menor Preço por lote</t>
  </si>
  <si>
    <t>Execução de Serviços de Varrição- lote 01</t>
  </si>
  <si>
    <t>Farias e Costa Conservação e Limpeza</t>
  </si>
  <si>
    <t>12/04/2010</t>
  </si>
  <si>
    <t>Prorrogação de  prazo</t>
  </si>
  <si>
    <t>8º Termo</t>
  </si>
  <si>
    <t>9º Termo</t>
  </si>
  <si>
    <t>Execução de Serviços de Varrição -lote02</t>
  </si>
  <si>
    <t>Pit Stop Com. E Serviços LTDA</t>
  </si>
  <si>
    <t>02.132.510/0001-48</t>
  </si>
  <si>
    <t>159/2012</t>
  </si>
  <si>
    <t>041/2011</t>
  </si>
  <si>
    <t>Serviços mecanico c/ substituição de peças</t>
  </si>
  <si>
    <t>024/2012</t>
  </si>
  <si>
    <t>Tornearia Tip LTDA</t>
  </si>
  <si>
    <t>63.602.254/0001-08</t>
  </si>
  <si>
    <t>25/07/2012</t>
  </si>
  <si>
    <t>33.90.39.00 e 33.90.30.00</t>
  </si>
  <si>
    <t>Prorrogação de prazo</t>
  </si>
  <si>
    <t>078/2013</t>
  </si>
  <si>
    <t>Fornecimento de Marmita</t>
  </si>
  <si>
    <t>020/2012</t>
  </si>
  <si>
    <t>Souza e Pastor</t>
  </si>
  <si>
    <t>34.710.145/0001-06</t>
  </si>
  <si>
    <t>24/05/2012</t>
  </si>
  <si>
    <t>153/2013</t>
  </si>
  <si>
    <t>053/2013</t>
  </si>
  <si>
    <t>Serviço de um caminhão tipo "Carga seca"</t>
  </si>
  <si>
    <t>A.R.Construções e Terraplanagem LTDA</t>
  </si>
  <si>
    <t>02.263.250/0001-40</t>
  </si>
  <si>
    <t>Serviço de um caminhão tipo "toco"</t>
  </si>
  <si>
    <t>047/2013</t>
  </si>
  <si>
    <t>052/2013</t>
  </si>
  <si>
    <t>Menor Preço por hora</t>
  </si>
  <si>
    <t>Serviço de uma Pá Carregadeira</t>
  </si>
  <si>
    <t>AC Distribuidora Imp. e Exp.LTDA</t>
  </si>
  <si>
    <t>13/03/2014</t>
  </si>
  <si>
    <t>Adão Evangelista de Araujo</t>
  </si>
  <si>
    <t>015.417.142-53</t>
  </si>
  <si>
    <t>acrecer o valor e prorrogar prazo</t>
  </si>
  <si>
    <t>Serviço de veiculo tipo "passeio"</t>
  </si>
  <si>
    <t>Adriano de Oliveira Nascimento</t>
  </si>
  <si>
    <t>006.190.662-02</t>
  </si>
  <si>
    <t>402/2013</t>
  </si>
  <si>
    <t>Aldemir Marinho da Silva</t>
  </si>
  <si>
    <t>465.978.242-53</t>
  </si>
  <si>
    <t>04/06/2014</t>
  </si>
  <si>
    <t>Alessandro Arlesson Cunegundes Silva</t>
  </si>
  <si>
    <t>832.472.702-72</t>
  </si>
  <si>
    <t>Alexandre Luiz Soares</t>
  </si>
  <si>
    <t>640.974.552-49</t>
  </si>
  <si>
    <t>Andrea de Souza Ramos</t>
  </si>
  <si>
    <t>917.955.912-34</t>
  </si>
  <si>
    <t>Antonio Bruno da Silva Basilio</t>
  </si>
  <si>
    <t>161/2013</t>
  </si>
  <si>
    <t xml:space="preserve">Serviço de Capina e Raspagem </t>
  </si>
  <si>
    <t>Areial Rio Branco LTDA</t>
  </si>
  <si>
    <t>14.345.094/0001-45</t>
  </si>
  <si>
    <t>28/08/2013</t>
  </si>
  <si>
    <t>Auricelia da Silva Ribeiro</t>
  </si>
  <si>
    <t>737.294.182-20</t>
  </si>
  <si>
    <t>Auto Posto Trevo LTDA</t>
  </si>
  <si>
    <t>10/01/2014</t>
  </si>
  <si>
    <t>Prestação de Serv. Retro-escavadeira</t>
  </si>
  <si>
    <t>AZ.Com.Serv.e Rep.Imp.e Exp.LTDA</t>
  </si>
  <si>
    <t>Bruno Othon Barbosa Lima</t>
  </si>
  <si>
    <t>783.804.052-34</t>
  </si>
  <si>
    <t>Celso José de Assis</t>
  </si>
  <si>
    <t>609.594.362-00</t>
  </si>
  <si>
    <t>23/06/2014</t>
  </si>
  <si>
    <t>Codil Imp. E Exp. LTDA</t>
  </si>
  <si>
    <t>Construtora Brasileira LTDA</t>
  </si>
  <si>
    <t>05.652.152/0001-92</t>
  </si>
  <si>
    <t>Aquisição de caixa coletora de lixo</t>
  </si>
  <si>
    <t>Construfacil Material de Const. e Serv. Ltda</t>
  </si>
  <si>
    <t>03/04/21014</t>
  </si>
  <si>
    <t>33.90.30.30</t>
  </si>
  <si>
    <t>377/2013</t>
  </si>
  <si>
    <t>125/2013</t>
  </si>
  <si>
    <t>Coop. dos Prop.de Caminhões(transcoop)</t>
  </si>
  <si>
    <t>05.591.780/0001-05</t>
  </si>
  <si>
    <t>05/02/2014</t>
  </si>
  <si>
    <t>Serviço de um Trator de Esteira</t>
  </si>
  <si>
    <t>Coop.dos Prop.Veic.e Máquinas (transterra)</t>
  </si>
  <si>
    <t>06.100.426/0001-01</t>
  </si>
  <si>
    <t>049/2013</t>
  </si>
  <si>
    <t>Deuzimar Ivo dos Santos</t>
  </si>
  <si>
    <t>434.541.942-53</t>
  </si>
  <si>
    <t>E.M.Castro-ME</t>
  </si>
  <si>
    <t>04.336.901/0001-00</t>
  </si>
  <si>
    <t>Serviço de um caminhão tipo "Truck"</t>
  </si>
  <si>
    <t>Prestação de Serv. Escavadeira Hidraulica</t>
  </si>
  <si>
    <t>E Valdivino Nogueira</t>
  </si>
  <si>
    <t>04.694.362/0001-80</t>
  </si>
  <si>
    <t>Emerson Moura de Souza</t>
  </si>
  <si>
    <t>663.152.392-34</t>
  </si>
  <si>
    <t>Esmael Ferreira Bezerra</t>
  </si>
  <si>
    <t>443.888.372-53</t>
  </si>
  <si>
    <t>Serviço de Capina e Raspagem - lote 02</t>
  </si>
  <si>
    <t>Etropus Comercio $ Serviços LTDA</t>
  </si>
  <si>
    <t>10.199.907/0001-85</t>
  </si>
  <si>
    <t>Francisco Lira dos Santos</t>
  </si>
  <si>
    <t>360.653.662-34</t>
  </si>
  <si>
    <t>Gleiciana Braz da Rocha da Silva</t>
  </si>
  <si>
    <t>721.909.652-68</t>
  </si>
  <si>
    <t>Aquisição de material  de consumo (fardamento)</t>
  </si>
  <si>
    <t>J Erivaldo Silva de Souza-ME</t>
  </si>
  <si>
    <t>30/04/2014</t>
  </si>
  <si>
    <t>309/2013</t>
  </si>
  <si>
    <t>114/2013</t>
  </si>
  <si>
    <t>Aquisição de material  de consumo (sacos de lixo e vassoura de piaçava)</t>
  </si>
  <si>
    <t>J.S.Comercio Imp. E Exp. LTDA</t>
  </si>
  <si>
    <t>04/02/2014</t>
  </si>
  <si>
    <t>Jaquison da Silva Martins</t>
  </si>
  <si>
    <t>340.142.842-04</t>
  </si>
  <si>
    <t>JMG Souza LTDA</t>
  </si>
  <si>
    <t>Jorge Luiz de Albuquerque do Monte</t>
  </si>
  <si>
    <t>391.394.332-34</t>
  </si>
  <si>
    <t>Jose Augusto Moreira da Silva</t>
  </si>
  <si>
    <t>197.340.422-20</t>
  </si>
  <si>
    <t>José Casamiro da Rocha</t>
  </si>
  <si>
    <t>068.089.562-00</t>
  </si>
  <si>
    <t>José Lourimar Clementino do Nascimento</t>
  </si>
  <si>
    <t>884.699.302-06</t>
  </si>
  <si>
    <t>José Milton de Holanda</t>
  </si>
  <si>
    <t>012.941.802-15</t>
  </si>
  <si>
    <t>Joyce Bezerra de Oliveira</t>
  </si>
  <si>
    <t>738.591.172-20</t>
  </si>
  <si>
    <t>Julio A C Farias-ME</t>
  </si>
  <si>
    <t>03.690.909/0001-07</t>
  </si>
  <si>
    <t>02/01/2014</t>
  </si>
  <si>
    <t>L. C. Guimarães- EPP</t>
  </si>
  <si>
    <t>Luciano Nascimento da Silva</t>
  </si>
  <si>
    <t>518.819.002-82</t>
  </si>
  <si>
    <t>Mailson Domiciano de Araujo</t>
  </si>
  <si>
    <t>322.044.422-91</t>
  </si>
  <si>
    <t>Maria Auxiliadora Dias da Costa</t>
  </si>
  <si>
    <t>164.547.402-00</t>
  </si>
  <si>
    <t>Maria  Auxiliadora Souza Moraes</t>
  </si>
  <si>
    <t>339.862.312-34</t>
  </si>
  <si>
    <t>Maria de Jesus Menezes</t>
  </si>
  <si>
    <t>048.954.188-71</t>
  </si>
  <si>
    <t xml:space="preserve">Maria de nazare Soares da Silva  </t>
  </si>
  <si>
    <t>360.466.982-00</t>
  </si>
  <si>
    <t>02//01/2015</t>
  </si>
  <si>
    <t xml:space="preserve">Maria de Nazare da Silva Araujo </t>
  </si>
  <si>
    <t>444.173.732-72</t>
  </si>
  <si>
    <t>Maria do Socorro Gonçalves Cavalcante</t>
  </si>
  <si>
    <t>123.152.732-34</t>
  </si>
  <si>
    <t>Marinete Barroso Bezerra</t>
  </si>
  <si>
    <t>196.500.432-68</t>
  </si>
  <si>
    <t>Mauricio Miguel da Silva</t>
  </si>
  <si>
    <t>139.023.506-87</t>
  </si>
  <si>
    <t>332/2013</t>
  </si>
  <si>
    <t>118/2013</t>
  </si>
  <si>
    <t>Aquisição de Micro-ônibus</t>
  </si>
  <si>
    <t>Mercetoya Peças e Acessórios Imp.e Exp.</t>
  </si>
  <si>
    <t>06/01/2014</t>
  </si>
  <si>
    <t>Ocian Ferreira da Silva</t>
  </si>
  <si>
    <t>594.797.792-34</t>
  </si>
  <si>
    <t>Odeci Pereira de Pinho</t>
  </si>
  <si>
    <t>015.415.282-04</t>
  </si>
  <si>
    <t>Pedro de Souza Lima - ME</t>
  </si>
  <si>
    <t>09.203.717/0001-05</t>
  </si>
  <si>
    <t>Persio Ladeira de Almeida Junior</t>
  </si>
  <si>
    <t>008.860.702-01</t>
  </si>
  <si>
    <t>Serviços de roço macanizado lote 02</t>
  </si>
  <si>
    <t>285/2014</t>
  </si>
  <si>
    <t>Aquisição de material de consumo (água mineral  e gelo)</t>
  </si>
  <si>
    <t xml:space="preserve">R Martins da Costa - ME- R Festas </t>
  </si>
  <si>
    <t>01/10/2014</t>
  </si>
  <si>
    <t>Raimundo Nonato de Oliveira Carvalho</t>
  </si>
  <si>
    <t>228.996.933-87</t>
  </si>
  <si>
    <t>Reginaldo Jose Marques de Sousa</t>
  </si>
  <si>
    <t>391.245.922-34</t>
  </si>
  <si>
    <t>Rejane da Silva Freitas de Mesquita</t>
  </si>
  <si>
    <t>359.396.482-15</t>
  </si>
  <si>
    <t>Renato Martins Rodrigues</t>
  </si>
  <si>
    <t>528.735.012-00</t>
  </si>
  <si>
    <t>048/2013</t>
  </si>
  <si>
    <t>Samara Brasil Antrobus Marques</t>
  </si>
  <si>
    <t>870.046.312-49</t>
  </si>
  <si>
    <t>02/12/2013</t>
  </si>
  <si>
    <t>Sandra Maria Lima Pereira</t>
  </si>
  <si>
    <t>308.524.982-68</t>
  </si>
  <si>
    <t>02/06/2013</t>
  </si>
  <si>
    <t>385/2013</t>
  </si>
  <si>
    <t>129/2013</t>
  </si>
  <si>
    <t>Souza &amp; Pastor LTDA</t>
  </si>
  <si>
    <t>347.101.450/0001-06</t>
  </si>
  <si>
    <t>28/03/2014</t>
  </si>
  <si>
    <t>Aquisição de material  de consumo (ferramentas e de segurança)</t>
  </si>
  <si>
    <t>Sulnorte Comércio e Serviços LTDA</t>
  </si>
  <si>
    <t>04.446.066/0001-60</t>
  </si>
  <si>
    <t>25/07/2014</t>
  </si>
  <si>
    <t>Vicente Fernandes Nogueira</t>
  </si>
  <si>
    <t>196.672.722-49</t>
  </si>
  <si>
    <t>12/12/2013</t>
  </si>
  <si>
    <t>Vilson Bastro</t>
  </si>
  <si>
    <t>711.659.758-15</t>
  </si>
  <si>
    <t>Serviços de roço macanizado lote 01</t>
  </si>
  <si>
    <t>Waltemi Santos Lima</t>
  </si>
  <si>
    <t>10.214.179/0001-33</t>
  </si>
  <si>
    <t>30673/2012</t>
  </si>
  <si>
    <t>1.206/2012</t>
  </si>
  <si>
    <t>MANUTENÇÃO MOTOCICLETA</t>
  </si>
  <si>
    <t>A.S.LIMA -ME</t>
  </si>
  <si>
    <t>04.035.754/0001-38</t>
  </si>
  <si>
    <t>33.90.39.00  33.90.30.00</t>
  </si>
  <si>
    <t>Secretaria de Estado de Educação e Esporte</t>
  </si>
  <si>
    <t>048/2012</t>
  </si>
  <si>
    <t>SERV. RETRO-ESCAVADEIRA</t>
  </si>
  <si>
    <t>000/2013</t>
  </si>
  <si>
    <t>AGOSTINHO A.DE SOUSA</t>
  </si>
  <si>
    <t>10.783.034/0001-53</t>
  </si>
  <si>
    <t>33.90.39.00.</t>
  </si>
  <si>
    <t>Empresa Municipal de Rio Branco-EMURB</t>
  </si>
  <si>
    <t>47/2012</t>
  </si>
  <si>
    <t>SERV. PÁ CARREGADEIRA</t>
  </si>
  <si>
    <t>001.010/2012</t>
  </si>
  <si>
    <t>346/2012</t>
  </si>
  <si>
    <t>AQUISIÇÃO DE PNEUS</t>
  </si>
  <si>
    <t>AUGE PNEUS E LUBRIFICANTES LTDA</t>
  </si>
  <si>
    <t>076/2012</t>
  </si>
  <si>
    <t>Departamento de Estrada e Rodagens do Estado do Acre DERACRE</t>
  </si>
  <si>
    <t>27462/2013</t>
  </si>
  <si>
    <t>1.308/2013</t>
  </si>
  <si>
    <t>AQUISIÇÃO DE COMBUSTIVEL</t>
  </si>
  <si>
    <t>AUTO POSTO ALE V LTDA</t>
  </si>
  <si>
    <t>Departamento Estadual de Pavimentação e Saneamento DEPASA</t>
  </si>
  <si>
    <t>AUTO POSTO TREVO</t>
  </si>
  <si>
    <t>Secretaria Municipal de Educação-SEME</t>
  </si>
  <si>
    <t>AQUISIÇÃO DE OLEO LUBRIFICANTE</t>
  </si>
  <si>
    <t>02.485.501/001-30</t>
  </si>
  <si>
    <t xml:space="preserve">CÓPIAS, CARIMBO E ENCAD. </t>
  </si>
  <si>
    <t>COPIART IND.COM.DE COPIAS LTDA</t>
  </si>
  <si>
    <t>33472/2012</t>
  </si>
  <si>
    <t>1.333/2012</t>
  </si>
  <si>
    <t>CONFECÇÃO DE UNIFORME</t>
  </si>
  <si>
    <t>CRIATIVA COM. IMP. E EXP. LTDA</t>
  </si>
  <si>
    <t>03.357.836/0001-36</t>
  </si>
  <si>
    <t>30/04/2014'</t>
  </si>
  <si>
    <t>33.90.39.00      33.90.30.00</t>
  </si>
  <si>
    <t>180/2012</t>
  </si>
  <si>
    <t>Secretária de Estado de Saúde-SESACRE</t>
  </si>
  <si>
    <t>E.M.CASTRO</t>
  </si>
  <si>
    <t xml:space="preserve">33.90.39.00      </t>
  </si>
  <si>
    <t>SERV.CAMINHÃO TIPO "TRUCK"</t>
  </si>
  <si>
    <t>009/2012</t>
  </si>
  <si>
    <t>450/2012</t>
  </si>
  <si>
    <t>SERVIÇOS DE VIGILÂNCIA</t>
  </si>
  <si>
    <t>ESTAÇÃO VIP</t>
  </si>
  <si>
    <t>27472-4/2012</t>
  </si>
  <si>
    <t>1017/2012</t>
  </si>
  <si>
    <t>SERVIÇOS GRAFICO</t>
  </si>
  <si>
    <t>14.264.477/0001-99</t>
  </si>
  <si>
    <t xml:space="preserve">Fundação de Cultura e Comunicação Elias Mansour </t>
  </si>
  <si>
    <t>11109/2013</t>
  </si>
  <si>
    <t>537/2013</t>
  </si>
  <si>
    <t>SERVIÇOS REPROGRAFIA</t>
  </si>
  <si>
    <t>J.A. DA SILVA COM. E REP. LTDA</t>
  </si>
  <si>
    <t>07.941.947/0001-46</t>
  </si>
  <si>
    <t>Secretaria de Estado de Pequenos Negócios</t>
  </si>
  <si>
    <t>21393/2012</t>
  </si>
  <si>
    <t>708/2012</t>
  </si>
  <si>
    <t>AGUA MINERAL E GELO</t>
  </si>
  <si>
    <t>0002013</t>
  </si>
  <si>
    <t>J.R.MARTINS</t>
  </si>
  <si>
    <t>06.253.582/001-02</t>
  </si>
  <si>
    <t>265/2011</t>
  </si>
  <si>
    <t>1.335/2012</t>
  </si>
  <si>
    <t>PRESTAÇÃO DE SERVIÇOS DE APOIO TÉCNICO ADMINISTRATIVO</t>
  </si>
  <si>
    <t>J.W.C NASCIMENTO-ME</t>
  </si>
  <si>
    <t>227/2012</t>
  </si>
  <si>
    <t>130/2012</t>
  </si>
  <si>
    <t>MATERIAL HIDRAULICO</t>
  </si>
  <si>
    <t>0000/2013</t>
  </si>
  <si>
    <t>M.J.JUNIOR LTDA</t>
  </si>
  <si>
    <t>10.215.697.0001/71</t>
  </si>
  <si>
    <t>1.311/2012</t>
  </si>
  <si>
    <t>483/2012</t>
  </si>
  <si>
    <t xml:space="preserve"> RADIADORES</t>
  </si>
  <si>
    <t>087/2012</t>
  </si>
  <si>
    <t>296/2013</t>
  </si>
  <si>
    <t>AQUISIÇÃO DE FERRAMENTAS</t>
  </si>
  <si>
    <t>CONFECÇÃO DE MANGUEIRAS</t>
  </si>
  <si>
    <t>342/2013</t>
  </si>
  <si>
    <t>081/2012</t>
  </si>
  <si>
    <t>044/2012</t>
  </si>
  <si>
    <t>Confecção de Placas de Sinalização</t>
  </si>
  <si>
    <t>M. GOMES</t>
  </si>
  <si>
    <t>04.468.925/0001-12</t>
  </si>
  <si>
    <t>Superintendência Municipal de Transporte e Trânsito-RBTRANS</t>
  </si>
  <si>
    <t>01.311/2012</t>
  </si>
  <si>
    <t>MANUT. DOS EQUIPAMENTOS</t>
  </si>
  <si>
    <t>MECÂNICA HIDRACAMPOS LTDA</t>
  </si>
  <si>
    <t>72.064.180/0001-07</t>
  </si>
  <si>
    <t>1.429/2013</t>
  </si>
  <si>
    <t>867/2013</t>
  </si>
  <si>
    <t>SERVIÇOS DE RETÍFICA</t>
  </si>
  <si>
    <t>067/2012</t>
  </si>
  <si>
    <t>11765/2013</t>
  </si>
  <si>
    <t>CONSERTO DE PNEUS</t>
  </si>
  <si>
    <t>OLIVEIRA &amp; CIA IND.COM.IMP. EXP.LTDA</t>
  </si>
  <si>
    <t>Secretaria de Estado de Extenção Agroflorestal e Produção familiar</t>
  </si>
  <si>
    <t>9667/2012</t>
  </si>
  <si>
    <t>298/2012</t>
  </si>
  <si>
    <t>CARTUCHOS E TONNER</t>
  </si>
  <si>
    <t>000/2012</t>
  </si>
  <si>
    <t>PREMIER COMERCIO E SERVIÇO LTDA</t>
  </si>
  <si>
    <t>Secretaria de Estado de Infraestrutura e Obras Pública - SEOP</t>
  </si>
  <si>
    <t>R MARTINS DA COSTA - ME</t>
  </si>
  <si>
    <t xml:space="preserve">Secretário Municipal da casa Civil </t>
  </si>
  <si>
    <t>LOCAÇÃO DE IMPRESSORA</t>
  </si>
  <si>
    <t>R.S.FREITAS JUCA</t>
  </si>
  <si>
    <t>21/08/214</t>
  </si>
  <si>
    <t xml:space="preserve">                                                                                                                                                                                                                                                                                                                                                                                                                                  </t>
  </si>
  <si>
    <t>Secretaria Municiapal de Saúde - SEMSA</t>
  </si>
  <si>
    <t>0016/2013</t>
  </si>
  <si>
    <t>AQUISIÇÃO DE MAT. DE  CONSUMO</t>
  </si>
  <si>
    <t>RICHARD S.  MIRANDA</t>
  </si>
  <si>
    <t>2.149/2012</t>
  </si>
  <si>
    <t>694/2012</t>
  </si>
  <si>
    <t>AQUISIÇÃO DE MAT. ELETRICO</t>
  </si>
  <si>
    <t>102/2012</t>
  </si>
  <si>
    <t>1.059/2013</t>
  </si>
  <si>
    <t>9925/2014</t>
  </si>
  <si>
    <t>513/2014</t>
  </si>
  <si>
    <t>AQUISIÇÃO DE TENDA PIRAMIDES</t>
  </si>
  <si>
    <t>SILFER GALVANIZAÇÃO EIRELLI EPP</t>
  </si>
  <si>
    <t>13571239/0001-63</t>
  </si>
  <si>
    <t>10345/2012</t>
  </si>
  <si>
    <t>285/2012</t>
  </si>
  <si>
    <t>SERV. DE TELECOMUNICAÇÕES</t>
  </si>
  <si>
    <t>SISTEL SISTEMA DE TELECOMUNICAÇÕES COM.E SERV. LTDA</t>
  </si>
  <si>
    <t>01.221.116/0001-13</t>
  </si>
  <si>
    <t>083/2012</t>
  </si>
  <si>
    <t>278/2012</t>
  </si>
  <si>
    <t>131/2012</t>
  </si>
  <si>
    <t>SULNORTE COM. E SERVIÇOS LTDA</t>
  </si>
  <si>
    <t>AQUISIÇÃO DE MADEIRA</t>
  </si>
  <si>
    <t>WIRLEIDE F. DOS SANTOS</t>
  </si>
  <si>
    <t>08.954.494/0001-55</t>
  </si>
  <si>
    <t>DEPARTAMENTO ESTADUAL DE TRANSITO</t>
  </si>
  <si>
    <t>01.005.762/0001-43</t>
  </si>
  <si>
    <t>FEDERAÇÃO NACINAL DAS EMPRESAS DE SEGUROS</t>
  </si>
  <si>
    <t>33.623.893/0001-80</t>
  </si>
  <si>
    <t>I.N.S.S</t>
  </si>
  <si>
    <t>29979036042307</t>
  </si>
  <si>
    <t>33.90.47.00</t>
  </si>
  <si>
    <t>M SOARES DANTAS</t>
  </si>
  <si>
    <t xml:space="preserve">Lei 8.666/93.    Art. 25, I </t>
  </si>
  <si>
    <t>M &amp; Z REPRESENTAÇÃO E COMERCIO LTDA</t>
  </si>
  <si>
    <t>MINISTERIO DA FAZENDA</t>
  </si>
  <si>
    <t>00.394.460/0003-03</t>
  </si>
  <si>
    <t>PAISAGISMO MEURER LTDA</t>
  </si>
  <si>
    <t>24.607.756/0001-61</t>
  </si>
  <si>
    <t>Em razão do valor</t>
  </si>
  <si>
    <t xml:space="preserve">Lei 8.666/93.    Art. 24, II </t>
  </si>
  <si>
    <t>QUASE TUDO COM.DE MATERIAL ELETRICOS</t>
  </si>
  <si>
    <t>03.325.244/0001-32</t>
  </si>
  <si>
    <t>R MARTINS DA COSTA -ME</t>
  </si>
  <si>
    <t>R.S..ALVES</t>
  </si>
  <si>
    <t>04.588.232/0001-63</t>
  </si>
  <si>
    <t xml:space="preserve">Lei 8.666/93.    Art. 25, II </t>
  </si>
  <si>
    <t>ROSENILDA NEVES ASSUNÇÃO</t>
  </si>
  <si>
    <t>17.952.274/0001-58</t>
  </si>
  <si>
    <t>S.O.CARVALHO-ME</t>
  </si>
  <si>
    <t>SILFER GALVANIZAÇÃO EIRELI-EPP</t>
  </si>
  <si>
    <t>13.571.239/0001-63</t>
  </si>
  <si>
    <t>STAFF COMPUTER LTDA</t>
  </si>
  <si>
    <t>04.101.555/0001-80</t>
  </si>
  <si>
    <t xml:space="preserve">Contratação de Serviços Terceirizados - Limpeza e Conservação </t>
  </si>
  <si>
    <t>087/2011</t>
  </si>
  <si>
    <t>JWC SUPPORT CORPORATION LTDA EPP</t>
  </si>
  <si>
    <t>4090759/0001-63</t>
  </si>
  <si>
    <t>Prorrogação de vigência</t>
  </si>
  <si>
    <t>Acréscimo de 6 prestadores</t>
  </si>
  <si>
    <t>Acréscimo de 3 (três) prestadores de serviços</t>
  </si>
  <si>
    <t>Reequilibrio Financeiro</t>
  </si>
  <si>
    <t>Acréscimo de prestadores de serviços</t>
  </si>
  <si>
    <t>Contratação de Empresa Especializada em Produção de Mudas de Espécies Ornamentais e Florestais (com fornecimento de Insumos)</t>
  </si>
  <si>
    <t>029/2011</t>
  </si>
  <si>
    <t>ETROPUS</t>
  </si>
  <si>
    <t>10189907/0001-85</t>
  </si>
  <si>
    <t xml:space="preserve">Alterar o valor </t>
  </si>
  <si>
    <t>Prorrogar Prazo e  Alterar o  valor</t>
  </si>
  <si>
    <t>Acréscimo de valor</t>
  </si>
  <si>
    <t>011/2011</t>
  </si>
  <si>
    <t>Serv. de locação de veículo tipo passeio</t>
  </si>
  <si>
    <t>14/2011</t>
  </si>
  <si>
    <t>Maria Lima da Silva</t>
  </si>
  <si>
    <t>495.148.652-00</t>
  </si>
  <si>
    <t>Locação de caminhão</t>
  </si>
  <si>
    <t>Jorge Luiz Ferreira da Silva</t>
  </si>
  <si>
    <t>217.616.042-87</t>
  </si>
  <si>
    <t>Sebastião Monteiro Arantes Passos</t>
  </si>
  <si>
    <t>360.691.162-91</t>
  </si>
  <si>
    <t>134/2013</t>
  </si>
  <si>
    <t>Locação de veículo de Passeio</t>
  </si>
  <si>
    <t>Joice Bezerera de Oliveira Souza</t>
  </si>
  <si>
    <t xml:space="preserve">Manutenção de Veículos </t>
  </si>
  <si>
    <t>A. Carneiro de Lima - EPP</t>
  </si>
  <si>
    <t>Acréscimo de Valor</t>
  </si>
  <si>
    <t>310/2013</t>
  </si>
  <si>
    <t>Gêneros Alimentícios</t>
  </si>
  <si>
    <t>Edinauro B. Rodrigues - ME</t>
  </si>
  <si>
    <t>321.958.852-20</t>
  </si>
  <si>
    <t>Santos &amp;Barbosa - ME</t>
  </si>
  <si>
    <t>00415832/0001-79</t>
  </si>
  <si>
    <t>A. M. SCHAFER - ME</t>
  </si>
  <si>
    <t>N.F. MARRUCH - ME</t>
  </si>
  <si>
    <t>Prestação de Serviçosa de Manutenção de Equipamentos e Utencílios</t>
  </si>
  <si>
    <t>Refrigeração Chama Azul</t>
  </si>
  <si>
    <t>Reposição de Peças e Insumos</t>
  </si>
  <si>
    <t>Aquisição de Medicamento e Materiais Médico-Hospitalares</t>
  </si>
  <si>
    <t>Del Corso Ind. e Com. e Repr. LTDA</t>
  </si>
  <si>
    <t>185/2013</t>
  </si>
  <si>
    <t>Aquisição de Materiais de Consumo e Permanente</t>
  </si>
  <si>
    <t>Paranorte - DIST. COML. ATAC. IMP. E EXP. LTDA</t>
  </si>
  <si>
    <t>84.328.129/0001-13</t>
  </si>
  <si>
    <t>0001192-4/2014</t>
  </si>
  <si>
    <t>Aquisição de Material de Expediente</t>
  </si>
  <si>
    <t>Calurino Ferraz Miranda- ME</t>
  </si>
  <si>
    <t>Secretaria de Estado de Infraestrutura e de Obras Públicas - SEOP</t>
  </si>
  <si>
    <t>Serviços de Reprografia e Outros</t>
  </si>
  <si>
    <t>LFP3 FOTOGRAFIAS LTDA - DIGICÓPIAS</t>
  </si>
  <si>
    <t>Aquisição de Material de Consumo e Permanante</t>
  </si>
  <si>
    <t>Aquisição de Tonner e Cartucho</t>
  </si>
  <si>
    <t>s/n.º</t>
  </si>
  <si>
    <t>Ministério Público do Estado</t>
  </si>
  <si>
    <t>229/2013</t>
  </si>
  <si>
    <t>Prestação de Serviços Especializados para Elaboração do Plano de Coleta Seletiva no Município de Rio Branco</t>
  </si>
  <si>
    <t>204 - DOU</t>
  </si>
  <si>
    <t>Deméter</t>
  </si>
  <si>
    <t>10.695.543/0001-24</t>
  </si>
  <si>
    <t>0394.216-10/2012/MMA/CAIXA</t>
  </si>
  <si>
    <t>Ministério do Meio Ambiente</t>
  </si>
  <si>
    <t>33.90.35.00</t>
  </si>
  <si>
    <t>Prestação de Serviços de Agenciamento de Passagens Áereas e Terrestres</t>
  </si>
  <si>
    <t>Kampa Viagens</t>
  </si>
  <si>
    <t>Locação de Caminhão Irrigadeira</t>
  </si>
  <si>
    <t>Construtora Brasileira</t>
  </si>
  <si>
    <t>Secretaria Municipal de Serviços Urbanos</t>
  </si>
  <si>
    <t>Serviços de Coordenação Geral do Projeto de Conservação de Água e Solo do Riozinho do Rôla</t>
  </si>
  <si>
    <t>107 - DOU</t>
  </si>
  <si>
    <t>Fronika Clariena Agatha de wit</t>
  </si>
  <si>
    <t>546.333.462-53</t>
  </si>
  <si>
    <t>Convênio  n.º 006/ANA/2011</t>
  </si>
  <si>
    <t>Agência Nacional de Águas</t>
  </si>
  <si>
    <t>328/2013</t>
  </si>
  <si>
    <t>2º Aditivo de Valor - Empresa de Engenharia para Execução de Serviços de Fornecimento e Instalação de Equipamentos Públicos de Lazer no Parque Xavier Maia</t>
  </si>
  <si>
    <t>Ferraço Empreendedora LTDA</t>
  </si>
  <si>
    <t>14.318.471/0001-57</t>
  </si>
  <si>
    <t>S/Nº</t>
  </si>
  <si>
    <t>Aquisição de água potável acondicionada em carro pipa</t>
  </si>
  <si>
    <t>11289 - DOE</t>
  </si>
  <si>
    <t>Edvaldo Pasquim Avaré - ME</t>
  </si>
  <si>
    <t>02564396/0001-25</t>
  </si>
  <si>
    <t>Aquisição de 1.140 metros de grama</t>
  </si>
  <si>
    <t>CEPPAN</t>
  </si>
  <si>
    <t>AQUISIÇÃO DE COMBUSTÍVEIS</t>
  </si>
  <si>
    <t>84322932/0001-40</t>
  </si>
  <si>
    <t>01- RP E 06- CV</t>
  </si>
  <si>
    <t>Ref.  A Prestação de serviços de revisão em roçadeiras Nakashi e calibragem de decibelímetro utilizado pela Equipe de Fiscalização e Auditores do Departamento de Controle Ambiental.</t>
  </si>
  <si>
    <t>AGRIMAQ Comércio e Serviços LTDA - EPP</t>
  </si>
  <si>
    <t>Art. 24,  da Lei de Licitações - Lei 8666/93</t>
  </si>
  <si>
    <t>Prestação de Sertviços de Locação de 05 (cinco) impressoras multifuncionais, adaptadas com sistema bulk inks, anti-refluxo e alimentação contínua de tinta com cartuchos recarregáveis, para atender as demandas dos setores da SEMEIA.</t>
  </si>
  <si>
    <t>M. Dias de Almeida</t>
  </si>
  <si>
    <t>10.883.240/0001-35</t>
  </si>
  <si>
    <t>Aquisição de 4(quatro) Pneus para Veículo tipo KOMBI da SEMEIA</t>
  </si>
  <si>
    <t>PEMAZA ACRE LTDA</t>
  </si>
  <si>
    <t>14.279.145/0002-69</t>
  </si>
  <si>
    <t>Aquisição de Pneus para os Veículos Utilitários da SEMEIA</t>
  </si>
  <si>
    <t xml:space="preserve">Manutenção Corretiva e Recarga de Bulk </t>
  </si>
  <si>
    <t>A. D. MENEZES - ME</t>
  </si>
  <si>
    <t>03.232.619/0001-10</t>
  </si>
  <si>
    <t>Recomposição do Pasisagismo do Canteiro Central da Avenida Antônio da Rocha Viana</t>
  </si>
  <si>
    <t>04.882.753/0001-29</t>
  </si>
  <si>
    <t>Confecção de boneco para representar o Dia Mundial do Meio Ambiente</t>
  </si>
  <si>
    <t>Ulises Shancez Carpio</t>
  </si>
  <si>
    <t>516.177.222-00</t>
  </si>
  <si>
    <t>Consultoria para Implantação e Monitoramento das Ações do Plano de Gestão da àrea de Proteção ambiental Raimundo Irineu Serra</t>
  </si>
  <si>
    <t>Madeleine Maia da Luz Gomes</t>
  </si>
  <si>
    <t>391.180.612-49</t>
  </si>
  <si>
    <t>concerto de 02 (duas) roçadeiras</t>
  </si>
  <si>
    <t>M. Q. DE MOURA HESSEL</t>
  </si>
  <si>
    <t>12.388.147/0001-80</t>
  </si>
  <si>
    <t>2013.02.002300</t>
  </si>
  <si>
    <t>Locação de Imóvel</t>
  </si>
  <si>
    <t>Hipólito Aparecido da Silva</t>
  </si>
  <si>
    <t>599.145.589-49</t>
  </si>
  <si>
    <t>Prorrogar a Vigência, valor e Cláusula de previsão de desconto de benfeitorias realizadas no Imóvel.</t>
  </si>
  <si>
    <t>Aquisição de Peças para reposição nas roçadeiras, motoserras e motopoda desta SEMEIA</t>
  </si>
  <si>
    <t>Despesas referente a aquisição de Peças para reposição em Processador de àgua.</t>
  </si>
  <si>
    <t>R.M.R. SILVA - ME (Ribeiro e Matias)</t>
  </si>
  <si>
    <t>12230767/00001-96</t>
  </si>
  <si>
    <t>Aquisição de Molduras para emoldurar as fotografias do II concurso de Fotografias Árvores da Cidade</t>
  </si>
  <si>
    <t>G.J.D. TORRES - ME</t>
  </si>
  <si>
    <t>01477978/0001-01</t>
  </si>
  <si>
    <t>Serviço de Confecção de Troféu para o II Concurso de Fotografias Arvóres da Cidade de Rio Branco</t>
  </si>
  <si>
    <t>L. B. SOUZA</t>
  </si>
  <si>
    <t>1434982300001-31</t>
  </si>
  <si>
    <t>Serviços de Manutenção Corretiva e Reparos na Rede Telefônica e Internet</t>
  </si>
  <si>
    <t>Acretel Empresa de Telecomunicações ltda</t>
  </si>
  <si>
    <t>04427106/0001-27</t>
  </si>
  <si>
    <t>Fornecimento de  Água em garrafão de 20 litros e Gás</t>
  </si>
  <si>
    <t>B. R. FONTINELE</t>
  </si>
  <si>
    <t>06.321.580/0001-03</t>
  </si>
  <si>
    <t>Aquisição de um motopoda para atender as necessidades do Departamento de Paisagismo.</t>
  </si>
  <si>
    <t>Aquisição de 02 (duas) bombas mergulhão para atendimento do Gabinete e Departamento de Controle Ambiental.</t>
  </si>
  <si>
    <t>Art. 24,  da Lei de Licitações - Lei 8666/94</t>
  </si>
  <si>
    <t>Serviços de Conserto em  roçadeiras, motoserras e motopoda desta SEMEIA</t>
  </si>
  <si>
    <t>Serviços de Tresnporte, via aérea, de uma onça pintada do Parque Chico Mendes para o Zoológico de Foz do Iguaçu.</t>
  </si>
  <si>
    <t>inexigibilidade</t>
  </si>
  <si>
    <t>Art. 25, inc. II da Lei de Licitações - Lei 8666/93</t>
  </si>
  <si>
    <t>Serviços de barqueiro para transporte de equipamentos e matériais utilizados na preparação e manutenção do projeto de assentamento Moreno Maia.</t>
  </si>
  <si>
    <t>Francisco Santos de Arruda</t>
  </si>
  <si>
    <t>814.282.432-91</t>
  </si>
  <si>
    <t>Aquisição de materiais diversos para auxiliar no curso de compostagem que será realizado pela SEMSUR em parceria com a SEMEIA nos dias 01 e 02/12/2014.</t>
  </si>
  <si>
    <t xml:space="preserve">M.J. JUNIOR </t>
  </si>
  <si>
    <t>TOTAL</t>
  </si>
  <si>
    <t>PRESTAÇÃO DE CONTAS - EXERCÍCIO 2014</t>
  </si>
  <si>
    <t>Menor preço por item</t>
  </si>
  <si>
    <t>Serviço de transporte c/ condutor - veiculo tipo pick-up cabine dupla L-200 - placa - NAD - 3577</t>
  </si>
  <si>
    <t>Raimundo Lopes Bezerra</t>
  </si>
  <si>
    <t>14.743.646/0001-02</t>
  </si>
  <si>
    <t>33 90 39 00</t>
  </si>
  <si>
    <t>Prorrogação do prazo de Vigencia</t>
  </si>
  <si>
    <t>Prorrogação do prazo de Vigência</t>
  </si>
  <si>
    <t>Modifica o Valor original, a partir de 1º de outubro de 2014, em decorrência de realinhamento de valor conforme índice do IGP-M.</t>
  </si>
  <si>
    <t>Serviço de transporte c/ condutor - veiculo tipo van - placa - MZS - 5713</t>
  </si>
  <si>
    <t>Nilda Moreira Dos Santos Lopes</t>
  </si>
  <si>
    <t>197.513.542-34</t>
  </si>
  <si>
    <t>33 90 36 00</t>
  </si>
  <si>
    <t>Serviço de transporte c/ condutor - veiculo tipo de passeio - placa - NAD - 3657</t>
  </si>
  <si>
    <t>José Cleudivan Da Silva Oliveira</t>
  </si>
  <si>
    <t>698.621.092-20</t>
  </si>
  <si>
    <t xml:space="preserve">33 90 36 00 </t>
  </si>
  <si>
    <t>Serviço de transporte c/ condutor - veiculo tipo pick-up cabine dupla L-200 - placa - NAE - 0438</t>
  </si>
  <si>
    <t>Francisca Das Chagas Nogueira</t>
  </si>
  <si>
    <t>164.502.642-68</t>
  </si>
  <si>
    <t>Serviço de transporte c/ condutor - veiculo tipo motocicleta (Honda 150) placa - NAF - 1721</t>
  </si>
  <si>
    <t>Whilton De Oliveira Pereira</t>
  </si>
  <si>
    <t>510.517.702-97</t>
  </si>
  <si>
    <t>Pregão Presencial  SRP</t>
  </si>
  <si>
    <t>Menor preço global</t>
  </si>
  <si>
    <t>Serviço terceirizado  de apoio administrativo e operacionais, visando o adequado funcionamento da estrutura administrativa  e técnica da SMDGU</t>
  </si>
  <si>
    <t>Teixeira &amp; Aguiar Ltda.</t>
  </si>
  <si>
    <t>02.600.863./0001-25</t>
  </si>
  <si>
    <t>Supressão no valor do contrato</t>
  </si>
  <si>
    <t>Acréscimo em decorrência do acordo coletivo data base com efeito retroativo a 2014, conforme parecer da Procuradoria Jurídica do Município.</t>
  </si>
  <si>
    <t>Pregão Presencial - Registro de Preço</t>
  </si>
  <si>
    <t>Contratação de prestação de serviço de segurança armada</t>
  </si>
  <si>
    <t>Estação de Segurança Privada Ltda.</t>
  </si>
  <si>
    <t>07/012014</t>
  </si>
  <si>
    <t>Departamento Estadual de Pavimentação  e Saneamento - Depasa</t>
  </si>
  <si>
    <t>Acréscimo em decorrência do acordo coletivo data base 2014, conforme parecer da Procuradoria Jurídica do Município</t>
  </si>
  <si>
    <t>009/2011</t>
  </si>
  <si>
    <t>Serviço de transporte c/ condutor - veiculo tipo caminhão - placa MZX - 8883</t>
  </si>
  <si>
    <t>031/2011</t>
  </si>
  <si>
    <t>Jose Welintongton Fernandes de Queiroz</t>
  </si>
  <si>
    <t>889.282.172-53</t>
  </si>
  <si>
    <t>Transferi os direitos e obrigações do contrato para SMDGU de acordo com o dispõe o Art. 73 da Lei Municipal nº 1.959 de 20/02/2013</t>
  </si>
  <si>
    <t>Modifica o valor original, a partir de 1º de outubro de 2013, em decorrência de realinhamento de valor conforme índice do IGP-M.</t>
  </si>
  <si>
    <t>Modifica o valor original, a partir de 1º de outubro de 2014, em decorrência de realinhamento de valor conforme índice do IGP-M.</t>
  </si>
  <si>
    <t>049/2012</t>
  </si>
  <si>
    <t>Prestação de Serviço de Fiscalização de Postura, na Reorganização de Espaços Público</t>
  </si>
  <si>
    <t>052/2012</t>
  </si>
  <si>
    <t>Mil Service Ltda. (J. R. M.Paisagismo)</t>
  </si>
  <si>
    <t>13.637.847/0001-23</t>
  </si>
  <si>
    <t>31/12201</t>
  </si>
  <si>
    <t>33 9039 00</t>
  </si>
  <si>
    <t>Trasnferi os direitos e obrigações do contrato para SMDGU de acordo com o dispõe o Art. 73 da Lei Municipal nº 1.959 de 20/02/2013</t>
  </si>
  <si>
    <t>Modificação do valor contratual em decorrência do acréscimo de quantitativo do objeto do contrato</t>
  </si>
  <si>
    <t>Acréscimo em decorrência do acordo coletivo data base com efeito retroativo a 2013, conforme parecer da Procuradoria Jurídica do Município</t>
  </si>
  <si>
    <t>33 90 92 00</t>
  </si>
  <si>
    <t>Fica ainda reconhecido o debito da diferença referente ao reajuste salarial da categoria, conforme acordo coletivo 2013, sendo o debito de janeiro a dezembro</t>
  </si>
  <si>
    <t>Acréscimo em decorrência do acordo coletivo data base com efeito retroativo a 2014, conforme parecer da Procuradoria Jurídica do Município</t>
  </si>
  <si>
    <t>23/08//2014</t>
  </si>
  <si>
    <t>Serviço de transporte c/ condutor</t>
  </si>
  <si>
    <t>Carlos Marcio R De Oliveira</t>
  </si>
  <si>
    <t>651.055.592-15</t>
  </si>
  <si>
    <t>Serviço de transporte c/ condutor - veiculo tipo passeio (fiesta) - placa NAB - 6192</t>
  </si>
  <si>
    <t>Encargos patronais</t>
  </si>
  <si>
    <t>29.979.036/0423-07</t>
  </si>
  <si>
    <t xml:space="preserve"> 33 90 47 00</t>
  </si>
  <si>
    <t>Fornecimento de refeições em marmitex</t>
  </si>
  <si>
    <t>C. Calil de Oliveira</t>
  </si>
  <si>
    <t>11.164</t>
  </si>
  <si>
    <t>Menor preço unitário por item</t>
  </si>
  <si>
    <t>Serviço de Locação de Impressora Multifuncional, com fornecimento de material.</t>
  </si>
  <si>
    <t>Dux Com. Rep. E Exp. Ltda.</t>
  </si>
  <si>
    <t>Confecção de carimbo simples, datador e automático, copia de chaves, encadernação, plastificarão, plotagem, impressões e fotocopias simples e em grande formatos.</t>
  </si>
  <si>
    <t>Copiart Ind e Com de Copias Ltda.</t>
  </si>
  <si>
    <t>84313.0630001-98</t>
  </si>
  <si>
    <t xml:space="preserve">02 (duas) inscrições no curso de licitações e contrato com noções gerais  e melhoramento  e melhores praticas </t>
  </si>
  <si>
    <t>União educacional do Norte Ltda. - UNINORTE</t>
  </si>
  <si>
    <t>04.515.940/0001-74</t>
  </si>
  <si>
    <t>Art. 23 e 24, Inciso II</t>
  </si>
  <si>
    <t>Fornecimento de refeições preparada (lanche), contratação destinado ao DEP. De Fiscalização de espaços públicos.</t>
  </si>
  <si>
    <t>H. L. Moniz de Assis</t>
  </si>
  <si>
    <t xml:space="preserve">33 90 39 00 </t>
  </si>
  <si>
    <t>Secretaria Municipal de Saúde - SEMSA</t>
  </si>
  <si>
    <t>Material elétrico e eletrônico</t>
  </si>
  <si>
    <t>Dionisio de Araújo Souza</t>
  </si>
  <si>
    <t>11.685.751/0001-05</t>
  </si>
  <si>
    <t>Serviço de manutenção em aparelho de ar condicionados</t>
  </si>
  <si>
    <t>Amazonas Comercio Serviços e Representações Ltda. - ME</t>
  </si>
  <si>
    <t>Manutenção em impressoras</t>
  </si>
  <si>
    <t>Rio Jet Cartuchos Ltda.</t>
  </si>
  <si>
    <t>33 90 30 00</t>
  </si>
  <si>
    <t>Licença de uso do aofwere de avaliação e pericias para avaliação de imóveis</t>
  </si>
  <si>
    <t>Aria sistema de informações Ltda.</t>
  </si>
  <si>
    <t>64.282.239/0001-84</t>
  </si>
  <si>
    <t>Maior percentual de desconto</t>
  </si>
  <si>
    <t xml:space="preserve">Constitui objeto desta Ata de Registro de Preço a Contratação de empresa especializada para prestar serviços de reparos de manutenção predial. </t>
  </si>
  <si>
    <t>Cardoso &amp; Rodrigues Ltda.</t>
  </si>
  <si>
    <t>00.563.498/0001-09</t>
  </si>
  <si>
    <t>Fornecimento de Materiais de limpeza</t>
  </si>
  <si>
    <t>M &amp; R Distribuidora Ltda.</t>
  </si>
  <si>
    <t xml:space="preserve">33 90 30 00 </t>
  </si>
  <si>
    <t>Fornecimento de materiais de expediente</t>
  </si>
  <si>
    <t>Calurino Ferraz Miranda  - Epp</t>
  </si>
  <si>
    <t>Departamento Estadual de Pavimentação  e Saneamento - Depara</t>
  </si>
  <si>
    <t>Fornecimento de material gráfico</t>
  </si>
  <si>
    <t>Acre Publicidade Ltda.</t>
  </si>
  <si>
    <t>Secretaria de Estado de Segurança Publica</t>
  </si>
  <si>
    <t>Aquisição de Mobiliario (mesas, armarios e gaveteiros)</t>
  </si>
  <si>
    <t>Tecmaq Ltda.</t>
  </si>
  <si>
    <t xml:space="preserve">44 90 52 00 </t>
  </si>
  <si>
    <t>06 (seis) inscrições no curso "como elaborar o estudo de impacto de vizinhança" visando aprimorar  as nomas que afetam as atividades fins da SMDGU.</t>
  </si>
  <si>
    <t>170010041/2014</t>
  </si>
  <si>
    <t>Conselho de Arquitetura e Urbanismo</t>
  </si>
  <si>
    <t>14.794.749/0001-62</t>
  </si>
  <si>
    <t>Serviço de transporte c/ condutor, veiculo tipo passeio - HB-20 placa - OVG 5356</t>
  </si>
  <si>
    <t>Francisco Braga Uchoa Junior</t>
  </si>
  <si>
    <t>946.531.432-34</t>
  </si>
  <si>
    <t>Serviço de transporte c/ condutor, veiculo pick-up, Frontier SE , placa NAC 0415</t>
  </si>
  <si>
    <t>018/204</t>
  </si>
  <si>
    <t>W. O. Pereria  - ME</t>
  </si>
  <si>
    <t>18.765.132/0001-59</t>
  </si>
  <si>
    <t>Secretaria  Municipal de Cidadania e Assistencia Social - SEMCAS</t>
  </si>
  <si>
    <t>122/2013</t>
  </si>
  <si>
    <t>Aquisição de material permanente (GPS e Radio de comunicação)</t>
  </si>
  <si>
    <t>Souza &amp; Santos Ltda</t>
  </si>
  <si>
    <t>14.481.168/0001-70</t>
  </si>
  <si>
    <t>44 90 52 00</t>
  </si>
  <si>
    <t>Secretaria Municipal de Obras Publicas - PMRB</t>
  </si>
  <si>
    <t>128/2013</t>
  </si>
  <si>
    <t>Contratação de empresa especializada para realizar acompanhamento tecnico dos ambientes de produção dos sistemas estruturantes, com desenvilvimento de aplicatições  para ambientes especificos e realizar assessoria no planejamento da infraestrutura de comunicação.  (ambiente AS400)</t>
  </si>
  <si>
    <t>J Visa Ltda</t>
  </si>
  <si>
    <t>84.010.297/0001-66</t>
  </si>
  <si>
    <t>Secretaria Municipal da Casa Civil - PMRB</t>
  </si>
  <si>
    <t>1159/2013</t>
  </si>
  <si>
    <t>Contratação de empresa prestadora de serviço de orientação, informação, supervisao, recepção e artifice de serviços gerais</t>
  </si>
  <si>
    <t>Tec News Eireli EPP</t>
  </si>
  <si>
    <t>05.608.779/0001-46</t>
  </si>
  <si>
    <t>Secretaria de estado da Gestão administrativa  - SGA</t>
  </si>
  <si>
    <t>1271/2013</t>
  </si>
  <si>
    <t>Contratação de empresa para o fornecimento de ferramentas</t>
  </si>
  <si>
    <t>AC Distribuidora Importaçao e Exportação Ltda - ME</t>
  </si>
  <si>
    <t>Contratação de empresa para o fornecimento de Micro Computadores Finamizados</t>
  </si>
  <si>
    <t>1.867 (Diario Mato Grosso)</t>
  </si>
  <si>
    <t>Studio Com Atacadista de Produ de Informetica Ltda - Studio Informatica</t>
  </si>
  <si>
    <t>14.2.0371.1/2014</t>
  </si>
  <si>
    <t>1871  (Diario Mato Grosso)</t>
  </si>
  <si>
    <t>Prefeitura do Municipio de Diamatino - MT</t>
  </si>
  <si>
    <t>Pregão Eletronico - Registro de Preço</t>
  </si>
  <si>
    <t>Contratação de empresa para o fornecimento de Nobreks Finamizados</t>
  </si>
  <si>
    <t>26.315  (Diario Mato Grosso)</t>
  </si>
  <si>
    <t>2012  (Diario Mato Grosso)</t>
  </si>
  <si>
    <t>Prefeitura Municipal de Sinop</t>
  </si>
  <si>
    <t>Contratação de empresa para o fornecimento Monitores, Estação de Trabalho Finamizados</t>
  </si>
  <si>
    <t>26.310 (Diario Mato Grosso)</t>
  </si>
  <si>
    <t>007/014</t>
  </si>
  <si>
    <t>26310  (Diario Mato Grosso)</t>
  </si>
  <si>
    <t>Centro de Processamento de Dados do Estado de Mato Grosso</t>
  </si>
  <si>
    <t xml:space="preserve">Pagamento de Guia Anotação de Responsabilidade Técnica (ART) </t>
  </si>
  <si>
    <t>Conselho Reg.  De eng. E Agronomia do estado do Acre</t>
  </si>
  <si>
    <t>04.090.403/0001-20</t>
  </si>
  <si>
    <t>Pagamento de Guia  Registro de Responsabilidade Técnica (RRT)</t>
  </si>
  <si>
    <t>Conselho de Arquitetura e Urbanismo - CAU</t>
  </si>
  <si>
    <t>Contratação de empresa prestadora de serviço de artifice de serviços gerais</t>
  </si>
  <si>
    <t>Tecnica e Preço</t>
  </si>
  <si>
    <t>Contratação de Serviço Especializado para execução de Atividade de coleta e Atualização de dados, para a formação do cadastro  Tecnico Multifinalitario Urbano do Municipio de Rio Branco</t>
  </si>
  <si>
    <t>Aeroimagem S/A engenharia e Aeroleventamento</t>
  </si>
  <si>
    <t>81.241.515/00001-85</t>
  </si>
  <si>
    <t>44 90 39 00</t>
  </si>
  <si>
    <t>Fica a Secretaria Municipal de Desenvolvimento e Gestão Urbana – SMDGU incluída na presente relação contratual, razão pela qual o Preâmbulo do Contrato nº 024/2013 passa a figurar com a seguinte redação: O Município de Rio Branco, Pessoa Jurídica de Direito Público Interno, inscrito no CNPJ/MF sob o nº 04.034.583/0001-22, com sede na Rua Rui Barbosa, nº 285, 2º andar – Centro – Rio Branco – Acre, através da SECRETARIA MUNICIPAL DE PLANEJAMENTO - SEPLAN, inscrita no CNPJ/MF sob o nº 04.034.583/0009-80, com sede na Rua Rui Barbosa nº 285, 2º andar – Centro – Rio Branco – Acre, neste ato representada por sua Secretária, a Senhora MARIA JANETE SOUSA DOS SANTOS, brasileira, solteira, portadora do RG nº 143.439 SSP/AC, CPF/MF nº 216.219.692-15, nomeada pelo Decreto nº 011/2013, residente e domiciliada neste Município, bem como por sua SECRETARIA MUNICIPAL DE DESENVOLVIMENTO E GESTÃO URBANA – SMDGU, inscrita no CNPJ/MF sob o nº 04.034.583/0021-76, com sede na Rua Hugo Carneiro nº 577 – Bairro: Bosque, neste ato representada pelo Secretário LUIZ ANTÔNIO ROCHA, brasileiro, casado, portador do RG nº 3.304.989-7 SSP/PR, CPF/MF nº 466.591.299-87, nomeado pelo Decreto nº 012/2013, residente e domiciliado neste Município, doravante denominado CONTRATANTE, e do outro lado, a empresa AEROIMAGEM S/A ENGENHARIA E AEROLEVANTAMENTO, Pessoa Jurídica de Direito Privado, inscrita no CNPJ sob o nº. 81.241.515/0001-85 e Inscrição Municipal Nº 07.20.021.5485-2, com sede no Aeroporto do Bacacheri, hangar nº 28 – Curitiba - PR, neste ato representada por seu Diretor de Operações, o Senhor ANTÔNIO CAMARGO DA SILVA, brasileiro, casado, administrador de empresas, residente e domiciliado em Curitiba – PR, na Rua Dionira Moletta Klemtz nº 201 - Residência 14, portador do CPF N.º 254.098.249-20, doravante denominada simplesmente CONTRATADA, pactuam o presente Termo Aditivo em conformidade com o que dispõe a Lei nº 8.666/93 e suas alterações; Fica acrescido o Parágrafo Único à Cláusula Quinta, com a seguinte redação: PARÁGRAFO ÚNICO – As despesas no valor de R$ 1.282.606,14 (um milhão, duzentos e oitenta e dois mil, seiscentos e seis reais e quatorze centavos) correrão pelos recursos consignados no Programa de Trabalho nº 017.001.1040.0000 – Modernização da Informação, Estrutura e Processo Administrativo – Órgão: Secretaria Municipal de Desenvolvimento e Gestão Urbana – SMDGU – 017 – Elemento de Despesa – 44.90.39.00 (Outros Serviços de Terceiros Pessoa Jurídica) – Fonte de Recursos: 08 – Modernização da Administração Financeira, Geral e do Setor Social Básico de Saúde – PMAT III (Operação de Crédito Interna/BNDES).</t>
  </si>
  <si>
    <t>Manual de Referência - Anexos IV e XI</t>
  </si>
  <si>
    <t>013/2011</t>
  </si>
  <si>
    <t>033/2011</t>
  </si>
  <si>
    <t>Tomada de Preço</t>
  </si>
  <si>
    <t>Menor preço por lote</t>
  </si>
  <si>
    <t>Contratação de empresa especializada para realização de serviços sociais de mobilização comunitária, levantamento sócio econômico e formalização de processos de regularização fundiária no Bairro João Eduardo II.</t>
  </si>
  <si>
    <t>023/2011</t>
  </si>
  <si>
    <t>Ação Executiva Consultoria e Assessoria Ambiental e Empresarial Ltda.</t>
  </si>
  <si>
    <t>09.344.459/0001-87</t>
  </si>
  <si>
    <t>CR 281.074-11/2008</t>
  </si>
  <si>
    <t>01//01/2013</t>
  </si>
  <si>
    <t>11º</t>
  </si>
  <si>
    <t>12º</t>
  </si>
  <si>
    <t>Concorrência para Registro de Preço</t>
  </si>
  <si>
    <t>Contratação de empresa especializada para levantamento topográfico planialtimetro e cadastro georrferenciadocom curva de nível de metro a metro, com apresentação da planta, em escala.</t>
  </si>
  <si>
    <t>Vetor Engenharia e Construções Ltda.</t>
  </si>
  <si>
    <t>03.692.641/0001-42</t>
  </si>
  <si>
    <t>Modifica o valor origina do contrato</t>
  </si>
  <si>
    <t>Secretaria de Estado de Infraestrutura e Obras Publica</t>
  </si>
  <si>
    <t>Contratação de empresa Especializada para execução de serviços de assistência técnica para a regularização fundiária urbana de interesse social no bairro vitória I (lote 01)</t>
  </si>
  <si>
    <t>Alcinetethe Damasceno - ME</t>
  </si>
  <si>
    <t>63.604.722/0001-75</t>
  </si>
  <si>
    <t>CT 352.927-32/2011</t>
  </si>
  <si>
    <t>Contratação de empresa Especializada para execução de serviços de assistência técnica para a regularização fundiária urbana de interesse social no bairro vitória II (lote 02)</t>
  </si>
  <si>
    <t>CT 346.605-29/2011</t>
  </si>
  <si>
    <t>Técnica e preço</t>
  </si>
  <si>
    <t>levantamentos topográficos do tipo planialtimétrico e cadastral</t>
  </si>
  <si>
    <t>11/2013</t>
  </si>
  <si>
    <t>131140055/2013</t>
  </si>
  <si>
    <t>ADESÃO A TA SRP</t>
  </si>
  <si>
    <t>TRÉC/PREÇO</t>
  </si>
  <si>
    <t>LOCAÇÃO DE EQUIPAMENTOS DE INFORMÁTICA (IMPRESSORAS)</t>
  </si>
  <si>
    <t>11.334</t>
  </si>
  <si>
    <t>PRORROGAÇÃO POR MAIS 12 MESES</t>
  </si>
  <si>
    <t>10.908</t>
  </si>
  <si>
    <t>SECRETARIA MUNICIPAL DE EDUCAÇÃO - SEME</t>
  </si>
  <si>
    <t>131410065/2013</t>
  </si>
  <si>
    <t xml:space="preserve">CONTRATAÇÃO DE  SERVIÇOS DE TRANSPORTES DE C/ CONDUTOR - VEÍCULOS DE PASSEIO </t>
  </si>
  <si>
    <t>SUED LIRA DE ANDRADE</t>
  </si>
  <si>
    <t>495.159.852-34</t>
  </si>
  <si>
    <t>11.025</t>
  </si>
  <si>
    <t>SECRETARIA MUNICIPAL DE SAÚDE - SEMSA</t>
  </si>
  <si>
    <t>4111/2013</t>
  </si>
  <si>
    <t xml:space="preserve">PRESTAÇÃO DE SERVIÇOS DE TRANSPORTE DE PESSOAS EM VEÍCULOS DE PASSEIO </t>
  </si>
  <si>
    <t>M. N. SILVA BRAGA</t>
  </si>
  <si>
    <t>11.375</t>
  </si>
  <si>
    <t>10.935</t>
  </si>
  <si>
    <t>SECRETARIA DE ESTADO DE DESENVOLVIMENTO SOCIAL - SEDS</t>
  </si>
  <si>
    <t>329/2013</t>
  </si>
  <si>
    <t>PRESTAÇÃO DE SERVIÇOS  DE CAPACITAÇÃO PROFISSIONAL P/ 200 MULHERS</t>
  </si>
  <si>
    <t>09.-072.288/001-84</t>
  </si>
  <si>
    <t>APLICATIVA BRASIL LTDA-ME</t>
  </si>
  <si>
    <t>13.674.231/0001-22</t>
  </si>
  <si>
    <t>AÇÃO EXECUTIVA CONSULTORIA E ASSESSORIA</t>
  </si>
  <si>
    <t>360/2013</t>
  </si>
  <si>
    <t>AQUISIÇÃO DE MATERIAL DE CONSUMO (ESPORTIVO)</t>
  </si>
  <si>
    <t>FONTENELE &amp; CIA. LTDA</t>
  </si>
  <si>
    <t>F. A. PASSOS DE ARAÚJO IMP. EXP. LTDA.</t>
  </si>
  <si>
    <t>14.480.852/0001-63</t>
  </si>
  <si>
    <t>387/2013</t>
  </si>
  <si>
    <t>S &amp; S COMÉRCIO E REPRESENTAÇÕES DE TNTAS</t>
  </si>
  <si>
    <t>CAROLINO FERRAZ MIRANDA (ME)</t>
  </si>
  <si>
    <t>3.3.90.30.00 4.4.90.52.00</t>
  </si>
  <si>
    <t>379/2013</t>
  </si>
  <si>
    <t>130/2013</t>
  </si>
  <si>
    <t>AQUISIÇÃO DE MATERIAIS DE CONSUMO DIVERSOS E MATERIAIS PERMENTES</t>
  </si>
  <si>
    <t>005/2015</t>
  </si>
  <si>
    <t>RIO NEGRO IMPORTAÇÃO E EXPORTAÇÃO LTDA</t>
  </si>
  <si>
    <t>12.911.227/0001-78</t>
  </si>
  <si>
    <t>286/2013</t>
  </si>
  <si>
    <t>SERVIÇOS DE DIVULGAÇÃO E PUBLICIDADE</t>
  </si>
  <si>
    <t>A. P. DE MELO FOTOGRAFIAS</t>
  </si>
  <si>
    <t>15.595.361/0001--03</t>
  </si>
  <si>
    <t>CONV</t>
  </si>
  <si>
    <t>AQUISIÇÃO DE CAMISETAS</t>
  </si>
  <si>
    <t>FIBRATEX INDUSTRIA E COMÉRCIO LTDA.</t>
  </si>
  <si>
    <t>11.351</t>
  </si>
  <si>
    <t>ACRÉSCIMO  7,25% NO VALOR CONTRATUAL</t>
  </si>
  <si>
    <t>284/2014</t>
  </si>
  <si>
    <t>SERVIÇOS GRÁFICOS</t>
  </si>
  <si>
    <t>PRORROGAÇÃO POR MAIS 150 DIAS</t>
  </si>
  <si>
    <t>PRORROGAÇÃO POR MAIS 180 DIAS</t>
  </si>
  <si>
    <t>F. B.AMORIM JUNIOR - ME</t>
  </si>
  <si>
    <t>21257/2013</t>
  </si>
  <si>
    <t>SERVIÇOS DE LAVAGEM DE AUTOMÓVEIS E SERV. DE BORRACHARIA</t>
  </si>
  <si>
    <t>BRAUMAR - EPP</t>
  </si>
  <si>
    <t>PRESTAÇÃO DE SERVIÇOS DE 20 (VINTE) APRESENTAÇÃO TEATRAIS - PROJETO SAÚDE SESUALIDADE NAS ESCOLAS MUNICIPAIS DE RIO BRANCO</t>
  </si>
  <si>
    <t>SERVIÇOS PRODUÇÃO DE VÍDEO EDUCATIVO TIPO ANIMAÇÃO OU DOCUMENTÁRIO - DURAÇÃO 05 MINUTOS</t>
  </si>
  <si>
    <t>W. LUCENA CONSTRUÇÕES E SERVIÇOS LTDA.</t>
  </si>
  <si>
    <t>04.474.803/0001-39</t>
  </si>
  <si>
    <t>SERVIÇOS DE LAYOUT E CONFECÇÃO DE CAMISETAS</t>
  </si>
  <si>
    <t xml:space="preserve">J. ERIVALDO SILVA DE SOUZA </t>
  </si>
  <si>
    <t>63.598.676/0001-0001-49</t>
  </si>
  <si>
    <t>LFP3 FOTOGRAFIAS LTDA-ME</t>
  </si>
  <si>
    <t>FORNECIMENTO DE LACHES PREPARADOS P/ SEMAM</t>
  </si>
  <si>
    <t>FLORESTA EMPREENDIMENTOS LTDA.</t>
  </si>
  <si>
    <t>17.489.291/0001-26</t>
  </si>
  <si>
    <t>AQUISIÇÃO DE MATERIAIS DE CONSUMO E EXPDIENTE</t>
  </si>
  <si>
    <t>0020/2014</t>
  </si>
  <si>
    <t>0021/2014</t>
  </si>
  <si>
    <t>LUIZ R. S. D'AVILA - ME</t>
  </si>
  <si>
    <t>0022/2014</t>
  </si>
  <si>
    <t>E. SOARES COSTA IMP. E EXPORTAÇÃO</t>
  </si>
  <si>
    <t>0023/2014</t>
  </si>
  <si>
    <t>0024/2014</t>
  </si>
  <si>
    <t>0025/2014</t>
  </si>
  <si>
    <t>J . S. CORDEIRO</t>
  </si>
  <si>
    <t>0026/2014</t>
  </si>
  <si>
    <t>SERVIÇOS DE AGENCIAMENTO DE PASSAGENS</t>
  </si>
  <si>
    <t>KAMPA VIAGENS SERVIÇOS E EVENTOS</t>
  </si>
  <si>
    <t>11.352</t>
  </si>
  <si>
    <t xml:space="preserve"> AQUISIÇÃO DE MATERIAIS PERMANENTE DIVERSOS</t>
  </si>
  <si>
    <t>AMAZON EXPORTAÇÃOE E IMPORTAÇÃO LTDA.</t>
  </si>
  <si>
    <t>84.312.669/0001-31</t>
  </si>
  <si>
    <t>31/06/2014</t>
  </si>
  <si>
    <t xml:space="preserve"> 4.4.90.52.00</t>
  </si>
  <si>
    <t>TECMAQ LTDA.</t>
  </si>
  <si>
    <t>CENTER DATA ANAL.DE SISTEMAS E SERVIÇOS LTDA.</t>
  </si>
  <si>
    <t>02.597.872/0001-90</t>
  </si>
  <si>
    <t>13937/2014</t>
  </si>
  <si>
    <t>1502/2013</t>
  </si>
  <si>
    <t xml:space="preserve">PRESTAÇÃO DE SERVIÇOS DE LOCAÇÃO DE VEÍCULOS TIPO UTILITÁRIO/PASSEIO </t>
  </si>
  <si>
    <t>ACRETEC COMERCIO E REPRESENTAÇÕES LTDA</t>
  </si>
  <si>
    <t>04.475.329/0001-60</t>
  </si>
  <si>
    <t>10.983</t>
  </si>
  <si>
    <t>SEC.DE ESTADO DA SAÚDE</t>
  </si>
  <si>
    <t>859/2013</t>
  </si>
  <si>
    <t>CONTRATAÇÃO DE SERV. DEMANUT. PREVENT. E CORREETIVA DE AUTOMÓVEIS</t>
  </si>
  <si>
    <t xml:space="preserve">OFM </t>
  </si>
  <si>
    <t>BRANCAUTO COMÉRCIO DE PEÇAS LTDA.</t>
  </si>
  <si>
    <t>34.700.807/0001-59</t>
  </si>
  <si>
    <t>11.102</t>
  </si>
  <si>
    <t>SEC.DE ESTADO DE PQE. NEGÓCIOS</t>
  </si>
  <si>
    <t>11.247</t>
  </si>
  <si>
    <t>OFS</t>
  </si>
  <si>
    <t>S. CHARLES M. SILVA</t>
  </si>
  <si>
    <t>07.364.164/0001-47</t>
  </si>
  <si>
    <t>21271/2014</t>
  </si>
  <si>
    <t>AQUISIÇÃO PERMANENTE (MOVEIS UTENSÍLIOS P/ ESCRITÓRIO) P/ SEDIHPA</t>
  </si>
  <si>
    <t>OFM 001</t>
  </si>
  <si>
    <t>PREFEITURA MUN. DE FEIJÓ</t>
  </si>
  <si>
    <t>AQUISIÇÃO PERMANENTE (MOVEIS UTENSÍLIOS P/ ESCRITÓRIO) P/ SEJUV</t>
  </si>
  <si>
    <t>OFM 002</t>
  </si>
  <si>
    <t>FORNECIMENTO DE ALIMENTAÇÃO RPEPARADA</t>
  </si>
  <si>
    <t>AQUISIÇÃO DE EQUIPAMENTOS E MATERIAIS PERMANENTES</t>
  </si>
  <si>
    <t xml:space="preserve">A. C. CASTRO </t>
  </si>
  <si>
    <t>ALFA COMÉRCIO E PRESENTAÇÕES LTDA</t>
  </si>
  <si>
    <t>AQUISIÇÃO DE MATERIAL DE CONSUMO (ESPORTIVO) TROFÉUS, MEDALHAS, PTIOS ETC.</t>
  </si>
  <si>
    <t>16.480.852/0001-63</t>
  </si>
  <si>
    <t>28902/2014</t>
  </si>
  <si>
    <t>SERVIÇOS DE IMPRESSÃO DE MATERIAIS GRÁFICOS E DIVULGAÇÃO, PUBLICIDADE E INFORMAÇÃO</t>
  </si>
  <si>
    <t>J. A. DA SILVA COM. REP. LTDA</t>
  </si>
  <si>
    <t xml:space="preserve">SEC.DE DE ESTADO DE PESQUENOS NEGÓCIOS - </t>
  </si>
  <si>
    <t>CHAMAMENTO PÚBLICO</t>
  </si>
  <si>
    <t>RECRUTAMENTO E SELEÇÃO DE ESTUDANTES E ACOMPANHOAMENTO P/ PROGRAMA DE ESTÁGIO DA PREFEITURA DE RIO BRANCO</t>
  </si>
  <si>
    <t>CENTRO INTEGRADO DE EMPRESA ESCOLA - CIEE</t>
  </si>
  <si>
    <t>61.600.839/0001-55</t>
  </si>
  <si>
    <t>INSTITUTO EUVALDO LODI</t>
  </si>
  <si>
    <t>02.373.341/0001-38</t>
  </si>
  <si>
    <t>31309/2014</t>
  </si>
  <si>
    <t>SERVIÇOS DE LOCAÇÃO DE EQUIPAMENTOS DE INFORMÁTICA (ESTAÇÃO DE TRABALHO TIPO ALL IN ONE COM NOBREAK)</t>
  </si>
  <si>
    <t>R. S.FREITAS JUCÁ - ME</t>
  </si>
  <si>
    <t>SECRETARIA MUNICIPAL DE EDUCAÇÃO</t>
  </si>
  <si>
    <t>296/2014</t>
  </si>
  <si>
    <t>CONTRATAÇÃO DE SERVIÇOS PARA REALIZAÇÃO DE 07 (SETE) OFICINAS PARA FORMAÇÃO DE GESTOR - CONTRATO DE REPASSE Nº 363.237-17/2011</t>
  </si>
  <si>
    <t>CV</t>
  </si>
  <si>
    <t>294/2014</t>
  </si>
  <si>
    <t>TEC E PREÇO</t>
  </si>
  <si>
    <t>PESQUISA, ELABORAÇÃO DE TEXTO E RECISTA  SOBRE "REFERÊNCIAS NEGRAS NO ACRE"</t>
  </si>
  <si>
    <t>GADELHA &amp; SILVEIRA SILVEIRA EMP. DE COMUNICAÇÃO LTDA</t>
  </si>
  <si>
    <t>12.974.269/0001-58</t>
  </si>
  <si>
    <t>302/2014</t>
  </si>
  <si>
    <t>SERVIÇOS DE REALIZAÇÃO DE PEQUISA DIGNÓSTICO</t>
  </si>
  <si>
    <t>MARIA NE MARQUES LOPES</t>
  </si>
  <si>
    <t>288.103.858-10</t>
  </si>
  <si>
    <t>326/2014</t>
  </si>
  <si>
    <t>AQUISIÇÃO DE TONNER (MATERIAIS DE EXPEDIENTE)</t>
  </si>
  <si>
    <t>SERMATEC COMERCIO E SERVIÇOS LTDA</t>
  </si>
  <si>
    <t>3.3.90.30</t>
  </si>
  <si>
    <t>11.462</t>
  </si>
  <si>
    <t>PRORROGAÇÃO POR MAIS 15 DIAS</t>
  </si>
  <si>
    <t>31/12/2014</t>
  </si>
  <si>
    <t>39471/2014</t>
  </si>
  <si>
    <t>AQUISIÇÃO DE MAT. DE CONSUMO (EXP. ESCRITÓRIO)</t>
  </si>
  <si>
    <t>OFM</t>
  </si>
  <si>
    <t>11.342</t>
  </si>
  <si>
    <t>SEC.DE ESTADO DE DESENV. FLORESTAL, DA INDUSTRIA DO COMERCIOS - SEDENS</t>
  </si>
  <si>
    <t>337/2013</t>
  </si>
  <si>
    <t>Pregão n° 079/2013</t>
  </si>
  <si>
    <t>M.P</t>
  </si>
  <si>
    <t>CONTRATAÇÃO  DE VEÍCULO,COM CONDUTOR.</t>
  </si>
  <si>
    <t>FABRÍCIO OLIVEIRA DE FREITAS</t>
  </si>
  <si>
    <t>996.314.302-20</t>
  </si>
  <si>
    <t>01,06 e 17</t>
  </si>
  <si>
    <t>FUNDO A FUNDO</t>
  </si>
  <si>
    <t>RÔMULO CAVALCANTE DE SOUZA</t>
  </si>
  <si>
    <t>782.963.822-53</t>
  </si>
  <si>
    <t>DAVID FELIPE PIMENTEL MENDES</t>
  </si>
  <si>
    <t>883.898.442-34</t>
  </si>
  <si>
    <t>MARCOS AURÉLIO MARQUES DE SOUZA</t>
  </si>
  <si>
    <t>933.324.692-15</t>
  </si>
  <si>
    <t>RODRIGO DE OLIVEIRA MOURA</t>
  </si>
  <si>
    <t>001.532.392-71</t>
  </si>
  <si>
    <t>MARIZETE DA SILVA FREIRE</t>
  </si>
  <si>
    <t>625.181.782-87</t>
  </si>
  <si>
    <t>JOSÉ LOURIMAR CLEMENTINO DO NASCIMENTO</t>
  </si>
  <si>
    <t>DENILSON DE ALMEIDA PEDROSA</t>
  </si>
  <si>
    <t>651.833.472-04</t>
  </si>
  <si>
    <t>THIAGO OLIVEIRA DA ROCHA</t>
  </si>
  <si>
    <t>918.132.122-87</t>
  </si>
  <si>
    <t>JADERSON SOARES DE ARAÚJO</t>
  </si>
  <si>
    <t>643.632.282-53</t>
  </si>
  <si>
    <t>W. O. PEREIRA - ME</t>
  </si>
  <si>
    <t>18.765.432/0001-59</t>
  </si>
  <si>
    <t>BIANCA JUREMA PERES DE ALMEIDA</t>
  </si>
  <si>
    <t>790.090.502-20</t>
  </si>
  <si>
    <t>TAYLO RIBEIRO DE SOUZA</t>
  </si>
  <si>
    <t>025.801.662-16</t>
  </si>
  <si>
    <t>M. SAIONARA SOARES DAMASCENO - ME</t>
  </si>
  <si>
    <t>382/2013</t>
  </si>
  <si>
    <t>Pregão n° 02/2014</t>
  </si>
  <si>
    <t>AQUISIÇÃO DE UM AUTOMÓVEL TIPO CAMINHONETE CABINE DUPLA</t>
  </si>
  <si>
    <t>AGRO NORTE IMPORTAÇÃO E EXPORTAÇÃO LTDA</t>
  </si>
  <si>
    <t>04.582.797/0001-04</t>
  </si>
  <si>
    <t>029/2010</t>
  </si>
  <si>
    <t>DEPASA</t>
  </si>
  <si>
    <t xml:space="preserve"> Nº 0012441-3/2013</t>
  </si>
  <si>
    <t>PREGÃO Nº 707/2013 - DEPASA</t>
  </si>
  <si>
    <t>AQUISIÇÃO DE MATERIAL DE CONSUMO (MATERIAL DE EXPEDIENTE)</t>
  </si>
  <si>
    <t>ARNALDO COMÉRCIO E REPRESENTAÇÕES</t>
  </si>
  <si>
    <t>PREGÃO SRP N.º 1325/2012/ SEPC</t>
  </si>
  <si>
    <t>U PRESTAÇÃO DE SERVIÇOS DE LIMPEZA DE FOSSAS, CAIXAS D´ÁGUA E CISTERNA, REDE DE ESGOTO, DEDETIZAÇÃO, DESCUPINIZAÇÃO E DESRATIZAÇÃO</t>
  </si>
  <si>
    <t>ACRELIMP – SERVIÇO DE LIMPEZA LTDA</t>
  </si>
  <si>
    <t>SEPC</t>
  </si>
  <si>
    <t>0019873-1/2013</t>
  </si>
  <si>
    <t>PREGÃO PRESENCIAL N.º 1.083/2013/SESACRE</t>
  </si>
  <si>
    <t xml:space="preserve"> PRESTAÇÃO DE SERVIÇOS DE DEDETIZAÇÃO, DESRATIZAÇÃO, DESCUPINIZAÇÃO, LIMPEZA E DESINFECÇÃO DE CISTERNA E CAIXAS D’ÁGUA, PARA ATENDER A DEMANDA DA SEMCAS E SUAS UNIDADES ADMINISTRATIVAS</t>
  </si>
  <si>
    <t>PARAÍSO IMPORTAÇÃO  E EXPORTAÇÃO LTDA</t>
  </si>
  <si>
    <t>05.493.311/0002-34</t>
  </si>
  <si>
    <t>896/2013</t>
  </si>
  <si>
    <t>SESACRE</t>
  </si>
  <si>
    <t xml:space="preserve"> 043/2014</t>
  </si>
  <si>
    <t>PREGÃO N° 031/2014</t>
  </si>
  <si>
    <t>AQUISIÇÃO DE MATERIAL DE CONSUMO (EXPEDIENTE)</t>
  </si>
  <si>
    <t>33.90.30</t>
  </si>
  <si>
    <t xml:space="preserve"> 039/2014</t>
  </si>
  <si>
    <t>PREGÃO  N.º 022/2014</t>
  </si>
  <si>
    <t>AQUISIÇÃO DE MATERIAL DE CONSUMO E PERMANENTE (EXPEDIENTE, MOBILIÁRIO E INFORMÁTICA)</t>
  </si>
  <si>
    <t>AMAZOM IMPORTAÇÃO E EXPORTAÇÃO LTDA</t>
  </si>
  <si>
    <t xml:space="preserve"> AQUISIÇÃO DE MATERIAL DE CONSUMO E PERMANENTE (EXPEDIENTE, MOBILIÁRIO E INFORMÁTICA)</t>
  </si>
  <si>
    <t>04.108.774/0001-36</t>
  </si>
  <si>
    <t xml:space="preserve"> 044/2014</t>
  </si>
  <si>
    <t>PREGÃO  N.º 023/2014</t>
  </si>
  <si>
    <t>AQUISIÇÃO DE MATERIAL DE INFORMATICA</t>
  </si>
  <si>
    <t xml:space="preserve"> 045/2014</t>
  </si>
  <si>
    <t>PREGÃO  N.º 032/2014</t>
  </si>
  <si>
    <t>AQUISIÇÃO DE MATERIAIS DE CONSUMO (EXPEDIENTE E AGRÍCOLA) PAC 2, .</t>
  </si>
  <si>
    <t>PREGÃO N° 046/2014</t>
  </si>
  <si>
    <t>AQUISIÇÃO DE MATERIAL DE CONSUMO (GÁS)</t>
  </si>
  <si>
    <t>BR DISTRIBUIDORA E COM. DE CONSUMO, MEDICAMENTO E MERCADORIA EM GERAL</t>
  </si>
  <si>
    <t>01, 06 e 17</t>
  </si>
  <si>
    <t>PREGÃO N° 049/2014</t>
  </si>
  <si>
    <t>AQUISIÇÃO DE MATERIAL DE CONSUMO (CREME DENTAL, ESCOVA, FRALDA)</t>
  </si>
  <si>
    <t>M. R. C. AGUIAR</t>
  </si>
  <si>
    <t>PREGÃO N° 053/2014</t>
  </si>
  <si>
    <t>SERVIÇO DE REPROGRAFIA (XEROX E CARIMBO)</t>
  </si>
  <si>
    <t>POLICÓPIAS SERVIÇOS, COMÉRCIO E REPRESENTAÇÕES  LTDA</t>
  </si>
  <si>
    <t>PREGÃO N°066//2014</t>
  </si>
  <si>
    <t>AQUISIÇÃO DE GÊNEROS ALIMENTÍCIOS, PARA ATENDER AS DEMANDAS DA SEMCAS  E SUAS UNIDADES PÚBLICAS.</t>
  </si>
  <si>
    <t>A.M. SHAFER ME</t>
  </si>
  <si>
    <t>AQUISIÇÃO DE FARDAMENTO COMO CAMISA, CALÇA, BONÉ COLETES E CHAPÉUS.</t>
  </si>
  <si>
    <t>J. J. ERIVALDO SILVA DE SOUZA</t>
  </si>
  <si>
    <t>189/2012</t>
  </si>
  <si>
    <t>PREGÃO N°03/2013</t>
  </si>
  <si>
    <t>FORNECIMENTO DE ALIMENTAÇÃO PREPARADA</t>
  </si>
  <si>
    <t>160/2013</t>
  </si>
  <si>
    <t>CELIO PEREIRA – ME</t>
  </si>
  <si>
    <t xml:space="preserve">206/2013 </t>
  </si>
  <si>
    <t>PREGÃO N°89/2013</t>
  </si>
  <si>
    <t>FORNECIMENTO DE MATERIAL DE CONSUMO (MADEIREIRO), PARA ATENDER A SEMCAS E SUAS UNIDADES ADMINISTRATIVAS</t>
  </si>
  <si>
    <t>214/2013</t>
  </si>
  <si>
    <t>WIRLEIDE F. DOS SANTOS – ME</t>
  </si>
  <si>
    <t>267/2013</t>
  </si>
  <si>
    <t>PREGÃO N°27/2013</t>
  </si>
  <si>
    <t>FORNECIMENTO DE REFEIÇÕES PREPARADAS</t>
  </si>
  <si>
    <t>265/2013</t>
  </si>
  <si>
    <t>SOUZA E PASTOR LTDA</t>
  </si>
  <si>
    <t>243/2013</t>
  </si>
  <si>
    <t>PREGÃO N°344/2012</t>
  </si>
  <si>
    <t>344/2012</t>
  </si>
  <si>
    <t>JOSÉ RIBAMAR BARBOSA DOS SANTOS</t>
  </si>
  <si>
    <t>113.280.532-53</t>
  </si>
  <si>
    <t>351/2012</t>
  </si>
  <si>
    <t>84.312.602/0001-00</t>
  </si>
  <si>
    <t>354/2012</t>
  </si>
  <si>
    <t>ANTONIO LUZIVALDO DE AMORIM CORREIA</t>
  </si>
  <si>
    <t>831.660.682-87</t>
  </si>
  <si>
    <t>241/2012</t>
  </si>
  <si>
    <t>PREGÃO N°028/2012</t>
  </si>
  <si>
    <t>EDINAURO B. RODRIGUES</t>
  </si>
  <si>
    <t>NÃO INFORMA</t>
  </si>
  <si>
    <t>ADITIVO DE PRAZO</t>
  </si>
  <si>
    <t>Pregão SRP 151/2014/CASA CIVIL</t>
  </si>
  <si>
    <t>AQUISIÇÃO DE MATERIAL DE CONSUMO  (AÇUCA E CAFÉ)</t>
  </si>
  <si>
    <t>086/2010</t>
  </si>
  <si>
    <t>Pregão SRP nº 086/2010 - SEMSA</t>
  </si>
  <si>
    <t xml:space="preserve"> FORNECIMENTO DE MATERIAL DE CONSUMO, (ÁGUA POTÁVEL FORNECIDA ATRAVÉS DE CAMINHÃO PIPA, ÁGUA MINERAL E GELO)</t>
  </si>
  <si>
    <t>ACRETEC INDÚSTRIA DE COMÉRCIO DE AGUA E REPRESENTAÇÕES  LTDA</t>
  </si>
  <si>
    <t>PREGÃO 054/2012</t>
  </si>
  <si>
    <t>341/2012</t>
  </si>
  <si>
    <t>MARIA SAIONARA SOARES DAMASCENO</t>
  </si>
  <si>
    <t>343/2012</t>
  </si>
  <si>
    <t>M. SAIONARA SOARES DAMASCENO</t>
  </si>
  <si>
    <t>347/2012</t>
  </si>
  <si>
    <t>348/2012</t>
  </si>
  <si>
    <t>349/2012</t>
  </si>
  <si>
    <t>350/2012</t>
  </si>
  <si>
    <t>352/2012</t>
  </si>
  <si>
    <t>353/2012</t>
  </si>
  <si>
    <t>356/2012</t>
  </si>
  <si>
    <t>355/2012</t>
  </si>
  <si>
    <t>WEBER LEITÃO DA COSTA</t>
  </si>
  <si>
    <t>989.350.622-00</t>
  </si>
  <si>
    <t xml:space="preserve">ADITIVO DE PRAZO / com reajuste </t>
  </si>
  <si>
    <t>0012955-4/2012</t>
  </si>
  <si>
    <t>PREGÃO N.º 182/2012</t>
  </si>
  <si>
    <t>1.43/2011</t>
  </si>
  <si>
    <t>SEMA</t>
  </si>
  <si>
    <t>158/2012</t>
  </si>
  <si>
    <t>PREGÃO N.º 037/2012</t>
  </si>
  <si>
    <t>SERVIÇO DE MANUTENÇÃO DE EQUIPAMENTOS</t>
  </si>
  <si>
    <t>A. WAGNER L. DA SILVA</t>
  </si>
  <si>
    <t>84.312.602/0001-74</t>
  </si>
  <si>
    <t>PREGÃO Nº  002/2013</t>
  </si>
  <si>
    <t>1.301/2012</t>
  </si>
  <si>
    <t>PREGÃO Nº 1301/2012</t>
  </si>
  <si>
    <t>AQUISIÇÃO DE MATERIAL DE CONSUMO (MATERIAL DE LIMPEZA), DESTINADA ATENDER SEMCAS SUAS UNIDADES ADMINISTRATIVAS</t>
  </si>
  <si>
    <t xml:space="preserve">J. S. COMÉRCIO IMPORTAÇÃO E EXPORTAÇÃO </t>
  </si>
  <si>
    <t>PREGÃO N.º 318/2010</t>
  </si>
  <si>
    <t>AQUISIÇÃO DE MATERIAIS DIVERSOS (ELÉTRICO, FERRAGEM, HIDRÁULICO E FERRAMENTAS), DESTINADA ATENDER SEMCAS SUAS UNIDADES ADMINISTRATIVAS</t>
  </si>
  <si>
    <t>145/2013</t>
  </si>
  <si>
    <t>MUNDO NOVO LTDA</t>
  </si>
  <si>
    <t>09.179.593/0001-70</t>
  </si>
  <si>
    <t>2ª</t>
  </si>
  <si>
    <t>0019382-5/2012</t>
  </si>
  <si>
    <t>PREGÃO N.º 646/2012</t>
  </si>
  <si>
    <t>316/2013</t>
  </si>
  <si>
    <t>Pregão SRP n° 115/2013</t>
  </si>
  <si>
    <t>AQUISIÇÃO DE MATERIAL DE CONSUMO (TOALHAS E COLCHÕES)</t>
  </si>
  <si>
    <t>269/2014</t>
  </si>
  <si>
    <t>Pregão SRP n° 079/2014</t>
  </si>
  <si>
    <t>GÊNEROS ALIMENTÍCIOS (VINAGRE, AÇÚCAR, FEIJÃO),</t>
  </si>
  <si>
    <t>ROBERTH DE SOUSA LTDA</t>
  </si>
  <si>
    <t>PREGÃO Nº 051/2014</t>
  </si>
  <si>
    <t>AQUISIÇÃO DE GÊNEROS ALIMENTÍCIOS</t>
  </si>
  <si>
    <t>FLORESTA EMPREENDIMENTOS LTDA</t>
  </si>
  <si>
    <t xml:space="preserve">17.489.291/0002-07 </t>
  </si>
  <si>
    <t>PREGÃO Nº 026/2010</t>
  </si>
  <si>
    <t xml:space="preserve">PRESTAÇÃO DE EXECUÇÃO INDIRETA DE SERVIÇOS TERCEIRIZADOS RELATIVOS ÀS SEGUINTES CATEGORIAS PROFISSIONAIS: MOTORISTA E AGENTE DE PORTARIA NOTURNO.
</t>
  </si>
  <si>
    <t>201/2010</t>
  </si>
  <si>
    <t>MARCOS J. S. TEIXEIRA - ME</t>
  </si>
  <si>
    <t xml:space="preserve"> 07.533.627/0001-57</t>
  </si>
  <si>
    <t>PRAZO</t>
  </si>
  <si>
    <t>Nº 000.260.8-7/2010</t>
  </si>
  <si>
    <t>PREGÃO Nº 027/2013</t>
  </si>
  <si>
    <t>MATERIAL DE CONSUMO (COMBUSTÍVEL, DIESEL, GÁS (RECARGA GPL)</t>
  </si>
  <si>
    <t>INCLUSÃO DE PROGRAMAS DE TRABALHO</t>
  </si>
  <si>
    <t>350.500.00</t>
  </si>
  <si>
    <t>N° 237/2013</t>
  </si>
  <si>
    <t>PREGÃO Nº 039/2013</t>
  </si>
  <si>
    <t>Contratação da Empresa para Prestação de Serviços Terceirizados especializados em Suporte de Atividade Auxiliares, Limpeza e Conservação (Serventes, Zelador Diurnos, Auxiliar de Depósito, Office Boy, Recepcionista, Copeiro e Artífice Diversos). Para atender a demanda da SEMCAS.</t>
  </si>
  <si>
    <t>250/2013</t>
  </si>
  <si>
    <t xml:space="preserve">Coopserge </t>
  </si>
  <si>
    <t>0042986-2/11</t>
  </si>
  <si>
    <t>Prestação de Serviço de Locação de Veículo (pick-up cabine dupla e veículo de passeio)</t>
  </si>
  <si>
    <t>10.777/2012</t>
  </si>
  <si>
    <t>M.R.C. AGUIAR (ME)</t>
  </si>
  <si>
    <t>11.048/13</t>
  </si>
  <si>
    <t>11.292/14</t>
  </si>
  <si>
    <t>Aditivo de Prorrogação de  Prazo</t>
  </si>
  <si>
    <t>10.799/12</t>
  </si>
  <si>
    <t>11.047/13</t>
  </si>
  <si>
    <t>0025789-4/12</t>
  </si>
  <si>
    <t>942/2012</t>
  </si>
  <si>
    <t>Prestação de Serviço de Reprografia</t>
  </si>
  <si>
    <t>10.891/2012</t>
  </si>
  <si>
    <t>11.291/14</t>
  </si>
  <si>
    <t>10.922/12</t>
  </si>
  <si>
    <t>0021393-0/12</t>
  </si>
  <si>
    <t>Fornecimento de Água Mineral e Gelo</t>
  </si>
  <si>
    <t>10.850/2012</t>
  </si>
  <si>
    <t>J.R. MARTINS JUNIOR - ME</t>
  </si>
  <si>
    <t>0017644-4/12</t>
  </si>
  <si>
    <t>547/2013</t>
  </si>
  <si>
    <t>Aquisição de material de consumo (Premiações)</t>
  </si>
  <si>
    <t>10.816/2012</t>
  </si>
  <si>
    <t>RICHARD S. MIRANDA</t>
  </si>
  <si>
    <t>11.118/13</t>
  </si>
  <si>
    <t>3.3.90.31.00</t>
  </si>
  <si>
    <t>127/12</t>
  </si>
  <si>
    <t>10.883/12</t>
  </si>
  <si>
    <t>11.077/13</t>
  </si>
  <si>
    <t>3416/13</t>
  </si>
  <si>
    <t>Prestação de Serviço de Operação de Equipamentos de Entrada e Transmissão de Dados (digitador) e Recepcionista</t>
  </si>
  <si>
    <t>V.G. SERVIÇOS LTDA</t>
  </si>
  <si>
    <t>11.357/14</t>
  </si>
  <si>
    <t>Aditivo de Valor/Prorrogação de Prazo</t>
  </si>
  <si>
    <t>23/07 e 09/08/14</t>
  </si>
  <si>
    <t>31/12 e 09/08/15</t>
  </si>
  <si>
    <t>120/13</t>
  </si>
  <si>
    <t>Tribunal Regional Eleitoral do Acre-TER</t>
  </si>
  <si>
    <t>11.107/13</t>
  </si>
  <si>
    <t>003123-0/2013</t>
  </si>
  <si>
    <t>Fornecimento de refeições (marmitex)</t>
  </si>
  <si>
    <t>10.993/2013</t>
  </si>
  <si>
    <t>NERILO E ZEMIANI LTDA</t>
  </si>
  <si>
    <t>07.337.872/0001-99</t>
  </si>
  <si>
    <t>11.177/13</t>
  </si>
  <si>
    <t>11.153/13</t>
  </si>
  <si>
    <t>178/2013</t>
  </si>
  <si>
    <t>Aquisição de material permanente (Ar-condicionado)</t>
  </si>
  <si>
    <t>11.049/2013</t>
  </si>
  <si>
    <t>AMAZOM ELETRO IMP. E EXP. LTDA</t>
  </si>
  <si>
    <t>11.186/13</t>
  </si>
  <si>
    <t>11.075/13</t>
  </si>
  <si>
    <t>Superintendência Municipal de Transporte e Transito - RBTRANS</t>
  </si>
  <si>
    <t>11.183/13</t>
  </si>
  <si>
    <t>3632211/13</t>
  </si>
  <si>
    <t>Aquisição de Material Permanente e de Consumo</t>
  </si>
  <si>
    <t>11.187/2013</t>
  </si>
  <si>
    <t>24/2013</t>
  </si>
  <si>
    <t>E M M GALVÃO ME</t>
  </si>
  <si>
    <t>14.950.983/0001-31</t>
  </si>
  <si>
    <t>11.256/13</t>
  </si>
  <si>
    <t>3.3.90.30.00/ 4.4.90.52.00</t>
  </si>
  <si>
    <t>CALURINO FERRAZ MIRANDA-ME</t>
  </si>
  <si>
    <t>11.248/14</t>
  </si>
  <si>
    <t xml:space="preserve">F. A. PASSOS DE ARAÚJO IMP. EXP. EIRELI </t>
  </si>
  <si>
    <t>Aquisição de Mateiral Permanente (Caixas de Som)</t>
  </si>
  <si>
    <t>ELETRÔNICA HALLEY II IMP. EXP. LTDA</t>
  </si>
  <si>
    <t>84.306.083/0001-31</t>
  </si>
  <si>
    <t>Art. 24, II da Lei 8.666/93</t>
  </si>
  <si>
    <t>Aquisição de Material de Consumo (Tonner)</t>
  </si>
  <si>
    <t>G. CUNHA DE OLIVEIRA - ME</t>
  </si>
  <si>
    <t>18.739.325/0001-56</t>
  </si>
  <si>
    <t>Art. 24, II da Lei 8.666/94</t>
  </si>
  <si>
    <t>Prestação de Serviço de Instalação de Rede Lógica</t>
  </si>
  <si>
    <t>Art. 24, II da Lei 8.666/95</t>
  </si>
  <si>
    <t>Aquisição de Material Permanente (Compressor de Ar Condicionado)</t>
  </si>
  <si>
    <t>ALAN REFRIGERAÇÃO LTDA - ME</t>
  </si>
  <si>
    <t>13.471.813/0001-01</t>
  </si>
  <si>
    <t>Art. 24, II da Lei 8.666/96</t>
  </si>
  <si>
    <t>406/2013</t>
  </si>
  <si>
    <t>Prestação de Serviço de Transporte (Motocicleta)</t>
  </si>
  <si>
    <t>01/2014</t>
  </si>
  <si>
    <t>11.273/14</t>
  </si>
  <si>
    <t>11.232/14</t>
  </si>
  <si>
    <t>Fundação Garibaldi Brasil-FGB</t>
  </si>
  <si>
    <t>Prestação de Serviço de Transporte (Carro Utilitário)</t>
  </si>
  <si>
    <t>M.R.C. DE LIMA</t>
  </si>
  <si>
    <t>34.713.321/0001-55</t>
  </si>
  <si>
    <t>11.275/14</t>
  </si>
  <si>
    <t>1703/2014</t>
  </si>
  <si>
    <t>11.265/14</t>
  </si>
  <si>
    <t>03612000206/2013-52</t>
  </si>
  <si>
    <t>OFÍCIO ENCAMINHANDO DESPESAS COM PRESTAÇÃO DE SERVIÇOS PARA PAGAMENTO.</t>
  </si>
  <si>
    <t>Aquisição de Material Permanente (Ar Condicionado com Instalação)</t>
  </si>
  <si>
    <t>A.C. CASTRO - ME</t>
  </si>
  <si>
    <t>11.276/14</t>
  </si>
  <si>
    <t>1677-7069/14</t>
  </si>
  <si>
    <t>Instituto Brasileiro de Geografia e Estatística - IBGE</t>
  </si>
  <si>
    <t>Prestação de Serviço de Desinstalação e Instalação de PABX</t>
  </si>
  <si>
    <t>SISTEL - SISTEMA TEL. COM. E SERV. LTDA - ME</t>
  </si>
  <si>
    <t>0026377-7/13</t>
  </si>
  <si>
    <t>1.325/2013</t>
  </si>
  <si>
    <t>Prestação de Serviço de Confecção de Camisetas e Abadás</t>
  </si>
  <si>
    <t>J. ERIVALDO SILVA DE SOUZA</t>
  </si>
  <si>
    <t>11.309/14</t>
  </si>
  <si>
    <t>11.238/14</t>
  </si>
  <si>
    <t>11.303/14</t>
  </si>
  <si>
    <t>012/14</t>
  </si>
  <si>
    <t>Prestação de Serviço de Locação de Banheiro Químico</t>
  </si>
  <si>
    <t>LOCA MÁQUINAS-LOCAÇÃO DE MÁQUINAS LTDA</t>
  </si>
  <si>
    <t>08.488.130/0001-27</t>
  </si>
  <si>
    <t>0015596-8/13</t>
  </si>
  <si>
    <t>Aquisição de Bens Permanente (Mobiliário)</t>
  </si>
  <si>
    <t>11.079/2013</t>
  </si>
  <si>
    <t>S. F. CAVALCANTE - ME</t>
  </si>
  <si>
    <t>11.318/14</t>
  </si>
  <si>
    <t>11.314/14</t>
  </si>
  <si>
    <t>0002939-5/14</t>
  </si>
  <si>
    <t>Aquisição de Material de Consumo (Premiações)</t>
  </si>
  <si>
    <t>CALURINO FERRAZ MIRANDA-EPP</t>
  </si>
  <si>
    <t>11.331/14</t>
  </si>
  <si>
    <t>004/14</t>
  </si>
  <si>
    <t>Aquisição de Material de Consumo (Gráfico)</t>
  </si>
  <si>
    <t>11.349/14</t>
  </si>
  <si>
    <t>204/14</t>
  </si>
  <si>
    <t>Prefeitura Municipal de Senador Guiomard</t>
  </si>
  <si>
    <t>11.347/14</t>
  </si>
  <si>
    <t>23107.005830/2013-63</t>
  </si>
  <si>
    <t>04.339.437/0001-15</t>
  </si>
  <si>
    <t>11.345/14</t>
  </si>
  <si>
    <t>1677-7069</t>
  </si>
  <si>
    <t>Universidade Federal do Acre-UFAC</t>
  </si>
  <si>
    <t>11.332/14</t>
  </si>
  <si>
    <t>0002944-1/14</t>
  </si>
  <si>
    <t>254/2014</t>
  </si>
  <si>
    <t>Contratação de Empresa para Prestação de Serviço de Arbitragem Desportiva</t>
  </si>
  <si>
    <t>11.265/2014</t>
  </si>
  <si>
    <t>FAK COM. SERV. E REP. LTDA</t>
  </si>
  <si>
    <t>07.408.981/0001-50</t>
  </si>
  <si>
    <t>11.335/14</t>
  </si>
  <si>
    <t>11.297/14</t>
  </si>
  <si>
    <t>Fornecimento de Água Mineral e Gelo e Locação de Caixa Térmica (Geleira), Mesas e Cadeiras.</t>
  </si>
  <si>
    <t>11.336/2014</t>
  </si>
  <si>
    <t>R. MARTINS DA COSTA - ME</t>
  </si>
  <si>
    <t>04.590.435/000-94</t>
  </si>
  <si>
    <t>11.355/14</t>
  </si>
  <si>
    <t>3.3.90.30.00/ 3.3.90.39.00</t>
  </si>
  <si>
    <t>238/2014</t>
  </si>
  <si>
    <t>Prestação de Serviço em Recarga de Tonner</t>
  </si>
  <si>
    <t>11.339/2014</t>
  </si>
  <si>
    <t>CAIO O. BARROS- ME</t>
  </si>
  <si>
    <t>15.245.083/0001-56</t>
  </si>
  <si>
    <t>Aquisição de Material de Consumo (Bolas)</t>
  </si>
  <si>
    <t>COMERCIAL FONTENELE LTDA - ME</t>
  </si>
  <si>
    <t>00.953.550/0001-25</t>
  </si>
  <si>
    <t>Art. 24, II da Lei 8.666/97</t>
  </si>
  <si>
    <t>Aquisição de material de consumo (tinta PVA)</t>
  </si>
  <si>
    <t>07.622.497/0001-29</t>
  </si>
  <si>
    <t>Prestação de Serviço de Locução Esportiva</t>
  </si>
  <si>
    <t>VERA LUCIA NOGUEIRA DA SILVA</t>
  </si>
  <si>
    <t>653.008.402-97</t>
  </si>
  <si>
    <t>Aquisição de material de consumo e escritório</t>
  </si>
  <si>
    <t>11.366/2014</t>
  </si>
  <si>
    <t>ARNALDO COMÉRCIO E REPRESENTAÇÕES - EPP</t>
  </si>
  <si>
    <t>11.383/14</t>
  </si>
  <si>
    <t>093/214</t>
  </si>
  <si>
    <t>Fornecimento de lanches, frutas e isôtonico</t>
  </si>
  <si>
    <t>11.376/2014</t>
  </si>
  <si>
    <t>CÉLIO PEREIRA ME</t>
  </si>
  <si>
    <t>11.446/14</t>
  </si>
  <si>
    <t>M &amp; Z INDUSTRIA E COMÉRCIO LTDA</t>
  </si>
  <si>
    <t>63601.116/0001-04</t>
  </si>
  <si>
    <t>11.384/14</t>
  </si>
  <si>
    <t>287/2014</t>
  </si>
  <si>
    <t>Aquisição de material de consumo (material esportivo)</t>
  </si>
  <si>
    <t>11.380/15</t>
  </si>
  <si>
    <t>11.410/14</t>
  </si>
  <si>
    <t>Locação de barco rebocador com motor</t>
  </si>
  <si>
    <t>S. W. ARAÚJO - ME</t>
  </si>
  <si>
    <t>20.514.340/0001-48</t>
  </si>
  <si>
    <t>Pregão por Sistema de Registro de Preços Nº 071/2012 - CEL I - PMRB - (Carona - Sec. Policia Civil)</t>
  </si>
  <si>
    <t>Prestação de serviços de manutenção, restauração, conservação de painéis cenográficos, placa de aço inox, sintética têxtil e execução de comunicação visual.</t>
  </si>
  <si>
    <t>D. C. da Silva Milanin - ME.</t>
  </si>
  <si>
    <t>Prorrogação de vigencia</t>
  </si>
  <si>
    <t>26/2012</t>
  </si>
  <si>
    <t>Secretaria de Estado da Policia Civil-SEPC</t>
  </si>
  <si>
    <t>1271/2012</t>
  </si>
  <si>
    <t>Pregão por Sistema de Registro de Preços Nº 1271/2012 - CEL I - PMRB - (Carona - FEM)</t>
  </si>
  <si>
    <t>Adesão a registro de preço</t>
  </si>
  <si>
    <t>Contratação de empresa para prestação de serviços de sonorização e iluminação.</t>
  </si>
  <si>
    <t>T. P. P. Silva - ME.</t>
  </si>
  <si>
    <t>01.805.533/0001-03</t>
  </si>
  <si>
    <t>Pregão por Sistema de Registro de Preços Nº 300/2012 - CPL 06 - PMRB - (Carona - FEM)</t>
  </si>
  <si>
    <t>Prestação de serviços de locação de veículos (pick-up cabine dupla e veículo de passeio), destinados a atender as necessidades desta Fundação.</t>
  </si>
  <si>
    <t>454/2012</t>
  </si>
  <si>
    <t>Pregão por Sistema de Registro de Preços Nº 454/2012 - CEL II - PMRB - (Carona - SEE)</t>
  </si>
  <si>
    <t>Contratação de empresa para locação de tendas e estruturas metálicas, locação de piso elevado, grade de isolamento, placas de fechamento e arquibancadas, visando atender as atividades da Fundação Municipal de Cultura Garibaldi Brasil.</t>
  </si>
  <si>
    <t>Kampô Promoções e Eventos Ltda.</t>
  </si>
  <si>
    <t>09.441.345/0001-55</t>
  </si>
  <si>
    <t>Prorrogação de vigencia e de valor</t>
  </si>
  <si>
    <t>113/2012</t>
  </si>
  <si>
    <t>Secretaria deEstado de educação e Esporte</t>
  </si>
  <si>
    <t>Pregão por Sistema de Registro de Preços Nº 005/2013 - CPL III - (Carona - Casa Civil)</t>
  </si>
  <si>
    <t>Maior percentual de desconto sobre o valor da taxa de administração</t>
  </si>
  <si>
    <t>Aquisição de passagens aéreas e terrestres,  para atender as atividades desta Fundação Municipal de Cultura Garibaldi Brasil.</t>
  </si>
  <si>
    <t>Kampa - Viagens, Serviços e Eventos Ltda.</t>
  </si>
  <si>
    <t>11.022</t>
  </si>
  <si>
    <t>Casa Civil do Estado</t>
  </si>
  <si>
    <t>11.062</t>
  </si>
  <si>
    <t>Pregão Presencial para Registro de Preços Nº 001/2013 - (Carona - Tribunal de Contas do Estado)</t>
  </si>
  <si>
    <t>contratação de empresa especializada em locação de impressora multifuncional, com fornecimento de todo material necessário, exceto papel A4 para realização do serviço, com tecnologia digital laser, led ou superior .</t>
  </si>
  <si>
    <t>DUX Comércio, Representações, Imp. e Exp. Ltda.</t>
  </si>
  <si>
    <t>11.213</t>
  </si>
  <si>
    <t>Tibunal de Contas do Acre</t>
  </si>
  <si>
    <t>aquisição de material gráfico e prestação de serviços de confecção de carimbos simples, datador e automáticos, cópias de chaves, encadernações, plastificação, plotagem, impressões e fotocópias simples, e em grandes formatos.</t>
  </si>
  <si>
    <t>COPIART – Indústria e Comércio de Cópias Ltda.</t>
  </si>
  <si>
    <t>Pregão Presencial para Registro de Preços Nº 051/2012 - (Carona - SEMSA)</t>
  </si>
  <si>
    <t>Contratação de empresa para fornecimento de refeições reparadas e lanches, com vista a atender as necessidades da Fundação Garibaldi Brasil.</t>
  </si>
  <si>
    <t>Ramão Vieira de Oliveira - ME</t>
  </si>
  <si>
    <t>05.395.215/0001-72</t>
  </si>
  <si>
    <t>11.064</t>
  </si>
  <si>
    <t>224/2012</t>
  </si>
  <si>
    <t>Pregão Presencial para Registro de Preços Nº 224/2013 - CPL III (Carona - SEMA)</t>
  </si>
  <si>
    <t>Contratação de empresa para prestação de serviços de Hospedagem, Alimentação e locação de auditório, para atender as demandas da Fundação Garibaldi Brasil.</t>
  </si>
  <si>
    <t>Crissoteles Loureiro de Oliveira - ME</t>
  </si>
  <si>
    <t>Secretaria de Estado de Meio Ambiente SEMA</t>
  </si>
  <si>
    <t>Pregão Presencial para Registro de Preços Nº 042/2013 - CPL.</t>
  </si>
  <si>
    <t>Locação de equipamentos de informática.</t>
  </si>
  <si>
    <t>C. Com. Informática Imp. E Exp. Ltda</t>
  </si>
  <si>
    <t>Pregão Presencial para Registro de Preços Nº 017/2013 – CPL I (Carona – DERACRE)</t>
  </si>
  <si>
    <t>Aquisição de carga de gás (GLP) de 13Kg para atender as necessidades da Fundação Garibaldi Brasil.</t>
  </si>
  <si>
    <t>Augusto S. de Araujo - ME</t>
  </si>
  <si>
    <t>05.511.061/0001/37</t>
  </si>
  <si>
    <t>11.014</t>
  </si>
  <si>
    <t>Instituto de Educação Profissional Dom Moacir</t>
  </si>
  <si>
    <t>Art.25;26</t>
  </si>
  <si>
    <t>Pregão Presencial para Registro de Preços Nº 088/2013 - CPL.</t>
  </si>
  <si>
    <t>Aquisição de Material permanente e consumo (equipamentos de som e cabos) para atender as atividades da Fundação Garibaldi Brasil.</t>
  </si>
  <si>
    <t>S &amp; S Com. e Representações de Tintas Ltda.</t>
  </si>
  <si>
    <t>088/2013</t>
  </si>
  <si>
    <t>11.078</t>
  </si>
  <si>
    <t>Gilson S. Braga - ME</t>
  </si>
  <si>
    <t>05.511.061/0001-37</t>
  </si>
  <si>
    <t>Pregão presencial por Sistema para registro de preço Nº 096/2013</t>
  </si>
  <si>
    <t>Locação de banheiros químicos, incluindo instalação e manutenção, destinadas a atender as atividades desta Fundação.</t>
  </si>
  <si>
    <t>LOCA-MAQUINAS</t>
  </si>
  <si>
    <t>Pregão Presencial para Registro de Preços Nº 150/2013 - CPL (Carona - SESP)</t>
  </si>
  <si>
    <t>Contratação de empresa especializada em prestação de serviços gráficos e publicidade.</t>
  </si>
  <si>
    <t>02.787.053/0001/20</t>
  </si>
  <si>
    <t>SESP</t>
  </si>
  <si>
    <t>Pregão Presencial para Registro de Preços Nº 014/2013 - CPL (Carona – SEME)</t>
  </si>
  <si>
    <t>Aquisição de material de consumo e expediente.</t>
  </si>
  <si>
    <t>Richard S. Miranda.</t>
  </si>
  <si>
    <t>11.125</t>
  </si>
  <si>
    <t>Arnaldo Comércio e Representações.</t>
  </si>
  <si>
    <t>390/2013</t>
  </si>
  <si>
    <t>Pregão Presencial para Registro de Preços Nº 390/2013 - CPL 04 (Carona – SESACRE)</t>
  </si>
  <si>
    <t>Contratação de empresa especializada para prestação de serviços de conserto de pneus, montagem de pneus, alinhamento e balanceamento, cambagem e rodízio.</t>
  </si>
  <si>
    <t>Braumag Ltda.</t>
  </si>
  <si>
    <t>11.146</t>
  </si>
  <si>
    <t>Pregão Eletrônico para Registro de Preços Nº 006/2013 (Carona – TRE)</t>
  </si>
  <si>
    <t>Prestação de serviços de apoio administrativo (Digitador e Recepcionista).</t>
  </si>
  <si>
    <t>Vieira e Gomes Ltda.</t>
  </si>
  <si>
    <t>01/2021</t>
  </si>
  <si>
    <t>11.263</t>
  </si>
  <si>
    <t>Tibunal Regional Eleitoral do Acre-TER</t>
  </si>
  <si>
    <t>Pregão Presencial para Registro de Preços Nº 111/2013 - CPL</t>
  </si>
  <si>
    <t>Contratação de empresa objetivando a prestação de serviços de elaboração de projeto gráfico, diagramação e criação de exposição.</t>
  </si>
  <si>
    <t>Maxtane Martins Dias - MX Design</t>
  </si>
  <si>
    <t>1067/2013</t>
  </si>
  <si>
    <t>Pregão Presencial para Registro de Preços  nº1067/2013- CPL 06</t>
  </si>
  <si>
    <t>Contratação de empresa para o fornecimento de oleo lubrificante, fluido para freios, incluindo o serviço de troca de óleo e substituição de filtros de óleo, de ar e combustivel.</t>
  </si>
  <si>
    <t>Secretaria de Estado de Policia Civil</t>
  </si>
  <si>
    <t>060/2013</t>
  </si>
  <si>
    <t>Pregão Presencial para Registro de Preços Nº 118/2013 - CEL 01 (Carona - FEM)</t>
  </si>
  <si>
    <t>Contratação de empresa para fretamento de meios de transporte terrestre, para atender as necessidades da Fundação Garibaldi Brasil.</t>
  </si>
  <si>
    <t>11.028</t>
  </si>
  <si>
    <t>M. Saionara Soares Damasceno</t>
  </si>
  <si>
    <t>Pregão Presencial para Registro de Preços Nº 113/2013 - CPL</t>
  </si>
  <si>
    <t>Contratação de empresa promotora de eventos para agenciamento de grupos musicais, grupos de teatro, animadores culturais e músicos individuais locais.</t>
  </si>
  <si>
    <t>10.967</t>
  </si>
  <si>
    <t>24/10/213</t>
  </si>
  <si>
    <t>220/2013</t>
  </si>
  <si>
    <t>Pregão Presencial para Registro de Preços Nº 220/2013 - (Carona - SESACRE)</t>
  </si>
  <si>
    <t>Aquisição de equipamentos e software de informática.</t>
  </si>
  <si>
    <t>11.087</t>
  </si>
  <si>
    <t>11.183</t>
  </si>
  <si>
    <t>Pregão Presencial para Registro de Preços Nº 076/2013 - (Carona - SAFRA)</t>
  </si>
  <si>
    <t>Contratação de empresa para prestação de serviços de limpeza e conservação. (Zelador Diurno e Zelador Noturno).</t>
  </si>
  <si>
    <t>11.089</t>
  </si>
  <si>
    <t>Cooperativa de Trabalho Autônomo em Serviços Gerais - COOPESERG.</t>
  </si>
  <si>
    <t>01.010.472/0001-59</t>
  </si>
  <si>
    <t>11.187</t>
  </si>
  <si>
    <t>SAFRA</t>
  </si>
  <si>
    <t>070/2013</t>
  </si>
  <si>
    <t>Pregão Presencial para Registro de Preços Nº 120/2013 - CPL.</t>
  </si>
  <si>
    <t>Contratação de empresa promotora de eventos para agenciamento de grupos musicais, grupos de teatro, animadores culturais e músicos individuais locais para as atividades natalinas de 2013 e aniversário de 131 anos da cidade de Rio Branco.</t>
  </si>
  <si>
    <t>KAMPA - Viagens, Serviços e Eventos Ltda.</t>
  </si>
  <si>
    <t>11.180</t>
  </si>
  <si>
    <t>Pregão Presencial para Registro de Preços Nº 618/2013 – CPL 03 (Carona – Gabinete do Vice-Governador)</t>
  </si>
  <si>
    <t>11.098</t>
  </si>
  <si>
    <t>Lopes &amp; Cavalacnte Ltda.</t>
  </si>
  <si>
    <t>11.204</t>
  </si>
  <si>
    <t>Gabinete do Vice Governador</t>
  </si>
  <si>
    <t>127/2013</t>
  </si>
  <si>
    <t>Pregão Presencial para Registro de Preços Nº 127/2013 – CPL.</t>
  </si>
  <si>
    <t>Contratação de empresa produtora de eventos para promover os serviços de natureza esportiva que farão parte da programação dos 131 anos do Aniversário da cidade de Rio Branco.</t>
  </si>
  <si>
    <t>11.200</t>
  </si>
  <si>
    <t>Prorrogação de vigencia
Aditivo de valor</t>
  </si>
  <si>
    <t>131/2013</t>
  </si>
  <si>
    <t>Pregão Presencial para Registro de Preços Nº 131/2013/CPL</t>
  </si>
  <si>
    <t>Contratação de empresa para fornecimento de água mineral 20 litros e 500 ML, gelo em barra 20 kg, locação de mesas plásticas com 04 cadeiras e locação de cadeiras, para atender as necessidades da Fundação Garibaldi Brasil.</t>
  </si>
  <si>
    <t>R. Martins da Costa - ME.</t>
  </si>
  <si>
    <t>Pregão Presencial para Registro de Preços Nº 005/2014/CPL</t>
  </si>
  <si>
    <t>Contratação de empresa para locação de tendas e estruturas metálicas, locação de piso elevado, grade de isolamento, placa de fechamento, arquibancada modular, climatizadores e outros</t>
  </si>
  <si>
    <t>Kampô Promoções E Eventos Ltda</t>
  </si>
  <si>
    <t>Pregão Presencial para Registro de Preços Nº 007/2014/CPL</t>
  </si>
  <si>
    <t>Contratação de pessoa juridica para prestação de serviços de transporte em veículos tipo passeio, utilitário e motocicleta.</t>
  </si>
  <si>
    <t>M. R. C. Aguiar - ME</t>
  </si>
  <si>
    <t>M. R. C. de Lima</t>
  </si>
  <si>
    <t>Pregão Presencial para Registro de Preços Nº 006/2014/CPL</t>
  </si>
  <si>
    <t>Confecção de Camisetas e abadás personalizados.</t>
  </si>
  <si>
    <t>J. Erivaldo Silva de Souza - ME (Só Kamizetas)</t>
  </si>
  <si>
    <t>Fibratex - Industria e Com. Ltda</t>
  </si>
  <si>
    <t>Inexigibilidade de Licitação Nº 001/2014.</t>
  </si>
  <si>
    <t>Contratação de serviços de assistência técnica e reposição de peças do veículo Caminhão, tipo Furgão, ano de fabricação 2000, Marca/Modelo Agrale/7000 DX, pertencente a Fundação Garibaldi Brasil.</t>
  </si>
  <si>
    <t>11.244</t>
  </si>
  <si>
    <t>Mercetoya Peças e Acessórios Ltda</t>
  </si>
  <si>
    <t>Lei nº 8.666/93</t>
  </si>
  <si>
    <t>Concorrência para Registro de Preços Nº 001/2014/CPL</t>
  </si>
  <si>
    <t>Contratação de empresa para prestação de serviços de confecção e instalação de substrato em estruturas metálicas.</t>
  </si>
  <si>
    <t>SULVEP - Veículação e Propaganda Eireli - ME</t>
  </si>
  <si>
    <t>Pregão Presencial para Registro de Preços Nº 064/2013 (Carona - Ministério Público)</t>
  </si>
  <si>
    <t>Aquisição de materiais de consumo, elétrico, hidráulico, pintura, ferramentas e utensílios.</t>
  </si>
  <si>
    <t>11.250</t>
  </si>
  <si>
    <t>Paranorte Imp. e Exp. Ltda</t>
  </si>
  <si>
    <t>A. Jácome Ferreira Imp. e Exp.</t>
  </si>
  <si>
    <t>65.590.103/0001-79</t>
  </si>
  <si>
    <t>Pregão Presencial para Registro de Preços Nº 033/2014/CPL</t>
  </si>
  <si>
    <t>Contratação de empresa promotora de eventos. (Carnaval)</t>
  </si>
  <si>
    <t>11.245</t>
  </si>
  <si>
    <t>Pregão Presencial para Registro de Preços Nº 043/2014/CPL</t>
  </si>
  <si>
    <t>Contratação de empresa especializada para prestação de serviços de postos de vigilância patrimonial armada de 12 (doze) horas diurnas e 12 (doze) horas noturnas em períodos esporádicos</t>
  </si>
  <si>
    <t>11.222</t>
  </si>
  <si>
    <t>Gold Service Vigilância E Segurança - Eireli</t>
  </si>
  <si>
    <t>02.764.609/0001-62</t>
  </si>
  <si>
    <t>Pregão Presencial para Registro de Preços Nº 051/2014/CPL</t>
  </si>
  <si>
    <t>Contratação de empresa para serviços de fretamento de meios de transportes terrestre.</t>
  </si>
  <si>
    <t>A. Coelho dos Santos - ME</t>
  </si>
  <si>
    <t>Pregão Presencial para Registro de Preços Nº 040/2014/CPL</t>
  </si>
  <si>
    <t>Aquisição de material de consumo (Cartuchos e tonners).</t>
  </si>
  <si>
    <t>Universo Cartuchos Ltda ME</t>
  </si>
  <si>
    <t>Pregão Presencial para Registro de Preços Nº 070/2014/CPL</t>
  </si>
  <si>
    <t>Fornecimento de kista de lanhes e refeições preparadas.</t>
  </si>
  <si>
    <t>11.296</t>
  </si>
  <si>
    <t>G. S. C Vidal - ME</t>
  </si>
  <si>
    <t>10.215.763/0001-03</t>
  </si>
  <si>
    <t>Pregão Presencial para Registro de Preços Nº 069/2014/CPL</t>
  </si>
  <si>
    <t>Aquisição de material permanente (eletrodomésticos)</t>
  </si>
  <si>
    <t>S &amp; S Comércio e Representações de Tintas Ltda</t>
  </si>
  <si>
    <t xml:space="preserve"> D. L. Ramos Ltda</t>
  </si>
  <si>
    <t>1445/2013</t>
  </si>
  <si>
    <t>Pregão Presencial para Registro de Preços Nº 1.445/2013 (Carona - FEM)</t>
  </si>
  <si>
    <t>Contratação de professor (pessoa física) para ministração de aulas de dança de salão.</t>
  </si>
  <si>
    <t>11339</t>
  </si>
  <si>
    <t>Antônio Junior de Souza Uchôa</t>
  </si>
  <si>
    <t>646.192.653-49</t>
  </si>
  <si>
    <t>11.339</t>
  </si>
  <si>
    <t>Elias Mansour-FEM</t>
  </si>
  <si>
    <t>Pregão Presencial para Registro de Preços Nº 053/2014 (Carona -SAFRA)</t>
  </si>
  <si>
    <t>Contrataçãp de empresa para o fornecimento de material permanente (TV, antena e tubo Galvanizado para antena externa) visando atender as necessidades da Fundação Garibaldi.</t>
  </si>
  <si>
    <t>Alfa Comércio e Serviços Ltda</t>
  </si>
  <si>
    <t>11.293</t>
  </si>
  <si>
    <t>Secretaria Municipal de Agricultura e Floresta- SAFRA</t>
  </si>
  <si>
    <t>Pregão Presencial para Registro de Preços Nº 091/2014</t>
  </si>
  <si>
    <t>Percentual sobre o valor</t>
  </si>
  <si>
    <t>Contratação de empresa produtora de eventos para agenciamento de grupos musicais, contação de estórias, apresentação de teatro, apresentação de dança e grupo de cultura popular</t>
  </si>
  <si>
    <t>Aplicativa Brasil Ltda.</t>
  </si>
  <si>
    <t>Pregão nº 013/2013 CPL/PMRB</t>
  </si>
  <si>
    <t>Sistema de Registro de Preços</t>
  </si>
  <si>
    <t>Contratação de serviços de transporte de 02 (duas motocicletas, com condutor,)</t>
  </si>
  <si>
    <t>11.011/13</t>
  </si>
  <si>
    <t>Roneison Vieira da Silva</t>
  </si>
  <si>
    <t>003.687.892-84</t>
  </si>
  <si>
    <t>Fonte 10</t>
  </si>
  <si>
    <t>Prorrogação de Prazo (Serviço Continuado) - 08 MESES</t>
  </si>
  <si>
    <t>Contratação de serviços de transporte de 02 (duas motocicletas, com condutor</t>
  </si>
  <si>
    <t>Silvio da Silva Pinto</t>
  </si>
  <si>
    <t>617.232.402-06</t>
  </si>
  <si>
    <t>Prorrogação de Prazo (Serviço Continuado)</t>
  </si>
  <si>
    <t>040/2010</t>
  </si>
  <si>
    <t>Convite nº 014/2010</t>
  </si>
  <si>
    <t>Locação de Veículo, com condutor</t>
  </si>
  <si>
    <t>10.206/2010</t>
  </si>
  <si>
    <t>Marcos Aurélio Lima de Moura</t>
  </si>
  <si>
    <t>360.628.202-87</t>
  </si>
  <si>
    <t>Prorrogar o prazo do contrato e acréscimo</t>
  </si>
  <si>
    <t>2º Termo Aditivo</t>
  </si>
  <si>
    <t>Prorrogar o prazo do contrato</t>
  </si>
  <si>
    <t>3º Termo Aditivo</t>
  </si>
  <si>
    <t xml:space="preserve">Prorrogar o prazo do contrato </t>
  </si>
  <si>
    <t>4º Termo Aditivo</t>
  </si>
  <si>
    <t>Rerpactuação do valor contratual com efeito retroativo a abril de 2012</t>
  </si>
  <si>
    <t>Valores Retroativo ao contrato</t>
  </si>
  <si>
    <t>5º Termo Aditivo</t>
  </si>
  <si>
    <t>6º Termo Aditivo</t>
  </si>
  <si>
    <t>228/2010</t>
  </si>
  <si>
    <t>Convite nº 045/2010</t>
  </si>
  <si>
    <t>Locação de Veículo (Caminhonete) com condutor</t>
  </si>
  <si>
    <t>061/2010</t>
  </si>
  <si>
    <t>Felismino Paulino de Souza (M. V. DE LIMA)</t>
  </si>
  <si>
    <t>058.264.972-20</t>
  </si>
  <si>
    <t>Fonte 01</t>
  </si>
  <si>
    <t>Repactuação do valor contratual</t>
  </si>
  <si>
    <t>7º Termo Aditivo</t>
  </si>
  <si>
    <t>187/2013</t>
  </si>
  <si>
    <t>Tomada de Preços nº 007/2013</t>
  </si>
  <si>
    <t>Por empreitada por preço unitário, pelo critério de menor preço unitário</t>
  </si>
  <si>
    <t>Contratação de Empresa de Engenharia para construção de abrigos dos usuários do transporte coletivo</t>
  </si>
  <si>
    <t>Construtora Solar Ltda</t>
  </si>
  <si>
    <t>11.179/13</t>
  </si>
  <si>
    <t>Fonte 01 e Fonte 10</t>
  </si>
  <si>
    <t xml:space="preserve">1º Termo Aditivo   </t>
  </si>
  <si>
    <t>11.110/13</t>
  </si>
  <si>
    <t>08/05/13</t>
  </si>
  <si>
    <t>11/02/14</t>
  </si>
  <si>
    <t>S/N</t>
  </si>
  <si>
    <t>14/05/13</t>
  </si>
  <si>
    <t>Foram Construídos: 12 abrigos do tipo 01 - simples com cobertura de 01 (uma) água e 05 abrigos simples, com cobertura de 02 (duas) água</t>
  </si>
  <si>
    <t xml:space="preserve">2º Termo Aditivo  </t>
  </si>
  <si>
    <t>11.179/14</t>
  </si>
  <si>
    <t>Pregão SRP 011/2011 CPL/PMRB</t>
  </si>
  <si>
    <t xml:space="preserve">Contratação de Empresa para Prestação de Serviços de Limpeza e Conservação nas dependências do Terminal Urbano da Cidade de Rio Branco-Acre </t>
  </si>
  <si>
    <t>Cooperativa de Trabalhadores Autônomos em Serviços Gerais - Coopserge</t>
  </si>
  <si>
    <t>Fonte 10 e 01</t>
  </si>
  <si>
    <t>Rerpactuação do valor contratual</t>
  </si>
  <si>
    <t>6%</t>
  </si>
  <si>
    <t>1º Termo Rescisão</t>
  </si>
  <si>
    <t>Termo de Rescisão Amigável</t>
  </si>
  <si>
    <t>9%</t>
  </si>
  <si>
    <t xml:space="preserve"> 3º Termo Aditivo</t>
  </si>
  <si>
    <t>Prorrogar o prazo do contrato para o exercício de 2013</t>
  </si>
  <si>
    <t>Acréscimo da Área Contratada</t>
  </si>
  <si>
    <t>11%</t>
  </si>
  <si>
    <t>Repactuação de Preço</t>
  </si>
  <si>
    <t>Prorrogar o prazo do contrato para o exercício de 2014</t>
  </si>
  <si>
    <t>11.467/14</t>
  </si>
  <si>
    <t>Prorrogar o prazo do contrato para o exercício de 2015</t>
  </si>
  <si>
    <t>Pregão SRP 006/2011 CPL/PMRB</t>
  </si>
  <si>
    <t>Adesão ao Registro de Preços</t>
  </si>
  <si>
    <t>Contratação de Empresa para Serviços de Portaria nas dependências do Terminal Urbano e Rodoviário</t>
  </si>
  <si>
    <t>093/2012</t>
  </si>
  <si>
    <t>10953/13</t>
  </si>
  <si>
    <t>Prorrogar o prazo do contrato e acréscimo, exercício de 2013</t>
  </si>
  <si>
    <t>107/2011</t>
  </si>
  <si>
    <t>10.852/12</t>
  </si>
  <si>
    <t>Secretaria Estadual de Educação e Esporte</t>
  </si>
  <si>
    <t xml:space="preserve"> 2º Termo Aditivo</t>
  </si>
  <si>
    <t>11059/13</t>
  </si>
  <si>
    <t>Aditivo de Supressão de 02 Agentes de Portaria</t>
  </si>
  <si>
    <t>5%</t>
  </si>
  <si>
    <t>Prorrogar o prazo do contrato, exercício de 2013</t>
  </si>
  <si>
    <t>Acrescer 04 agentes de Portaria</t>
  </si>
  <si>
    <t>22%</t>
  </si>
  <si>
    <t>11.210/13</t>
  </si>
  <si>
    <t>110/2012</t>
  </si>
  <si>
    <t>10.899</t>
  </si>
  <si>
    <t>11.489/14</t>
  </si>
  <si>
    <t>Pregão SRP 018/2012 CPL/PMRB</t>
  </si>
  <si>
    <t>Contratação de empresa especializada para prestação de serviços terceirizados em suporte de atividades auxiliares, limpeza e conservação</t>
  </si>
  <si>
    <t>10974/13</t>
  </si>
  <si>
    <t>11203/13</t>
  </si>
  <si>
    <t>Supressão de 10 zeladores</t>
  </si>
  <si>
    <t>21%</t>
  </si>
  <si>
    <t>10.829/12</t>
  </si>
  <si>
    <t>11.283/14</t>
  </si>
  <si>
    <t>Acrescer 06 Zeladores</t>
  </si>
  <si>
    <t>12%</t>
  </si>
  <si>
    <t>11467/14</t>
  </si>
  <si>
    <t>Pregão SRP Nº 018/2012 CEL I/PMRB</t>
  </si>
  <si>
    <t>Contratação de empresa para prestação de serviços terceirizados especializados em suporte de atividades auxiliares, limpeza e conservação</t>
  </si>
  <si>
    <t>ASA - Agência de Serviços do Acre Ltda</t>
  </si>
  <si>
    <t>Pregão SRP 015/2012 CPL/PMRB</t>
  </si>
  <si>
    <t>Prestação de serviços terceirizados de apoio administrativo e operacional</t>
  </si>
  <si>
    <t>Teixeira &amp; Aguiar Ltda</t>
  </si>
  <si>
    <t>11.034/13</t>
  </si>
  <si>
    <t>Acrescer 1% ao valor do contrato</t>
  </si>
  <si>
    <t>1%</t>
  </si>
  <si>
    <t>11.058/13</t>
  </si>
  <si>
    <t>Acrescer 01 recepcionista</t>
  </si>
  <si>
    <t>11.135/13</t>
  </si>
  <si>
    <t>Acrescer 01 Atendente</t>
  </si>
  <si>
    <t>4%</t>
  </si>
  <si>
    <t xml:space="preserve">4º Termo Aditivo </t>
  </si>
  <si>
    <t>11.210/14</t>
  </si>
  <si>
    <t>Prorrogar prazo pelo período de 02 meses/exercício de 2014</t>
  </si>
  <si>
    <t>11.255/14</t>
  </si>
  <si>
    <t>Prorrogar vigência para março e abril/2014</t>
  </si>
  <si>
    <t>11.274/14</t>
  </si>
  <si>
    <t>Suprimir 01 atendente</t>
  </si>
  <si>
    <t>Equivocadamente não foi publicado</t>
  </si>
  <si>
    <t xml:space="preserve"> Prorrogar para maio a dezembro/14</t>
  </si>
  <si>
    <t>Pregão SRP 059/2012 CPL/PMRB</t>
  </si>
  <si>
    <t>Locação de veículo , tipo passeio, sem condutor</t>
  </si>
  <si>
    <t>D. S. Maia Lima ME</t>
  </si>
  <si>
    <t>13.286.217/0001-51</t>
  </si>
  <si>
    <t>Gabinete do Vice-Governador</t>
  </si>
  <si>
    <t>Pregão SRP 526/2012 CPL/PMRB</t>
  </si>
  <si>
    <t>Locação de 02 (dois) veículos com motorista para atender as necessidades das equipes de fiscalização de trânsito e transportes desta Autarquia.</t>
  </si>
  <si>
    <t>M. R. C. de Lima ME</t>
  </si>
  <si>
    <t>Secretaria de Estado de Políticas para Mulheres</t>
  </si>
  <si>
    <t>Pregão SRP 584/2012 CPL/PMRB</t>
  </si>
  <si>
    <t>Manutenção de kits com filtros e caixas refrigeradas industriais</t>
  </si>
  <si>
    <t>V. L. F. Gaspar</t>
  </si>
  <si>
    <t>11.315/14</t>
  </si>
  <si>
    <t>Instituto Socio Educativo</t>
  </si>
  <si>
    <t>11.457/14</t>
  </si>
  <si>
    <t>Prorrogar o prazo do contrato - 12 meses</t>
  </si>
  <si>
    <t>Pregão SRP 728/2012 CPL/PMRB</t>
  </si>
  <si>
    <t>Contratação de empresa para prestação de serviços de transporte de pessoas em veículo utilitário com condutores</t>
  </si>
  <si>
    <t>Secretaria de Estado de Desenvolvimento Social</t>
  </si>
  <si>
    <t>Pregão SRP 126/2013 CPL/PMRB</t>
  </si>
  <si>
    <t>Prestação de serviços de segurança armada, desarmada e eletrônica com monitoramento remoto</t>
  </si>
  <si>
    <t>Estação VIP Segurança Privada Ltda</t>
  </si>
  <si>
    <t>03/09/200</t>
  </si>
  <si>
    <t>Pregão SRP 031/2013 CPL/PMRB</t>
  </si>
  <si>
    <t>11.097/13</t>
  </si>
  <si>
    <t>R. S. Freitas Jucá</t>
  </si>
  <si>
    <t>11.142/13</t>
  </si>
  <si>
    <t>Prorrogar o prazo do contrato por 12 meses.</t>
  </si>
  <si>
    <t>11.449/14</t>
  </si>
  <si>
    <t>11.022/13</t>
  </si>
  <si>
    <t>Locação de Prédio para funcionamento da SEDE da RBTRANS</t>
  </si>
  <si>
    <t>10.202/09</t>
  </si>
  <si>
    <t>Emir Rodrigues de Mendonça</t>
  </si>
  <si>
    <t>003.209.782-49</t>
  </si>
  <si>
    <t>9985/09</t>
  </si>
  <si>
    <t>Art. 37, Inciso XXI, Lei Federal nº 8.666/93</t>
  </si>
  <si>
    <t>06/02/2009</t>
  </si>
  <si>
    <t>2 Termo Aditivo</t>
  </si>
  <si>
    <t>Prorrogar o prazo do contrato por 06 meses.</t>
  </si>
  <si>
    <t>Pregão SRP nº 069/2013</t>
  </si>
  <si>
    <t>Prestação de Serviços de Manutenção de Veículos (lavagem e lubrificação)</t>
  </si>
  <si>
    <t>11.169/14</t>
  </si>
  <si>
    <t>R. Ferreira de Albuquerque</t>
  </si>
  <si>
    <t>Pregão SRP nº 071/2013</t>
  </si>
  <si>
    <t>Prestação de Serviços de Reprografia (confecção de carimbos, chaves, encadernações, cópias, plotagem, etc.)</t>
  </si>
  <si>
    <t>11.206/14</t>
  </si>
  <si>
    <t>LFP3 Fotografias Ltda</t>
  </si>
  <si>
    <t>Pregão SRP nº 080/2014</t>
  </si>
  <si>
    <t>Critério de menor preço</t>
  </si>
  <si>
    <t xml:space="preserve">Prestação dos serviços de assistência técnica, manutenção preventiva e corretiva de veículos automotores (com reposição de peças, inclusive pneus), lanternagem e pintura para os veículos oficiais que compõem e aqueles que venham compor a frota oficial </t>
  </si>
  <si>
    <t>11.183/14</t>
  </si>
  <si>
    <t>Maqpeças Maq. e Implementos Agrícolas Imp. e Exp. Ltda</t>
  </si>
  <si>
    <t>1º termo aditivo</t>
  </si>
  <si>
    <t>Aditivar em 25% (vinte e cinco por cento) o valor original do contrato.</t>
  </si>
  <si>
    <t>A. S. LIMA</t>
  </si>
  <si>
    <t>Aditivar em 15% (quinze por cento) o valor original do contrato.</t>
  </si>
  <si>
    <t>Locação, Manutenção e Assistência Técnica em 18 (dezoito) estações de trabalhos e 18 (dezoito) nobreaks</t>
  </si>
  <si>
    <t>09/01/2014</t>
  </si>
  <si>
    <t>442/2014</t>
  </si>
  <si>
    <t>PREGÃO Nº. 073/2013 – SRP – CEL I /PMRB</t>
  </si>
  <si>
    <t>Aquisição de Material de Consumo – Combustível (Gasolina , Óleo Diesel e Diesel S - 10), em posto de abastecimento próprio.</t>
  </si>
  <si>
    <t>11.024</t>
  </si>
  <si>
    <t>Auto Posto Ale V Ltda</t>
  </si>
  <si>
    <t>PREGÃO Nº. 075/2013 – SRP CEL I/PMRB</t>
  </si>
  <si>
    <t>Aquisição de diversos materiais de consumo (água mineral)</t>
  </si>
  <si>
    <t>11.227</t>
  </si>
  <si>
    <t>DILSON A. RIBEIRO - ME</t>
  </si>
  <si>
    <t>PREGÃO PRESENCIAL SRP Nº 026/2013</t>
  </si>
  <si>
    <t>Prestação, de forma indireta e contínua, de serviços terceirizados, para suporte de atividades auxiliares, manutenção e conservação na área de engenharia e demais áreas, através das Funções de Agente de Suporte Operacional (Office Boy); Artífices (pintor, carpinteiro, encanador, pedreiro, eletricista); Auxiliar de Serviços Gerais; Operador de Máquina; Desenhista/Cadista; Apontador; Mestre de Obra; sem fornecimento de material</t>
  </si>
  <si>
    <t>11.229/13</t>
  </si>
  <si>
    <t>RED PONTES LTDA</t>
  </si>
  <si>
    <t>03.417.593/0001-84</t>
  </si>
  <si>
    <t>11234/14</t>
  </si>
  <si>
    <t>Fonte 01, Fonte 10 e Fonte 07</t>
  </si>
  <si>
    <t>11.459/14</t>
  </si>
  <si>
    <t>Prorrogação do Prazo para o exercício seguinte</t>
  </si>
  <si>
    <t>Tomada de Preços nº 027/2013</t>
  </si>
  <si>
    <t>Contrução de abrigos para permissionários de táxi e moto-táxi</t>
  </si>
  <si>
    <t>Entec Construção, Comércio, Importação e Exportação Ltda</t>
  </si>
  <si>
    <t>14.175.523/0001-83</t>
  </si>
  <si>
    <t>44.90.41.00</t>
  </si>
  <si>
    <t>Prorrogar o prazo de execução dos serviços pelo período de 60 (sessenta) dias.</t>
  </si>
  <si>
    <t>17/12/2013</t>
  </si>
  <si>
    <t>26/04/2014</t>
  </si>
  <si>
    <t>18/12/2013</t>
  </si>
  <si>
    <t>Obra 100% finalizada</t>
  </si>
  <si>
    <t>Prorrogar o prazo de execução dos serviços pelo período de 30 (trinta) dias.</t>
  </si>
  <si>
    <t>PREGÃO Nº. 082/2013 – SRP CPL/PMRB</t>
  </si>
  <si>
    <t>Aquisição de Material consumo (engenharia   e outros)</t>
  </si>
  <si>
    <t>PARANORTE – DIST. COML. ATAC. IMP. E EXP. LTDA</t>
  </si>
  <si>
    <t>PREGÃO SRP Nº 081/2013 CEL I/PMRB</t>
  </si>
  <si>
    <t>Aquisição de Material de Consumo (Limpeza, Gêneros Alimentícios e Outros)</t>
  </si>
  <si>
    <t>RB DISTRIBUIDORA E COMÉRCIO DE CONSUMO, MEDICAMENTOS E MERCADORIAS EM GERAL LTDA</t>
  </si>
  <si>
    <t>F. F. DE MEDEIROS</t>
  </si>
  <si>
    <t>01.020.751/0001-37</t>
  </si>
  <si>
    <t>PREGÃO Nº. 025/2013 – SRP CEL/PMRB</t>
  </si>
  <si>
    <t xml:space="preserve">Aquisição de Material Permanente (01 Ar Condicionado Split de 12.000 btus e 01 Ar Condicionado Split 18.000 btus) </t>
  </si>
  <si>
    <t>Amazon Importação e Exportação Ltda</t>
  </si>
  <si>
    <t>Pregão SRP 026/2013 CPL/PMRB</t>
  </si>
  <si>
    <t>Aquisição de material permanente (mobiliário)</t>
  </si>
  <si>
    <t>Fiorini Indústria e Comércio de Móveis Ltda</t>
  </si>
  <si>
    <t>01.014.230/0001-72</t>
  </si>
  <si>
    <t>PREGÃO Nº. 124/2013 – SRP CPL/PMRB</t>
  </si>
  <si>
    <t>Prestação de serviços de locação de equipamentos de informática (estação de trabalho All In One – com nobreak), incluindo serviços de assistência técnica</t>
  </si>
  <si>
    <t xml:space="preserve">R. S. FREITAS JUCÁ </t>
  </si>
  <si>
    <t xml:space="preserve">Aditivar o Contrato em aproximadamente 17% (dezessete por cento). </t>
  </si>
  <si>
    <t>11.250/14</t>
  </si>
  <si>
    <t>PREGÃO SRP Nº 089/2013 CEL I/PMRB</t>
  </si>
  <si>
    <t>Aquisição de Material de Consumo (cartuchos, tonners e outros)</t>
  </si>
  <si>
    <t>11.192</t>
  </si>
  <si>
    <t>M. S. MOREIRA</t>
  </si>
  <si>
    <t>02.950.813/001-78</t>
  </si>
  <si>
    <t>CALURINO FERRAZ MIRANDA – EPP</t>
  </si>
  <si>
    <t>SERMATEC COM. E SERV. IMP. E EXP. LTDA</t>
  </si>
  <si>
    <t>04.439.665/001-57</t>
  </si>
  <si>
    <t>PREGÃO SRP Nº 093/2013</t>
  </si>
  <si>
    <t xml:space="preserve">Contratação de empresa para fornecimento e instalação de enlace de fibra óptica, com mão-de-obra incluída </t>
  </si>
  <si>
    <t>11.195</t>
  </si>
  <si>
    <t>Rescisão amigável</t>
  </si>
  <si>
    <t>Rescindir amigavelmente o contrato.</t>
  </si>
  <si>
    <t>PREGÃO Nº. 015/2013 – SRP CEL I/PMRB</t>
  </si>
  <si>
    <t>Aquisição de material de consumo (camisas)</t>
  </si>
  <si>
    <t>PREGÃO SRP Nº 078/2013 CEL I/PMRB</t>
  </si>
  <si>
    <t>Aquisição de Material de Consumo (expediente)</t>
  </si>
  <si>
    <t>11.207</t>
  </si>
  <si>
    <t>PREGÃO SRP Nº 031/2013 CEL I/PMRB</t>
  </si>
  <si>
    <t>Contratação de empresa para locação de impressoras multifuncionais com sistema bulk ink e multifuncional monocromática, com manutenção preventiva, corretiva e insumos</t>
  </si>
  <si>
    <t>11.107</t>
  </si>
  <si>
    <t>1º Termo aditivo</t>
  </si>
  <si>
    <t>Prorrogar o prazo do contrato pelo período de 12 meses.</t>
  </si>
  <si>
    <t>PREGÃO SRP Nº 088/2013 CEL I/PMRB</t>
  </si>
  <si>
    <t>Prestação de Serviços de transporte aéreo de passageiros (emissão, remarcação e cancelamento) em trechos nacionais e internacionais e demais serviços correlatos</t>
  </si>
  <si>
    <t>11.218</t>
  </si>
  <si>
    <t>KAMPA FIAGENS, SERVIÇOS E EVENTOS LTDA</t>
  </si>
  <si>
    <t xml:space="preserve">Aditivar o Contrato em aproximadamente 25% (vinte e cinco por cento). </t>
  </si>
  <si>
    <t>PREGÃO Nº. 017/2014 – SRP CEL I/PMRB</t>
  </si>
  <si>
    <t>Aquisição de material gráfico (cartilhas)</t>
  </si>
  <si>
    <t>11.253</t>
  </si>
  <si>
    <t>F. B. Amorim Júnior</t>
  </si>
  <si>
    <t>PREGÃO SRP Nº 021/2014 CEL I/PMRB</t>
  </si>
  <si>
    <t xml:space="preserve">Contratação de empresa especializada para aquisição de água potável acondicionada de carro pipa  </t>
  </si>
  <si>
    <t>Aquisição de Material de Consumo (kit de impressão para impressora Datacard)</t>
  </si>
  <si>
    <t>PREGÃO SRP Nº 017/2014 CEL I/PMRB</t>
  </si>
  <si>
    <t>Aquisição de material gráfico (formulário personalizado para empenho e despacho interno)</t>
  </si>
  <si>
    <t>Aquisição de material gráfico (capa de processo branca)</t>
  </si>
  <si>
    <t>Mult Graf Ind. Gráfica, Editora e Com. Ltda</t>
  </si>
  <si>
    <t>Aquisição de material gráfico</t>
  </si>
  <si>
    <t>11.225</t>
  </si>
  <si>
    <t>F. ALMEIDA DA SILVA - ME</t>
  </si>
  <si>
    <t>06.886.449/0001-85</t>
  </si>
  <si>
    <t>Aquisição de material gráfico (capa de processo rosa e amarela, despacho, tickets de banheiros)</t>
  </si>
  <si>
    <t>Aquisição de material permanente (05 monitores led 18,5")</t>
  </si>
  <si>
    <t>14/03/2014</t>
  </si>
  <si>
    <t>Pregão SRP Nº 026/2013 CPL/PMRB</t>
  </si>
  <si>
    <t>PORTOMAQ COMÉRCIO E REPRESENTAÇOES LTDA</t>
  </si>
  <si>
    <t>DIEGO KOLOSKUT HERVELHA MOVEIS</t>
  </si>
  <si>
    <t>05.581.135/0001-01</t>
  </si>
  <si>
    <t>Aquisição de Material de Consumo (20 luminárias com foco direcional para cobertura) para a Rodoviária Internacional de Rio Branco “Vereador Jessé Santiago”.</t>
  </si>
  <si>
    <t>ACRE PARAFUSOS IMP. E EXPORT. LTDA</t>
  </si>
  <si>
    <t>20/03/2014</t>
  </si>
  <si>
    <t>Aquisição de material de consumo (portas em compensado, caixilho em madeira, vista lisa)</t>
  </si>
  <si>
    <t>REAL MOVEIS</t>
  </si>
  <si>
    <t>Pregão SRP Nº 138/2013 CEL/PMRB</t>
  </si>
  <si>
    <t>Locação de veículo sem condutor (tipo passeio e caminhote).</t>
  </si>
  <si>
    <t>JUAREZ MACIEL DE ARAÚJO EPP</t>
  </si>
  <si>
    <t>63.597.736/0001-09</t>
  </si>
  <si>
    <t>Prorrogar o prazo e a vigência do contrato</t>
  </si>
  <si>
    <t>Pregão SRP Nº 025/2013 CEL/PMRB</t>
  </si>
  <si>
    <t xml:space="preserve">Aquisição de material permanente (01 Ar Condicionado Split de 12.000 btus e 02 Ar Condicionado Split 18.000 btus) </t>
  </si>
  <si>
    <t>Pregão SRP Nº 028/2014 CPL/PMRB</t>
  </si>
  <si>
    <t>Aquisição de diversos materiais de consumo (uniformes - jaleco)</t>
  </si>
  <si>
    <t>11.053</t>
  </si>
  <si>
    <t>OLIVEIRA E ALVES LTDA</t>
  </si>
  <si>
    <t xml:space="preserve">Prestação de serviços de manutenção, configuração, programação e instalação em rádios portáteis </t>
  </si>
  <si>
    <t>SAINT CLAIR</t>
  </si>
  <si>
    <t>04.118.709/0001-47</t>
  </si>
  <si>
    <t>31/03/2014</t>
  </si>
  <si>
    <t>PREGÃO SRP Nº 1033/201 CPL /PMRB</t>
  </si>
  <si>
    <t>Aquisição de diversos materiais de consumo (coletes em tecido perfurado)</t>
  </si>
  <si>
    <t>11.162</t>
  </si>
  <si>
    <t>M. ELISA DE ALMEIDA - ME</t>
  </si>
  <si>
    <t>03.743.475/0001-66</t>
  </si>
  <si>
    <t>Pregão SRP Nº 015/2013 CEL/PMRB</t>
  </si>
  <si>
    <t>Aquisição de materiais de consumo (sacolas)</t>
  </si>
  <si>
    <t>LUMA CONFECÇÕES LTDA</t>
  </si>
  <si>
    <t>08.039.470/0001-70</t>
  </si>
  <si>
    <t>Pregão SRP Nº 017/2013 CEL I/PMRB</t>
  </si>
  <si>
    <t>Aquisição de diversos materiais de consumo (tintas e solventes)</t>
  </si>
  <si>
    <t>Sinalmax Comercial e Industrial de Sinalização Ltda</t>
  </si>
  <si>
    <t>06.087.729/0001-23</t>
  </si>
  <si>
    <t>Aquisição de diversos meteriais de consumo (tachão, tachinha, suporte metálico e segregador)</t>
  </si>
  <si>
    <t>11.057</t>
  </si>
  <si>
    <t>SDI TINTAS LTDA</t>
  </si>
  <si>
    <t>11.937.624/0001-56</t>
  </si>
  <si>
    <t>Pregão SRP Nº 642/2013 CEL I/PMRB</t>
  </si>
  <si>
    <t>Contratação de empresa especializada em fornecimento de material a serem utilizados em sinalização horizontal viária.</t>
  </si>
  <si>
    <t>Departamento Estadual de Trânsito - DETRAN</t>
  </si>
  <si>
    <t>Pregão SRP Nº 026/2014 CPL/PMRB</t>
  </si>
  <si>
    <t>Aquisição de material de consumo (madeiras diversas)</t>
  </si>
  <si>
    <t>11.256</t>
  </si>
  <si>
    <t>WIRLEIDE F. DOS SANTOS - ME</t>
  </si>
  <si>
    <t>C. A. GOTARDO - ME</t>
  </si>
  <si>
    <t>07.468.492/0001-93</t>
  </si>
  <si>
    <t>COMABEL IND. COM. DE MAD. BENEF. LTDA</t>
  </si>
  <si>
    <t>07.773.277/0001-04</t>
  </si>
  <si>
    <t>08//06/2014</t>
  </si>
  <si>
    <t>Pregão SRP Nº 126/2013 CEL I/PMRB</t>
  </si>
  <si>
    <t>Locação de sistema de vigilância eletrônica, monitoramento 24 horas por dia.</t>
  </si>
  <si>
    <t>273/2013</t>
  </si>
  <si>
    <t>Pregão SRP Nº 024/2013 CEL I/PMRB</t>
  </si>
  <si>
    <t>Aquisição de material de consumo (adesivos)</t>
  </si>
  <si>
    <t>11.049</t>
  </si>
  <si>
    <t>G. S. SILVEIRA</t>
  </si>
  <si>
    <t>84.313.923/0001-93</t>
  </si>
  <si>
    <t>Pregão SRP Nº 761/2013 CEL I/PMRB</t>
  </si>
  <si>
    <t>Prestação de serviços de locação de veículos de passeio com condutor.</t>
  </si>
  <si>
    <t>11.016</t>
  </si>
  <si>
    <t>M. R. C. DE LIMA - ME</t>
  </si>
  <si>
    <t>14.363.907/0001-20</t>
  </si>
  <si>
    <t>Pregão SRP Nº 007/2014 CEL I/PMRB</t>
  </si>
  <si>
    <t>Aquisição de material de consumo (uniformes - botas)</t>
  </si>
  <si>
    <t>PALMILHADO BOOTS SIND. E COM. LTDA</t>
  </si>
  <si>
    <t>02.246.382/0001-63</t>
  </si>
  <si>
    <t>Aquisição de material de consumo (uniformes)</t>
  </si>
  <si>
    <t>Fibratex Industria e Comércio Ltda</t>
  </si>
  <si>
    <t>Direto</t>
  </si>
  <si>
    <t xml:space="preserve">Manutenção de uma bomba hidráulica </t>
  </si>
  <si>
    <t>Não Publicado por equívoco</t>
  </si>
  <si>
    <t>M. G. V. DE LIMA - ME</t>
  </si>
  <si>
    <t>Pregão SRP Nº 008/2014 CEL I/PMRB</t>
  </si>
  <si>
    <t>Aquisição de diversos equipamentos de material de consumo e permanente (informática e outros)</t>
  </si>
  <si>
    <t>3.90.30.00 (MC) e 44.90.52.00 (MP)</t>
  </si>
  <si>
    <t>C. COM. INFORMATICA IMPORT. EXPORT. E COMERCIO LTDA</t>
  </si>
  <si>
    <t>3.90.30.00 (MC) e 33.44.52.00 (MP)</t>
  </si>
  <si>
    <t>CENTERDATA ANALISES DE SISTEMAS E SERVIÇOS</t>
  </si>
  <si>
    <t>ACRE COMERCIO IMPORTAÇÃO E EXPORTAÇÃO</t>
  </si>
  <si>
    <t>33.44.52.00</t>
  </si>
  <si>
    <t>166/2013</t>
  </si>
  <si>
    <t>Pregão SRP Nº 028/2013 CEL I/PMRB</t>
  </si>
  <si>
    <t>JAIRO CARDOSO DE FREITAS - ME</t>
  </si>
  <si>
    <t>02.214.261/0001-30</t>
  </si>
  <si>
    <t>Pregão SRP Nº 026/2014 CPL /PMRB</t>
  </si>
  <si>
    <t>Contratação de empresa para em manutenção preventiva e corretiva de aparelhos de ar - condicionado.</t>
  </si>
  <si>
    <t>SI REFRIGERAÇÃO AR CONDICIONADO</t>
  </si>
  <si>
    <t>19.037.866/0001-03</t>
  </si>
  <si>
    <t>24/04/2014</t>
  </si>
  <si>
    <t>Aquisição de material de consumo (suporte metálico para sinalização viária).</t>
  </si>
  <si>
    <t>Pregão SRP Nº 141/2013 CPL 01 /PMRB</t>
  </si>
  <si>
    <t>Aquisição de diversos materiais de consumo (tintas)</t>
  </si>
  <si>
    <t>11.068</t>
  </si>
  <si>
    <t>Pregão SRP Nº 007/2014 CEL I /PMRB</t>
  </si>
  <si>
    <t>Pregão SRP Nº 044/2013 CEL I/PMRB</t>
  </si>
  <si>
    <t>Serviços de instalação de fechamento em divisórias de gesso acartonato.</t>
  </si>
  <si>
    <t>D. R. B. SERVIÇOS E REP. COMERCIAL LTDA</t>
  </si>
  <si>
    <t>04.027.795/0001-82</t>
  </si>
  <si>
    <t>Pregão SRP Nº 004/2013 CEL I/PMRB</t>
  </si>
  <si>
    <t>Contratação de empresa especializada para manutenção preventiva e corretiva nos serviços de serralheria a serem realizados em estruturas e elementos metálicois de sinalização vertical e abrigos.</t>
  </si>
  <si>
    <t>11.127/14</t>
  </si>
  <si>
    <t>J. M. CONSTRUÇÕES LTDA - ME</t>
  </si>
  <si>
    <t>08.004.250/0001-01</t>
  </si>
  <si>
    <t>Pregão SRP Nº 1355/2013 CEL I/PMRB</t>
  </si>
  <si>
    <t>Comandante Geral da Policia Militar do Estado do Acre - PMAC</t>
  </si>
  <si>
    <t>Pregão SRP Nº 003/2013 CEL I/PMRB</t>
  </si>
  <si>
    <t>Contratação de Empresa para Manutenção nas instalações físicas dos espaços internos e externos dos Terminais Urbano, Rodoviária e Integração e sede da RBTRANS.</t>
  </si>
  <si>
    <t>11.141</t>
  </si>
  <si>
    <t>11.417/14</t>
  </si>
  <si>
    <t>Prorrogação do prazo até 31 de dezembro de 2014</t>
  </si>
  <si>
    <t>Prorrogação do Prazo até 01 de março</t>
  </si>
  <si>
    <t>Aquisição de material de consumo (engenharia), para recuperação e construção de abrigos dos usuários de transportes coletivos (ônibus, táxi e moto-táxi).</t>
  </si>
  <si>
    <t>Pregão SRP Nº 018/2014 CEL I/PMRB</t>
  </si>
  <si>
    <t>Aquisição de material de consumo (elétrico, hidráulico e ferramentas)</t>
  </si>
  <si>
    <t xml:space="preserve"> ELETROFER COMERCIO DE MAT. ELET. E CONST. LTDA</t>
  </si>
  <si>
    <t>Secretaria Municipal de Saúde - Semsa</t>
  </si>
  <si>
    <t xml:space="preserve">Aquisição de material de consumo (elétrico, hidráulico e ferramentas) </t>
  </si>
  <si>
    <t>ACRE PARAFUSOS IMP. E EXP. LTDA</t>
  </si>
  <si>
    <t>11.312/14</t>
  </si>
  <si>
    <t>Pregão SRP Nº 725/2013 CEL I/PMRB</t>
  </si>
  <si>
    <t>Contratação de mepresa para fornecimento de gelo.</t>
  </si>
  <si>
    <t>MASATOSHI B. NISHIZAWA - ME</t>
  </si>
  <si>
    <t>Pregão SRP Nº 030/2014 CEL I/PMRB</t>
  </si>
  <si>
    <t>Aquisição de material permanente (bebedouro de coluna)</t>
  </si>
  <si>
    <t>Pregão SRP Nº 075/2013 CEL I/PMRB</t>
  </si>
  <si>
    <t>11312</t>
  </si>
  <si>
    <t>3.90.30.00</t>
  </si>
  <si>
    <t>Pregão SRP Nº 017/2014 CEL I/PMRB</t>
  </si>
  <si>
    <t>Aquisição de meterial gráfico</t>
  </si>
  <si>
    <t>11315/14</t>
  </si>
  <si>
    <t>Pregão SRP Nº 012/2014 CEL I/PMRB</t>
  </si>
  <si>
    <t>Contratação de empresa para confeccionar e implantar placas toponímicas para identificação de vias e logradouros públicos no minicípio de Rio Branco.</t>
  </si>
  <si>
    <t>11.214</t>
  </si>
  <si>
    <t>F &amp; R COM. E SERV. DE COMUNIC. VISUAL LTDA</t>
  </si>
  <si>
    <t>19.078.592/0001-92</t>
  </si>
  <si>
    <t>11317/14</t>
  </si>
  <si>
    <t>Aquisição de diversos materiais de consumos (uniformes - botas)</t>
  </si>
  <si>
    <t>S. D. ROCHA NONATO - ME</t>
  </si>
  <si>
    <t>11.189.535/0001-79</t>
  </si>
  <si>
    <t>11320/14</t>
  </si>
  <si>
    <t>07/02/2014</t>
  </si>
  <si>
    <t>Pregão SRP Nº 069/2013 CEL I/PMRB</t>
  </si>
  <si>
    <t>11321/14</t>
  </si>
  <si>
    <t>Pregão SRP Nº 081/2013 CEL I/PMRB</t>
  </si>
  <si>
    <t>11.230</t>
  </si>
  <si>
    <t>Pregão SRP Nº 081/2014 CEL I/PMRB</t>
  </si>
  <si>
    <t>11.230/14</t>
  </si>
  <si>
    <t>Pregão SRP Nº 026/2014 CEL I/PMRB</t>
  </si>
  <si>
    <t>11.256/14</t>
  </si>
  <si>
    <t>Aquisição de material permanente</t>
  </si>
  <si>
    <t>11244/14</t>
  </si>
  <si>
    <t>11.326/14</t>
  </si>
  <si>
    <t>Pregão SRP Nº 005/2013 CEL I/PMRB</t>
  </si>
  <si>
    <t>Aquisição de materiais de consumo - segurança (antenas e baterias para rádio transceptores)</t>
  </si>
  <si>
    <t>11.223</t>
  </si>
  <si>
    <t>O. G. LEITE - ME</t>
  </si>
  <si>
    <t>04.105.303/0001-20</t>
  </si>
  <si>
    <t>CRIATIVA COMÉRCIO E REPRESENTAÇÕES LTDA</t>
  </si>
  <si>
    <t>Pregão SRP Nº 1355/2013 CPL 06/PMRB</t>
  </si>
  <si>
    <t>Aquisição de material de consumo (uniforme - gandola)</t>
  </si>
  <si>
    <t>Polícia Militar do Estado do Acre - PMAC</t>
  </si>
  <si>
    <t>Contratação de empresa para prestação de serviços de engenharia (reforma do abrigo dos taxistas)</t>
  </si>
  <si>
    <t>LÍDER CONSTRUÇÃO LTDA</t>
  </si>
  <si>
    <t>Pregão SRP Nº 025/2014 CPL 06/PMRB</t>
  </si>
  <si>
    <t>Aquisição de extintores, recargas e placas de identificação</t>
  </si>
  <si>
    <t>R. E. B. DE SOUZA EXTINTORES LTDA</t>
  </si>
  <si>
    <t>Pregão SRP Nº 080/2013 CPL 06/PMRB</t>
  </si>
  <si>
    <t xml:space="preserve">Prestação dos serviços de assistência técnica, manutenção preventiva e corretiva de veículos automotores (com reposição de peças, inclusive pneus), lanternagem e pintura para os veículos oficiais </t>
  </si>
  <si>
    <t>11.206</t>
  </si>
  <si>
    <t>Pregão SRP Nº 1380/2013 CEL I/PMRB</t>
  </si>
  <si>
    <t>Prestação de serviços de mensageiro (02 moto-boys), incluindo veículos e motoristas.</t>
  </si>
  <si>
    <t>11.289</t>
  </si>
  <si>
    <t>NORTEXPRESS TRANSPORTES E SERVIÇOS LTDA</t>
  </si>
  <si>
    <t>11.140.110/0001-75</t>
  </si>
  <si>
    <t>Contratação de empresa para prestação de serviços de manutenção corretiva (lubrificação, limpeza e reparos gerais), aquisição de peças (bloco de válvulas, óleo da centarl hidráulica, contratual bifásico).</t>
  </si>
  <si>
    <t>BRAGA CONST. IMP. E EXP. LTDA</t>
  </si>
  <si>
    <t>33.90.39.00 E 33.90.30.00</t>
  </si>
  <si>
    <t>Pregão SRP Nº 068/2013 CEL I/PMRB</t>
  </si>
  <si>
    <t>Aquisição dee material permanente (motocicleta street 149,2 cm colindradas) zero km.</t>
  </si>
  <si>
    <t>D.O.U nº 106/2014 / Seção 3</t>
  </si>
  <si>
    <t>01.444.283/0001-23</t>
  </si>
  <si>
    <t>Pregão SRP Nº 073/2013 CEL I/PMRB</t>
  </si>
  <si>
    <t>Aquisição de equipamentos de tecnologia da informação (módulo de torre traingular industrial e para-raios).</t>
  </si>
  <si>
    <t>11.193</t>
  </si>
  <si>
    <t>Aquisição de material gráfico (auto de infração de trânsito)</t>
  </si>
  <si>
    <t>Pregão SRP Nº 064/2014 CEL I/PMRB</t>
  </si>
  <si>
    <t>Aquisição de diversos materials de consumo (placas) para sinalização viária</t>
  </si>
  <si>
    <t>11.345</t>
  </si>
  <si>
    <t>Aquisição de material de consumo (cartões em PVC).</t>
  </si>
  <si>
    <t>T. J. NASCIMENTO - ME</t>
  </si>
  <si>
    <t>12.299.077/0001-93</t>
  </si>
  <si>
    <t>Concorrência nº 003/2013</t>
  </si>
  <si>
    <t>Por empreitada por preço unitário, pelo critério de menor preço global</t>
  </si>
  <si>
    <t>Contratação de empresa para manutenção nas instalações físicas dos espaços internos e externos.</t>
  </si>
  <si>
    <t>11.100</t>
  </si>
  <si>
    <t>11375/14</t>
  </si>
  <si>
    <t>prestação de serviços de instalação do quadro do comando de automação e a reativação da Estação de Tratamento e Esgoto – ETE ECO 15</t>
  </si>
  <si>
    <t>11354/14</t>
  </si>
  <si>
    <t>11355/14</t>
  </si>
  <si>
    <t>Aquisição de material permanente (microonds e freezer)</t>
  </si>
  <si>
    <t>11360/14</t>
  </si>
  <si>
    <t>Pregão SRP Nº 121/2014 CEL I/PMRB</t>
  </si>
  <si>
    <t>Prestação de serviços de instalação e manutenção de equipamentos e utensílios, com reposição de peças e insumos (condicionador de ar, freezer, geladeira, ventilador de parede e teto, bebedouro industrial e comum, filtro industrial, fogão industrial e exaustor industrial).</t>
  </si>
  <si>
    <t>11364/14</t>
  </si>
  <si>
    <t>243/2014</t>
  </si>
  <si>
    <t>Pregão SRP Nº 011/2013 CEL I/PMRB</t>
  </si>
  <si>
    <t>Aquisição de ar condicionado com instalação</t>
  </si>
  <si>
    <t>D.O.U nº 10/2014 / Seção 3</t>
  </si>
  <si>
    <t>A C CASTRO ME</t>
  </si>
  <si>
    <t>Diário Oficial da União nº 10 15/01/14</t>
  </si>
  <si>
    <t>242/2014</t>
  </si>
  <si>
    <t>Locação de veículo pick-up, tipo caminhoneta (com condutor/ motorista).</t>
  </si>
  <si>
    <t>COOPERATIVA DE PROPRIETÁRIOS DE VEÍCULOS - COOPERVEL</t>
  </si>
  <si>
    <t>13.052.004/0001-65</t>
  </si>
  <si>
    <t>Secretaria de Estado de Saúde - SESACRE</t>
  </si>
  <si>
    <t>245/2014</t>
  </si>
  <si>
    <t>Caminhaão carga seca, capacidade de carga de 4.0 a 6.0 toneladas a diesel</t>
  </si>
  <si>
    <t>EPAMINONDAS FERREIRA BISPO</t>
  </si>
  <si>
    <t>091.006.602-72</t>
  </si>
  <si>
    <t>Secretaria Municipal de Serviços Urbanos - EMURB</t>
  </si>
  <si>
    <t>Aquisição de Material de Consumo (Protetor Solar)</t>
  </si>
  <si>
    <t>252/2014</t>
  </si>
  <si>
    <t>Pregão SRP Nº 593/2013 CEL I/PMRB</t>
  </si>
  <si>
    <t>Aquisição de material permanente (central de monitoramento e armazenamento de imagens de CFTV), incluindo serviços de instalação, configuração, treinamento e manutenção preventiva e corretiva.</t>
  </si>
  <si>
    <t>RIO BRANCO SEGURANÇA E VIGILÂNCIA LTDA</t>
  </si>
  <si>
    <t>16.803.988/0001-67</t>
  </si>
  <si>
    <t>40.90.52.00            33.90.30.00</t>
  </si>
  <si>
    <t>Secretaria de Estado da Pilícia Civil - SEPC</t>
  </si>
  <si>
    <t xml:space="preserve">Aquisição de diversos materials de consumo (placas de sinalização 100% refletiva) </t>
  </si>
  <si>
    <t>Pregão SRP Nº 039/2013 CEL I/PMRB</t>
  </si>
  <si>
    <t>Contratação dos serviços de limpeza e conservação (desinfecção e higienização) sem fornecimento de material.</t>
  </si>
  <si>
    <t>COOPERATIVA</t>
  </si>
  <si>
    <t>253/2014</t>
  </si>
  <si>
    <t>Contratação de Empresa para Serviços de Engenharia, construção do espaço destinado ao depósito de materiais de manutenção e limpeza no Terminal Urbano.</t>
  </si>
  <si>
    <t>11.371/14</t>
  </si>
  <si>
    <t>05/08/2014</t>
  </si>
  <si>
    <t>13/08/2014</t>
  </si>
  <si>
    <t>265/2014</t>
  </si>
  <si>
    <t>Pregão SRP Nº 076/2014 CEL I/PMRB</t>
  </si>
  <si>
    <t>Contratação de empresa para prestação de serviços de sinalização horizontal, com fornecimento de material, equipamentos e mão de obra.</t>
  </si>
  <si>
    <t>NOVA VIDA PROJETOS E EDIFICAÇÕES LTDA</t>
  </si>
  <si>
    <t>14.359.681/0001-93</t>
  </si>
  <si>
    <t>367/2013</t>
  </si>
  <si>
    <t>Pregão SRP Nº 089/2013 CEL I/PMRB</t>
  </si>
  <si>
    <t>Pregão SRP Nº 044/2014 CEL I/PMRB</t>
  </si>
  <si>
    <t>Aquisição de insumos para aplicação em sinalização vertical e horizontal.</t>
  </si>
  <si>
    <t>SINALMAX COMERCIAL E INDUSTRIAL DE SINALIZAÇÃO LTDA</t>
  </si>
  <si>
    <t>Departamento de Estradas de Rodagem, Infraestrutura Hidroviária e Aeroportuária do Acre - DERACRE</t>
  </si>
  <si>
    <t>Aquisição de material gráfico (cartão deficiente)</t>
  </si>
  <si>
    <t>Pregão SRP Nº 078/2013 CEL I/PMRB</t>
  </si>
  <si>
    <t>Aquisição de materila de consumo - expediente (pasta AZ, pasta papelão, pasta suspensa)</t>
  </si>
  <si>
    <t>ARNALDO COMÉRCIO E REPRESENTAÇÕES (Expediente)</t>
  </si>
  <si>
    <t>394/2013</t>
  </si>
  <si>
    <t>349/2013</t>
  </si>
  <si>
    <t>Aquisição de material de consumo - limpeza (dispensador de sabonete e dispensador de papel)</t>
  </si>
  <si>
    <t>Aquisição de material de consumo (copo descartável)</t>
  </si>
  <si>
    <t>Aquisição de material permanente (switch)</t>
  </si>
  <si>
    <t>Concorrência Nº 004/2013</t>
  </si>
  <si>
    <t>11383/14</t>
  </si>
  <si>
    <t>Prorrogação do prazo de execução até 01 de março de 2015</t>
  </si>
  <si>
    <t>Aquisição de material permanente (cafeteira)</t>
  </si>
  <si>
    <t>JR ASSESSORIA &amp; COMÉRCIO LTDA</t>
  </si>
  <si>
    <t>11384/14</t>
  </si>
  <si>
    <t>Aquisição de material de consumo (gasolina)  em posto  de abastecimento próprio.</t>
  </si>
  <si>
    <t>Pregão SRP Nº 002/2014 CEL I/PMRB</t>
  </si>
  <si>
    <t>DAMIÃO ALVES DE SOUZA</t>
  </si>
  <si>
    <t>117.393.803-63</t>
  </si>
  <si>
    <t>11385/14</t>
  </si>
  <si>
    <t>303/2014</t>
  </si>
  <si>
    <t>Pregão SRP Nº 106/2014 CEL I/PMRB</t>
  </si>
  <si>
    <t>Locação de veículo (tipo passeio) sm condutor.</t>
  </si>
  <si>
    <t>INÁCIOS TURISMO LTDA</t>
  </si>
  <si>
    <t>04.128.153/0001-70</t>
  </si>
  <si>
    <t>23A e 23B/2014</t>
  </si>
  <si>
    <t>Secretaria de Estado da Polícia Civil - SEPC</t>
  </si>
  <si>
    <t>322/2014</t>
  </si>
  <si>
    <t>Pregão SRP Nº 030/2013 CEL I/PMRB</t>
  </si>
  <si>
    <t>Aquisição de material elétrico e de construção.</t>
  </si>
  <si>
    <t>A JACOME FERREIRA IMPORTAÇÃO E EXPORTAÇÃO LTDA</t>
  </si>
  <si>
    <t>63.590.103/0001-79</t>
  </si>
  <si>
    <t>11393/14</t>
  </si>
  <si>
    <t>7º Batalhão de Engenharia e Construção Batalhão Barão do Rio Branco - 7º BEC</t>
  </si>
  <si>
    <t>300/2014</t>
  </si>
  <si>
    <t>Pregão SRP Nº 1045/2013 CEL I/PMRB</t>
  </si>
  <si>
    <t>Sistema de digital de câmeras de monitoramento em circuito fechado, com acesso remoto via IP e sistema de alarmes</t>
  </si>
  <si>
    <t>11395/14</t>
  </si>
  <si>
    <t>115/2013</t>
  </si>
  <si>
    <t>304/2014</t>
  </si>
  <si>
    <t>Pregão 071/2014 CEL I/PMRB</t>
  </si>
  <si>
    <t>Aquisição de material gráfico (películas)</t>
  </si>
  <si>
    <t>11390/14</t>
  </si>
  <si>
    <t>Secretaria de Educação do Estado do Acre - SEE</t>
  </si>
  <si>
    <t>Pregão 0718/2013 CEL I/PMRB</t>
  </si>
  <si>
    <t>Pregão 070/2013 CEL I/PMRB</t>
  </si>
  <si>
    <t>Aquisição de diversos materiais de consumo (telhas e cumeeiras)</t>
  </si>
  <si>
    <t>RECIACRE IND. E COMÉRCIO DE RECICLÁVEIS LTDA</t>
  </si>
  <si>
    <t>Pregão 017/2014 CEL I/PMRB</t>
  </si>
  <si>
    <t>Aquisição de material gráfico (folder)</t>
  </si>
  <si>
    <t>299/2014</t>
  </si>
  <si>
    <t>Aquisição de material de consumo (banners e adesivos)</t>
  </si>
  <si>
    <t>63.598.676/001-49</t>
  </si>
  <si>
    <t>298/2014</t>
  </si>
  <si>
    <t>Pregão 058/2014 CEL I/PMRB</t>
  </si>
  <si>
    <t>Pregão 068/2014 CEL I/PMRB</t>
  </si>
  <si>
    <r>
      <t>Aquisição de material permanente (motocicletas street 149,2 cm</t>
    </r>
    <r>
      <rPr>
        <sz val="10"/>
        <color theme="1"/>
        <rFont val="Calibri"/>
        <family val="2"/>
      </rPr>
      <t>³</t>
    </r>
    <r>
      <rPr>
        <sz val="10"/>
        <color theme="1"/>
        <rFont val="Arial"/>
        <family val="2"/>
      </rPr>
      <t xml:space="preserve"> cilicindradas) zero km</t>
    </r>
  </si>
  <si>
    <t>301/2014</t>
  </si>
  <si>
    <t>Pregão 1476/2013 CEL I/PMRB</t>
  </si>
  <si>
    <t xml:space="preserve">Aquisição de material de consumo (bornal) </t>
  </si>
  <si>
    <t>Depertamento Estadual de Trânsito - DETRAN/AC</t>
  </si>
  <si>
    <t>305/2014</t>
  </si>
  <si>
    <t>Convite nº 009/2014</t>
  </si>
  <si>
    <t>Critério de Menor Preço</t>
  </si>
  <si>
    <t>Contratação de empresa para locação caixa refrigerada, perfuração de poço e manutenção da ETE (com manutenção Mensal).</t>
  </si>
  <si>
    <t>Pregão 081/2013 CEL I/PMRB</t>
  </si>
  <si>
    <t>Aquisição de material de consumo - limpeza (pano de chão duplo, sabão em pó, papel higiênico e desinfetante)</t>
  </si>
  <si>
    <t>Aquisição de material de consumo - limpeza (flanela, pano de chão grosso e sabonete líquido)</t>
  </si>
  <si>
    <t>312/2014</t>
  </si>
  <si>
    <t>Pregão 082/2014 CEL I/PMRB</t>
  </si>
  <si>
    <t>Aquisição de diversos materiais de consumo e permanente (elétricos, hidrálico, engenharia e outros)</t>
  </si>
  <si>
    <t>ELETROFER COMÉRCIO DE MATERIAIS ELÉTRICOS E CONSTRUÇÃO LTDA</t>
  </si>
  <si>
    <t>313/2014</t>
  </si>
  <si>
    <t>Pregão 111/2014 CEL I/PMRB</t>
  </si>
  <si>
    <t>Aquisição de material de consumo (protetor solar).</t>
  </si>
  <si>
    <t>Pregão 071/2013 CEL I/PMRB</t>
  </si>
  <si>
    <t>Contratação de empresa para prestação de serviços de reprográfos (confecção de carimbos, chaves, encardenações, cópias, plotagem, etc.)</t>
  </si>
  <si>
    <t>LFP3 FOTOGRAFIAS LTDA</t>
  </si>
  <si>
    <t>Pregão 069/2014 CEL I/PMRB</t>
  </si>
  <si>
    <t>Prestação de serviços de lavagem de veículos.</t>
  </si>
  <si>
    <t>R. FERREIRA DE ALBUQUERQUE</t>
  </si>
  <si>
    <t>Prestação de serviços de manutençãode ar condicionado.</t>
  </si>
  <si>
    <t>319/2014</t>
  </si>
  <si>
    <t xml:space="preserve">Parecer Jurídico 046/2014 </t>
  </si>
  <si>
    <r>
      <t>Confecção de uma bancada em granito, cor cinza, medindo 8.13m</t>
    </r>
    <r>
      <rPr>
        <sz val="10"/>
        <color theme="1"/>
        <rFont val="Calibri"/>
        <family val="2"/>
      </rPr>
      <t>²</t>
    </r>
  </si>
  <si>
    <t>D. D. DE ALENCAR</t>
  </si>
  <si>
    <t>Pregão 072/2014 CEL I/PMRB</t>
  </si>
  <si>
    <t>Aquisição e instalação de persianas.</t>
  </si>
  <si>
    <t>Pregão 080/2014 CEL I/PMRB</t>
  </si>
  <si>
    <t>Aquisição de material permanente (cadeiras)</t>
  </si>
  <si>
    <t>Aquisição de material de consumo - gráfico (papel timbrado)</t>
  </si>
  <si>
    <t>Serviço Direto</t>
  </si>
  <si>
    <t>Prestação de serviços de manutenção de 03 (três) bombas d'água.</t>
  </si>
  <si>
    <t>M &amp; Z INDÚSTRIA COMÉRCIO LTDA</t>
  </si>
  <si>
    <t>Pregão 026/2014 CPL /PMRB</t>
  </si>
  <si>
    <t>Pregão 011/2013 CEL /PMRB</t>
  </si>
  <si>
    <t>D. O. U. nº 10/2014</t>
  </si>
  <si>
    <t>Pregão 089/2013 CEL I/PMRB</t>
  </si>
  <si>
    <t>J.S. COMÉRCIO IMP. E EXP. LTDA</t>
  </si>
  <si>
    <t>Aquisição de material consumo (material gráfico).</t>
  </si>
  <si>
    <t>341/2014</t>
  </si>
  <si>
    <t>Pregão 113/2014 CPL /PMRB</t>
  </si>
  <si>
    <t>Prestação de serviços de dedetização.</t>
  </si>
  <si>
    <t>PARAÍSO AMBIENTES IMPORTAÇÃO E EXPORTAÇÃO</t>
  </si>
  <si>
    <t>05.493.311/0001-53</t>
  </si>
  <si>
    <t>Pregão 044/2014 CEL /PMRB</t>
  </si>
  <si>
    <t>320/2014</t>
  </si>
  <si>
    <t>Aquisição de material de consumo - placas refletivas para emplacamento dos veículos e motocicletas de compõe a frota.</t>
  </si>
  <si>
    <t>ART PLACAS LTDA ME</t>
  </si>
  <si>
    <t>01.798.935/001-28</t>
  </si>
  <si>
    <t>367/2014</t>
  </si>
  <si>
    <t>Pregão SRP N° 1045/2013</t>
  </si>
  <si>
    <t>375/2014</t>
  </si>
  <si>
    <t>Pregão SRP Nº 087/2014 CEL I/PMRB</t>
  </si>
  <si>
    <t>Aquisição de diversos materiais de consumo (solvente, segregador e microesfera).</t>
  </si>
  <si>
    <t>374/2014</t>
  </si>
  <si>
    <t>Aquisição de diversos materiais de consumo (tintas para demarcação viária).</t>
  </si>
  <si>
    <t>378/2014</t>
  </si>
  <si>
    <t>Pregão SRP Nº 093/2014 CPL /PMRB</t>
  </si>
  <si>
    <t>Contratação de empresa para fornecimento de lanche, frutas e isotônicos.</t>
  </si>
  <si>
    <t>CÉLIO PEREIRA - ME</t>
  </si>
  <si>
    <t>Secretaria Municipal de Esporte e Lazer - SEMEL</t>
  </si>
  <si>
    <t>196/2017</t>
  </si>
  <si>
    <t xml:space="preserve">Aquisição de diversos materiais de consumo (placas de sinalização 100% refletiva) </t>
  </si>
  <si>
    <t>SRP 030/2013</t>
  </si>
  <si>
    <t>Adesão a ata de Registro de Preços</t>
  </si>
  <si>
    <t>Prestação de Serviço de Emissão e Remarcação de Passagens</t>
  </si>
  <si>
    <t>11.021 de
05/04/2013</t>
  </si>
  <si>
    <t>Kampa Viagens e Turismo</t>
  </si>
  <si>
    <t>11.235 de
04/02/2014</t>
  </si>
  <si>
    <t>11.021 de 05/04/2013</t>
  </si>
  <si>
    <t>303/2012</t>
  </si>
  <si>
    <t>SRP
004/2013</t>
  </si>
  <si>
    <t>Aquisição de Combustivel</t>
  </si>
  <si>
    <t>10.984 de
06/02/2013</t>
  </si>
  <si>
    <t>Auto Posto JC</t>
  </si>
  <si>
    <t>11.241 de 
11/02/2014</t>
  </si>
  <si>
    <t>3390.30.00</t>
  </si>
  <si>
    <t>10.986 de
08/02/2013</t>
  </si>
  <si>
    <t>SRP 
007/2014</t>
  </si>
  <si>
    <t>Serviço de Transporte em Veículo com Condutor</t>
  </si>
  <si>
    <t>11.232 de
30/01/2014</t>
  </si>
  <si>
    <t>MR.C Aguiar-ME</t>
  </si>
  <si>
    <t>11.366 de 
08/08/2014</t>
  </si>
  <si>
    <t>11.366 de
08/08/2014</t>
  </si>
  <si>
    <t>307/2012</t>
  </si>
  <si>
    <t>Aditivo 001</t>
  </si>
  <si>
    <t>Assessoria Técnica,Financeira,Investimento e Atuarial</t>
  </si>
  <si>
    <t>10.547 de
13/05/2011</t>
  </si>
  <si>
    <t>Banco do Brasil</t>
  </si>
  <si>
    <t>00.000.000/0001-91</t>
  </si>
  <si>
    <t>Configurar,parametrizar,instalar e implementar o SISAP</t>
  </si>
  <si>
    <t>Gustavo Valle Mascarenhas</t>
  </si>
  <si>
    <t>815.676.692-04</t>
  </si>
  <si>
    <t>11.380 de 
27/08/2014</t>
  </si>
  <si>
    <t>Nada Consta</t>
  </si>
  <si>
    <t>Art. 24, II 
Lei 8.666/93</t>
  </si>
  <si>
    <t>SRP 37/2014</t>
  </si>
  <si>
    <t>Registro de Preços</t>
  </si>
  <si>
    <t>Menor Preço Por Item</t>
  </si>
  <si>
    <t>11.247 
19/02/2014</t>
  </si>
  <si>
    <t>001/2014*</t>
  </si>
  <si>
    <t>Floresta Empreendimentos</t>
  </si>
  <si>
    <t>002/2014*</t>
  </si>
  <si>
    <t>JR Assessoria</t>
  </si>
  <si>
    <t>003/2014*</t>
  </si>
  <si>
    <t>004/2014*</t>
  </si>
  <si>
    <t>M.S. Feitosa</t>
  </si>
  <si>
    <t>SRP 68/2014</t>
  </si>
  <si>
    <t>11.296
06/05/2014</t>
  </si>
  <si>
    <t>005/2014*</t>
  </si>
  <si>
    <t>F.B. Amorim</t>
  </si>
  <si>
    <t>10/08/204</t>
  </si>
  <si>
    <t>006/2014*</t>
  </si>
  <si>
    <t>Mult. Graf. Industria</t>
  </si>
  <si>
    <t>Capacitação em Licitações e Contratos</t>
  </si>
  <si>
    <t>Ana Cristina Ferreira de Araújo</t>
  </si>
  <si>
    <t>154.164.702-59</t>
  </si>
  <si>
    <t>11.435
14/11/2014</t>
  </si>
  <si>
    <t>Aquisção de um Ar Split de 30.000 BTU</t>
  </si>
  <si>
    <t>K&amp;Y Refrigeração Ltda-ME</t>
  </si>
  <si>
    <t>11.448
02/12/2014</t>
  </si>
  <si>
    <t xml:space="preserve">33.90.39.00
44.90.52.00
</t>
  </si>
  <si>
    <t>00034/2008</t>
  </si>
  <si>
    <t>001/2008</t>
  </si>
  <si>
    <t xml:space="preserve">Concorrência Pública </t>
  </si>
  <si>
    <t>técnica e preço</t>
  </si>
  <si>
    <t>Prestação de serviços contínuo de fornecimento do Sistema de Gestão Comercial e Operacional do Serviço de Água e Esgoto de Rio Branco – SAERB, contemplando customização, implantação, capacitação e manutenção do sistema para a cidade de Rio Branco</t>
  </si>
  <si>
    <t>025/2008</t>
  </si>
  <si>
    <t>EOS Organização e Sistemas</t>
  </si>
  <si>
    <t>02.188.419/0001-44</t>
  </si>
  <si>
    <t>25.03.2008</t>
  </si>
  <si>
    <t>24.03.2010</t>
  </si>
  <si>
    <t>RP (01) /           RPI (10)</t>
  </si>
  <si>
    <t>NADA CONSTA</t>
  </si>
  <si>
    <t>09.03.2010</t>
  </si>
  <si>
    <t>Prorrogar a vigência por mais 02 anos, bem como reajuste de valor (IGPM-FGV)</t>
  </si>
  <si>
    <t>25.03.2010</t>
  </si>
  <si>
    <t>24.03.2012</t>
  </si>
  <si>
    <t>25.03.2012</t>
  </si>
  <si>
    <t>10.700/10.775</t>
  </si>
  <si>
    <t>Prorrogar a vigência por mais 01 ano</t>
  </si>
  <si>
    <t>24.03.2013</t>
  </si>
  <si>
    <t>25.02.2013</t>
  </si>
  <si>
    <t>11.036/11.047</t>
  </si>
  <si>
    <t>Prorrogar a vigência por mais 01 ano, bem como suprimir o objeto contratado</t>
  </si>
  <si>
    <t>02</t>
  </si>
  <si>
    <t>083470287/2008</t>
  </si>
  <si>
    <t>002/2008</t>
  </si>
  <si>
    <t>Contratação dos serviços de leitura informatizada de hidrômetros com emissão simultânea de faturas de fornecimento de água e/ou coleta de esgoto sanitário, faturas estimadas de fornecimento de água e/ou coleta de esgoto sanitário, mensagens ao cliente e aviso de débito, incluindo fornecimento de mão-de-obra, materiais e equipamentos, na cidade de Rio Branco.</t>
  </si>
  <si>
    <t>17.02.2009</t>
  </si>
  <si>
    <t>16.02.2011</t>
  </si>
  <si>
    <t>25.10.2010</t>
  </si>
  <si>
    <t>10.446/10.457</t>
  </si>
  <si>
    <t>Acréscimo de objeto</t>
  </si>
  <si>
    <t>25.01.2011</t>
  </si>
  <si>
    <t>10.476/10.492</t>
  </si>
  <si>
    <t>Prorrogar a vigência por mais 02 anos</t>
  </si>
  <si>
    <t>17.02.2011</t>
  </si>
  <si>
    <t>16.02.2013</t>
  </si>
  <si>
    <t>17.02.2013</t>
  </si>
  <si>
    <t>16.02.2014</t>
  </si>
  <si>
    <t>03</t>
  </si>
  <si>
    <t>110690371/2011</t>
  </si>
  <si>
    <t xml:space="preserve">Pregão Presencial </t>
  </si>
  <si>
    <t>Contratação de empresa especializada na prestação de serviços de limpeza e conservação.</t>
  </si>
  <si>
    <t>042/2011</t>
  </si>
  <si>
    <t>R.E.D. Pontes - ME</t>
  </si>
  <si>
    <t>20.09.2011</t>
  </si>
  <si>
    <t>28.02.2015</t>
  </si>
  <si>
    <t>30.08.2012</t>
  </si>
  <si>
    <t>Prorrogar a vigência por mais 40 dias</t>
  </si>
  <si>
    <t>20.09.2012</t>
  </si>
  <si>
    <t>Prorrogar a vigência por mais 02 meses</t>
  </si>
  <si>
    <t>01.11.2012</t>
  </si>
  <si>
    <t>26.12.2012</t>
  </si>
  <si>
    <t>01.01.2013</t>
  </si>
  <si>
    <t>28.02.2013</t>
  </si>
  <si>
    <t>01.03.2013</t>
  </si>
  <si>
    <t>28.02.2014</t>
  </si>
  <si>
    <t>14.02.2014</t>
  </si>
  <si>
    <t>131540141/2013</t>
  </si>
  <si>
    <t>Contratação de empresa para a prestação de Serviço de Internet Móvel, com fornecimento de 03 equipamentos (modem), com capacidade de dados de acesso em 05 (cinco) gigabytes.</t>
  </si>
  <si>
    <t xml:space="preserve">Vivo S.A. </t>
  </si>
  <si>
    <t>02.499.992/0001-64</t>
  </si>
  <si>
    <t>14.06.2013</t>
  </si>
  <si>
    <t>21.08.2014</t>
  </si>
  <si>
    <t>05</t>
  </si>
  <si>
    <t>19801/2013</t>
  </si>
  <si>
    <t>Registro de Preços (SEMSUR)</t>
  </si>
  <si>
    <t>Adesão a Ata de Registro de Preços n.º 003/2013 (item 09), oriunda do Pregão SRP n.º 068/2013, realizada pela Secretaria Municipal de Serviços Urbanos, que tem como objeto a contratação de empresa ou pessoa física para prestação de serviços de transporte de material ou pessoal, em veículo leve tipo passeio e pick-up, para atender as demandas administrativas e de fiscalização, tudo em conformidade com a descrição dos anexos, parte integrante do edital, independente de transcrição.</t>
  </si>
  <si>
    <t>Reinaldo Pereira de Oliveira</t>
  </si>
  <si>
    <t>576.230.822-72</t>
  </si>
  <si>
    <t>10.10.2013</t>
  </si>
  <si>
    <t>09.10.2015</t>
  </si>
  <si>
    <t>09.10.2014</t>
  </si>
  <si>
    <t>Prorrogar a vigência por mais 01 ano, bem como reajuste de valor (IPC-FIPE)</t>
  </si>
  <si>
    <t>10.10.2014</t>
  </si>
  <si>
    <t>39501/2014</t>
  </si>
  <si>
    <t>Prestação de serviços de administração e emissão de Cartão Visa Vale, para os servidores do SAERB, sem custo operacional, conforme proposta encaminhada pelo Banco do Brasil.</t>
  </si>
  <si>
    <t>sem numeração</t>
  </si>
  <si>
    <t>BB Administradora de Cartões de Crédito S/A</t>
  </si>
  <si>
    <t>31.591.399/0001-56</t>
  </si>
  <si>
    <t>21.08.2015</t>
  </si>
  <si>
    <t>RP (01) /       RPI (10) / CONV (07)</t>
  </si>
  <si>
    <t>33.90.46.00</t>
  </si>
  <si>
    <t>Inciso II do art. 24 da Lei n.º 8.666/93</t>
  </si>
  <si>
    <t>11.381</t>
  </si>
  <si>
    <t>28.08.2014</t>
  </si>
  <si>
    <r>
      <t>ÓRGÃO/ENTIDADE/FUNDO:</t>
    </r>
    <r>
      <rPr>
        <b/>
        <sz val="11"/>
        <color indexed="8"/>
        <rFont val="Arial"/>
        <family val="2"/>
      </rPr>
      <t xml:space="preserve"> SECRETARIA MUNICIPAL DA CASA CIVIL - SMCC</t>
    </r>
  </si>
  <si>
    <r>
      <t xml:space="preserve">MÊS/ANO: </t>
    </r>
    <r>
      <rPr>
        <b/>
        <sz val="11"/>
        <color indexed="8"/>
        <rFont val="Arial"/>
        <family val="2"/>
      </rPr>
      <t>JANEIRO A DEZEMBRO/2014</t>
    </r>
  </si>
  <si>
    <r>
      <t>DATA DA ÚLTIMA ATUALIZAÇÃO:</t>
    </r>
    <r>
      <rPr>
        <b/>
        <sz val="11"/>
        <color indexed="8"/>
        <rFont val="Arial"/>
        <family val="2"/>
      </rPr>
      <t xml:space="preserve"> 08/01/2015</t>
    </r>
  </si>
  <si>
    <r>
      <t xml:space="preserve">DATA DA ÚLTIMA ATUALIZAÇÃO: </t>
    </r>
    <r>
      <rPr>
        <b/>
        <sz val="11"/>
        <color theme="1"/>
        <rFont val="Arial"/>
        <family val="2"/>
      </rPr>
      <t>30/12/2014</t>
    </r>
  </si>
  <si>
    <r>
      <t xml:space="preserve">ÓRGÃO/ENTIDADE/FUNDO:  </t>
    </r>
    <r>
      <rPr>
        <b/>
        <sz val="11"/>
        <color theme="1"/>
        <rFont val="Arial"/>
        <family val="2"/>
      </rPr>
      <t>PROCURADORIA GERAL DO MUNICÍPIO DE RIO BRANCO - PROJURI</t>
    </r>
  </si>
  <si>
    <r>
      <t xml:space="preserve">MÊS/ANO: </t>
    </r>
    <r>
      <rPr>
        <b/>
        <sz val="11"/>
        <color theme="1"/>
        <rFont val="Arial"/>
        <family val="2"/>
      </rPr>
      <t>JANEIRO A DEZEMBRO/2014</t>
    </r>
  </si>
  <si>
    <r>
      <t xml:space="preserve">ÓRGÃO/ENTIDADE/FUNDO: </t>
    </r>
    <r>
      <rPr>
        <b/>
        <sz val="11"/>
        <color theme="1"/>
        <rFont val="Arial"/>
        <family val="2"/>
      </rPr>
      <t>SECRETARIA MUNICIPAL DE ADMINISTRAÇÃO E GESTÃO DE PESSOAS - SEAD</t>
    </r>
  </si>
  <si>
    <r>
      <t>MÊS/ANO:</t>
    </r>
    <r>
      <rPr>
        <b/>
        <sz val="11"/>
        <color theme="1"/>
        <rFont val="Arial"/>
        <family val="2"/>
      </rPr>
      <t xml:space="preserve"> Janeiro a Dezembro/2014</t>
    </r>
  </si>
  <si>
    <r>
      <t xml:space="preserve">DATA DA ÚLTIMA ATUALIZAÇÃO: </t>
    </r>
    <r>
      <rPr>
        <b/>
        <sz val="11"/>
        <color theme="1"/>
        <rFont val="Arial"/>
        <family val="2"/>
      </rPr>
      <t>05/01/2015</t>
    </r>
  </si>
  <si>
    <r>
      <t>MÊS/ANO:</t>
    </r>
    <r>
      <rPr>
        <b/>
        <sz val="11"/>
        <color theme="1"/>
        <rFont val="Arial"/>
        <family val="2"/>
      </rPr>
      <t xml:space="preserve"> JANEIRO A DEZEMBRO/2014</t>
    </r>
  </si>
  <si>
    <r>
      <t xml:space="preserve">ÓRGÃO/ENTIDADE/FUNDO: </t>
    </r>
    <r>
      <rPr>
        <b/>
        <sz val="11"/>
        <color theme="1"/>
        <rFont val="Arial"/>
        <family val="2"/>
      </rPr>
      <t>SECRETARIA MUNICIPAL DE DESENVOLVIMENTO ECONÔMICO E FINANÇAS - SEFIN</t>
    </r>
  </si>
  <si>
    <r>
      <t xml:space="preserve">DATA DA ÚLTIMA ATUALIZAÇÃO: </t>
    </r>
    <r>
      <rPr>
        <b/>
        <sz val="11"/>
        <color theme="1"/>
        <rFont val="Arial"/>
        <family val="2"/>
      </rPr>
      <t>08/01/2015</t>
    </r>
  </si>
  <si>
    <r>
      <t xml:space="preserve">ÓRGÃO/ENTIDADE/FUNDO: </t>
    </r>
    <r>
      <rPr>
        <b/>
        <sz val="11"/>
        <color theme="1"/>
        <rFont val="Arial"/>
        <family val="2"/>
      </rPr>
      <t>SECRETARIA MUNICIPAL DE PLANEJAMENTO - SEPLAN</t>
    </r>
  </si>
  <si>
    <r>
      <t xml:space="preserve">MÊS/ANO: </t>
    </r>
    <r>
      <rPr>
        <b/>
        <sz val="11"/>
        <color theme="1"/>
        <rFont val="Arial"/>
        <family val="2"/>
      </rPr>
      <t>JANEIRO À DEZEMBRO/2014</t>
    </r>
  </si>
  <si>
    <r>
      <t xml:space="preserve">Alteração da </t>
    </r>
    <r>
      <rPr>
        <sz val="10"/>
        <color rgb="FF000000"/>
        <rFont val="Arial"/>
        <family val="2"/>
      </rPr>
      <t>CLÁUSULA SEXTA –  DA VIGÊNCIA DO CONTRATO</t>
    </r>
    <r>
      <rPr>
        <sz val="10"/>
        <color theme="1"/>
        <rFont val="Arial"/>
        <family val="2"/>
      </rPr>
      <t xml:space="preserve"> ORIGINAL</t>
    </r>
  </si>
  <si>
    <r>
      <t xml:space="preserve">Alteração da CLÁUSULA SEXTA – DA VIGÊNCIA DO CONTRATO, prorrogando a </t>
    </r>
    <r>
      <rPr>
        <u/>
        <sz val="10"/>
        <color theme="1"/>
        <rFont val="Arial"/>
        <family val="2"/>
      </rPr>
      <t>vigência do contrato</t>
    </r>
    <r>
      <rPr>
        <sz val="10"/>
        <color theme="1"/>
        <rFont val="Arial"/>
        <family val="2"/>
      </rPr>
      <t xml:space="preserve"> original por mais 120 (cento e vinte) dias, e prorrogando o prazo de </t>
    </r>
    <r>
      <rPr>
        <u/>
        <sz val="10"/>
        <color theme="1"/>
        <rFont val="Arial"/>
        <family val="2"/>
      </rPr>
      <t>execução dos serviços</t>
    </r>
    <r>
      <rPr>
        <sz val="10"/>
        <color theme="1"/>
        <rFont val="Arial"/>
        <family val="2"/>
      </rPr>
      <t xml:space="preserve"> por mais 120 (cento e vinte) dias, com amparo legal previsto no inciso II do art. 57 da Lei nº 8.666/93</t>
    </r>
  </si>
  <si>
    <r>
      <t xml:space="preserve">alteração da CLÁUSULA SEXTA – DA VIGÊNCIA DO CONTRATO, prorrogando o prazo de </t>
    </r>
    <r>
      <rPr>
        <u/>
        <sz val="10"/>
        <color theme="1"/>
        <rFont val="Arial"/>
        <family val="2"/>
      </rPr>
      <t>execução dos serviços</t>
    </r>
    <r>
      <rPr>
        <sz val="10"/>
        <color theme="1"/>
        <rFont val="Arial"/>
        <family val="2"/>
      </rPr>
      <t>por mais 60 (sessenta) dias, com amparo legal previsto no inciso II do art. 57 da Lei nº 8.666/93</t>
    </r>
  </si>
  <si>
    <r>
      <t>Alteração da</t>
    </r>
    <r>
      <rPr>
        <sz val="10"/>
        <color rgb="FFFF0000"/>
        <rFont val="Arial"/>
        <family val="2"/>
      </rPr>
      <t xml:space="preserve"> </t>
    </r>
    <r>
      <rPr>
        <sz val="10"/>
        <color theme="1"/>
        <rFont val="Arial"/>
        <family val="2"/>
      </rPr>
      <t>CLÁUSULA TERCEIRA - DO PREÇO E CONDIÇÕES DE PAGAMENTO</t>
    </r>
  </si>
  <si>
    <r>
      <t xml:space="preserve">ALPHA PRESTAÇÃO DE </t>
    </r>
    <r>
      <rPr>
        <sz val="10"/>
        <color theme="1"/>
        <rFont val="Arial"/>
        <family val="2"/>
      </rPr>
      <t xml:space="preserve"> SERVIÇOS LTDA</t>
    </r>
  </si>
  <si>
    <r>
      <t>2 (dois) meses</t>
    </r>
    <r>
      <rPr>
        <sz val="10"/>
        <color theme="1"/>
        <rFont val="Arial"/>
        <family val="2"/>
      </rPr>
      <t>, contados a partir da emissão da Ordem de Serviço.</t>
    </r>
  </si>
  <si>
    <r>
      <t>Ellen Ramirez Nogueira</t>
    </r>
    <r>
      <rPr>
        <b/>
        <sz val="10"/>
        <color theme="1"/>
        <rFont val="Arial"/>
        <family val="2"/>
      </rPr>
      <t>,</t>
    </r>
  </si>
  <si>
    <r>
      <t>Serviços de Locação de Transportes (</t>
    </r>
    <r>
      <rPr>
        <sz val="10"/>
        <color rgb="FF000000"/>
        <rFont val="Arial"/>
        <family val="2"/>
      </rPr>
      <t>Locação de Veículo Pick-Up Cabine Dupla com condutor, Marca Toyota Hilux CD 4x4 SRV, ano 2006, Placa MZR 8006)</t>
    </r>
  </si>
  <si>
    <r>
      <t>103400228</t>
    </r>
    <r>
      <rPr>
        <sz val="10"/>
        <color theme="1"/>
        <rFont val="Arial"/>
        <family val="2"/>
      </rPr>
      <t>/2010</t>
    </r>
  </si>
  <si>
    <r>
      <t xml:space="preserve">Alterar a Cláusula  Décima Sexta - VALOR GLOBAL do Contrato original - </t>
    </r>
    <r>
      <rPr>
        <b/>
        <sz val="10"/>
        <rFont val="Arial"/>
        <family val="2"/>
      </rPr>
      <t>AMPLIAÇÃO DO ESPAÇO</t>
    </r>
  </si>
  <si>
    <r>
      <t xml:space="preserve">Locação de Imóvel para </t>
    </r>
    <r>
      <rPr>
        <sz val="10"/>
        <color theme="1"/>
        <rFont val="Arial"/>
        <family val="2"/>
      </rPr>
      <t>instalação da USF da Base</t>
    </r>
  </si>
  <si>
    <r>
      <t>Cooperativa de Trabalhadores Autônomos em Serviços Gerais</t>
    </r>
    <r>
      <rPr>
        <sz val="10"/>
        <color theme="1"/>
        <rFont val="Arial"/>
        <family val="2"/>
      </rPr>
      <t xml:space="preserve"> </t>
    </r>
  </si>
  <si>
    <r>
      <t>Contratação de Serviços de Transporte, Veículo tipo veículo passeio(marca</t>
    </r>
    <r>
      <rPr>
        <sz val="10"/>
        <color rgb="FF000000"/>
        <rFont val="Arial"/>
        <family val="2"/>
      </rPr>
      <t>Fiat Uno Mille Way Econ</t>
    </r>
    <r>
      <rPr>
        <sz val="10"/>
        <color theme="1"/>
        <rFont val="Arial"/>
        <family val="2"/>
      </rPr>
      <t>, Cor Verde, Placa NAF 1790, Ano 2010/2011), destinados atender as ações da SEMSA no perímetro de Rio Branco (zona urbana e rural)</t>
    </r>
  </si>
  <si>
    <r>
      <t>A.S. LIMA</t>
    </r>
    <r>
      <rPr>
        <sz val="10"/>
        <color theme="1"/>
        <rFont val="Arial"/>
        <family val="2"/>
      </rPr>
      <t xml:space="preserve"> - ME</t>
    </r>
  </si>
  <si>
    <r>
      <t>04.130.919/0001-50</t>
    </r>
    <r>
      <rPr>
        <sz val="10"/>
        <color theme="1"/>
        <rFont val="Arial"/>
        <family val="2"/>
      </rPr>
      <t xml:space="preserve"> </t>
    </r>
  </si>
  <si>
    <r>
      <t xml:space="preserve">ÓRGÃO/ENTIDADE/FUNDO: </t>
    </r>
    <r>
      <rPr>
        <b/>
        <sz val="12"/>
        <color theme="1"/>
        <rFont val="Calibri"/>
        <family val="2"/>
        <scheme val="minor"/>
      </rPr>
      <t>SECRETARIA MUNICIPAL DE SAÚDE - SEMSA / FUNDO MUNICIPAL DE SAÚDE - FMS</t>
    </r>
  </si>
  <si>
    <r>
      <t xml:space="preserve">MÊS/ANO: </t>
    </r>
    <r>
      <rPr>
        <b/>
        <sz val="12"/>
        <color theme="1"/>
        <rFont val="Calibri"/>
        <family val="2"/>
        <scheme val="minor"/>
      </rPr>
      <t>JANEIRO a DEZEMBRO/2014.</t>
    </r>
  </si>
  <si>
    <r>
      <t xml:space="preserve">ÓRGÃO/ENTIDADE/FUNDO: </t>
    </r>
    <r>
      <rPr>
        <b/>
        <sz val="11"/>
        <color theme="1"/>
        <rFont val="Arial"/>
        <family val="2"/>
      </rPr>
      <t>SECRETARIA MUNICIPAL DE  OBRAS PÚBLICAS - SEOP</t>
    </r>
  </si>
  <si>
    <t>Nome do responsável pela elaboração:</t>
  </si>
  <si>
    <t>Ana Helena Meireles da Silva</t>
  </si>
  <si>
    <t>Nome do titular do Órgão/Entidade/Fundo (no exercício do cargo): Márcio José Batista</t>
  </si>
  <si>
    <r>
      <t xml:space="preserve">ÓRGÃO/ENTIDADE/FUNDO: </t>
    </r>
    <r>
      <rPr>
        <b/>
        <sz val="12"/>
        <color theme="1"/>
        <rFont val="Arial"/>
        <family val="2"/>
      </rPr>
      <t>SECRETARIA MUNICIPAL DE EDUCAÇÃO - SEME</t>
    </r>
  </si>
  <si>
    <r>
      <t xml:space="preserve">DATA DA ÚLTIMA ATUALIZAÇÃO: </t>
    </r>
    <r>
      <rPr>
        <b/>
        <sz val="12"/>
        <color theme="1"/>
        <rFont val="Arial"/>
        <family val="2"/>
      </rPr>
      <t>02/01/2015</t>
    </r>
  </si>
  <si>
    <r>
      <t xml:space="preserve">ÓRGÃO/ENTIDADE/FUNDO: </t>
    </r>
    <r>
      <rPr>
        <b/>
        <sz val="12"/>
        <color theme="1"/>
        <rFont val="Arial"/>
        <family val="2"/>
      </rPr>
      <t>FUNDO DE MANUTENÇÃO E DESENVOLVIMENTO DA EDUCAÇÃO BÁSICA E DE VALORIZAÇÃO DOS PROFISSIONAIS DA EDUCAÇÃO - FUNDEB</t>
    </r>
  </si>
  <si>
    <r>
      <t xml:space="preserve">MÊS/ANO: </t>
    </r>
    <r>
      <rPr>
        <b/>
        <sz val="12"/>
        <color theme="1"/>
        <rFont val="Arial"/>
        <family val="2"/>
      </rPr>
      <t>JANEIRO A DEZEMBRO DE  2014</t>
    </r>
  </si>
  <si>
    <r>
      <t xml:space="preserve">DATA DA ÚLTIMA ATUALIZAÇÃO: </t>
    </r>
    <r>
      <rPr>
        <b/>
        <sz val="12"/>
        <color theme="1"/>
        <rFont val="Arial"/>
        <family val="2"/>
      </rPr>
      <t>02 de janeiro de 2015</t>
    </r>
  </si>
  <si>
    <r>
      <t xml:space="preserve">MÊS/ANO: </t>
    </r>
    <r>
      <rPr>
        <b/>
        <sz val="12"/>
        <color theme="1"/>
        <rFont val="Arial"/>
        <family val="2"/>
      </rPr>
      <t>JANEIRO A DEZEMBRO/2014</t>
    </r>
  </si>
  <si>
    <r>
      <t xml:space="preserve">DATA DA ÚLTIMA ATUALIZAÇÃO: </t>
    </r>
    <r>
      <rPr>
        <b/>
        <sz val="12"/>
        <color theme="1"/>
        <rFont val="Arial"/>
        <family val="2"/>
      </rPr>
      <t>27/02/2015</t>
    </r>
  </si>
  <si>
    <r>
      <t>ÓRGÃO/ENTIDADE/FUNDO:</t>
    </r>
    <r>
      <rPr>
        <b/>
        <sz val="12"/>
        <color theme="1"/>
        <rFont val="Arial"/>
        <family val="2"/>
      </rPr>
      <t xml:space="preserve"> SECRETARIA MUNICIPAL DE AGRICULTURA E FLORESTA - SAFRA</t>
    </r>
  </si>
  <si>
    <t>Nome do responsável pela elaboração: Julielda Lima da Cunha/ Sueli da Silva Martins/ Paulo Henrique Ramos de Souza</t>
  </si>
  <si>
    <t>Nome do titular do Órgão/Entidade/Fundo (no exercício do cargo): Mário Jorge da Silva Fadell</t>
  </si>
  <si>
    <r>
      <t xml:space="preserve">ÓRGÃO/ENTIDADE/FUNDO: </t>
    </r>
    <r>
      <rPr>
        <b/>
        <sz val="12"/>
        <color theme="1"/>
        <rFont val="Arial"/>
        <family val="2"/>
      </rPr>
      <t>SECRETARIA MUNICIPAL DE SERVIÇOS URBANOS - SEMSUR</t>
    </r>
  </si>
  <si>
    <r>
      <t xml:space="preserve">DATA DA ÚLTIMA ATUALIZAÇÃO: </t>
    </r>
    <r>
      <rPr>
        <b/>
        <sz val="12"/>
        <color theme="1"/>
        <rFont val="Arial"/>
        <family val="2"/>
      </rPr>
      <t>31/12/2014</t>
    </r>
  </si>
  <si>
    <t>Solange Maria Lima Pereira</t>
  </si>
  <si>
    <t>Nome do titular do Órgão/Entidade/Fundo: Kellyton Silva Carvalho</t>
  </si>
  <si>
    <r>
      <t>MÊS/ANO:</t>
    </r>
    <r>
      <rPr>
        <b/>
        <sz val="12"/>
        <rFont val="Arial"/>
        <family val="2"/>
      </rPr>
      <t xml:space="preserve"> JANEIRO A DEZEMBRO/2014</t>
    </r>
  </si>
  <si>
    <r>
      <t xml:space="preserve">ÓRGÃO/ENTIDADE/FUNDO: </t>
    </r>
    <r>
      <rPr>
        <b/>
        <sz val="12"/>
        <rFont val="Arial"/>
        <family val="2"/>
      </rPr>
      <t>SECRETARIA MUNICIPAL DE MEIO AMBIENTE - SEMEIA</t>
    </r>
  </si>
  <si>
    <t>Roberta da Silva Castro</t>
  </si>
  <si>
    <t>Nome do titular do Órgão/Entidade/Fundo (no exercício do cargo): Silvia Helena Costa Brilhante</t>
  </si>
  <si>
    <t>Nome do responsável pela elaboração: Suyani Jeronimo do Vale David Pereira de Brito</t>
  </si>
  <si>
    <t>Nome do titular do Órgão/Entidade/Fundo: Luiz Antônio Rocha</t>
  </si>
  <si>
    <r>
      <t xml:space="preserve">ÓRGÃO/ENTIDADE/FUNDO: </t>
    </r>
    <r>
      <rPr>
        <b/>
        <sz val="12"/>
        <color theme="1"/>
        <rFont val="Arial"/>
        <family val="2"/>
      </rPr>
      <t>SECRETARIA MUNICIPAL DE DESENVOLVIMENTO E GESTÃO URBANA</t>
    </r>
  </si>
  <si>
    <r>
      <t>MÊS/ANO:</t>
    </r>
    <r>
      <rPr>
        <b/>
        <sz val="12"/>
        <color theme="1"/>
        <rFont val="Arial"/>
        <family val="2"/>
      </rPr>
      <t xml:space="preserve"> JANEIRO A DEZEMBRO/2014</t>
    </r>
  </si>
  <si>
    <r>
      <t xml:space="preserve">DATA DA ÚLTIMA ATUALIZAÇÃO:  </t>
    </r>
    <r>
      <rPr>
        <b/>
        <sz val="12"/>
        <color theme="1"/>
        <rFont val="Arial"/>
        <family val="2"/>
      </rPr>
      <t>31/12/2014</t>
    </r>
  </si>
  <si>
    <t>Nome do responsável pela elaboração: Suyani  Jeronimo do Vale e David Pereira de Brito</t>
  </si>
  <si>
    <r>
      <t>DATA DA ÚLTIMA ATUALIZAÇÃO:</t>
    </r>
    <r>
      <rPr>
        <b/>
        <sz val="12"/>
        <color theme="1"/>
        <rFont val="Arial"/>
        <family val="2"/>
      </rPr>
      <t xml:space="preserve"> 01/01/2014 A 31/12/2014</t>
    </r>
  </si>
  <si>
    <r>
      <t xml:space="preserve">ÓRGÃO/ENTIDADE/FUNDO: </t>
    </r>
    <r>
      <rPr>
        <b/>
        <sz val="12"/>
        <color theme="1"/>
        <rFont val="Arial"/>
        <family val="2"/>
      </rPr>
      <t>FUNDO MUNICIPAL DE HABITAÇÃO E INTERESSE SOCIAL - FMHIS</t>
    </r>
  </si>
  <si>
    <t>JOSÉ HERIVELTO DE HOLANDA TRINDADE</t>
  </si>
  <si>
    <t>Nome do titular do Órgão/Entidade/Fundo (no exercício do cargo): FRANCISCO EVANDRO ROSAS DA COSTA</t>
  </si>
  <si>
    <r>
      <t xml:space="preserve">ÓRGÃO: </t>
    </r>
    <r>
      <rPr>
        <b/>
        <sz val="12"/>
        <color theme="1"/>
        <rFont val="Calibri"/>
        <family val="2"/>
        <scheme val="minor"/>
      </rPr>
      <t>018 - SECRETARIA MUNICIPAL DE DIREITOS HUMANOS D EPOLÍTICAS AFIRMATIVAS - SEDIHPA</t>
    </r>
  </si>
  <si>
    <r>
      <t xml:space="preserve">MÊS/ANO:  </t>
    </r>
    <r>
      <rPr>
        <b/>
        <sz val="12"/>
        <color theme="1"/>
        <rFont val="Arial"/>
        <family val="2"/>
      </rPr>
      <t>JANEIRO</t>
    </r>
    <r>
      <rPr>
        <sz val="12"/>
        <color theme="1"/>
        <rFont val="Arial"/>
        <family val="2"/>
      </rPr>
      <t xml:space="preserve"> A </t>
    </r>
    <r>
      <rPr>
        <b/>
        <sz val="12"/>
        <color theme="1"/>
        <rFont val="Arial"/>
        <family val="2"/>
      </rPr>
      <t>DEZEMBRO/2014</t>
    </r>
  </si>
  <si>
    <r>
      <t xml:space="preserve">DATA DA ÚLTIMA ATUALIZAÇÃO: </t>
    </r>
    <r>
      <rPr>
        <b/>
        <sz val="12"/>
        <color theme="1"/>
        <rFont val="Arial"/>
        <family val="2"/>
      </rPr>
      <t>30/01/2015</t>
    </r>
  </si>
  <si>
    <t>Nome do responsável pela elaboração: Valdo Nicácio de Lima</t>
  </si>
  <si>
    <t>Nome do titular do Órgão/Entidade/Fundo (no exercício do cargo): Maria das Dores Araújo de Sousa</t>
  </si>
  <si>
    <r>
      <t xml:space="preserve">ÓRGÃO/ENTIDADE/FUNDO: </t>
    </r>
    <r>
      <rPr>
        <b/>
        <sz val="12"/>
        <color theme="1"/>
        <rFont val="Arial"/>
        <family val="2"/>
      </rPr>
      <t>SECRETARIA MUNICIPAL DE ESPORTE E LAZER - SEMEL</t>
    </r>
  </si>
  <si>
    <r>
      <t xml:space="preserve">DATA DA ÚLTIMA ATUALIZAÇÃO: </t>
    </r>
    <r>
      <rPr>
        <b/>
        <sz val="12"/>
        <color theme="1"/>
        <rFont val="Arial"/>
        <family val="2"/>
      </rPr>
      <t>07/01/2015</t>
    </r>
  </si>
  <si>
    <t>Mara Rodrigues</t>
  </si>
  <si>
    <t>Nome do titular do Órgão/Entidade/Fundo (no exercício do cargo):Afrânio Moura de Lima - Secretário de Esporte e Lazer</t>
  </si>
  <si>
    <r>
      <t xml:space="preserve">ÓRGÃO/ENTIDADE/FUNDO: </t>
    </r>
    <r>
      <rPr>
        <b/>
        <sz val="12"/>
        <color theme="1"/>
        <rFont val="Arial"/>
        <family val="2"/>
      </rPr>
      <t>SECRETARIA MUNICIPAL DE CIDADANIA E ASSISTÊNCIA SOCIAL - SEMCAS / FUNDO MUNICIPAL DE ASSISTÊNCIA SOCIAL - FMAS</t>
    </r>
  </si>
  <si>
    <r>
      <t xml:space="preserve">MÊS/ANO: </t>
    </r>
    <r>
      <rPr>
        <b/>
        <sz val="12"/>
        <color theme="1"/>
        <rFont val="Arial"/>
        <family val="2"/>
      </rPr>
      <t>JANEIRO A DEZEMBRO DE 2014</t>
    </r>
  </si>
  <si>
    <r>
      <t xml:space="preserve">DATA DA ÚLTIMA ATUALIZAÇÃO: </t>
    </r>
    <r>
      <rPr>
        <b/>
        <sz val="12"/>
        <color theme="1"/>
        <rFont val="Arial"/>
        <family val="2"/>
      </rPr>
      <t>23/03/2015</t>
    </r>
  </si>
  <si>
    <r>
      <t>ÓRGÃO/ENTIDADE/FUNDO:</t>
    </r>
    <r>
      <rPr>
        <b/>
        <sz val="12"/>
        <rFont val="Arial"/>
        <family val="2"/>
      </rPr>
      <t xml:space="preserve"> FUNDAÇÃO MUNICIPAL DE CULTURA GARIBALDI BRASIL - FGB</t>
    </r>
  </si>
  <si>
    <r>
      <t xml:space="preserve">MÊS/ANO: </t>
    </r>
    <r>
      <rPr>
        <b/>
        <sz val="12"/>
        <rFont val="Arial"/>
        <family val="2"/>
      </rPr>
      <t>JANEIRO A DEZEMBRO/2014</t>
    </r>
  </si>
  <si>
    <r>
      <t xml:space="preserve">DATA DA ÚLTIMA ATUALIZAÇÃO: </t>
    </r>
    <r>
      <rPr>
        <b/>
        <sz val="12"/>
        <rFont val="Arial"/>
        <family val="2"/>
      </rPr>
      <t>20/03/2015</t>
    </r>
  </si>
  <si>
    <r>
      <t xml:space="preserve">Nome do responsável pela elaboração: </t>
    </r>
    <r>
      <rPr>
        <b/>
        <sz val="10"/>
        <rFont val="Arial"/>
        <family val="2"/>
      </rPr>
      <t>Sid Farney Lima de Araújo</t>
    </r>
  </si>
  <si>
    <r>
      <t xml:space="preserve">Nome do titular do Órgão/Entidade/Fundo : </t>
    </r>
    <r>
      <rPr>
        <b/>
        <sz val="10"/>
        <rFont val="Arial"/>
        <family val="2"/>
      </rPr>
      <t>Rodrigo Cunha Forneck</t>
    </r>
  </si>
  <si>
    <r>
      <t xml:space="preserve">DATA DA ÚLTIMA ATUALIZAÇÃO: </t>
    </r>
    <r>
      <rPr>
        <b/>
        <sz val="10"/>
        <color theme="1"/>
        <rFont val="Arial"/>
        <family val="2"/>
      </rPr>
      <t>31/12/2014</t>
    </r>
  </si>
  <si>
    <r>
      <t xml:space="preserve">ÓRGÃO/ENTIDADE/FUNDO: </t>
    </r>
    <r>
      <rPr>
        <b/>
        <sz val="12"/>
        <color theme="1"/>
        <rFont val="Arial"/>
        <family val="2"/>
      </rPr>
      <t>SUPERINTENDÊNCIA MUNICIPAL DE TRANSPORTES E TRÂNSITO - RBTRANS</t>
    </r>
  </si>
  <si>
    <r>
      <t xml:space="preserve">MÊS/ANO: </t>
    </r>
    <r>
      <rPr>
        <b/>
        <sz val="10"/>
        <color theme="1"/>
        <rFont val="Arial"/>
        <family val="2"/>
      </rPr>
      <t>JANEIRO A DEZEMBRO DE 2014</t>
    </r>
  </si>
  <si>
    <r>
      <t xml:space="preserve">ÓRGÃO/ENTIDADE/FUNDO: </t>
    </r>
    <r>
      <rPr>
        <b/>
        <sz val="10"/>
        <color theme="1"/>
        <rFont val="Arial"/>
        <family val="2"/>
      </rPr>
      <t>INSTITUTO DE PREVIDÊNCIA DO MUNICÍPIO DE RIO BRANCO - RBPREV</t>
    </r>
  </si>
  <si>
    <t>Nome do responsável pela elaboração: Rutileny Cristina de Brito Lima Bastos - Agente Administrativo - mat. n.º 700096</t>
  </si>
  <si>
    <t>Nome do titular do Órgão/Entidade/Fundo (no exercício do cargo): Weruska Lima Bezerra - Diretora Presidente - Decreto Municipal n.º 018/2013</t>
  </si>
  <si>
    <r>
      <t xml:space="preserve">ÓRGÃO/ENTIDADE/FUNDO: </t>
    </r>
    <r>
      <rPr>
        <b/>
        <sz val="11"/>
        <color theme="1"/>
        <rFont val="Arial"/>
        <family val="2"/>
      </rPr>
      <t>SERVIÇO DE ÁGUA E ESGOTO DE RIO BRANCO - SAERB</t>
    </r>
  </si>
  <si>
    <r>
      <t xml:space="preserve">DATA DA ÚLTIMA ATUALIZAÇÃO: </t>
    </r>
    <r>
      <rPr>
        <b/>
        <sz val="11"/>
        <color theme="1"/>
        <rFont val="Arial"/>
        <family val="2"/>
      </rPr>
      <t>27/01/2015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</si>
</sst>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R$&quot;\ * #,##0.00_-;\-&quot;R$&quot;\ * #,##0.00_-;_-&quot;R$&quot;\ * &quot;-&quot;??_-;_-@_-"/>
    <numFmt numFmtId="43" formatCode="_-* #,##0.00_-;\-* #,##0.00_-;_-* &quot;-&quot;??_-;_-@_-"/>
    <numFmt numFmtId="164" formatCode="_-* #,##0.00000_-;\-* #,##0.00000_-;_-* &quot;-&quot;??_-;_-@_-"/>
    <numFmt numFmtId="165" formatCode="0.00000"/>
    <numFmt numFmtId="166" formatCode="_-* #,##0.0000_-;\-* #,##0.0000_-;_-* &quot;-&quot;??_-;_-@_-"/>
    <numFmt numFmtId="167" formatCode="0.000000"/>
    <numFmt numFmtId="168" formatCode="0.0000000"/>
    <numFmt numFmtId="169" formatCode="0.000"/>
    <numFmt numFmtId="170" formatCode="_-* #,##0.000000_-;\-* #,##0.000000_-;_-* &quot;-&quot;??_-;_-@_-"/>
    <numFmt numFmtId="171" formatCode="_-* #,##0.00000000_-;\-* #,##0.00000000_-;_-* &quot;-&quot;??_-;_-@_-"/>
    <numFmt numFmtId="172" formatCode="&quot;R$ &quot;#,##0.00"/>
    <numFmt numFmtId="173" formatCode="0.0000"/>
    <numFmt numFmtId="174" formatCode="#,##0.000000"/>
    <numFmt numFmtId="175" formatCode="00&quot;.&quot;00&quot;.&quot;00&quot;.&quot;00"/>
    <numFmt numFmtId="176" formatCode="&quot;R$&quot;\ #,##0.00"/>
    <numFmt numFmtId="177" formatCode="_-* #,##0_-;\-* #,##0_-;_-* &quot;-&quot;??_-;_-@_-"/>
    <numFmt numFmtId="178" formatCode="00000"/>
    <numFmt numFmtId="179" formatCode="_-* #,##0.000_-;\-* #,##0.000_-;_-* &quot;-&quot;??_-;_-@_-"/>
    <numFmt numFmtId="180" formatCode="d/m/yy;@"/>
  </numFmts>
  <fonts count="56"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0"/>
      <color indexed="8"/>
      <name val="Arial"/>
      <family val="2"/>
    </font>
    <font>
      <b/>
      <sz val="10"/>
      <color theme="1"/>
      <name val="Arial"/>
      <family val="2"/>
    </font>
    <font>
      <sz val="10"/>
      <name val="Arial"/>
      <family val="2"/>
    </font>
    <font>
      <sz val="10"/>
      <color rgb="FFFF0000"/>
      <name val="Arial"/>
      <family val="2"/>
    </font>
    <font>
      <sz val="8"/>
      <color rgb="FFFF0000"/>
      <name val="Arial"/>
      <family val="2"/>
    </font>
    <font>
      <sz val="11"/>
      <color theme="1"/>
      <name val="Arial"/>
      <family val="2"/>
    </font>
    <font>
      <sz val="9"/>
      <color theme="1"/>
      <name val="Arial"/>
      <family val="2"/>
    </font>
    <font>
      <sz val="9"/>
      <name val="Arial"/>
      <family val="2"/>
    </font>
    <font>
      <b/>
      <sz val="9"/>
      <color theme="1"/>
      <name val="Arial"/>
      <family val="2"/>
    </font>
    <font>
      <b/>
      <sz val="9"/>
      <name val="Arial"/>
      <family val="2"/>
    </font>
    <font>
      <sz val="8"/>
      <color theme="1"/>
      <name val="Arial"/>
      <family val="2"/>
    </font>
    <font>
      <sz val="8"/>
      <name val="Arial"/>
      <family val="2"/>
    </font>
    <font>
      <sz val="10"/>
      <color rgb="FF333333"/>
      <name val="Arial"/>
      <family val="2"/>
    </font>
    <font>
      <i/>
      <sz val="10"/>
      <color theme="1"/>
      <name val="Arial"/>
      <family val="2"/>
    </font>
    <font>
      <sz val="12"/>
      <color theme="1"/>
      <name val="Arial"/>
      <family val="2"/>
    </font>
    <font>
      <sz val="13"/>
      <color theme="1"/>
      <name val="Arial"/>
      <family val="2"/>
    </font>
    <font>
      <sz val="12"/>
      <color theme="1"/>
      <name val="Calibri"/>
      <family val="2"/>
      <scheme val="minor"/>
    </font>
    <font>
      <b/>
      <sz val="12"/>
      <color theme="1"/>
      <name val="Arial"/>
      <family val="2"/>
    </font>
    <font>
      <sz val="14"/>
      <color theme="1"/>
      <name val="Arial"/>
      <family val="2"/>
    </font>
    <font>
      <sz val="8"/>
      <color theme="1"/>
      <name val="Calibri"/>
      <family val="2"/>
      <scheme val="minor"/>
    </font>
    <font>
      <sz val="8"/>
      <name val="Calibri"/>
      <family val="2"/>
      <scheme val="minor"/>
    </font>
    <font>
      <sz val="8"/>
      <color rgb="FF000000"/>
      <name val="Calibri"/>
      <family val="2"/>
      <scheme val="minor"/>
    </font>
    <font>
      <u/>
      <sz val="11"/>
      <color theme="10"/>
      <name val="Calibri"/>
      <family val="2"/>
    </font>
    <font>
      <sz val="10"/>
      <color rgb="FF000000"/>
      <name val="Arial"/>
      <family val="2"/>
    </font>
    <font>
      <b/>
      <sz val="10"/>
      <name val="Arial"/>
      <family val="2"/>
    </font>
    <font>
      <b/>
      <sz val="12"/>
      <name val="Arial"/>
      <family val="2"/>
    </font>
    <font>
      <sz val="11"/>
      <name val="Calibri"/>
      <family val="2"/>
      <scheme val="minor"/>
    </font>
    <font>
      <b/>
      <sz val="11"/>
      <color rgb="FFFF0000"/>
      <name val="Calibri"/>
      <family val="2"/>
      <scheme val="minor"/>
    </font>
    <font>
      <sz val="10"/>
      <color theme="1"/>
      <name val="Calibri"/>
      <family val="2"/>
      <scheme val="minor"/>
    </font>
    <font>
      <sz val="10"/>
      <color rgb="FF00B050"/>
      <name val="Arial"/>
      <family val="2"/>
    </font>
    <font>
      <b/>
      <sz val="9"/>
      <color indexed="81"/>
      <name val="Tahoma"/>
      <family val="2"/>
    </font>
    <font>
      <sz val="9"/>
      <color indexed="81"/>
      <name val="Tahoma"/>
      <family val="2"/>
    </font>
    <font>
      <b/>
      <sz val="11"/>
      <name val="Calibri"/>
      <family val="2"/>
      <scheme val="minor"/>
    </font>
    <font>
      <b/>
      <sz val="10"/>
      <color rgb="FFFF0000"/>
      <name val="Arial"/>
      <family val="2"/>
    </font>
    <font>
      <sz val="9"/>
      <name val="Calibri"/>
      <family val="2"/>
      <scheme val="minor"/>
    </font>
    <font>
      <sz val="9"/>
      <color rgb="FF000000"/>
      <name val="Arial"/>
      <family val="2"/>
    </font>
    <font>
      <sz val="11"/>
      <name val="Arial"/>
      <family val="2"/>
    </font>
    <font>
      <sz val="12"/>
      <name val="Calibri"/>
      <family val="2"/>
      <scheme val="minor"/>
    </font>
    <font>
      <sz val="10"/>
      <color theme="1"/>
      <name val="Calibri"/>
      <family val="2"/>
    </font>
    <font>
      <b/>
      <sz val="9"/>
      <color indexed="81"/>
      <name val="Segoe UI"/>
      <family val="2"/>
    </font>
    <font>
      <sz val="9"/>
      <color indexed="81"/>
      <name val="Segoe UI"/>
      <family val="2"/>
    </font>
    <font>
      <b/>
      <sz val="11"/>
      <color theme="1"/>
      <name val="Arial"/>
      <family val="2"/>
    </font>
    <font>
      <sz val="11"/>
      <color indexed="8"/>
      <name val="Arial"/>
      <family val="2"/>
    </font>
    <font>
      <b/>
      <sz val="11"/>
      <color indexed="8"/>
      <name val="Arial"/>
      <family val="2"/>
    </font>
    <font>
      <u/>
      <sz val="10"/>
      <color theme="1"/>
      <name val="Arial"/>
      <family val="2"/>
    </font>
    <font>
      <u/>
      <sz val="10"/>
      <color theme="10"/>
      <name val="Arial"/>
      <family val="2"/>
    </font>
    <font>
      <i/>
      <sz val="10"/>
      <name val="Arial"/>
      <family val="2"/>
    </font>
    <font>
      <i/>
      <sz val="10"/>
      <color rgb="FF000000"/>
      <name val="Arial"/>
      <family val="2"/>
    </font>
    <font>
      <b/>
      <sz val="12"/>
      <color theme="1"/>
      <name val="Calibri"/>
      <family val="2"/>
      <scheme val="minor"/>
    </font>
    <font>
      <b/>
      <sz val="10"/>
      <color theme="1"/>
      <name val="Calibri"/>
      <family val="2"/>
      <scheme val="minor"/>
    </font>
    <font>
      <sz val="12"/>
      <name val="Arial"/>
      <family val="2"/>
    </font>
    <font>
      <sz val="10"/>
      <color rgb="FF1D1B11"/>
      <name val="Arial"/>
      <family val="2"/>
    </font>
  </fonts>
  <fills count="7">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rgb="FFFF0000"/>
        <bgColor indexed="64"/>
      </patternFill>
    </fill>
  </fills>
  <borders count="77">
    <border>
      <left/>
      <right/>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right/>
      <top style="thin">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6" fillId="0" borderId="0" applyNumberFormat="0" applyFill="0" applyBorder="0" applyAlignment="0" applyProtection="0">
      <alignment vertical="top"/>
      <protection locked="0"/>
    </xf>
    <xf numFmtId="9" fontId="1" fillId="0" borderId="0" applyFont="0" applyFill="0" applyBorder="0" applyAlignment="0" applyProtection="0"/>
  </cellStyleXfs>
  <cellXfs count="2704">
    <xf numFmtId="0" fontId="0" fillId="0" borderId="0" xfId="0"/>
    <xf numFmtId="0" fontId="3" fillId="0" borderId="0" xfId="0" applyFont="1" applyFill="1" applyAlignment="1">
      <alignment vertical="center"/>
    </xf>
    <xf numFmtId="0" fontId="3" fillId="0" borderId="0" xfId="0" applyFont="1" applyFill="1" applyAlignment="1">
      <alignment horizontal="center" vertical="center"/>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6" xfId="0" applyFont="1" applyFill="1" applyBorder="1" applyAlignment="1">
      <alignment horizontal="center" vertical="center" wrapText="1"/>
    </xf>
    <xf numFmtId="0" fontId="5" fillId="0" borderId="17" xfId="0"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0" fontId="5" fillId="0" borderId="18" xfId="0"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4" fontId="5" fillId="0" borderId="17" xfId="0" applyNumberFormat="1"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6"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3" fillId="0" borderId="24" xfId="0" applyFont="1" applyFill="1" applyBorder="1" applyAlignment="1">
      <alignment vertical="center"/>
    </xf>
    <xf numFmtId="0" fontId="3" fillId="0" borderId="25" xfId="0" applyFont="1" applyFill="1" applyBorder="1" applyAlignment="1">
      <alignment vertical="center"/>
    </xf>
    <xf numFmtId="0" fontId="3" fillId="0" borderId="26" xfId="0" applyFont="1" applyFill="1" applyBorder="1" applyAlignment="1">
      <alignment vertical="center"/>
    </xf>
    <xf numFmtId="0" fontId="3" fillId="0" borderId="27" xfId="0" applyFont="1" applyFill="1" applyBorder="1" applyAlignment="1">
      <alignment vertical="center"/>
    </xf>
    <xf numFmtId="4" fontId="3" fillId="0" borderId="25" xfId="0" applyNumberFormat="1" applyFont="1" applyFill="1" applyBorder="1" applyAlignment="1">
      <alignment vertical="center"/>
    </xf>
    <xf numFmtId="4" fontId="3" fillId="0" borderId="26" xfId="0" applyNumberFormat="1" applyFont="1" applyFill="1" applyBorder="1" applyAlignment="1">
      <alignment horizontal="right" vertical="center" wrapText="1"/>
    </xf>
    <xf numFmtId="0" fontId="3" fillId="0" borderId="14" xfId="0" applyFont="1" applyFill="1" applyBorder="1" applyAlignment="1">
      <alignment vertical="center" wrapText="1"/>
    </xf>
    <xf numFmtId="0" fontId="3" fillId="0" borderId="11" xfId="0" applyFont="1" applyFill="1" applyBorder="1" applyAlignment="1">
      <alignment vertical="center" wrapText="1"/>
    </xf>
    <xf numFmtId="0" fontId="3" fillId="0" borderId="11" xfId="0" applyFont="1" applyFill="1" applyBorder="1" applyAlignment="1">
      <alignment vertical="center"/>
    </xf>
    <xf numFmtId="9" fontId="3" fillId="0" borderId="11" xfId="0" applyNumberFormat="1" applyFont="1" applyFill="1" applyBorder="1" applyAlignment="1">
      <alignment vertical="center"/>
    </xf>
    <xf numFmtId="0" fontId="3" fillId="0" borderId="12" xfId="0" applyFont="1" applyFill="1" applyBorder="1" applyAlignment="1">
      <alignment vertical="center"/>
    </xf>
    <xf numFmtId="0" fontId="3" fillId="0" borderId="10" xfId="0" applyFont="1" applyFill="1" applyBorder="1" applyAlignment="1">
      <alignment vertical="center"/>
    </xf>
    <xf numFmtId="4" fontId="3" fillId="0" borderId="11" xfId="0" applyNumberFormat="1" applyFont="1" applyFill="1" applyBorder="1" applyAlignment="1">
      <alignment vertical="center"/>
    </xf>
    <xf numFmtId="4" fontId="3" fillId="0" borderId="12" xfId="0" applyNumberFormat="1" applyFont="1" applyFill="1" applyBorder="1" applyAlignment="1">
      <alignment horizontal="right" vertical="center" wrapText="1"/>
    </xf>
    <xf numFmtId="0" fontId="3" fillId="0" borderId="14" xfId="0" applyFont="1" applyFill="1" applyBorder="1" applyAlignment="1">
      <alignment vertical="center"/>
    </xf>
    <xf numFmtId="14" fontId="3" fillId="0" borderId="11" xfId="0" applyNumberFormat="1" applyFont="1" applyFill="1" applyBorder="1" applyAlignment="1">
      <alignment vertical="center" wrapText="1"/>
    </xf>
    <xf numFmtId="3" fontId="3" fillId="0" borderId="11" xfId="0" applyNumberFormat="1" applyFont="1" applyFill="1" applyBorder="1" applyAlignment="1">
      <alignment vertical="center"/>
    </xf>
    <xf numFmtId="0" fontId="3" fillId="0" borderId="11" xfId="0" applyFont="1" applyFill="1" applyBorder="1" applyAlignment="1">
      <alignment horizontal="center" vertical="center" wrapText="1"/>
    </xf>
    <xf numFmtId="14" fontId="3" fillId="0" borderId="11" xfId="0" applyNumberFormat="1" applyFont="1" applyFill="1" applyBorder="1" applyAlignment="1">
      <alignment vertical="center"/>
    </xf>
    <xf numFmtId="0" fontId="3" fillId="2" borderId="11" xfId="0" applyFont="1" applyFill="1" applyBorder="1" applyAlignment="1">
      <alignment vertical="center" wrapText="1"/>
    </xf>
    <xf numFmtId="0" fontId="3" fillId="2" borderId="11" xfId="0" applyFont="1" applyFill="1" applyBorder="1" applyAlignment="1">
      <alignment vertical="center"/>
    </xf>
    <xf numFmtId="3" fontId="3" fillId="2" borderId="11" xfId="0" applyNumberFormat="1" applyFont="1" applyFill="1" applyBorder="1" applyAlignment="1">
      <alignment vertical="center"/>
    </xf>
    <xf numFmtId="14" fontId="3" fillId="2" borderId="11" xfId="0" applyNumberFormat="1" applyFont="1" applyFill="1" applyBorder="1" applyAlignment="1">
      <alignment vertical="center"/>
    </xf>
    <xf numFmtId="4" fontId="3" fillId="0" borderId="11" xfId="0" applyNumberFormat="1" applyFont="1" applyFill="1" applyBorder="1" applyAlignment="1">
      <alignment horizontal="center" vertical="center"/>
    </xf>
    <xf numFmtId="0" fontId="3" fillId="0" borderId="10" xfId="0" applyFont="1" applyFill="1" applyBorder="1" applyAlignment="1">
      <alignment horizontal="center" vertical="center" wrapText="1"/>
    </xf>
    <xf numFmtId="14" fontId="3" fillId="0" borderId="11"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4" fontId="3" fillId="0" borderId="11" xfId="0" applyNumberFormat="1"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2" xfId="0" applyFont="1" applyFill="1" applyBorder="1" applyAlignment="1">
      <alignment horizontal="center" vertical="center"/>
    </xf>
    <xf numFmtId="49" fontId="3" fillId="0" borderId="11"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0" xfId="0" applyFont="1" applyFill="1" applyBorder="1" applyAlignment="1">
      <alignment horizontal="center" vertical="center" wrapText="1"/>
    </xf>
    <xf numFmtId="14" fontId="6" fillId="0" borderId="11" xfId="0" applyNumberFormat="1"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14" fontId="3" fillId="2" borderId="11" xfId="0" applyNumberFormat="1" applyFont="1" applyFill="1" applyBorder="1" applyAlignment="1">
      <alignment horizontal="center" vertical="center" wrapText="1"/>
    </xf>
    <xf numFmtId="3" fontId="3" fillId="2" borderId="11" xfId="0" applyNumberFormat="1" applyFont="1" applyFill="1" applyBorder="1" applyAlignment="1">
      <alignment horizontal="center" vertical="center" wrapText="1"/>
    </xf>
    <xf numFmtId="9" fontId="3" fillId="0" borderId="11" xfId="0" applyNumberFormat="1" applyFont="1" applyFill="1" applyBorder="1" applyAlignment="1">
      <alignment horizontal="center" vertical="center" wrapText="1"/>
    </xf>
    <xf numFmtId="4" fontId="3" fillId="0" borderId="10" xfId="0" applyNumberFormat="1" applyFont="1" applyFill="1" applyBorder="1" applyAlignment="1">
      <alignment horizontal="right" vertical="center" wrapText="1"/>
    </xf>
    <xf numFmtId="4" fontId="3" fillId="0" borderId="10" xfId="0" applyNumberFormat="1" applyFont="1" applyFill="1" applyBorder="1" applyAlignment="1">
      <alignment horizontal="center" vertical="center" wrapText="1"/>
    </xf>
    <xf numFmtId="0" fontId="3" fillId="0" borderId="12" xfId="0" applyFont="1" applyFill="1" applyBorder="1" applyAlignment="1">
      <alignment vertical="center" wrapText="1"/>
    </xf>
    <xf numFmtId="0" fontId="3" fillId="0" borderId="10" xfId="0" applyFont="1" applyFill="1" applyBorder="1" applyAlignment="1">
      <alignment vertical="center" wrapText="1"/>
    </xf>
    <xf numFmtId="3" fontId="3" fillId="0" borderId="11" xfId="0" applyNumberFormat="1" applyFont="1" applyFill="1" applyBorder="1" applyAlignment="1">
      <alignment vertical="center" wrapText="1"/>
    </xf>
    <xf numFmtId="4" fontId="3" fillId="0" borderId="11" xfId="0" applyNumberFormat="1" applyFont="1" applyFill="1" applyBorder="1" applyAlignment="1">
      <alignment vertical="center" wrapText="1"/>
    </xf>
    <xf numFmtId="0" fontId="3" fillId="0" borderId="35" xfId="0" applyFont="1" applyFill="1" applyBorder="1" applyAlignment="1">
      <alignment vertical="center"/>
    </xf>
    <xf numFmtId="10" fontId="3" fillId="0" borderId="11"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49" fontId="3" fillId="0" borderId="35"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0" xfId="0" applyFont="1" applyFill="1" applyAlignment="1">
      <alignment horizontal="center" vertical="center" wrapText="1"/>
    </xf>
    <xf numFmtId="0" fontId="3" fillId="2" borderId="11" xfId="0"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4" fontId="6" fillId="0" borderId="11" xfId="0" applyNumberFormat="1" applyFont="1" applyFill="1" applyBorder="1" applyAlignment="1">
      <alignment horizontal="center" vertical="center" wrapText="1"/>
    </xf>
    <xf numFmtId="4" fontId="6" fillId="0" borderId="10" xfId="0" applyNumberFormat="1" applyFont="1" applyFill="1" applyBorder="1" applyAlignment="1">
      <alignment horizontal="right" vertical="center" wrapText="1"/>
    </xf>
    <xf numFmtId="49" fontId="6" fillId="0" borderId="14" xfId="0" applyNumberFormat="1" applyFont="1" applyFill="1" applyBorder="1" applyAlignment="1">
      <alignment horizontal="center" vertical="center" wrapText="1"/>
    </xf>
    <xf numFmtId="0" fontId="6" fillId="0" borderId="11"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0" xfId="0" applyFont="1" applyFill="1" applyAlignment="1">
      <alignment vertical="center"/>
    </xf>
    <xf numFmtId="0" fontId="3" fillId="0" borderId="9" xfId="0" applyFont="1" applyFill="1" applyBorder="1" applyAlignment="1">
      <alignment horizontal="center" vertical="center"/>
    </xf>
    <xf numFmtId="3" fontId="3" fillId="0" borderId="12" xfId="0" applyNumberFormat="1" applyFont="1" applyFill="1" applyBorder="1" applyAlignment="1">
      <alignment horizontal="center" vertical="center" wrapText="1"/>
    </xf>
    <xf numFmtId="0" fontId="3" fillId="0" borderId="9" xfId="0" applyFont="1" applyFill="1" applyBorder="1" applyAlignment="1">
      <alignment horizontal="center" vertical="center" wrapText="1"/>
    </xf>
    <xf numFmtId="49" fontId="3" fillId="0" borderId="10" xfId="0" applyNumberFormat="1" applyFont="1" applyFill="1" applyBorder="1" applyAlignment="1">
      <alignment vertical="center"/>
    </xf>
    <xf numFmtId="4" fontId="3" fillId="0" borderId="10" xfId="0" applyNumberFormat="1" applyFont="1" applyFill="1" applyBorder="1" applyAlignment="1">
      <alignment vertical="center"/>
    </xf>
    <xf numFmtId="3" fontId="3" fillId="2" borderId="12"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0" fontId="6" fillId="0" borderId="10" xfId="0" applyFont="1" applyFill="1" applyBorder="1" applyAlignment="1">
      <alignment vertical="center"/>
    </xf>
    <xf numFmtId="0" fontId="6" fillId="0" borderId="11" xfId="0" applyFont="1" applyFill="1" applyBorder="1" applyAlignment="1">
      <alignment vertical="center"/>
    </xf>
    <xf numFmtId="0" fontId="6" fillId="0" borderId="11" xfId="0" applyFont="1" applyFill="1" applyBorder="1" applyAlignment="1">
      <alignment vertical="center" wrapText="1"/>
    </xf>
    <xf numFmtId="0" fontId="6" fillId="2" borderId="12" xfId="0" applyFont="1" applyFill="1" applyBorder="1" applyAlignment="1">
      <alignment vertical="center"/>
    </xf>
    <xf numFmtId="49" fontId="6" fillId="0" borderId="10" xfId="0" applyNumberFormat="1" applyFont="1" applyFill="1" applyBorder="1" applyAlignment="1">
      <alignment horizontal="center" vertical="center" wrapText="1"/>
    </xf>
    <xf numFmtId="3" fontId="6" fillId="0" borderId="12" xfId="0" applyNumberFormat="1" applyFont="1" applyFill="1" applyBorder="1" applyAlignment="1">
      <alignment horizontal="center" vertical="center" wrapText="1"/>
    </xf>
    <xf numFmtId="0" fontId="3" fillId="2" borderId="10" xfId="0" applyFont="1" applyFill="1" applyBorder="1" applyAlignment="1">
      <alignment horizontal="center" vertical="center" wrapText="1"/>
    </xf>
    <xf numFmtId="3" fontId="3" fillId="0" borderId="11" xfId="0" applyNumberFormat="1" applyFont="1" applyFill="1" applyBorder="1" applyAlignment="1">
      <alignment horizontal="center" vertical="center"/>
    </xf>
    <xf numFmtId="14" fontId="3" fillId="0" borderId="11" xfId="0" applyNumberFormat="1" applyFont="1" applyFill="1" applyBorder="1" applyAlignment="1">
      <alignment horizontal="center" vertical="center"/>
    </xf>
    <xf numFmtId="14" fontId="3" fillId="0" borderId="35" xfId="0" applyNumberFormat="1" applyFont="1" applyFill="1" applyBorder="1" applyAlignment="1">
      <alignment horizontal="center" vertical="center"/>
    </xf>
    <xf numFmtId="0" fontId="3" fillId="0" borderId="10" xfId="0" applyFont="1" applyBorder="1" applyAlignment="1">
      <alignment vertical="center" wrapText="1"/>
    </xf>
    <xf numFmtId="0" fontId="3" fillId="0" borderId="11" xfId="0" applyFont="1" applyBorder="1" applyAlignment="1">
      <alignment vertical="center" wrapText="1"/>
    </xf>
    <xf numFmtId="3" fontId="3" fillId="0" borderId="12" xfId="0" applyNumberFormat="1" applyFont="1" applyFill="1" applyBorder="1" applyAlignment="1">
      <alignment horizontal="center" vertical="center"/>
    </xf>
    <xf numFmtId="49" fontId="3" fillId="0" borderId="14" xfId="0" applyNumberFormat="1" applyFont="1" applyFill="1" applyBorder="1" applyAlignment="1">
      <alignment horizontal="right" vertical="center" wrapText="1"/>
    </xf>
    <xf numFmtId="2" fontId="3" fillId="0" borderId="11" xfId="0" applyNumberFormat="1" applyFont="1" applyFill="1" applyBorder="1" applyAlignment="1">
      <alignment horizontal="right" vertical="center" wrapText="1"/>
    </xf>
    <xf numFmtId="2" fontId="3" fillId="0" borderId="35" xfId="0" applyNumberFormat="1" applyFont="1" applyFill="1" applyBorder="1" applyAlignment="1">
      <alignment horizontal="right" vertical="center" wrapText="1"/>
    </xf>
    <xf numFmtId="0" fontId="3" fillId="2" borderId="12" xfId="0" applyFont="1" applyFill="1" applyBorder="1" applyAlignment="1">
      <alignment horizontal="center" vertical="center" wrapText="1"/>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2" fontId="3" fillId="0" borderId="11" xfId="0" applyNumberFormat="1" applyFont="1" applyFill="1" applyBorder="1" applyAlignment="1">
      <alignment horizontal="center" vertical="center" wrapText="1"/>
    </xf>
    <xf numFmtId="0" fontId="7" fillId="0" borderId="11" xfId="0" applyFont="1" applyFill="1" applyBorder="1" applyAlignment="1">
      <alignment horizontal="center" vertical="center" wrapText="1"/>
    </xf>
    <xf numFmtId="0" fontId="3" fillId="0" borderId="0" xfId="0" applyFont="1" applyFill="1" applyAlignment="1">
      <alignment vertical="center" wrapText="1"/>
    </xf>
    <xf numFmtId="49" fontId="3" fillId="0" borderId="11" xfId="0" applyNumberFormat="1" applyFont="1" applyFill="1" applyBorder="1" applyAlignment="1">
      <alignment horizontal="right" vertical="center" wrapText="1"/>
    </xf>
    <xf numFmtId="0" fontId="8" fillId="2" borderId="11" xfId="0" applyFont="1" applyFill="1" applyBorder="1" applyAlignment="1">
      <alignment vertical="center" wrapText="1"/>
    </xf>
    <xf numFmtId="49" fontId="3" fillId="0" borderId="35" xfId="0" applyNumberFormat="1" applyFont="1" applyFill="1" applyBorder="1" applyAlignment="1">
      <alignment horizontal="right" vertical="center" wrapText="1"/>
    </xf>
    <xf numFmtId="0" fontId="9" fillId="0" borderId="11"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3" fontId="3" fillId="2" borderId="18"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0" fontId="6" fillId="0" borderId="17" xfId="0" applyFont="1" applyFill="1" applyBorder="1" applyAlignment="1">
      <alignment horizontal="center" vertical="center" wrapText="1"/>
    </xf>
    <xf numFmtId="14" fontId="3" fillId="0" borderId="17" xfId="0" applyNumberFormat="1" applyFont="1" applyFill="1" applyBorder="1" applyAlignment="1">
      <alignment horizontal="center" vertical="center" wrapText="1"/>
    </xf>
    <xf numFmtId="4" fontId="3" fillId="0" borderId="17" xfId="0" applyNumberFormat="1"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0" fontId="3" fillId="0" borderId="18" xfId="0" applyFont="1" applyFill="1" applyBorder="1" applyAlignment="1">
      <alignment horizontal="center" vertical="center" wrapText="1"/>
    </xf>
    <xf numFmtId="4" fontId="3" fillId="0" borderId="16" xfId="0" applyNumberFormat="1" applyFont="1" applyFill="1" applyBorder="1" applyAlignment="1">
      <alignment horizontal="right" vertical="center" wrapText="1"/>
    </xf>
    <xf numFmtId="4" fontId="3" fillId="0" borderId="18" xfId="0" applyNumberFormat="1" applyFont="1" applyFill="1" applyBorder="1" applyAlignment="1">
      <alignment horizontal="right" vertical="center" wrapText="1"/>
    </xf>
    <xf numFmtId="4" fontId="5" fillId="0" borderId="39" xfId="0" applyNumberFormat="1" applyFont="1" applyFill="1" applyBorder="1" applyAlignment="1">
      <alignment vertical="center" wrapText="1"/>
    </xf>
    <xf numFmtId="0" fontId="5" fillId="0" borderId="39" xfId="0" applyFont="1" applyFill="1" applyBorder="1" applyAlignment="1">
      <alignment vertical="center" wrapText="1"/>
    </xf>
    <xf numFmtId="2" fontId="5" fillId="0" borderId="39" xfId="0" applyNumberFormat="1" applyFont="1" applyFill="1" applyBorder="1" applyAlignment="1">
      <alignment vertical="center" wrapText="1"/>
    </xf>
    <xf numFmtId="4" fontId="5" fillId="0" borderId="40" xfId="0" applyNumberFormat="1" applyFont="1" applyFill="1" applyBorder="1" applyAlignment="1">
      <alignment vertical="center" wrapText="1"/>
    </xf>
    <xf numFmtId="2" fontId="5" fillId="0" borderId="16" xfId="0" applyNumberFormat="1" applyFont="1" applyFill="1" applyBorder="1" applyAlignment="1">
      <alignment vertical="center" wrapText="1"/>
    </xf>
    <xf numFmtId="2" fontId="5" fillId="0" borderId="17" xfId="0" applyNumberFormat="1" applyFont="1" applyFill="1" applyBorder="1" applyAlignment="1">
      <alignment vertical="center" wrapText="1"/>
    </xf>
    <xf numFmtId="2" fontId="5" fillId="0" borderId="41" xfId="0" applyNumberFormat="1" applyFont="1" applyFill="1" applyBorder="1" applyAlignment="1">
      <alignment vertical="center" wrapText="1"/>
    </xf>
    <xf numFmtId="0" fontId="3" fillId="0" borderId="17"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8" xfId="0" applyFont="1" applyFill="1" applyBorder="1" applyAlignment="1">
      <alignment horizontal="center" vertical="center"/>
    </xf>
    <xf numFmtId="0" fontId="4" fillId="0" borderId="0" xfId="0" applyFont="1" applyFill="1" applyAlignment="1">
      <alignment horizontal="left" vertical="center"/>
    </xf>
    <xf numFmtId="0" fontId="0" fillId="0" borderId="0" xfId="0" applyFill="1" applyAlignment="1">
      <alignment horizontal="left" vertical="center"/>
    </xf>
    <xf numFmtId="0" fontId="6" fillId="0" borderId="0" xfId="0" applyFont="1" applyFill="1" applyAlignment="1">
      <alignment horizontal="center" vertical="center"/>
    </xf>
    <xf numFmtId="0" fontId="5" fillId="0" borderId="0" xfId="0" applyFont="1" applyFill="1" applyAlignment="1">
      <alignment horizontal="center" vertical="center"/>
    </xf>
    <xf numFmtId="0" fontId="3" fillId="0" borderId="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0" borderId="25" xfId="0" applyFont="1" applyFill="1" applyBorder="1" applyAlignment="1">
      <alignment horizontal="center" vertical="center"/>
    </xf>
    <xf numFmtId="0" fontId="3" fillId="0" borderId="25" xfId="0" applyFont="1" applyFill="1" applyBorder="1" applyAlignment="1">
      <alignment horizontal="center" vertical="center" wrapText="1"/>
    </xf>
    <xf numFmtId="14" fontId="3" fillId="0" borderId="25" xfId="0" applyNumberFormat="1"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2" borderId="32" xfId="0" applyFont="1" applyFill="1" applyBorder="1" applyAlignment="1">
      <alignment horizontal="center" vertical="center" wrapText="1"/>
    </xf>
    <xf numFmtId="14" fontId="3" fillId="0" borderId="32" xfId="0" applyNumberFormat="1" applyFont="1" applyFill="1" applyBorder="1" applyAlignment="1">
      <alignment horizontal="center" vertical="center" wrapText="1"/>
    </xf>
    <xf numFmtId="4" fontId="3" fillId="0" borderId="32"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49" fontId="3" fillId="0" borderId="32"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 fontId="3" fillId="0" borderId="25" xfId="0" applyNumberFormat="1" applyFont="1" applyFill="1" applyBorder="1" applyAlignment="1">
      <alignment horizontal="center" vertical="center" wrapText="1"/>
    </xf>
    <xf numFmtId="3" fontId="3" fillId="0" borderId="25" xfId="0"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center"/>
    </xf>
    <xf numFmtId="0" fontId="3" fillId="0" borderId="0" xfId="0" applyFont="1" applyAlignment="1">
      <alignment horizontal="left"/>
    </xf>
    <xf numFmtId="0" fontId="3" fillId="0" borderId="11" xfId="0" applyFont="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xf>
    <xf numFmtId="49" fontId="3" fillId="0" borderId="16" xfId="0" applyNumberFormat="1"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53" xfId="0" applyFont="1" applyBorder="1" applyAlignment="1">
      <alignment horizontal="center"/>
    </xf>
    <xf numFmtId="0" fontId="0" fillId="0" borderId="27" xfId="0" applyBorder="1" applyAlignment="1">
      <alignment horizontal="center" vertical="center"/>
    </xf>
    <xf numFmtId="0" fontId="5" fillId="0" borderId="25" xfId="0" applyFont="1" applyFill="1" applyBorder="1" applyAlignment="1">
      <alignment horizontal="center" vertical="center" wrapText="1"/>
    </xf>
    <xf numFmtId="4" fontId="3" fillId="0" borderId="25" xfId="0" applyNumberFormat="1" applyFont="1" applyFill="1" applyBorder="1" applyAlignment="1">
      <alignment horizontal="right" vertical="center" wrapText="1"/>
    </xf>
    <xf numFmtId="2" fontId="3" fillId="0" borderId="54" xfId="0" applyNumberFormat="1" applyFont="1" applyFill="1" applyBorder="1" applyAlignment="1">
      <alignment horizontal="right" vertical="center" wrapText="1"/>
    </xf>
    <xf numFmtId="2" fontId="3" fillId="0" borderId="10" xfId="0" applyNumberFormat="1" applyFont="1" applyFill="1" applyBorder="1" applyAlignment="1">
      <alignment horizontal="right" vertical="center" wrapText="1"/>
    </xf>
    <xf numFmtId="2" fontId="3" fillId="0" borderId="12" xfId="0" applyNumberFormat="1" applyFont="1" applyFill="1" applyBorder="1" applyAlignment="1">
      <alignment horizontal="right" vertical="center" wrapText="1"/>
    </xf>
    <xf numFmtId="2" fontId="3" fillId="0" borderId="14" xfId="0" applyNumberFormat="1" applyFont="1" applyFill="1" applyBorder="1" applyAlignment="1">
      <alignment horizontal="right" vertical="center" wrapText="1"/>
    </xf>
    <xf numFmtId="2" fontId="3" fillId="0" borderId="53" xfId="0" applyNumberFormat="1" applyFont="1" applyFill="1" applyBorder="1" applyAlignment="1">
      <alignment horizontal="right" vertical="center" wrapText="1"/>
    </xf>
    <xf numFmtId="0" fontId="0" fillId="0" borderId="10" xfId="0" applyBorder="1" applyAlignment="1">
      <alignment horizontal="center" vertical="center"/>
    </xf>
    <xf numFmtId="4" fontId="3" fillId="0" borderId="11" xfId="0" applyNumberFormat="1" applyFont="1" applyFill="1" applyBorder="1" applyAlignment="1">
      <alignment horizontal="right" vertical="center" wrapText="1"/>
    </xf>
    <xf numFmtId="0" fontId="0" fillId="0" borderId="10" xfId="0" applyBorder="1" applyAlignment="1">
      <alignment horizontal="center"/>
    </xf>
    <xf numFmtId="0" fontId="0" fillId="0" borderId="10" xfId="0" applyBorder="1"/>
    <xf numFmtId="4" fontId="5" fillId="0" borderId="11" xfId="0" applyNumberFormat="1" applyFont="1" applyFill="1" applyBorder="1" applyAlignment="1">
      <alignment horizontal="right" vertical="center" wrapText="1"/>
    </xf>
    <xf numFmtId="4" fontId="5" fillId="0" borderId="17" xfId="0" applyNumberFormat="1" applyFont="1" applyFill="1" applyBorder="1" applyAlignment="1">
      <alignment wrapText="1"/>
    </xf>
    <xf numFmtId="0" fontId="5" fillId="0" borderId="17" xfId="0" applyFont="1" applyFill="1" applyBorder="1" applyAlignment="1">
      <alignment wrapText="1"/>
    </xf>
    <xf numFmtId="2" fontId="5" fillId="0" borderId="17" xfId="0" applyNumberFormat="1" applyFont="1" applyFill="1" applyBorder="1" applyAlignment="1">
      <alignment wrapText="1"/>
    </xf>
    <xf numFmtId="2" fontId="5" fillId="0" borderId="41" xfId="0" applyNumberFormat="1" applyFont="1" applyFill="1" applyBorder="1" applyAlignment="1">
      <alignment wrapText="1"/>
    </xf>
    <xf numFmtId="2" fontId="5" fillId="0" borderId="16" xfId="0" applyNumberFormat="1" applyFont="1" applyFill="1" applyBorder="1" applyAlignment="1">
      <alignment wrapText="1"/>
    </xf>
    <xf numFmtId="2" fontId="5" fillId="0" borderId="18" xfId="0" applyNumberFormat="1" applyFont="1" applyFill="1" applyBorder="1" applyAlignment="1">
      <alignment wrapText="1"/>
    </xf>
    <xf numFmtId="2" fontId="5" fillId="0" borderId="19" xfId="0" applyNumberFormat="1" applyFont="1" applyFill="1" applyBorder="1" applyAlignment="1">
      <alignment wrapText="1"/>
    </xf>
    <xf numFmtId="2" fontId="5" fillId="0" borderId="56" xfId="0" applyNumberFormat="1" applyFont="1" applyFill="1" applyBorder="1" applyAlignment="1">
      <alignment wrapText="1"/>
    </xf>
    <xf numFmtId="0" fontId="3" fillId="0" borderId="19" xfId="0" applyFont="1" applyBorder="1" applyAlignment="1">
      <alignment horizontal="center" wrapText="1"/>
    </xf>
    <xf numFmtId="0" fontId="3" fillId="0" borderId="17" xfId="0" applyFont="1" applyBorder="1" applyAlignment="1">
      <alignment horizontal="center"/>
    </xf>
    <xf numFmtId="0" fontId="3" fillId="0" borderId="18" xfId="0" applyFont="1" applyBorder="1" applyAlignment="1">
      <alignment horizontal="center"/>
    </xf>
    <xf numFmtId="0" fontId="5" fillId="0" borderId="0" xfId="0" applyFont="1" applyBorder="1" applyAlignment="1">
      <alignment horizontal="center" wrapText="1"/>
    </xf>
    <xf numFmtId="4" fontId="5" fillId="0" borderId="0" xfId="0" applyNumberFormat="1" applyFont="1" applyFill="1" applyBorder="1" applyAlignment="1">
      <alignment wrapText="1"/>
    </xf>
    <xf numFmtId="0" fontId="5" fillId="0" borderId="0" xfId="0" applyFont="1" applyFill="1" applyBorder="1" applyAlignment="1">
      <alignment wrapText="1"/>
    </xf>
    <xf numFmtId="2" fontId="5" fillId="0" borderId="0" xfId="0" applyNumberFormat="1" applyFont="1" applyFill="1" applyBorder="1" applyAlignment="1">
      <alignment wrapText="1"/>
    </xf>
    <xf numFmtId="0" fontId="3" fillId="0" borderId="0" xfId="0" applyFont="1" applyBorder="1" applyAlignment="1">
      <alignment horizontal="center" wrapText="1"/>
    </xf>
    <xf numFmtId="0" fontId="3" fillId="0" borderId="0" xfId="0" applyFont="1" applyBorder="1" applyAlignment="1">
      <alignment horizontal="center"/>
    </xf>
    <xf numFmtId="0" fontId="0" fillId="0" borderId="27" xfId="0" applyBorder="1" applyAlignment="1">
      <alignment horizontal="center"/>
    </xf>
    <xf numFmtId="4" fontId="5" fillId="0" borderId="11" xfId="0" applyNumberFormat="1" applyFont="1" applyFill="1" applyBorder="1" applyAlignment="1">
      <alignment horizontal="right" wrapText="1"/>
    </xf>
    <xf numFmtId="0" fontId="3" fillId="0" borderId="10" xfId="0" applyNumberFormat="1" applyFont="1" applyFill="1" applyBorder="1" applyAlignment="1">
      <alignment horizontal="center" vertical="center" wrapText="1"/>
    </xf>
    <xf numFmtId="4" fontId="0" fillId="0" borderId="0" xfId="0" applyNumberFormat="1"/>
    <xf numFmtId="2" fontId="5" fillId="0" borderId="11" xfId="0" applyNumberFormat="1" applyFont="1" applyFill="1" applyBorder="1" applyAlignment="1">
      <alignment horizontal="right" wrapText="1"/>
    </xf>
    <xf numFmtId="0" fontId="3" fillId="0" borderId="25" xfId="0" applyFont="1" applyFill="1" applyBorder="1" applyAlignment="1">
      <alignment horizontal="center" wrapText="1"/>
    </xf>
    <xf numFmtId="0" fontId="0" fillId="0" borderId="27" xfId="0" applyFont="1" applyBorder="1" applyAlignment="1">
      <alignment horizontal="center" vertical="center"/>
    </xf>
    <xf numFmtId="4" fontId="5" fillId="0" borderId="25" xfId="0" applyNumberFormat="1" applyFont="1" applyFill="1" applyBorder="1" applyAlignment="1">
      <alignment horizontal="right" vertical="center" wrapText="1"/>
    </xf>
    <xf numFmtId="2" fontId="5" fillId="0" borderId="54" xfId="0" applyNumberFormat="1" applyFont="1" applyFill="1" applyBorder="1" applyAlignment="1">
      <alignment horizontal="right" vertical="center" wrapText="1"/>
    </xf>
    <xf numFmtId="0" fontId="5" fillId="0" borderId="10" xfId="0" applyNumberFormat="1" applyFont="1" applyFill="1" applyBorder="1" applyAlignment="1">
      <alignment horizontal="center" vertical="center" wrapText="1"/>
    </xf>
    <xf numFmtId="3" fontId="5" fillId="0" borderId="11" xfId="0" applyNumberFormat="1" applyFont="1" applyFill="1" applyBorder="1" applyAlignment="1">
      <alignment horizontal="center" vertical="center" wrapText="1"/>
    </xf>
    <xf numFmtId="2" fontId="3" fillId="0" borderId="10" xfId="0" applyNumberFormat="1" applyFont="1" applyFill="1" applyBorder="1" applyAlignment="1">
      <alignment horizontal="center" vertical="center" wrapText="1"/>
    </xf>
    <xf numFmtId="2" fontId="3" fillId="0" borderId="10" xfId="0" applyNumberFormat="1" applyFont="1" applyFill="1" applyBorder="1" applyAlignment="1">
      <alignment horizontal="center" wrapText="1"/>
    </xf>
    <xf numFmtId="0" fontId="3" fillId="0" borderId="14" xfId="0" applyNumberFormat="1" applyFont="1" applyFill="1" applyBorder="1" applyAlignment="1">
      <alignment horizontal="center" vertical="center" wrapText="1"/>
    </xf>
    <xf numFmtId="14" fontId="3" fillId="0" borderId="14" xfId="0" applyNumberFormat="1" applyFont="1" applyFill="1" applyBorder="1" applyAlignment="1">
      <alignment horizontal="right" vertical="center" wrapText="1"/>
    </xf>
    <xf numFmtId="4" fontId="5" fillId="0" borderId="11" xfId="0" applyNumberFormat="1" applyFont="1" applyFill="1" applyBorder="1" applyAlignment="1">
      <alignment horizontal="center" vertical="center" wrapText="1"/>
    </xf>
    <xf numFmtId="0" fontId="0" fillId="0" borderId="0" xfId="0" applyBorder="1"/>
    <xf numFmtId="49" fontId="3" fillId="0" borderId="0" xfId="0" applyNumberFormat="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14" fontId="3" fillId="0" borderId="0" xfId="0" applyNumberFormat="1" applyFont="1" applyFill="1" applyBorder="1" applyAlignment="1">
      <alignment horizontal="center" vertical="center" wrapText="1"/>
    </xf>
    <xf numFmtId="4" fontId="3" fillId="0" borderId="0" xfId="0" applyNumberFormat="1" applyFont="1" applyFill="1" applyBorder="1" applyAlignment="1">
      <alignment horizontal="right" vertical="center" wrapText="1"/>
    </xf>
    <xf numFmtId="2" fontId="3" fillId="0" borderId="0" xfId="0" applyNumberFormat="1" applyFont="1" applyFill="1" applyBorder="1" applyAlignment="1">
      <alignment horizontal="right" vertical="center" wrapText="1"/>
    </xf>
    <xf numFmtId="49" fontId="0" fillId="0" borderId="0" xfId="0" applyNumberFormat="1"/>
    <xf numFmtId="0" fontId="10" fillId="0" borderId="0" xfId="0" applyFont="1"/>
    <xf numFmtId="0" fontId="10" fillId="0" borderId="0" xfId="0" applyFont="1" applyAlignment="1">
      <alignment horizontal="center"/>
    </xf>
    <xf numFmtId="0" fontId="10" fillId="0" borderId="0" xfId="0" applyFont="1" applyAlignment="1">
      <alignment horizontal="center" vertical="top"/>
    </xf>
    <xf numFmtId="0" fontId="10" fillId="0" borderId="0" xfId="0" applyFont="1" applyAlignment="1">
      <alignment horizontal="center" vertical="center"/>
    </xf>
    <xf numFmtId="0" fontId="11" fillId="0" borderId="0" xfId="0" applyFont="1" applyAlignment="1">
      <alignment horizontal="center"/>
    </xf>
    <xf numFmtId="0" fontId="10" fillId="0" borderId="0" xfId="0" applyFont="1" applyAlignment="1"/>
    <xf numFmtId="0" fontId="12" fillId="0" borderId="0" xfId="0" applyFont="1" applyAlignment="1">
      <alignment horizontal="center"/>
    </xf>
    <xf numFmtId="0" fontId="14" fillId="0" borderId="0" xfId="0" applyFont="1"/>
    <xf numFmtId="0" fontId="12" fillId="0" borderId="0" xfId="0" applyFont="1"/>
    <xf numFmtId="0" fontId="15" fillId="0" borderId="0" xfId="0" applyFont="1" applyAlignment="1">
      <alignment horizontal="center"/>
    </xf>
    <xf numFmtId="0" fontId="2" fillId="0" borderId="0" xfId="0" applyFont="1"/>
    <xf numFmtId="0" fontId="0" fillId="0" borderId="0" xfId="0"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5" fillId="0" borderId="35" xfId="0" applyFont="1" applyFill="1" applyBorder="1" applyAlignment="1">
      <alignment horizontal="center" vertical="center" wrapText="1"/>
    </xf>
    <xf numFmtId="0" fontId="5" fillId="0" borderId="11" xfId="0" applyFont="1" applyBorder="1" applyAlignment="1">
      <alignment horizontal="center" vertical="center"/>
    </xf>
    <xf numFmtId="0" fontId="5" fillId="0" borderId="11" xfId="0" applyFont="1" applyBorder="1" applyAlignment="1">
      <alignment horizontal="center" vertical="center" wrapText="1"/>
    </xf>
    <xf numFmtId="0" fontId="5" fillId="0" borderId="12" xfId="0" applyFont="1" applyBorder="1" applyAlignment="1">
      <alignment horizontal="center" vertical="center"/>
    </xf>
    <xf numFmtId="0" fontId="5" fillId="0" borderId="4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56" xfId="0" applyFont="1" applyBorder="1" applyAlignment="1">
      <alignment horizontal="center" vertical="center"/>
    </xf>
    <xf numFmtId="0" fontId="0" fillId="0" borderId="34" xfId="0" applyBorder="1" applyAlignment="1">
      <alignment horizontal="center" vertical="center"/>
    </xf>
    <xf numFmtId="0" fontId="3" fillId="0" borderId="24" xfId="0" applyFont="1" applyFill="1" applyBorder="1" applyAlignment="1">
      <alignment horizontal="center" vertical="center" wrapText="1"/>
    </xf>
    <xf numFmtId="43" fontId="3" fillId="0" borderId="25" xfId="1" applyFont="1" applyFill="1" applyBorder="1" applyAlignment="1">
      <alignment vertical="center" wrapText="1"/>
    </xf>
    <xf numFmtId="43" fontId="3" fillId="0" borderId="54" xfId="1" applyFont="1" applyFill="1" applyBorder="1" applyAlignment="1">
      <alignment horizontal="right" vertical="center" wrapText="1"/>
    </xf>
    <xf numFmtId="2" fontId="3" fillId="0" borderId="27" xfId="0" applyNumberFormat="1" applyFont="1" applyFill="1" applyBorder="1" applyAlignment="1">
      <alignment horizontal="center" vertical="center" wrapText="1"/>
    </xf>
    <xf numFmtId="2" fontId="3" fillId="0" borderId="25" xfId="0" applyNumberFormat="1" applyFont="1" applyFill="1" applyBorder="1" applyAlignment="1">
      <alignment horizontal="center" vertical="center" wrapText="1"/>
    </xf>
    <xf numFmtId="2" fontId="3" fillId="0" borderId="26" xfId="0" applyNumberFormat="1" applyFont="1" applyFill="1" applyBorder="1" applyAlignment="1">
      <alignment horizontal="center" vertical="center" wrapText="1"/>
    </xf>
    <xf numFmtId="2" fontId="3" fillId="0" borderId="24" xfId="0" applyNumberFormat="1" applyFont="1" applyFill="1" applyBorder="1" applyAlignment="1">
      <alignment horizontal="center" vertical="center" wrapText="1"/>
    </xf>
    <xf numFmtId="2" fontId="3" fillId="0" borderId="50" xfId="0" applyNumberFormat="1" applyFont="1" applyFill="1" applyBorder="1" applyAlignment="1">
      <alignment horizontal="center" vertical="center" wrapText="1"/>
    </xf>
    <xf numFmtId="0" fontId="3" fillId="0" borderId="25" xfId="0" applyFont="1" applyBorder="1" applyAlignment="1">
      <alignment horizontal="center" vertical="center"/>
    </xf>
    <xf numFmtId="0" fontId="3" fillId="0" borderId="26" xfId="0" applyFont="1" applyBorder="1" applyAlignment="1">
      <alignment horizontal="center" vertical="center"/>
    </xf>
    <xf numFmtId="0" fontId="16" fillId="0" borderId="0" xfId="0" applyFont="1" applyAlignment="1">
      <alignment horizontal="center" vertical="center" wrapText="1"/>
    </xf>
    <xf numFmtId="43" fontId="3" fillId="0" borderId="11" xfId="1" applyFont="1" applyFill="1" applyBorder="1" applyAlignment="1">
      <alignment vertical="center" wrapText="1"/>
    </xf>
    <xf numFmtId="49" fontId="3" fillId="0" borderId="10" xfId="0" applyNumberFormat="1" applyFont="1" applyFill="1" applyBorder="1" applyAlignment="1">
      <alignment horizontal="right" vertical="center" wrapText="1"/>
    </xf>
    <xf numFmtId="49" fontId="3" fillId="0" borderId="12" xfId="0" applyNumberFormat="1" applyFont="1" applyFill="1" applyBorder="1" applyAlignment="1">
      <alignment horizontal="center" vertical="center" wrapText="1"/>
    </xf>
    <xf numFmtId="43" fontId="3" fillId="0" borderId="10" xfId="1" applyFont="1" applyFill="1" applyBorder="1" applyAlignment="1">
      <alignment horizontal="center" vertical="center" wrapText="1"/>
    </xf>
    <xf numFmtId="43" fontId="3" fillId="0" borderId="14" xfId="1" applyFont="1" applyFill="1" applyBorder="1" applyAlignment="1">
      <alignment horizontal="center" vertical="center" wrapText="1"/>
    </xf>
    <xf numFmtId="49" fontId="3" fillId="0" borderId="14" xfId="1" applyNumberFormat="1" applyFont="1" applyFill="1" applyBorder="1" applyAlignment="1">
      <alignment horizontal="center" vertical="center" wrapText="1"/>
    </xf>
    <xf numFmtId="49" fontId="3" fillId="0" borderId="53" xfId="1" applyNumberFormat="1" applyFont="1" applyFill="1" applyBorder="1" applyAlignment="1">
      <alignment horizontal="center" vertical="center" wrapText="1"/>
    </xf>
    <xf numFmtId="0" fontId="3" fillId="0" borderId="0" xfId="0" applyFont="1" applyAlignment="1">
      <alignment horizontal="center" vertical="center" wrapText="1"/>
    </xf>
    <xf numFmtId="0" fontId="0" fillId="0" borderId="48" xfId="0" applyBorder="1" applyAlignment="1">
      <alignment horizontal="center" vertical="center"/>
    </xf>
    <xf numFmtId="4" fontId="3" fillId="0" borderId="22" xfId="0" applyNumberFormat="1" applyFont="1" applyFill="1" applyBorder="1" applyAlignment="1">
      <alignment horizontal="center" vertical="center" wrapText="1"/>
    </xf>
    <xf numFmtId="49" fontId="3" fillId="0" borderId="12" xfId="0" applyNumberFormat="1" applyFont="1" applyFill="1" applyBorder="1" applyAlignment="1">
      <alignment horizontal="right" vertical="center" wrapText="1"/>
    </xf>
    <xf numFmtId="2" fontId="3" fillId="0" borderId="11" xfId="0" applyNumberFormat="1" applyFont="1" applyBorder="1" applyAlignment="1">
      <alignment horizontal="center" vertical="center"/>
    </xf>
    <xf numFmtId="43" fontId="3" fillId="0" borderId="11" xfId="1" applyFont="1" applyFill="1" applyBorder="1" applyAlignment="1">
      <alignment horizontal="center" vertical="center" wrapText="1"/>
    </xf>
    <xf numFmtId="0" fontId="0" fillId="0" borderId="29" xfId="0" applyBorder="1" applyAlignment="1">
      <alignment horizontal="center" vertical="center"/>
    </xf>
    <xf numFmtId="0" fontId="3" fillId="0" borderId="37" xfId="0" applyFont="1" applyFill="1" applyBorder="1" applyAlignment="1">
      <alignment horizontal="center" vertical="center" wrapText="1"/>
    </xf>
    <xf numFmtId="0" fontId="3" fillId="0" borderId="32" xfId="0" applyFont="1" applyBorder="1" applyAlignment="1">
      <alignment horizontal="center" vertical="center"/>
    </xf>
    <xf numFmtId="4" fontId="3" fillId="0" borderId="22" xfId="0" applyNumberFormat="1" applyFont="1" applyFill="1" applyBorder="1" applyAlignment="1">
      <alignment horizontal="right" vertical="center" wrapText="1"/>
    </xf>
    <xf numFmtId="43" fontId="3" fillId="0" borderId="32" xfId="1" applyFont="1" applyFill="1" applyBorder="1" applyAlignment="1">
      <alignment horizontal="center" vertical="center" wrapText="1"/>
    </xf>
    <xf numFmtId="2" fontId="3" fillId="0" borderId="31" xfId="0" applyNumberFormat="1" applyFont="1" applyFill="1" applyBorder="1" applyAlignment="1">
      <alignment horizontal="right" vertical="center" wrapText="1"/>
    </xf>
    <xf numFmtId="2" fontId="3" fillId="0" borderId="32" xfId="0" applyNumberFormat="1" applyFont="1" applyFill="1" applyBorder="1" applyAlignment="1">
      <alignment horizontal="right" vertical="center" wrapText="1"/>
    </xf>
    <xf numFmtId="2" fontId="3" fillId="0" borderId="30" xfId="0" applyNumberFormat="1" applyFont="1" applyFill="1" applyBorder="1" applyAlignment="1">
      <alignment horizontal="right" vertical="center" wrapText="1"/>
    </xf>
    <xf numFmtId="2" fontId="3" fillId="0" borderId="37" xfId="0" applyNumberFormat="1" applyFont="1" applyFill="1" applyBorder="1" applyAlignment="1">
      <alignment horizontal="right" vertical="center" wrapText="1"/>
    </xf>
    <xf numFmtId="2" fontId="3" fillId="0" borderId="57" xfId="0" applyNumberFormat="1" applyFont="1" applyFill="1" applyBorder="1" applyAlignment="1">
      <alignment horizontal="right" vertical="center" wrapText="1"/>
    </xf>
    <xf numFmtId="0" fontId="3" fillId="0" borderId="30" xfId="0" applyFont="1" applyBorder="1" applyAlignment="1">
      <alignment horizontal="center" vertical="center"/>
    </xf>
    <xf numFmtId="43" fontId="3" fillId="2" borderId="11" xfId="1" applyFont="1" applyFill="1" applyBorder="1" applyAlignment="1">
      <alignment horizontal="center" vertical="center" wrapText="1"/>
    </xf>
    <xf numFmtId="43" fontId="3" fillId="0" borderId="11" xfId="1" applyFont="1" applyBorder="1" applyAlignment="1">
      <alignment horizontal="center" vertical="center"/>
    </xf>
    <xf numFmtId="0" fontId="0" fillId="0" borderId="52" xfId="0" applyBorder="1" applyAlignment="1">
      <alignment horizontal="center" vertical="center"/>
    </xf>
    <xf numFmtId="4" fontId="3" fillId="0" borderId="32" xfId="0" applyNumberFormat="1" applyFont="1" applyFill="1" applyBorder="1" applyAlignment="1">
      <alignment horizontal="right" vertical="center" wrapText="1"/>
    </xf>
    <xf numFmtId="43" fontId="3" fillId="0" borderId="58" xfId="1" applyFont="1" applyFill="1" applyBorder="1" applyAlignment="1">
      <alignment horizontal="right" vertical="center" wrapText="1"/>
    </xf>
    <xf numFmtId="4" fontId="5" fillId="0" borderId="60" xfId="0" applyNumberFormat="1" applyFont="1" applyFill="1" applyBorder="1" applyAlignment="1">
      <alignment vertical="center" wrapText="1"/>
    </xf>
    <xf numFmtId="0" fontId="5" fillId="0" borderId="60" xfId="0" applyFont="1" applyFill="1" applyBorder="1" applyAlignment="1">
      <alignment vertical="center" wrapText="1"/>
    </xf>
    <xf numFmtId="2" fontId="5" fillId="0" borderId="60" xfId="0" applyNumberFormat="1" applyFont="1" applyFill="1" applyBorder="1" applyAlignment="1">
      <alignment vertical="center" wrapText="1"/>
    </xf>
    <xf numFmtId="43" fontId="5" fillId="0" borderId="60" xfId="1" applyFont="1" applyFill="1" applyBorder="1" applyAlignment="1">
      <alignment vertical="center" wrapText="1"/>
    </xf>
    <xf numFmtId="0" fontId="3" fillId="0" borderId="60"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Border="1" applyAlignment="1">
      <alignment horizontal="center" vertical="center" wrapText="1"/>
    </xf>
    <xf numFmtId="4" fontId="5" fillId="0" borderId="0" xfId="0" applyNumberFormat="1" applyFont="1" applyFill="1" applyBorder="1" applyAlignment="1">
      <alignment vertical="center" wrapText="1"/>
    </xf>
    <xf numFmtId="0" fontId="5" fillId="0" borderId="0" xfId="0" applyFont="1" applyFill="1" applyBorder="1" applyAlignment="1">
      <alignment vertical="center" wrapText="1"/>
    </xf>
    <xf numFmtId="2" fontId="5" fillId="0" borderId="0" xfId="0" applyNumberFormat="1" applyFont="1" applyFill="1" applyBorder="1" applyAlignment="1">
      <alignment vertical="center" wrapText="1"/>
    </xf>
    <xf numFmtId="43" fontId="5" fillId="0" borderId="0" xfId="1" applyFont="1" applyFill="1" applyBorder="1" applyAlignment="1">
      <alignment vertical="center" wrapText="1"/>
    </xf>
    <xf numFmtId="0" fontId="3" fillId="0" borderId="0" xfId="0" applyFont="1" applyBorder="1" applyAlignment="1">
      <alignment horizontal="center" vertical="center" wrapText="1"/>
    </xf>
    <xf numFmtId="0" fontId="3" fillId="0" borderId="0" xfId="0" applyFont="1" applyBorder="1" applyAlignment="1">
      <alignment horizontal="center" vertical="center"/>
    </xf>
    <xf numFmtId="44" fontId="3" fillId="0" borderId="0" xfId="2" applyFont="1" applyBorder="1" applyAlignment="1">
      <alignment horizontal="center"/>
    </xf>
    <xf numFmtId="44" fontId="0" fillId="0" borderId="0" xfId="2" applyFont="1" applyBorder="1" applyAlignment="1">
      <alignment horizontal="left"/>
    </xf>
    <xf numFmtId="49" fontId="5" fillId="0" borderId="11" xfId="0" applyNumberFormat="1" applyFont="1" applyFill="1" applyBorder="1" applyAlignment="1">
      <alignment horizontal="center" vertical="center" wrapText="1"/>
    </xf>
    <xf numFmtId="44" fontId="5" fillId="0" borderId="11" xfId="2" applyFont="1" applyFill="1" applyBorder="1" applyAlignment="1">
      <alignment horizontal="center" vertical="center" wrapText="1"/>
    </xf>
    <xf numFmtId="44" fontId="5" fillId="0" borderId="17" xfId="2" applyFont="1" applyFill="1" applyBorder="1" applyAlignment="1">
      <alignment horizontal="center" vertical="center" wrapText="1"/>
    </xf>
    <xf numFmtId="0" fontId="5" fillId="0" borderId="17" xfId="0" applyFont="1" applyBorder="1" applyAlignment="1">
      <alignment horizontal="center"/>
    </xf>
    <xf numFmtId="0" fontId="5" fillId="0" borderId="18" xfId="0" applyFont="1" applyBorder="1" applyAlignment="1">
      <alignment horizontal="center"/>
    </xf>
    <xf numFmtId="44" fontId="3" fillId="0" borderId="25" xfId="2" applyFont="1" applyFill="1" applyBorder="1" applyAlignment="1">
      <alignment horizontal="center" vertical="center" wrapText="1"/>
    </xf>
    <xf numFmtId="44" fontId="3" fillId="0" borderId="25" xfId="0" applyNumberFormat="1" applyFont="1" applyFill="1" applyBorder="1" applyAlignment="1">
      <alignment horizontal="center" vertical="center" wrapText="1"/>
    </xf>
    <xf numFmtId="0" fontId="3" fillId="0" borderId="25" xfId="0" applyFont="1" applyBorder="1" applyAlignment="1">
      <alignment horizontal="center"/>
    </xf>
    <xf numFmtId="0" fontId="0" fillId="2" borderId="48" xfId="0" applyFill="1" applyBorder="1" applyAlignment="1">
      <alignment horizontal="center" vertical="center"/>
    </xf>
    <xf numFmtId="44" fontId="3" fillId="0" borderId="11" xfId="2" applyFont="1" applyFill="1" applyBorder="1" applyAlignment="1">
      <alignment horizontal="center" vertical="center" wrapText="1"/>
    </xf>
    <xf numFmtId="44" fontId="3" fillId="2" borderId="11" xfId="2" applyFont="1" applyFill="1" applyBorder="1" applyAlignment="1">
      <alignment horizontal="center" vertical="center" wrapText="1"/>
    </xf>
    <xf numFmtId="44" fontId="3" fillId="0" borderId="11" xfId="0" applyNumberFormat="1" applyFont="1" applyFill="1" applyBorder="1" applyAlignment="1">
      <alignment horizontal="center" vertical="center" wrapText="1"/>
    </xf>
    <xf numFmtId="43" fontId="3" fillId="0" borderId="11" xfId="1" applyFont="1" applyBorder="1" applyAlignment="1">
      <alignment horizontal="center" vertical="center" wrapText="1"/>
    </xf>
    <xf numFmtId="44" fontId="3" fillId="0" borderId="11" xfId="2" applyFont="1" applyBorder="1" applyAlignment="1">
      <alignment horizontal="center" vertical="center" wrapText="1"/>
    </xf>
    <xf numFmtId="0" fontId="0" fillId="0" borderId="14" xfId="0" applyBorder="1"/>
    <xf numFmtId="0" fontId="0" fillId="0" borderId="11" xfId="0" applyBorder="1"/>
    <xf numFmtId="43" fontId="3" fillId="0" borderId="11" xfId="1" applyFont="1" applyBorder="1" applyAlignment="1">
      <alignment horizontal="center" wrapText="1"/>
    </xf>
    <xf numFmtId="0" fontId="3" fillId="0" borderId="14" xfId="0" applyFont="1" applyBorder="1" applyAlignment="1">
      <alignment horizontal="center" vertical="center" wrapText="1"/>
    </xf>
    <xf numFmtId="0" fontId="9" fillId="0" borderId="11" xfId="0" applyFont="1" applyBorder="1" applyAlignment="1">
      <alignment horizontal="center" vertical="center" wrapText="1"/>
    </xf>
    <xf numFmtId="44" fontId="9" fillId="0" borderId="11" xfId="2" applyFont="1" applyBorder="1" applyAlignment="1">
      <alignment horizontal="center" vertical="center" wrapText="1"/>
    </xf>
    <xf numFmtId="44" fontId="6" fillId="2" borderId="11" xfId="2" applyFont="1" applyFill="1" applyBorder="1" applyAlignment="1">
      <alignment horizontal="center" vertical="center" wrapText="1"/>
    </xf>
    <xf numFmtId="0" fontId="6" fillId="2" borderId="11" xfId="0" applyFont="1" applyFill="1" applyBorder="1" applyAlignment="1">
      <alignment horizontal="center" vertical="center" wrapText="1"/>
    </xf>
    <xf numFmtId="44" fontId="3" fillId="0" borderId="11" xfId="2" applyFont="1" applyFill="1" applyBorder="1" applyAlignment="1">
      <alignment vertical="center" wrapText="1"/>
    </xf>
    <xf numFmtId="44" fontId="6" fillId="2" borderId="11" xfId="0" applyNumberFormat="1" applyFont="1" applyFill="1" applyBorder="1" applyAlignment="1">
      <alignment vertical="center" wrapText="1"/>
    </xf>
    <xf numFmtId="44" fontId="6" fillId="0" borderId="11" xfId="0" applyNumberFormat="1" applyFont="1" applyFill="1" applyBorder="1" applyAlignment="1">
      <alignment vertical="center" wrapText="1"/>
    </xf>
    <xf numFmtId="44" fontId="3" fillId="0" borderId="11" xfId="0" applyNumberFormat="1" applyFont="1" applyFill="1" applyBorder="1" applyAlignment="1">
      <alignment vertical="center" wrapText="1"/>
    </xf>
    <xf numFmtId="0" fontId="0" fillId="2" borderId="11" xfId="0" applyFill="1" applyBorder="1"/>
    <xf numFmtId="0" fontId="0" fillId="2" borderId="11" xfId="0" applyFill="1" applyBorder="1" applyAlignment="1">
      <alignment horizontal="center"/>
    </xf>
    <xf numFmtId="0" fontId="3" fillId="0" borderId="11" xfId="0" applyNumberFormat="1" applyFont="1" applyFill="1" applyBorder="1" applyAlignment="1">
      <alignment horizontal="right" vertical="center" wrapText="1"/>
    </xf>
    <xf numFmtId="3" fontId="3" fillId="0" borderId="11" xfId="0" applyNumberFormat="1" applyFont="1" applyFill="1" applyBorder="1" applyAlignment="1">
      <alignment horizontal="right" vertical="center" wrapText="1"/>
    </xf>
    <xf numFmtId="2" fontId="3" fillId="2" borderId="11" xfId="0" applyNumberFormat="1" applyFont="1" applyFill="1" applyBorder="1" applyAlignment="1">
      <alignment horizontal="center" vertical="center" wrapText="1"/>
    </xf>
    <xf numFmtId="0" fontId="0" fillId="2" borderId="48" xfId="0" applyFill="1" applyBorder="1" applyAlignment="1">
      <alignment horizontal="center"/>
    </xf>
    <xf numFmtId="0" fontId="3" fillId="0" borderId="32" xfId="0" applyFont="1" applyFill="1" applyBorder="1" applyAlignment="1">
      <alignment vertical="center" wrapText="1"/>
    </xf>
    <xf numFmtId="44" fontId="3" fillId="0" borderId="14" xfId="2" applyFont="1" applyFill="1" applyBorder="1" applyAlignment="1">
      <alignment horizontal="center" vertical="center" wrapText="1"/>
    </xf>
    <xf numFmtId="2" fontId="3" fillId="0" borderId="14" xfId="0" applyNumberFormat="1" applyFont="1" applyFill="1" applyBorder="1" applyAlignment="1">
      <alignment horizontal="center" vertical="center" wrapText="1"/>
    </xf>
    <xf numFmtId="0" fontId="0" fillId="2" borderId="29" xfId="0" applyFill="1" applyBorder="1" applyAlignment="1">
      <alignment horizontal="center" vertical="center"/>
    </xf>
    <xf numFmtId="44" fontId="3" fillId="0" borderId="32" xfId="2" applyFont="1" applyFill="1" applyBorder="1" applyAlignment="1">
      <alignment horizontal="center" vertical="center" wrapText="1"/>
    </xf>
    <xf numFmtId="3" fontId="3" fillId="2" borderId="32" xfId="0" applyNumberFormat="1" applyFont="1" applyFill="1" applyBorder="1" applyAlignment="1">
      <alignment horizontal="center" vertical="center" wrapText="1"/>
    </xf>
    <xf numFmtId="0" fontId="3" fillId="0" borderId="62" xfId="0" applyFont="1" applyFill="1" applyBorder="1" applyAlignment="1">
      <alignment horizontal="center" vertical="center" wrapText="1"/>
    </xf>
    <xf numFmtId="44" fontId="3" fillId="0" borderId="32" xfId="0" applyNumberFormat="1" applyFont="1" applyFill="1" applyBorder="1" applyAlignment="1">
      <alignment horizontal="center" vertical="center" wrapText="1"/>
    </xf>
    <xf numFmtId="44" fontId="3" fillId="0" borderId="37" xfId="2" applyFont="1" applyFill="1" applyBorder="1" applyAlignment="1">
      <alignment horizontal="center" vertical="center" wrapText="1"/>
    </xf>
    <xf numFmtId="2" fontId="3" fillId="0" borderId="31" xfId="0" applyNumberFormat="1" applyFont="1" applyFill="1" applyBorder="1" applyAlignment="1">
      <alignment horizontal="center" vertical="center" wrapText="1"/>
    </xf>
    <xf numFmtId="2" fontId="3" fillId="0" borderId="37" xfId="0" applyNumberFormat="1" applyFont="1" applyFill="1" applyBorder="1" applyAlignment="1">
      <alignment horizontal="center" vertical="center" wrapText="1"/>
    </xf>
    <xf numFmtId="44" fontId="5" fillId="0" borderId="60" xfId="2" applyFont="1" applyFill="1" applyBorder="1" applyAlignment="1">
      <alignment wrapText="1"/>
    </xf>
    <xf numFmtId="0" fontId="5" fillId="0" borderId="60" xfId="0" applyFont="1" applyFill="1" applyBorder="1" applyAlignment="1">
      <alignment wrapText="1"/>
    </xf>
    <xf numFmtId="43" fontId="5" fillId="0" borderId="60" xfId="1" applyFont="1" applyFill="1" applyBorder="1" applyAlignment="1">
      <alignment wrapText="1"/>
    </xf>
    <xf numFmtId="43" fontId="5" fillId="0" borderId="66" xfId="1" applyFont="1" applyFill="1" applyBorder="1" applyAlignment="1">
      <alignment wrapText="1"/>
    </xf>
    <xf numFmtId="43" fontId="5" fillId="0" borderId="65" xfId="1" applyFont="1" applyFill="1" applyBorder="1" applyAlignment="1">
      <alignment wrapText="1"/>
    </xf>
    <xf numFmtId="2" fontId="5" fillId="0" borderId="59" xfId="0" applyNumberFormat="1" applyFont="1" applyFill="1" applyBorder="1" applyAlignment="1">
      <alignment wrapText="1"/>
    </xf>
    <xf numFmtId="2" fontId="5" fillId="0" borderId="60" xfId="0" applyNumberFormat="1" applyFont="1" applyFill="1" applyBorder="1" applyAlignment="1">
      <alignment wrapText="1"/>
    </xf>
    <xf numFmtId="2" fontId="5" fillId="0" borderId="61" xfId="0" applyNumberFormat="1" applyFont="1" applyFill="1" applyBorder="1" applyAlignment="1">
      <alignment wrapText="1"/>
    </xf>
    <xf numFmtId="2" fontId="5" fillId="0" borderId="65" xfId="0" applyNumberFormat="1" applyFont="1" applyFill="1" applyBorder="1" applyAlignment="1">
      <alignment wrapText="1"/>
    </xf>
    <xf numFmtId="2" fontId="5" fillId="0" borderId="67" xfId="0" applyNumberFormat="1" applyFont="1" applyFill="1" applyBorder="1" applyAlignment="1">
      <alignment wrapText="1"/>
    </xf>
    <xf numFmtId="0" fontId="3" fillId="0" borderId="65" xfId="0" applyFont="1" applyBorder="1" applyAlignment="1">
      <alignment horizontal="center" wrapText="1"/>
    </xf>
    <xf numFmtId="0" fontId="3" fillId="0" borderId="60" xfId="0" applyFont="1" applyBorder="1" applyAlignment="1">
      <alignment horizontal="center"/>
    </xf>
    <xf numFmtId="0" fontId="3" fillId="0" borderId="61" xfId="0" applyFont="1" applyBorder="1" applyAlignment="1">
      <alignment horizontal="center"/>
    </xf>
    <xf numFmtId="44" fontId="0" fillId="0" borderId="0" xfId="2" applyFont="1"/>
    <xf numFmtId="0" fontId="18" fillId="0" borderId="0" xfId="0" applyFont="1" applyAlignment="1">
      <alignment vertical="center"/>
    </xf>
    <xf numFmtId="0" fontId="20" fillId="0" borderId="0" xfId="0" applyFont="1" applyAlignment="1">
      <alignment vertical="center"/>
    </xf>
    <xf numFmtId="0" fontId="18" fillId="0" borderId="0" xfId="0" applyFont="1" applyAlignment="1">
      <alignment horizontal="center" vertical="center"/>
    </xf>
    <xf numFmtId="0" fontId="20" fillId="0" borderId="0" xfId="0" applyFont="1" applyAlignment="1">
      <alignment horizontal="left" vertical="center"/>
    </xf>
    <xf numFmtId="0" fontId="5" fillId="0" borderId="9"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10" xfId="0" applyFont="1" applyBorder="1" applyAlignment="1">
      <alignment horizontal="center" vertical="center"/>
    </xf>
    <xf numFmtId="0" fontId="5" fillId="0" borderId="53" xfId="0" applyFont="1" applyBorder="1" applyAlignment="1">
      <alignment horizontal="center" vertical="center"/>
    </xf>
    <xf numFmtId="0" fontId="3" fillId="0" borderId="25" xfId="0" applyFont="1" applyFill="1" applyBorder="1" applyAlignment="1">
      <alignment horizontal="justify" vertical="center" wrapText="1"/>
    </xf>
    <xf numFmtId="0" fontId="3" fillId="0" borderId="25" xfId="0" applyNumberFormat="1" applyFont="1" applyFill="1" applyBorder="1" applyAlignment="1">
      <alignment horizontal="right" vertical="center" wrapText="1"/>
    </xf>
    <xf numFmtId="0" fontId="3" fillId="0" borderId="54" xfId="0" applyNumberFormat="1" applyFont="1" applyFill="1" applyBorder="1" applyAlignment="1">
      <alignment horizontal="right" vertical="center" wrapText="1"/>
    </xf>
    <xf numFmtId="0" fontId="3" fillId="0" borderId="11" xfId="0" applyFont="1" applyFill="1" applyBorder="1" applyAlignment="1">
      <alignment horizontal="justify" vertical="center" wrapText="1"/>
    </xf>
    <xf numFmtId="0" fontId="0" fillId="0" borderId="11" xfId="0" applyBorder="1" applyAlignment="1">
      <alignment horizontal="center" vertical="center"/>
    </xf>
    <xf numFmtId="14" fontId="0" fillId="0" borderId="11" xfId="0" applyNumberFormat="1" applyBorder="1" applyAlignment="1">
      <alignment vertical="center"/>
    </xf>
    <xf numFmtId="0" fontId="0" fillId="0" borderId="11" xfId="0" applyBorder="1" applyAlignment="1">
      <alignment vertical="center"/>
    </xf>
    <xf numFmtId="0" fontId="0" fillId="0" borderId="11" xfId="0" applyBorder="1" applyAlignment="1">
      <alignment horizontal="justify" vertical="center" wrapText="1"/>
    </xf>
    <xf numFmtId="14" fontId="3" fillId="0" borderId="11" xfId="0" applyNumberFormat="1" applyFont="1" applyBorder="1" applyAlignment="1">
      <alignment horizontal="center" vertical="center"/>
    </xf>
    <xf numFmtId="0" fontId="3" fillId="0" borderId="14" xfId="0" applyNumberFormat="1" applyFont="1" applyFill="1" applyBorder="1" applyAlignment="1">
      <alignment horizontal="right" vertical="center" wrapText="1"/>
    </xf>
    <xf numFmtId="14" fontId="3" fillId="0" borderId="53" xfId="0" applyNumberFormat="1" applyFont="1" applyFill="1" applyBorder="1" applyAlignment="1">
      <alignment horizontal="right" vertical="center" wrapText="1"/>
    </xf>
    <xf numFmtId="0" fontId="6" fillId="0" borderId="11" xfId="0" applyFont="1" applyFill="1" applyBorder="1" applyAlignment="1">
      <alignment horizontal="justify" vertical="center" wrapText="1"/>
    </xf>
    <xf numFmtId="3" fontId="3" fillId="0" borderId="14" xfId="0" applyNumberFormat="1" applyFont="1" applyFill="1" applyBorder="1" applyAlignment="1">
      <alignment horizontal="right" vertical="center" wrapText="1"/>
    </xf>
    <xf numFmtId="0" fontId="3" fillId="0" borderId="32" xfId="0" applyFont="1" applyFill="1" applyBorder="1" applyAlignment="1">
      <alignment horizontal="justify" vertical="center" wrapText="1"/>
    </xf>
    <xf numFmtId="0" fontId="3" fillId="0" borderId="22" xfId="0" applyNumberFormat="1" applyFont="1" applyFill="1" applyBorder="1" applyAlignment="1">
      <alignment horizontal="right" vertical="center" wrapText="1"/>
    </xf>
    <xf numFmtId="0" fontId="3" fillId="0" borderId="32" xfId="0" applyNumberFormat="1" applyFont="1" applyFill="1" applyBorder="1" applyAlignment="1">
      <alignment horizontal="right" vertical="center" wrapText="1"/>
    </xf>
    <xf numFmtId="0" fontId="3" fillId="0" borderId="58" xfId="0" applyNumberFormat="1" applyFont="1" applyFill="1" applyBorder="1" applyAlignment="1">
      <alignment horizontal="right" vertical="center" wrapText="1"/>
    </xf>
    <xf numFmtId="0" fontId="0" fillId="0" borderId="32" xfId="0" applyBorder="1" applyAlignment="1">
      <alignment vertical="center"/>
    </xf>
    <xf numFmtId="3" fontId="3" fillId="0" borderId="32" xfId="0" applyNumberFormat="1" applyFont="1" applyFill="1" applyBorder="1" applyAlignment="1">
      <alignment horizontal="right" vertical="center" wrapText="1"/>
    </xf>
    <xf numFmtId="14" fontId="3" fillId="0" borderId="32" xfId="0" applyNumberFormat="1" applyFont="1" applyFill="1" applyBorder="1" applyAlignment="1">
      <alignment horizontal="right" vertical="center" wrapText="1"/>
    </xf>
    <xf numFmtId="0" fontId="5" fillId="0" borderId="66" xfId="0" applyNumberFormat="1" applyFont="1" applyFill="1" applyBorder="1" applyAlignment="1">
      <alignment vertical="center" wrapText="1"/>
    </xf>
    <xf numFmtId="2" fontId="5" fillId="0" borderId="59" xfId="0" applyNumberFormat="1" applyFont="1" applyFill="1" applyBorder="1" applyAlignment="1">
      <alignment vertical="center" wrapText="1"/>
    </xf>
    <xf numFmtId="2" fontId="5" fillId="0" borderId="61" xfId="0" applyNumberFormat="1" applyFont="1" applyFill="1" applyBorder="1" applyAlignment="1">
      <alignment vertical="center" wrapText="1"/>
    </xf>
    <xf numFmtId="2" fontId="5" fillId="0" borderId="65" xfId="0" applyNumberFormat="1" applyFont="1" applyFill="1" applyBorder="1" applyAlignment="1">
      <alignment vertical="center" wrapText="1"/>
    </xf>
    <xf numFmtId="14" fontId="5" fillId="0" borderId="65" xfId="0" applyNumberFormat="1" applyFont="1" applyFill="1" applyBorder="1" applyAlignment="1">
      <alignment vertical="center" wrapText="1"/>
    </xf>
    <xf numFmtId="0" fontId="5" fillId="0" borderId="65" xfId="0" applyNumberFormat="1" applyFont="1" applyFill="1" applyBorder="1" applyAlignment="1">
      <alignment vertical="center" wrapText="1"/>
    </xf>
    <xf numFmtId="14" fontId="5" fillId="0" borderId="67" xfId="0" applyNumberFormat="1" applyFont="1" applyFill="1" applyBorder="1" applyAlignment="1">
      <alignment vertical="center" wrapText="1"/>
    </xf>
    <xf numFmtId="0" fontId="3" fillId="0" borderId="65" xfId="0" applyFont="1" applyBorder="1" applyAlignment="1">
      <alignment horizontal="center" vertical="center" wrapText="1"/>
    </xf>
    <xf numFmtId="0" fontId="23" fillId="0" borderId="11" xfId="0" applyFont="1" applyFill="1" applyBorder="1" applyAlignment="1">
      <alignment horizontal="center" vertical="center" wrapText="1"/>
    </xf>
    <xf numFmtId="0" fontId="23" fillId="0" borderId="11" xfId="0" applyFont="1" applyFill="1" applyBorder="1" applyAlignment="1">
      <alignment horizontal="left" vertical="center" wrapText="1"/>
    </xf>
    <xf numFmtId="0" fontId="23" fillId="0" borderId="11" xfId="0" applyFont="1" applyFill="1" applyBorder="1" applyAlignment="1">
      <alignment vertical="center" wrapText="1"/>
    </xf>
    <xf numFmtId="0" fontId="24" fillId="0" borderId="11" xfId="0" applyFont="1" applyFill="1" applyBorder="1" applyAlignment="1">
      <alignment horizontal="center" vertical="center" wrapText="1"/>
    </xf>
    <xf numFmtId="49" fontId="23" fillId="0" borderId="11" xfId="0" applyNumberFormat="1" applyFont="1" applyFill="1" applyBorder="1" applyAlignment="1">
      <alignment horizontal="center" vertical="center" wrapText="1"/>
    </xf>
    <xf numFmtId="43" fontId="23" fillId="0" borderId="11" xfId="1" applyFont="1" applyFill="1" applyBorder="1" applyAlignment="1">
      <alignment horizontal="center" vertical="center" wrapText="1"/>
    </xf>
    <xf numFmtId="0" fontId="25" fillId="0" borderId="11" xfId="0" applyFont="1" applyFill="1" applyBorder="1" applyAlignment="1">
      <alignment horizontal="center" vertical="center" wrapText="1"/>
    </xf>
    <xf numFmtId="3" fontId="23" fillId="0" borderId="11" xfId="0" applyNumberFormat="1" applyFont="1" applyFill="1" applyBorder="1" applyAlignment="1">
      <alignment horizontal="center" vertical="center" wrapText="1"/>
    </xf>
    <xf numFmtId="43" fontId="23" fillId="0" borderId="11" xfId="1" applyFont="1" applyFill="1" applyBorder="1" applyAlignment="1">
      <alignment vertical="center" wrapText="1"/>
    </xf>
    <xf numFmtId="0" fontId="23" fillId="0" borderId="11" xfId="0" applyNumberFormat="1" applyFont="1" applyFill="1" applyBorder="1" applyAlignment="1">
      <alignment horizontal="right" vertical="center" wrapText="1"/>
    </xf>
    <xf numFmtId="2" fontId="23" fillId="0" borderId="11" xfId="0" applyNumberFormat="1" applyFont="1" applyFill="1" applyBorder="1" applyAlignment="1">
      <alignment horizontal="right" vertical="center" wrapText="1"/>
    </xf>
    <xf numFmtId="14" fontId="23" fillId="0" borderId="11" xfId="0" applyNumberFormat="1" applyFont="1" applyFill="1" applyBorder="1" applyAlignment="1">
      <alignment horizontal="center" vertical="center" wrapText="1"/>
    </xf>
    <xf numFmtId="3" fontId="24" fillId="0" borderId="11" xfId="0" applyNumberFormat="1" applyFont="1" applyFill="1" applyBorder="1" applyAlignment="1">
      <alignment horizontal="center" vertical="center" wrapText="1"/>
    </xf>
    <xf numFmtId="43" fontId="23" fillId="0" borderId="11" xfId="1" applyFont="1" applyFill="1" applyBorder="1" applyAlignment="1">
      <alignment horizontal="right" vertical="center" wrapText="1"/>
    </xf>
    <xf numFmtId="2" fontId="23" fillId="0" borderId="11" xfId="0" applyNumberFormat="1" applyFont="1" applyFill="1" applyBorder="1" applyAlignment="1">
      <alignment horizontal="center" vertical="center" wrapText="1"/>
    </xf>
    <xf numFmtId="0" fontId="0" fillId="2" borderId="0" xfId="0" applyFill="1"/>
    <xf numFmtId="0" fontId="0" fillId="0" borderId="0" xfId="0" applyFill="1"/>
    <xf numFmtId="0" fontId="0" fillId="0" borderId="11" xfId="0" applyFill="1" applyBorder="1"/>
    <xf numFmtId="0" fontId="0" fillId="0" borderId="0" xfId="0" applyFill="1" applyAlignment="1">
      <alignment vertical="center"/>
    </xf>
    <xf numFmtId="0" fontId="23" fillId="0" borderId="11" xfId="0" applyFont="1" applyFill="1" applyBorder="1" applyAlignment="1">
      <alignment wrapText="1"/>
    </xf>
    <xf numFmtId="43" fontId="23" fillId="0" borderId="11" xfId="1" applyFont="1" applyFill="1" applyBorder="1" applyAlignment="1">
      <alignment wrapText="1"/>
    </xf>
    <xf numFmtId="0" fontId="23" fillId="0" borderId="11" xfId="0" applyFont="1" applyFill="1" applyBorder="1" applyAlignment="1">
      <alignment horizontal="center" wrapText="1"/>
    </xf>
    <xf numFmtId="43" fontId="14" fillId="0" borderId="11" xfId="1" applyFont="1" applyFill="1" applyBorder="1" applyAlignment="1">
      <alignment wrapText="1"/>
    </xf>
    <xf numFmtId="0" fontId="0" fillId="0" borderId="0" xfId="0" applyFill="1" applyAlignment="1">
      <alignment horizontal="center"/>
    </xf>
    <xf numFmtId="43" fontId="0" fillId="0" borderId="0" xfId="1" applyFont="1" applyFill="1"/>
    <xf numFmtId="0" fontId="3" fillId="0" borderId="11" xfId="0" applyFont="1" applyFill="1" applyBorder="1" applyAlignment="1">
      <alignment horizontal="center" vertical="center" wrapText="1"/>
    </xf>
    <xf numFmtId="4" fontId="3" fillId="0" borderId="11"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14"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0" fontId="3" fillId="0" borderId="10"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4" fontId="6" fillId="0" borderId="11" xfId="0" applyNumberFormat="1"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26" xfId="0" applyFont="1" applyFill="1" applyBorder="1" applyAlignment="1">
      <alignment horizontal="center" vertical="center" wrapText="1"/>
    </xf>
    <xf numFmtId="49" fontId="3" fillId="0" borderId="32"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3" fillId="0" borderId="25" xfId="0" applyNumberFormat="1" applyFont="1" applyFill="1" applyBorder="1" applyAlignment="1">
      <alignment horizontal="center" vertical="center" wrapText="1"/>
    </xf>
    <xf numFmtId="14" fontId="3" fillId="0" borderId="32" xfId="0" applyNumberFormat="1" applyFont="1" applyFill="1" applyBorder="1" applyAlignment="1">
      <alignment horizontal="center" vertical="center" wrapText="1"/>
    </xf>
    <xf numFmtId="14" fontId="3" fillId="0" borderId="25"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4" fontId="3" fillId="0" borderId="32" xfId="0" applyNumberFormat="1" applyFont="1" applyFill="1" applyBorder="1" applyAlignment="1">
      <alignment horizontal="center" vertical="center" wrapText="1"/>
    </xf>
    <xf numFmtId="4" fontId="3" fillId="0" borderId="25" xfId="0" applyNumberFormat="1"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11" xfId="0" applyFont="1" applyFill="1" applyBorder="1" applyAlignment="1">
      <alignment vertical="center" wrapText="1"/>
    </xf>
    <xf numFmtId="0" fontId="3" fillId="0" borderId="11" xfId="0" applyNumberFormat="1" applyFont="1" applyFill="1" applyBorder="1" applyAlignment="1">
      <alignment horizontal="center" vertical="center" wrapText="1"/>
    </xf>
    <xf numFmtId="0" fontId="3" fillId="0" borderId="22" xfId="0" applyFont="1" applyFill="1" applyBorder="1" applyAlignment="1">
      <alignment horizontal="center" vertical="center" wrapText="1"/>
    </xf>
    <xf numFmtId="0" fontId="6" fillId="0" borderId="11" xfId="0" applyFont="1" applyFill="1" applyBorder="1" applyAlignment="1">
      <alignment horizontal="center" vertical="center" wrapText="1"/>
    </xf>
    <xf numFmtId="14" fontId="3" fillId="0" borderId="22" xfId="0" applyNumberFormat="1" applyFont="1" applyFill="1" applyBorder="1" applyAlignment="1">
      <alignment horizontal="center" vertical="center" wrapText="1"/>
    </xf>
    <xf numFmtId="0" fontId="3" fillId="0" borderId="2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0" borderId="11" xfId="0" applyFont="1"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xf>
    <xf numFmtId="0" fontId="3" fillId="0" borderId="14" xfId="0" applyFont="1" applyFill="1" applyBorder="1" applyAlignment="1">
      <alignment horizontal="center" vertical="center" wrapText="1"/>
    </xf>
    <xf numFmtId="0" fontId="0" fillId="0" borderId="48" xfId="0" applyBorder="1" applyAlignment="1">
      <alignment horizontal="center" vertical="center"/>
    </xf>
    <xf numFmtId="0" fontId="0" fillId="0" borderId="52" xfId="0" applyBorder="1" applyAlignment="1">
      <alignment horizontal="center" vertical="center"/>
    </xf>
    <xf numFmtId="0" fontId="5" fillId="0" borderId="35"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12" xfId="0" applyFont="1" applyBorder="1" applyAlignment="1">
      <alignment horizontal="center" vertical="center"/>
    </xf>
    <xf numFmtId="2" fontId="3" fillId="0" borderId="11" xfId="0" applyNumberFormat="1" applyFont="1" applyFill="1" applyBorder="1" applyAlignment="1">
      <alignment horizontal="center" vertical="center" wrapText="1"/>
    </xf>
    <xf numFmtId="44" fontId="3" fillId="0" borderId="11" xfId="0" applyNumberFormat="1" applyFont="1" applyFill="1" applyBorder="1" applyAlignment="1">
      <alignment horizontal="center" vertical="center" wrapText="1"/>
    </xf>
    <xf numFmtId="44" fontId="3" fillId="0" borderId="32" xfId="0" applyNumberFormat="1" applyFont="1" applyFill="1" applyBorder="1" applyAlignment="1">
      <alignment horizontal="center" vertical="center" wrapText="1"/>
    </xf>
    <xf numFmtId="44" fontId="3" fillId="0" borderId="25"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17" fontId="3" fillId="0" borderId="11" xfId="0" applyNumberFormat="1" applyFont="1" applyFill="1" applyBorder="1" applyAlignment="1">
      <alignment horizontal="center" vertical="center" wrapText="1"/>
    </xf>
    <xf numFmtId="0" fontId="3" fillId="0" borderId="14" xfId="0" applyFont="1" applyBorder="1" applyAlignment="1">
      <alignment horizontal="center" vertical="center" wrapText="1"/>
    </xf>
    <xf numFmtId="0" fontId="6" fillId="0" borderId="32" xfId="0" applyFont="1" applyFill="1" applyBorder="1" applyAlignment="1">
      <alignment horizontal="center" vertical="center" wrapText="1"/>
    </xf>
    <xf numFmtId="0" fontId="6" fillId="0" borderId="25" xfId="0" applyFont="1" applyFill="1" applyBorder="1" applyAlignment="1">
      <alignment horizontal="center" vertical="center" wrapText="1"/>
    </xf>
    <xf numFmtId="4" fontId="6" fillId="0" borderId="32" xfId="0" applyNumberFormat="1" applyFont="1" applyFill="1" applyBorder="1" applyAlignment="1">
      <alignment horizontal="center" vertical="center" wrapText="1"/>
    </xf>
    <xf numFmtId="0" fontId="3" fillId="0" borderId="11" xfId="0" applyFont="1" applyFill="1" applyBorder="1" applyAlignment="1">
      <alignment horizontal="justify" vertical="center" wrapText="1"/>
    </xf>
    <xf numFmtId="14" fontId="6" fillId="0" borderId="32" xfId="0" applyNumberFormat="1" applyFont="1" applyFill="1" applyBorder="1" applyAlignment="1">
      <alignment horizontal="center" vertical="center" wrapText="1"/>
    </xf>
    <xf numFmtId="14" fontId="6" fillId="0" borderId="25" xfId="0" applyNumberFormat="1" applyFont="1" applyFill="1" applyBorder="1" applyAlignment="1">
      <alignment horizontal="center" vertical="center" wrapText="1"/>
    </xf>
    <xf numFmtId="0" fontId="0" fillId="0" borderId="34" xfId="0" applyBorder="1" applyAlignment="1">
      <alignment horizontal="center" vertical="center"/>
    </xf>
    <xf numFmtId="0" fontId="3" fillId="0" borderId="3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2" xfId="0" applyFont="1" applyFill="1" applyBorder="1" applyAlignment="1">
      <alignment horizontal="justify" vertical="center" wrapText="1"/>
    </xf>
    <xf numFmtId="3" fontId="3" fillId="0" borderId="22" xfId="0" applyNumberFormat="1" applyFont="1" applyFill="1" applyBorder="1" applyAlignment="1">
      <alignment horizontal="center" vertical="center" wrapText="1"/>
    </xf>
    <xf numFmtId="49" fontId="3" fillId="0" borderId="22"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14" fontId="3" fillId="0" borderId="6"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2" fillId="0" borderId="0" xfId="0" applyFont="1" applyBorder="1" applyAlignment="1">
      <alignment wrapText="1"/>
    </xf>
    <xf numFmtId="49" fontId="3" fillId="2" borderId="14" xfId="0" applyNumberFormat="1" applyFont="1" applyFill="1" applyBorder="1" applyAlignment="1">
      <alignment horizontal="center" vertical="center" wrapText="1"/>
    </xf>
    <xf numFmtId="0" fontId="3" fillId="2" borderId="22" xfId="0" applyFont="1" applyFill="1" applyBorder="1" applyAlignment="1">
      <alignment vertical="center" wrapText="1"/>
    </xf>
    <xf numFmtId="0" fontId="3" fillId="2" borderId="25" xfId="0" applyFont="1" applyFill="1" applyBorder="1" applyAlignment="1">
      <alignment vertical="center" wrapText="1"/>
    </xf>
    <xf numFmtId="43" fontId="3" fillId="2" borderId="11" xfId="1" applyFont="1" applyFill="1" applyBorder="1" applyAlignment="1">
      <alignment horizontal="right" vertical="center" wrapText="1"/>
    </xf>
    <xf numFmtId="14" fontId="0" fillId="0" borderId="0" xfId="0" applyNumberFormat="1"/>
    <xf numFmtId="175" fontId="0" fillId="0" borderId="0" xfId="0" applyNumberFormat="1"/>
    <xf numFmtId="43" fontId="0" fillId="0" borderId="0" xfId="1" applyFont="1" applyAlignment="1">
      <alignment vertical="center"/>
    </xf>
    <xf numFmtId="43" fontId="0" fillId="0" borderId="0" xfId="1" applyFont="1"/>
    <xf numFmtId="43" fontId="3" fillId="0" borderId="25" xfId="1" applyFont="1" applyFill="1" applyBorder="1" applyAlignment="1">
      <alignment horizontal="center" vertical="center" wrapText="1"/>
    </xf>
    <xf numFmtId="49" fontId="3" fillId="0" borderId="11"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14" fontId="3" fillId="0" borderId="11" xfId="0" applyNumberFormat="1" applyFont="1" applyBorder="1" applyAlignment="1">
      <alignment horizontal="center" vertical="center" wrapText="1"/>
    </xf>
    <xf numFmtId="0" fontId="3" fillId="2" borderId="11" xfId="0" applyFont="1" applyFill="1" applyBorder="1" applyAlignment="1">
      <alignment horizontal="left" vertical="center" wrapText="1"/>
    </xf>
    <xf numFmtId="0" fontId="0" fillId="0" borderId="0" xfId="0" applyAlignment="1"/>
    <xf numFmtId="0" fontId="3" fillId="0" borderId="32" xfId="0" applyFont="1" applyFill="1" applyBorder="1" applyAlignment="1">
      <alignment horizontal="left" vertical="center" wrapText="1"/>
    </xf>
    <xf numFmtId="0" fontId="3" fillId="0" borderId="25" xfId="0" applyFont="1" applyFill="1" applyBorder="1" applyAlignment="1">
      <alignment horizontal="left" vertical="center" wrapText="1"/>
    </xf>
    <xf numFmtId="14" fontId="3" fillId="2" borderId="11" xfId="0" applyNumberFormat="1" applyFont="1" applyFill="1" applyBorder="1" applyAlignment="1">
      <alignment vertical="center" wrapText="1"/>
    </xf>
    <xf numFmtId="49" fontId="5" fillId="0" borderId="11" xfId="0" applyNumberFormat="1" applyFont="1" applyFill="1" applyBorder="1" applyAlignment="1">
      <alignment wrapText="1"/>
    </xf>
    <xf numFmtId="0" fontId="5" fillId="0" borderId="11" xfId="0" applyFont="1" applyFill="1" applyBorder="1" applyAlignment="1">
      <alignment wrapText="1"/>
    </xf>
    <xf numFmtId="14" fontId="5" fillId="0" borderId="11" xfId="0" applyNumberFormat="1" applyFont="1" applyFill="1" applyBorder="1" applyAlignment="1">
      <alignment wrapText="1"/>
    </xf>
    <xf numFmtId="0" fontId="3" fillId="0" borderId="11" xfId="0" applyFont="1" applyFill="1" applyBorder="1" applyAlignment="1">
      <alignment horizontal="left" vertical="center" wrapText="1"/>
    </xf>
    <xf numFmtId="0" fontId="5" fillId="0" borderId="11" xfId="0" applyFont="1" applyFill="1" applyBorder="1" applyAlignment="1">
      <alignment vertical="center" wrapText="1"/>
    </xf>
    <xf numFmtId="0" fontId="3" fillId="0" borderId="11" xfId="0" applyFont="1" applyBorder="1" applyAlignment="1">
      <alignment horizontal="left" vertical="center" wrapText="1"/>
    </xf>
    <xf numFmtId="4" fontId="3" fillId="0" borderId="11" xfId="0" applyNumberFormat="1" applyFont="1" applyBorder="1" applyAlignment="1">
      <alignment horizontal="right" vertical="center" wrapText="1"/>
    </xf>
    <xf numFmtId="2" fontId="3" fillId="0" borderId="11" xfId="0" applyNumberFormat="1" applyFont="1" applyBorder="1" applyAlignment="1">
      <alignment horizontal="right" vertical="center" wrapText="1"/>
    </xf>
    <xf numFmtId="4" fontId="3" fillId="2" borderId="11" xfId="0" applyNumberFormat="1" applyFont="1" applyFill="1" applyBorder="1" applyAlignment="1">
      <alignment horizontal="right" vertical="center" wrapText="1"/>
    </xf>
    <xf numFmtId="2" fontId="3" fillId="2" borderId="11" xfId="0" applyNumberFormat="1" applyFont="1" applyFill="1" applyBorder="1" applyAlignment="1">
      <alignment horizontal="right" vertical="center" wrapText="1"/>
    </xf>
    <xf numFmtId="4" fontId="6" fillId="2" borderId="11"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5" fillId="0" borderId="11" xfId="0" applyNumberFormat="1" applyFont="1" applyFill="1" applyBorder="1" applyAlignment="1">
      <alignment vertical="center" wrapText="1"/>
    </xf>
    <xf numFmtId="0" fontId="0" fillId="0" borderId="0" xfId="0" applyFill="1" applyAlignment="1">
      <alignment horizontal="center" vertical="center"/>
    </xf>
    <xf numFmtId="0" fontId="3" fillId="0" borderId="0" xfId="0" applyFont="1" applyFill="1" applyAlignment="1"/>
    <xf numFmtId="10" fontId="3" fillId="0" borderId="0" xfId="0" applyNumberFormat="1" applyFont="1" applyAlignment="1">
      <alignment horizontal="center"/>
    </xf>
    <xf numFmtId="176" fontId="3" fillId="0" borderId="0" xfId="0" applyNumberFormat="1" applyFont="1" applyAlignment="1">
      <alignment horizontal="center"/>
    </xf>
    <xf numFmtId="3" fontId="3" fillId="0" borderId="0" xfId="0" applyNumberFormat="1" applyFont="1" applyAlignment="1">
      <alignment horizontal="center" vertical="center"/>
    </xf>
    <xf numFmtId="49" fontId="0" fillId="0" borderId="11" xfId="0" applyNumberFormat="1" applyFont="1" applyFill="1" applyBorder="1" applyAlignment="1">
      <alignment horizontal="center" vertical="center" wrapText="1"/>
    </xf>
    <xf numFmtId="3" fontId="0" fillId="0" borderId="11" xfId="0" applyNumberFormat="1" applyFont="1" applyFill="1" applyBorder="1" applyAlignment="1">
      <alignment horizontal="center" vertical="center" wrapText="1"/>
    </xf>
    <xf numFmtId="10" fontId="0" fillId="0" borderId="11" xfId="0" applyNumberFormat="1" applyFont="1" applyFill="1" applyBorder="1" applyAlignment="1">
      <alignment horizontal="center" vertical="center" wrapText="1"/>
    </xf>
    <xf numFmtId="176" fontId="0" fillId="0" borderId="11" xfId="0" applyNumberFormat="1" applyFont="1" applyFill="1" applyBorder="1" applyAlignment="1">
      <alignment horizontal="center" vertical="center" wrapText="1"/>
    </xf>
    <xf numFmtId="10" fontId="6" fillId="2" borderId="11" xfId="0" applyNumberFormat="1" applyFont="1" applyFill="1" applyBorder="1" applyAlignment="1">
      <alignment horizontal="center" vertical="center" wrapText="1"/>
    </xf>
    <xf numFmtId="3" fontId="3" fillId="2" borderId="11" xfId="1" applyNumberFormat="1" applyFont="1" applyFill="1" applyBorder="1" applyAlignment="1">
      <alignment horizontal="center" vertical="center"/>
    </xf>
    <xf numFmtId="14" fontId="6" fillId="2" borderId="11" xfId="0" applyNumberFormat="1" applyFont="1" applyFill="1" applyBorder="1" applyAlignment="1">
      <alignment horizontal="center" vertical="center" wrapText="1"/>
    </xf>
    <xf numFmtId="3" fontId="6" fillId="2" borderId="11" xfId="0" applyNumberFormat="1" applyFont="1" applyFill="1" applyBorder="1" applyAlignment="1">
      <alignment horizontal="center" vertical="center"/>
    </xf>
    <xf numFmtId="0" fontId="3" fillId="2" borderId="22" xfId="0" applyFont="1" applyFill="1" applyBorder="1" applyAlignment="1">
      <alignment vertical="center"/>
    </xf>
    <xf numFmtId="10" fontId="7" fillId="2" borderId="11" xfId="0" applyNumberFormat="1" applyFont="1" applyFill="1" applyBorder="1" applyAlignment="1">
      <alignment horizontal="center" vertical="center" wrapText="1"/>
    </xf>
    <xf numFmtId="0" fontId="3" fillId="2" borderId="25" xfId="0" applyFont="1" applyFill="1" applyBorder="1" applyAlignment="1">
      <alignment vertical="center"/>
    </xf>
    <xf numFmtId="14" fontId="3" fillId="2" borderId="32" xfId="0" applyNumberFormat="1" applyFont="1" applyFill="1" applyBorder="1" applyAlignment="1">
      <alignment vertical="center"/>
    </xf>
    <xf numFmtId="14" fontId="3" fillId="2" borderId="25" xfId="0" applyNumberFormat="1" applyFont="1" applyFill="1" applyBorder="1" applyAlignment="1">
      <alignment vertical="center" wrapText="1"/>
    </xf>
    <xf numFmtId="0" fontId="3" fillId="5" borderId="0" xfId="0" applyFont="1" applyFill="1" applyBorder="1" applyAlignment="1">
      <alignment horizontal="center"/>
    </xf>
    <xf numFmtId="14" fontId="3" fillId="2" borderId="11" xfId="0" quotePrefix="1" applyNumberFormat="1" applyFont="1" applyFill="1" applyBorder="1" applyAlignment="1">
      <alignment horizontal="center" vertical="center" wrapText="1"/>
    </xf>
    <xf numFmtId="0" fontId="0" fillId="0" borderId="0" xfId="0" applyFill="1" applyBorder="1"/>
    <xf numFmtId="10" fontId="3" fillId="2" borderId="32" xfId="0" applyNumberFormat="1" applyFont="1" applyFill="1" applyBorder="1" applyAlignment="1">
      <alignment vertical="center" wrapText="1"/>
    </xf>
    <xf numFmtId="4" fontId="3" fillId="2" borderId="11" xfId="1" applyNumberFormat="1" applyFont="1" applyFill="1" applyBorder="1" applyAlignment="1">
      <alignment horizontal="center" vertical="center"/>
    </xf>
    <xf numFmtId="10" fontId="3" fillId="2" borderId="22" xfId="0" applyNumberFormat="1" applyFont="1" applyFill="1" applyBorder="1" applyAlignment="1">
      <alignment vertical="center" wrapText="1"/>
    </xf>
    <xf numFmtId="10" fontId="3" fillId="2" borderId="25" xfId="0" applyNumberFormat="1" applyFont="1" applyFill="1" applyBorder="1" applyAlignment="1">
      <alignment vertical="center" wrapText="1"/>
    </xf>
    <xf numFmtId="176" fontId="33" fillId="2" borderId="11" xfId="0" applyNumberFormat="1" applyFont="1" applyFill="1" applyBorder="1" applyAlignment="1">
      <alignment horizontal="center" vertical="center" wrapText="1"/>
    </xf>
    <xf numFmtId="4" fontId="6" fillId="2" borderId="11" xfId="2" applyNumberFormat="1" applyFont="1" applyFill="1" applyBorder="1" applyAlignment="1">
      <alignment horizontal="center" vertical="center" wrapText="1"/>
    </xf>
    <xf numFmtId="4" fontId="6" fillId="2" borderId="32" xfId="0" applyNumberFormat="1" applyFont="1" applyFill="1" applyBorder="1" applyAlignment="1">
      <alignment vertical="center" wrapText="1"/>
    </xf>
    <xf numFmtId="176" fontId="3" fillId="2" borderId="32" xfId="0" applyNumberFormat="1" applyFont="1" applyFill="1" applyBorder="1" applyAlignment="1">
      <alignment vertical="center" wrapText="1"/>
    </xf>
    <xf numFmtId="4" fontId="6" fillId="2" borderId="22" xfId="0" applyNumberFormat="1" applyFont="1" applyFill="1" applyBorder="1" applyAlignment="1">
      <alignment vertical="center" wrapText="1"/>
    </xf>
    <xf numFmtId="176" fontId="3" fillId="2" borderId="22" xfId="0" applyNumberFormat="1" applyFont="1" applyFill="1" applyBorder="1" applyAlignment="1">
      <alignment vertical="center" wrapText="1"/>
    </xf>
    <xf numFmtId="4" fontId="6" fillId="2" borderId="25" xfId="0" applyNumberFormat="1" applyFont="1" applyFill="1" applyBorder="1" applyAlignment="1">
      <alignment vertical="center" wrapText="1"/>
    </xf>
    <xf numFmtId="176" fontId="3" fillId="2" borderId="25" xfId="0" applyNumberFormat="1" applyFont="1" applyFill="1" applyBorder="1" applyAlignment="1">
      <alignment vertical="center" wrapText="1"/>
    </xf>
    <xf numFmtId="4" fontId="3" fillId="2" borderId="11" xfId="2" applyNumberFormat="1" applyFont="1" applyFill="1" applyBorder="1" applyAlignment="1">
      <alignment horizontal="center" vertical="center"/>
    </xf>
    <xf numFmtId="176" fontId="3" fillId="2" borderId="11" xfId="1" applyNumberFormat="1" applyFont="1" applyFill="1" applyBorder="1" applyAlignment="1">
      <alignment horizontal="center" vertical="center"/>
    </xf>
    <xf numFmtId="0" fontId="3" fillId="0" borderId="0" xfId="0" applyFont="1" applyFill="1" applyAlignment="1">
      <alignment horizontal="center"/>
    </xf>
    <xf numFmtId="0" fontId="3" fillId="0" borderId="31" xfId="0" applyFont="1" applyFill="1" applyBorder="1" applyAlignment="1">
      <alignment horizontal="center"/>
    </xf>
    <xf numFmtId="0" fontId="3" fillId="0" borderId="32" xfId="0" applyFont="1" applyFill="1" applyBorder="1" applyAlignment="1">
      <alignment horizontal="center"/>
    </xf>
    <xf numFmtId="0" fontId="3" fillId="0" borderId="30" xfId="0" applyFont="1" applyFill="1" applyBorder="1" applyAlignment="1">
      <alignment horizontal="center"/>
    </xf>
    <xf numFmtId="0" fontId="3" fillId="0" borderId="11" xfId="0" applyFont="1" applyFill="1" applyBorder="1" applyAlignment="1">
      <alignment horizontal="center"/>
    </xf>
    <xf numFmtId="0" fontId="3" fillId="0" borderId="12" xfId="0" applyFont="1" applyFill="1" applyBorder="1" applyAlignment="1">
      <alignment horizontal="center"/>
    </xf>
    <xf numFmtId="176" fontId="3" fillId="0" borderId="11" xfId="0" applyNumberFormat="1" applyFont="1" applyFill="1" applyBorder="1" applyAlignment="1">
      <alignment horizontal="center" vertical="center" wrapText="1"/>
    </xf>
    <xf numFmtId="176" fontId="3" fillId="0" borderId="32" xfId="0" applyNumberFormat="1" applyFont="1" applyFill="1" applyBorder="1" applyAlignment="1">
      <alignment vertical="center" wrapText="1"/>
    </xf>
    <xf numFmtId="0" fontId="3" fillId="0" borderId="11" xfId="0" applyFont="1" applyFill="1" applyBorder="1" applyAlignment="1">
      <alignment horizontal="right" vertical="center" wrapText="1"/>
    </xf>
    <xf numFmtId="3" fontId="3" fillId="0" borderId="11" xfId="0" applyNumberFormat="1" applyFont="1" applyFill="1" applyBorder="1" applyAlignment="1">
      <alignment horizontal="justify" vertical="center" wrapText="1"/>
    </xf>
    <xf numFmtId="0" fontId="3" fillId="0" borderId="11" xfId="0" applyFont="1" applyFill="1" applyBorder="1"/>
    <xf numFmtId="14" fontId="0" fillId="0" borderId="11" xfId="0" applyNumberFormat="1" applyFont="1" applyFill="1" applyBorder="1" applyAlignment="1">
      <alignment horizontal="center" vertical="center" wrapText="1"/>
    </xf>
    <xf numFmtId="0" fontId="0" fillId="0" borderId="0" xfId="0" applyFont="1" applyFill="1"/>
    <xf numFmtId="4" fontId="0" fillId="0" borderId="11" xfId="0" applyNumberFormat="1" applyFont="1" applyFill="1" applyBorder="1" applyAlignment="1">
      <alignment horizontal="right" vertical="center" wrapText="1"/>
    </xf>
    <xf numFmtId="4" fontId="6" fillId="0" borderId="22" xfId="0" applyNumberFormat="1" applyFont="1" applyFill="1" applyBorder="1" applyAlignment="1">
      <alignment vertical="center" wrapText="1"/>
    </xf>
    <xf numFmtId="176" fontId="6" fillId="0" borderId="22" xfId="0" applyNumberFormat="1" applyFont="1" applyFill="1" applyBorder="1" applyAlignment="1">
      <alignment vertical="center" wrapText="1"/>
    </xf>
    <xf numFmtId="176" fontId="3" fillId="0" borderId="22" xfId="0" applyNumberFormat="1" applyFont="1" applyFill="1" applyBorder="1" applyAlignment="1">
      <alignment vertical="center" wrapText="1"/>
    </xf>
    <xf numFmtId="176" fontId="30" fillId="0" borderId="11" xfId="0" applyNumberFormat="1" applyFont="1" applyFill="1" applyBorder="1" applyAlignment="1">
      <alignment horizontal="center" vertical="center" wrapText="1"/>
    </xf>
    <xf numFmtId="4" fontId="6" fillId="0" borderId="25" xfId="0" applyNumberFormat="1" applyFont="1" applyFill="1" applyBorder="1" applyAlignment="1">
      <alignment vertical="center" wrapText="1"/>
    </xf>
    <xf numFmtId="176" fontId="6" fillId="0" borderId="25" xfId="0" applyNumberFormat="1" applyFont="1" applyFill="1" applyBorder="1" applyAlignment="1">
      <alignment vertical="center" wrapText="1"/>
    </xf>
    <xf numFmtId="176" fontId="3" fillId="0" borderId="25" xfId="0" applyNumberFormat="1" applyFont="1" applyFill="1" applyBorder="1" applyAlignment="1">
      <alignment vertical="center" wrapText="1"/>
    </xf>
    <xf numFmtId="176" fontId="6" fillId="0" borderId="11" xfId="0" applyNumberFormat="1" applyFont="1" applyFill="1" applyBorder="1" applyAlignment="1">
      <alignment horizontal="center" vertical="center" wrapText="1"/>
    </xf>
    <xf numFmtId="4" fontId="3" fillId="0" borderId="32" xfId="0" applyNumberFormat="1" applyFont="1" applyFill="1" applyBorder="1" applyAlignment="1">
      <alignment vertical="center" wrapText="1"/>
    </xf>
    <xf numFmtId="176" fontId="6" fillId="0" borderId="32" xfId="0" applyNumberFormat="1" applyFont="1" applyFill="1" applyBorder="1" applyAlignment="1">
      <alignment vertical="center" wrapText="1"/>
    </xf>
    <xf numFmtId="4" fontId="3" fillId="0" borderId="22" xfId="0" applyNumberFormat="1" applyFont="1" applyFill="1" applyBorder="1" applyAlignment="1">
      <alignment vertical="center" wrapText="1"/>
    </xf>
    <xf numFmtId="176" fontId="3" fillId="0" borderId="11" xfId="0" applyNumberFormat="1" applyFont="1" applyFill="1" applyBorder="1" applyAlignment="1">
      <alignment horizontal="right" vertical="center" wrapText="1"/>
    </xf>
    <xf numFmtId="49" fontId="3" fillId="0" borderId="11" xfId="0" applyNumberFormat="1" applyFont="1" applyFill="1" applyBorder="1" applyAlignment="1">
      <alignment horizontal="left" vertical="center" wrapText="1"/>
    </xf>
    <xf numFmtId="14" fontId="3" fillId="0" borderId="32" xfId="0" applyNumberFormat="1" applyFont="1" applyFill="1" applyBorder="1" applyAlignment="1">
      <alignment vertical="center" wrapText="1"/>
    </xf>
    <xf numFmtId="176" fontId="3" fillId="0" borderId="32" xfId="0" applyNumberFormat="1" applyFont="1" applyFill="1" applyBorder="1" applyAlignment="1">
      <alignment horizontal="right" vertical="center" wrapText="1"/>
    </xf>
    <xf numFmtId="176" fontId="3" fillId="0" borderId="32" xfId="0" applyNumberFormat="1" applyFont="1" applyFill="1" applyBorder="1" applyAlignment="1">
      <alignment horizontal="center" vertical="center" wrapText="1"/>
    </xf>
    <xf numFmtId="0" fontId="3" fillId="0" borderId="32" xfId="0" applyFont="1" applyFill="1" applyBorder="1" applyAlignment="1">
      <alignment horizontal="right" vertical="center" wrapText="1"/>
    </xf>
    <xf numFmtId="3" fontId="3" fillId="0" borderId="32" xfId="0" applyNumberFormat="1" applyFont="1" applyFill="1" applyBorder="1" applyAlignment="1">
      <alignment horizontal="justify" vertical="center" wrapText="1"/>
    </xf>
    <xf numFmtId="3" fontId="3" fillId="0" borderId="32" xfId="0" applyNumberFormat="1" applyFont="1" applyFill="1" applyBorder="1" applyAlignment="1">
      <alignment vertical="center" wrapText="1"/>
    </xf>
    <xf numFmtId="10" fontId="3" fillId="0" borderId="32" xfId="0" applyNumberFormat="1" applyFont="1" applyFill="1" applyBorder="1" applyAlignment="1">
      <alignment horizontal="center" vertical="center" wrapText="1"/>
    </xf>
    <xf numFmtId="4" fontId="3" fillId="0" borderId="25" xfId="0" applyNumberFormat="1" applyFont="1" applyFill="1" applyBorder="1" applyAlignment="1">
      <alignment vertical="center" wrapText="1"/>
    </xf>
    <xf numFmtId="0" fontId="3" fillId="0" borderId="58" xfId="0" applyFont="1" applyFill="1" applyBorder="1" applyAlignment="1">
      <alignment horizontal="center" vertical="center" wrapText="1"/>
    </xf>
    <xf numFmtId="0" fontId="32" fillId="0" borderId="0" xfId="0" applyFont="1" applyAlignment="1">
      <alignment horizontal="center" vertical="center"/>
    </xf>
    <xf numFmtId="0" fontId="3" fillId="0" borderId="11" xfId="0" applyFont="1" applyFill="1" applyBorder="1" applyAlignment="1">
      <alignment horizontal="center" wrapText="1"/>
    </xf>
    <xf numFmtId="0" fontId="32" fillId="0" borderId="42" xfId="0" applyFont="1" applyBorder="1" applyAlignment="1">
      <alignment horizontal="center" vertical="center"/>
    </xf>
    <xf numFmtId="49" fontId="3" fillId="2" borderId="25" xfId="0" applyNumberFormat="1" applyFont="1" applyFill="1" applyBorder="1" applyAlignment="1">
      <alignment horizontal="center" vertical="center" wrapText="1"/>
    </xf>
    <xf numFmtId="9" fontId="3" fillId="0" borderId="25" xfId="4" applyFont="1" applyFill="1" applyBorder="1" applyAlignment="1">
      <alignment horizontal="center" vertical="center" wrapText="1"/>
    </xf>
    <xf numFmtId="43" fontId="3" fillId="0" borderId="25" xfId="1" applyFont="1" applyFill="1" applyBorder="1" applyAlignment="1">
      <alignment horizontal="right" vertical="center" wrapText="1"/>
    </xf>
    <xf numFmtId="49" fontId="3" fillId="2" borderId="25" xfId="0" applyNumberFormat="1" applyFont="1" applyFill="1" applyBorder="1" applyAlignment="1">
      <alignment horizontal="right" vertical="center" wrapText="1"/>
    </xf>
    <xf numFmtId="2" fontId="3" fillId="2" borderId="25" xfId="0" applyNumberFormat="1" applyFont="1" applyFill="1" applyBorder="1" applyAlignment="1">
      <alignment horizontal="left" vertical="center" wrapText="1"/>
    </xf>
    <xf numFmtId="2" fontId="3" fillId="2" borderId="25" xfId="0" applyNumberFormat="1" applyFont="1" applyFill="1" applyBorder="1" applyAlignment="1">
      <alignment horizontal="center" vertical="center" wrapText="1"/>
    </xf>
    <xf numFmtId="2" fontId="3" fillId="2" borderId="25" xfId="0" applyNumberFormat="1" applyFont="1" applyFill="1" applyBorder="1" applyAlignment="1">
      <alignment horizontal="right" vertical="center" wrapText="1"/>
    </xf>
    <xf numFmtId="3" fontId="3" fillId="2" borderId="25" xfId="0" applyNumberFormat="1" applyFont="1" applyFill="1" applyBorder="1" applyAlignment="1">
      <alignment horizontal="right" vertical="center" wrapText="1"/>
    </xf>
    <xf numFmtId="14" fontId="3" fillId="2" borderId="25" xfId="0" applyNumberFormat="1" applyFont="1" applyFill="1" applyBorder="1" applyAlignment="1">
      <alignment horizontal="right" vertical="center" wrapText="1"/>
    </xf>
    <xf numFmtId="0" fontId="32" fillId="0" borderId="48" xfId="0" applyFont="1" applyBorder="1" applyAlignment="1">
      <alignment horizontal="center" vertical="center"/>
    </xf>
    <xf numFmtId="9" fontId="3" fillId="0" borderId="11" xfId="4" applyFont="1" applyFill="1" applyBorder="1" applyAlignment="1">
      <alignment horizontal="center" vertical="center" wrapText="1"/>
    </xf>
    <xf numFmtId="43" fontId="3" fillId="0" borderId="11" xfId="1" applyFont="1" applyFill="1" applyBorder="1" applyAlignment="1">
      <alignment horizontal="right" vertical="center" wrapText="1"/>
    </xf>
    <xf numFmtId="2" fontId="3" fillId="0" borderId="11" xfId="0" applyNumberFormat="1" applyFont="1" applyFill="1" applyBorder="1" applyAlignment="1">
      <alignment horizontal="left" vertical="center" wrapText="1"/>
    </xf>
    <xf numFmtId="3" fontId="3" fillId="2" borderId="11" xfId="0" applyNumberFormat="1" applyFont="1" applyFill="1" applyBorder="1" applyAlignment="1">
      <alignment horizontal="right" vertical="center" wrapText="1"/>
    </xf>
    <xf numFmtId="14" fontId="3" fillId="2" borderId="11" xfId="0" applyNumberFormat="1" applyFont="1" applyFill="1" applyBorder="1" applyAlignment="1">
      <alignment horizontal="right" vertical="center" wrapText="1"/>
    </xf>
    <xf numFmtId="1" fontId="3" fillId="0" borderId="14" xfId="0" applyNumberFormat="1" applyFont="1" applyFill="1" applyBorder="1" applyAlignment="1">
      <alignment horizontal="center" vertical="center" wrapText="1"/>
    </xf>
    <xf numFmtId="9" fontId="3" fillId="2" borderId="11" xfId="4" applyFont="1" applyFill="1" applyBorder="1" applyAlignment="1">
      <alignment horizontal="center" vertical="center" wrapText="1"/>
    </xf>
    <xf numFmtId="49" fontId="3" fillId="2" borderId="11" xfId="0" applyNumberFormat="1" applyFont="1" applyFill="1" applyBorder="1" applyAlignment="1">
      <alignment horizontal="right" vertical="center" wrapText="1"/>
    </xf>
    <xf numFmtId="2" fontId="3" fillId="2" borderId="11" xfId="0" applyNumberFormat="1" applyFont="1" applyFill="1" applyBorder="1" applyAlignment="1">
      <alignment horizontal="left" vertical="center" wrapText="1"/>
    </xf>
    <xf numFmtId="0" fontId="32" fillId="2" borderId="48" xfId="0" applyFont="1" applyFill="1" applyBorder="1" applyAlignment="1">
      <alignment horizontal="center" vertical="center"/>
    </xf>
    <xf numFmtId="43" fontId="6" fillId="2" borderId="11" xfId="1" applyFont="1" applyFill="1" applyBorder="1" applyAlignment="1">
      <alignment horizontal="center" vertical="center" wrapText="1"/>
    </xf>
    <xf numFmtId="9" fontId="3" fillId="2" borderId="11" xfId="0" applyNumberFormat="1" applyFont="1" applyFill="1" applyBorder="1" applyAlignment="1">
      <alignment horizontal="center" vertical="center" wrapText="1"/>
    </xf>
    <xf numFmtId="9" fontId="20" fillId="0" borderId="11" xfId="4" applyFont="1" applyBorder="1" applyAlignment="1">
      <alignment horizontal="center" vertical="center"/>
    </xf>
    <xf numFmtId="0" fontId="6" fillId="0" borderId="11" xfId="0" applyFont="1" applyFill="1" applyBorder="1" applyAlignment="1">
      <alignment horizontal="left" vertical="center" wrapText="1"/>
    </xf>
    <xf numFmtId="14" fontId="3" fillId="0" borderId="11" xfId="0" applyNumberFormat="1" applyFont="1" applyFill="1" applyBorder="1" applyAlignment="1">
      <alignment horizontal="right" vertical="center" wrapText="1"/>
    </xf>
    <xf numFmtId="0" fontId="32" fillId="0" borderId="48" xfId="0" applyFont="1" applyFill="1" applyBorder="1" applyAlignment="1">
      <alignment horizontal="center" vertical="center"/>
    </xf>
    <xf numFmtId="0" fontId="3" fillId="0" borderId="48" xfId="0" applyFont="1" applyBorder="1" applyAlignment="1">
      <alignment horizontal="center" vertical="center"/>
    </xf>
    <xf numFmtId="0" fontId="3" fillId="0" borderId="0" xfId="0" applyFont="1"/>
    <xf numFmtId="0" fontId="6" fillId="2" borderId="11" xfId="0" applyFont="1" applyFill="1" applyBorder="1" applyAlignment="1">
      <alignment horizontal="left" vertical="center" wrapText="1"/>
    </xf>
    <xf numFmtId="2" fontId="6" fillId="2" borderId="11" xfId="0" applyNumberFormat="1" applyFont="1" applyFill="1" applyBorder="1" applyAlignment="1">
      <alignment horizontal="center" vertical="center" wrapText="1"/>
    </xf>
    <xf numFmtId="2" fontId="6" fillId="2" borderId="11" xfId="0" applyNumberFormat="1" applyFont="1" applyFill="1" applyBorder="1" applyAlignment="1">
      <alignment horizontal="right" vertical="center" wrapText="1"/>
    </xf>
    <xf numFmtId="3" fontId="6" fillId="2" borderId="11" xfId="0" applyNumberFormat="1" applyFont="1" applyFill="1" applyBorder="1" applyAlignment="1">
      <alignment horizontal="right" vertical="center" wrapText="1"/>
    </xf>
    <xf numFmtId="14" fontId="6" fillId="2" borderId="11" xfId="0" applyNumberFormat="1" applyFont="1" applyFill="1" applyBorder="1" applyAlignment="1">
      <alignment horizontal="right" vertical="center" wrapText="1"/>
    </xf>
    <xf numFmtId="2" fontId="6" fillId="2" borderId="11" xfId="0" applyNumberFormat="1" applyFont="1" applyFill="1" applyBorder="1" applyAlignment="1">
      <alignment horizontal="right" vertical="center"/>
    </xf>
    <xf numFmtId="0" fontId="3" fillId="2" borderId="14" xfId="0" applyFont="1" applyFill="1" applyBorder="1" applyAlignment="1">
      <alignment horizontal="center" vertical="center"/>
    </xf>
    <xf numFmtId="0" fontId="3" fillId="0" borderId="14" xfId="0" applyFont="1" applyFill="1" applyBorder="1" applyAlignment="1">
      <alignment horizontal="center" vertical="center"/>
    </xf>
    <xf numFmtId="43" fontId="3" fillId="0" borderId="11" xfId="1" applyFont="1" applyFill="1" applyBorder="1" applyAlignment="1">
      <alignment horizontal="center" vertical="center"/>
    </xf>
    <xf numFmtId="43" fontId="5" fillId="0" borderId="11" xfId="1" applyFont="1" applyFill="1" applyBorder="1" applyAlignment="1">
      <alignment wrapText="1"/>
    </xf>
    <xf numFmtId="2" fontId="5" fillId="0" borderId="11" xfId="0" applyNumberFormat="1" applyFont="1" applyFill="1" applyBorder="1" applyAlignment="1">
      <alignment wrapText="1"/>
    </xf>
    <xf numFmtId="0" fontId="3" fillId="0" borderId="0" xfId="0" applyFont="1" applyFill="1" applyBorder="1" applyAlignment="1">
      <alignment horizontal="left" vertical="center" wrapText="1"/>
    </xf>
    <xf numFmtId="0" fontId="28" fillId="0" borderId="11" xfId="0" applyFont="1" applyFill="1" applyBorder="1" applyAlignment="1">
      <alignment horizontal="center" vertical="center" wrapText="1"/>
    </xf>
    <xf numFmtId="49" fontId="10" fillId="0" borderId="25" xfId="0" applyNumberFormat="1" applyFont="1" applyFill="1" applyBorder="1" applyAlignment="1">
      <alignment horizontal="center" vertical="center" wrapText="1"/>
    </xf>
    <xf numFmtId="44" fontId="3" fillId="0" borderId="25" xfId="0" applyNumberFormat="1" applyFont="1" applyFill="1" applyBorder="1" applyAlignment="1">
      <alignment horizontal="right" vertical="center" wrapText="1"/>
    </xf>
    <xf numFmtId="44" fontId="3" fillId="0" borderId="54" xfId="0" applyNumberFormat="1" applyFont="1" applyFill="1" applyBorder="1" applyAlignment="1">
      <alignment horizontal="right" vertical="center" wrapText="1"/>
    </xf>
    <xf numFmtId="2" fontId="3" fillId="0" borderId="27" xfId="0" applyNumberFormat="1" applyFont="1" applyFill="1" applyBorder="1" applyAlignment="1">
      <alignment horizontal="right" vertical="center" wrapText="1"/>
    </xf>
    <xf numFmtId="2" fontId="3" fillId="0" borderId="25" xfId="0" applyNumberFormat="1" applyFont="1" applyFill="1" applyBorder="1" applyAlignment="1">
      <alignment horizontal="right" vertical="center" wrapText="1"/>
    </xf>
    <xf numFmtId="2" fontId="3" fillId="0" borderId="26" xfId="0" applyNumberFormat="1" applyFont="1" applyFill="1" applyBorder="1" applyAlignment="1">
      <alignment horizontal="right" vertical="center" wrapText="1"/>
    </xf>
    <xf numFmtId="2" fontId="3" fillId="0" borderId="24" xfId="0" applyNumberFormat="1" applyFont="1" applyFill="1" applyBorder="1" applyAlignment="1">
      <alignment horizontal="right" vertical="center" wrapText="1"/>
    </xf>
    <xf numFmtId="2" fontId="3" fillId="0" borderId="50" xfId="0" applyNumberFormat="1" applyFont="1" applyFill="1" applyBorder="1" applyAlignment="1">
      <alignment horizontal="right" vertical="center" wrapText="1"/>
    </xf>
    <xf numFmtId="49" fontId="10" fillId="0" borderId="11" xfId="0" applyNumberFormat="1" applyFont="1" applyFill="1" applyBorder="1" applyAlignment="1">
      <alignment horizontal="center" vertical="center" wrapText="1"/>
    </xf>
    <xf numFmtId="44" fontId="5" fillId="0" borderId="11" xfId="0" applyNumberFormat="1" applyFont="1" applyFill="1" applyBorder="1" applyAlignment="1">
      <alignment horizontal="center" vertical="center" wrapText="1"/>
    </xf>
    <xf numFmtId="44" fontId="3" fillId="0" borderId="11" xfId="0" applyNumberFormat="1" applyFont="1" applyBorder="1" applyAlignment="1">
      <alignment horizontal="right" vertical="center" wrapText="1"/>
    </xf>
    <xf numFmtId="44" fontId="3" fillId="0" borderId="11" xfId="0" applyNumberFormat="1" applyFont="1" applyBorder="1" applyAlignment="1">
      <alignment vertical="center" wrapText="1"/>
    </xf>
    <xf numFmtId="44" fontId="6" fillId="0" borderId="11" xfId="0" applyNumberFormat="1" applyFont="1" applyBorder="1" applyAlignment="1">
      <alignment horizontal="right" vertical="center" wrapText="1"/>
    </xf>
    <xf numFmtId="0" fontId="3" fillId="0" borderId="11"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44" fontId="3" fillId="0" borderId="11" xfId="0" applyNumberFormat="1" applyFont="1" applyFill="1" applyBorder="1" applyAlignment="1">
      <alignment horizontal="left" vertical="center" wrapText="1"/>
    </xf>
    <xf numFmtId="14" fontId="7" fillId="0" borderId="11" xfId="0" applyNumberFormat="1" applyFont="1" applyFill="1" applyBorder="1" applyAlignment="1">
      <alignment horizontal="center" vertical="center" wrapText="1"/>
    </xf>
    <xf numFmtId="0" fontId="3" fillId="0" borderId="11" xfId="0" applyNumberFormat="1" applyFont="1" applyFill="1" applyBorder="1" applyAlignment="1">
      <alignment horizontal="left" vertical="center" wrapText="1"/>
    </xf>
    <xf numFmtId="3" fontId="3" fillId="0" borderId="11" xfId="0" applyNumberFormat="1" applyFont="1" applyFill="1" applyBorder="1" applyAlignment="1">
      <alignment horizontal="left" vertical="center" wrapText="1"/>
    </xf>
    <xf numFmtId="3" fontId="3" fillId="0" borderId="11" xfId="0" applyNumberFormat="1" applyFont="1" applyBorder="1" applyAlignment="1">
      <alignment horizontal="left" vertical="center" wrapText="1"/>
    </xf>
    <xf numFmtId="3" fontId="7" fillId="0" borderId="11" xfId="0" applyNumberFormat="1" applyFont="1" applyFill="1" applyBorder="1" applyAlignment="1">
      <alignment horizontal="center" vertical="center" wrapText="1"/>
    </xf>
    <xf numFmtId="17" fontId="3" fillId="0" borderId="11" xfId="0" applyNumberFormat="1" applyFont="1" applyBorder="1" applyAlignment="1">
      <alignment horizontal="center" vertical="center" wrapText="1"/>
    </xf>
    <xf numFmtId="3" fontId="7" fillId="0" borderId="11" xfId="0" applyNumberFormat="1" applyFont="1" applyBorder="1" applyAlignment="1">
      <alignment horizontal="center" vertical="center" wrapText="1"/>
    </xf>
    <xf numFmtId="14" fontId="6" fillId="0" borderId="11" xfId="0" applyNumberFormat="1" applyFont="1" applyBorder="1" applyAlignment="1">
      <alignment horizontal="center" vertical="center" wrapText="1"/>
    </xf>
    <xf numFmtId="0" fontId="3" fillId="0" borderId="12" xfId="0" applyNumberFormat="1" applyFont="1" applyFill="1" applyBorder="1" applyAlignment="1">
      <alignment horizontal="right" vertical="center" wrapText="1"/>
    </xf>
    <xf numFmtId="3" fontId="3" fillId="0" borderId="14" xfId="0" applyNumberFormat="1" applyFont="1" applyFill="1" applyBorder="1" applyAlignment="1">
      <alignment horizontal="center" vertical="center" wrapText="1"/>
    </xf>
    <xf numFmtId="0" fontId="37" fillId="0" borderId="11" xfId="0" applyFont="1" applyFill="1" applyBorder="1" applyAlignment="1">
      <alignment vertical="center" wrapText="1"/>
    </xf>
    <xf numFmtId="0" fontId="3" fillId="0" borderId="12" xfId="0" applyNumberFormat="1" applyFont="1" applyFill="1" applyBorder="1" applyAlignment="1">
      <alignment horizontal="center" vertical="center" wrapText="1"/>
    </xf>
    <xf numFmtId="0" fontId="37" fillId="0" borderId="32" xfId="0" applyFont="1" applyFill="1" applyBorder="1" applyAlignment="1">
      <alignment vertical="center" wrapText="1"/>
    </xf>
    <xf numFmtId="49" fontId="5" fillId="0" borderId="32" xfId="0" applyNumberFormat="1" applyFont="1" applyFill="1" applyBorder="1" applyAlignment="1">
      <alignment vertical="center" wrapText="1"/>
    </xf>
    <xf numFmtId="49" fontId="3" fillId="0" borderId="32" xfId="0" applyNumberFormat="1" applyFont="1" applyFill="1" applyBorder="1" applyAlignment="1">
      <alignment horizontal="left" vertical="center" wrapText="1"/>
    </xf>
    <xf numFmtId="0" fontId="5" fillId="0" borderId="32" xfId="0" applyFont="1" applyFill="1" applyBorder="1" applyAlignment="1">
      <alignment vertical="center" wrapText="1"/>
    </xf>
    <xf numFmtId="49" fontId="3" fillId="0" borderId="32" xfId="0" applyNumberFormat="1" applyFont="1" applyBorder="1" applyAlignment="1">
      <alignment horizontal="center" vertical="center" wrapText="1"/>
    </xf>
    <xf numFmtId="44" fontId="3" fillId="0" borderId="22" xfId="0" applyNumberFormat="1" applyFont="1" applyFill="1" applyBorder="1" applyAlignment="1">
      <alignment horizontal="right" vertical="center" wrapText="1"/>
    </xf>
    <xf numFmtId="44" fontId="3" fillId="0" borderId="58" xfId="0" applyNumberFormat="1" applyFont="1" applyFill="1" applyBorder="1" applyAlignment="1">
      <alignment horizontal="right" vertical="center" wrapText="1"/>
    </xf>
    <xf numFmtId="0" fontId="3" fillId="0" borderId="30" xfId="0" applyNumberFormat="1" applyFont="1" applyFill="1" applyBorder="1" applyAlignment="1">
      <alignment horizontal="center" vertical="center" wrapText="1"/>
    </xf>
    <xf numFmtId="0" fontId="5" fillId="0" borderId="60" xfId="0" applyFont="1" applyFill="1" applyBorder="1" applyAlignment="1">
      <alignment horizontal="left" vertical="center" wrapText="1"/>
    </xf>
    <xf numFmtId="44" fontId="5" fillId="0" borderId="60" xfId="0" applyNumberFormat="1" applyFont="1" applyFill="1" applyBorder="1" applyAlignment="1">
      <alignment vertical="center" wrapText="1"/>
    </xf>
    <xf numFmtId="44" fontId="5" fillId="0" borderId="66" xfId="0" applyNumberFormat="1" applyFont="1" applyFill="1" applyBorder="1" applyAlignment="1">
      <alignment vertical="center" wrapText="1"/>
    </xf>
    <xf numFmtId="0" fontId="5" fillId="0" borderId="61" xfId="0" applyNumberFormat="1" applyFont="1" applyFill="1" applyBorder="1" applyAlignment="1">
      <alignment vertical="center" wrapText="1"/>
    </xf>
    <xf numFmtId="2" fontId="5" fillId="0" borderId="67" xfId="0" applyNumberFormat="1" applyFont="1" applyFill="1" applyBorder="1" applyAlignment="1">
      <alignment vertical="center" wrapText="1"/>
    </xf>
    <xf numFmtId="0" fontId="30" fillId="0" borderId="0" xfId="0" applyFont="1" applyFill="1" applyAlignment="1">
      <alignment vertical="center"/>
    </xf>
    <xf numFmtId="43" fontId="6" fillId="0" borderId="0" xfId="1" applyFont="1" applyFill="1" applyAlignment="1">
      <alignment horizontal="center" vertical="center"/>
    </xf>
    <xf numFmtId="43" fontId="6" fillId="0" borderId="0" xfId="0" applyNumberFormat="1" applyFont="1" applyFill="1" applyAlignment="1">
      <alignment horizontal="center" vertical="center"/>
    </xf>
    <xf numFmtId="43" fontId="6" fillId="0" borderId="0" xfId="0" applyNumberFormat="1" applyFont="1" applyFill="1" applyAlignment="1">
      <alignment horizontal="right" vertical="center"/>
    </xf>
    <xf numFmtId="0" fontId="28" fillId="0" borderId="14" xfId="0" applyFont="1" applyFill="1" applyBorder="1" applyAlignment="1">
      <alignment horizontal="center" vertical="center" wrapText="1"/>
    </xf>
    <xf numFmtId="49" fontId="28" fillId="0" borderId="11" xfId="0" applyNumberFormat="1" applyFont="1" applyFill="1" applyBorder="1" applyAlignment="1">
      <alignment horizontal="center" vertical="center" wrapText="1"/>
    </xf>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0" fontId="28" fillId="0" borderId="19" xfId="0" applyFont="1" applyFill="1" applyBorder="1" applyAlignment="1">
      <alignment horizontal="center" vertical="center" wrapText="1"/>
    </xf>
    <xf numFmtId="0" fontId="28" fillId="0" borderId="17" xfId="0" applyFont="1" applyFill="1" applyBorder="1" applyAlignment="1">
      <alignment horizontal="center" vertical="center" wrapText="1"/>
    </xf>
    <xf numFmtId="49" fontId="28" fillId="0" borderId="17" xfId="0" applyNumberFormat="1" applyFont="1" applyFill="1" applyBorder="1" applyAlignment="1">
      <alignment horizontal="center" vertical="center" wrapText="1"/>
    </xf>
    <xf numFmtId="4" fontId="28" fillId="0" borderId="17" xfId="0" applyNumberFormat="1" applyFont="1" applyFill="1" applyBorder="1" applyAlignment="1">
      <alignment horizontal="center" vertical="center" wrapText="1"/>
    </xf>
    <xf numFmtId="0" fontId="28" fillId="0" borderId="17" xfId="0" applyFont="1" applyFill="1" applyBorder="1" applyAlignment="1">
      <alignment horizontal="right" vertical="center" wrapText="1"/>
    </xf>
    <xf numFmtId="0" fontId="28" fillId="0" borderId="17" xfId="0" applyFont="1" applyFill="1" applyBorder="1" applyAlignment="1">
      <alignment horizontal="center" vertical="center"/>
    </xf>
    <xf numFmtId="0" fontId="28" fillId="0" borderId="18" xfId="0" applyFont="1" applyFill="1" applyBorder="1" applyAlignment="1">
      <alignment horizontal="center" vertical="center"/>
    </xf>
    <xf numFmtId="0" fontId="6" fillId="0" borderId="25" xfId="0" applyFont="1" applyFill="1" applyBorder="1" applyAlignment="1">
      <alignment horizontal="left" vertical="center" wrapText="1"/>
    </xf>
    <xf numFmtId="43" fontId="6" fillId="0" borderId="25" xfId="1" applyFont="1" applyFill="1" applyBorder="1" applyAlignment="1">
      <alignment horizontal="center" vertical="center" wrapText="1"/>
    </xf>
    <xf numFmtId="4" fontId="6" fillId="0" borderId="25" xfId="0" applyNumberFormat="1" applyFont="1" applyFill="1" applyBorder="1" applyAlignment="1">
      <alignment horizontal="right" vertical="center" wrapText="1"/>
    </xf>
    <xf numFmtId="43" fontId="6" fillId="0" borderId="11" xfId="1" applyFont="1" applyFill="1" applyBorder="1" applyAlignment="1">
      <alignment horizontal="center" vertical="center" wrapText="1"/>
    </xf>
    <xf numFmtId="4" fontId="6" fillId="0" borderId="11" xfId="0" applyNumberFormat="1" applyFont="1" applyFill="1" applyBorder="1" applyAlignment="1">
      <alignment horizontal="right" vertical="center" wrapText="1"/>
    </xf>
    <xf numFmtId="10" fontId="6" fillId="0" borderId="11" xfId="0" applyNumberFormat="1" applyFont="1" applyFill="1" applyBorder="1" applyAlignment="1">
      <alignment horizontal="center" vertical="center" wrapText="1"/>
    </xf>
    <xf numFmtId="43" fontId="6" fillId="0" borderId="11" xfId="1" applyFont="1" applyFill="1" applyBorder="1" applyAlignment="1">
      <alignment horizontal="center" vertical="center"/>
    </xf>
    <xf numFmtId="43" fontId="6" fillId="0" borderId="11" xfId="0" applyNumberFormat="1" applyFont="1" applyFill="1" applyBorder="1" applyAlignment="1">
      <alignment horizontal="center" vertical="center" wrapText="1"/>
    </xf>
    <xf numFmtId="9" fontId="6" fillId="0" borderId="11" xfId="0" applyNumberFormat="1" applyFont="1" applyFill="1" applyBorder="1" applyAlignment="1">
      <alignment horizontal="center" vertical="center" wrapText="1"/>
    </xf>
    <xf numFmtId="179" fontId="6" fillId="0" borderId="11" xfId="1" applyNumberFormat="1" applyFont="1" applyFill="1" applyBorder="1" applyAlignment="1">
      <alignment horizontal="center" vertical="center" wrapText="1"/>
    </xf>
    <xf numFmtId="0" fontId="6" fillId="0" borderId="48" xfId="0" applyFont="1" applyFill="1" applyBorder="1" applyAlignment="1">
      <alignment horizontal="center" vertical="center"/>
    </xf>
    <xf numFmtId="0" fontId="6" fillId="0" borderId="14" xfId="0" applyFont="1" applyFill="1" applyBorder="1" applyAlignment="1">
      <alignment horizontal="center" vertical="center"/>
    </xf>
    <xf numFmtId="43" fontId="6" fillId="0" borderId="11" xfId="1" applyFont="1" applyFill="1" applyBorder="1" applyAlignment="1">
      <alignment horizontal="right" vertical="center" wrapText="1"/>
    </xf>
    <xf numFmtId="2" fontId="6" fillId="0" borderId="11" xfId="0" applyNumberFormat="1" applyFont="1" applyFill="1" applyBorder="1" applyAlignment="1">
      <alignment horizontal="right" vertical="center" wrapText="1"/>
    </xf>
    <xf numFmtId="2" fontId="6" fillId="0" borderId="11"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14" fontId="6" fillId="0" borderId="11" xfId="0" applyNumberFormat="1" applyFont="1" applyFill="1" applyBorder="1" applyAlignment="1">
      <alignment vertical="center" wrapText="1"/>
    </xf>
    <xf numFmtId="0" fontId="30" fillId="0" borderId="11" xfId="0" applyFont="1" applyFill="1" applyBorder="1" applyAlignment="1">
      <alignment horizontal="center" vertical="center" wrapText="1"/>
    </xf>
    <xf numFmtId="0" fontId="6" fillId="0" borderId="25" xfId="0" applyFont="1" applyFill="1" applyBorder="1" applyAlignment="1">
      <alignment vertical="center" wrapText="1"/>
    </xf>
    <xf numFmtId="2" fontId="6" fillId="0" borderId="11" xfId="0" applyNumberFormat="1" applyFont="1" applyFill="1" applyBorder="1" applyAlignment="1">
      <alignment horizontal="left" vertical="center" wrapText="1"/>
    </xf>
    <xf numFmtId="0" fontId="38" fillId="0" borderId="11" xfId="0" applyFont="1" applyFill="1" applyBorder="1" applyAlignment="1">
      <alignment vertical="center" wrapText="1"/>
    </xf>
    <xf numFmtId="14" fontId="6" fillId="0" borderId="11" xfId="0" applyNumberFormat="1" applyFont="1" applyFill="1" applyBorder="1" applyAlignment="1">
      <alignment horizontal="center" vertical="center"/>
    </xf>
    <xf numFmtId="16" fontId="6" fillId="0" borderId="11" xfId="0" applyNumberFormat="1" applyFont="1" applyFill="1" applyBorder="1" applyAlignment="1">
      <alignment horizontal="center" vertical="center" wrapText="1"/>
    </xf>
    <xf numFmtId="0" fontId="6" fillId="0" borderId="32" xfId="0" applyFont="1" applyFill="1" applyBorder="1" applyAlignment="1">
      <alignment horizontal="right" vertical="center" wrapText="1"/>
    </xf>
    <xf numFmtId="0" fontId="6" fillId="0" borderId="2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32" xfId="0" applyFont="1" applyFill="1" applyBorder="1" applyAlignment="1">
      <alignment horizontal="left" vertical="center" wrapText="1"/>
    </xf>
    <xf numFmtId="49" fontId="6" fillId="0" borderId="32" xfId="0" applyNumberFormat="1" applyFont="1" applyFill="1" applyBorder="1" applyAlignment="1">
      <alignment horizontal="center" vertical="center" wrapText="1"/>
    </xf>
    <xf numFmtId="0" fontId="6" fillId="0" borderId="32" xfId="0" applyFont="1" applyFill="1" applyBorder="1" applyAlignment="1">
      <alignment vertical="center" wrapText="1"/>
    </xf>
    <xf numFmtId="4" fontId="6" fillId="0" borderId="32" xfId="0" applyNumberFormat="1" applyFont="1" applyFill="1" applyBorder="1" applyAlignment="1">
      <alignment horizontal="right" vertical="center" wrapText="1"/>
    </xf>
    <xf numFmtId="43" fontId="6" fillId="0" borderId="32" xfId="1" applyFont="1" applyFill="1" applyBorder="1" applyAlignment="1">
      <alignment horizontal="center" vertical="center" wrapText="1"/>
    </xf>
    <xf numFmtId="43" fontId="6" fillId="0" borderId="32" xfId="0" applyNumberFormat="1" applyFont="1" applyFill="1" applyBorder="1" applyAlignment="1">
      <alignment horizontal="center" vertical="center" wrapText="1"/>
    </xf>
    <xf numFmtId="2" fontId="6" fillId="0" borderId="32" xfId="0" applyNumberFormat="1" applyFont="1" applyFill="1" applyBorder="1" applyAlignment="1">
      <alignment horizontal="left" vertical="center" wrapText="1"/>
    </xf>
    <xf numFmtId="2" fontId="6" fillId="0" borderId="32" xfId="0" applyNumberFormat="1" applyFont="1" applyFill="1" applyBorder="1" applyAlignment="1">
      <alignment horizontal="center" vertical="center" wrapText="1"/>
    </xf>
    <xf numFmtId="2" fontId="6" fillId="0" borderId="32" xfId="0" applyNumberFormat="1" applyFont="1" applyFill="1" applyBorder="1" applyAlignment="1">
      <alignment horizontal="right" vertical="center" wrapText="1"/>
    </xf>
    <xf numFmtId="0" fontId="6" fillId="0" borderId="32" xfId="0" applyFont="1" applyFill="1" applyBorder="1" applyAlignment="1">
      <alignment horizontal="center" vertical="center"/>
    </xf>
    <xf numFmtId="0" fontId="28" fillId="0" borderId="60" xfId="0" applyFont="1" applyFill="1" applyBorder="1" applyAlignment="1">
      <alignment horizontal="center" vertical="center" wrapText="1"/>
    </xf>
    <xf numFmtId="4" fontId="28" fillId="0" borderId="60" xfId="0" applyNumberFormat="1" applyFont="1" applyFill="1" applyBorder="1" applyAlignment="1">
      <alignment vertical="center" wrapText="1"/>
    </xf>
    <xf numFmtId="0" fontId="28" fillId="0" borderId="60" xfId="0" applyFont="1" applyFill="1" applyBorder="1" applyAlignment="1">
      <alignment vertical="center" wrapText="1"/>
    </xf>
    <xf numFmtId="43" fontId="28" fillId="0" borderId="60" xfId="1" applyFont="1" applyFill="1" applyBorder="1" applyAlignment="1">
      <alignment vertical="center" wrapText="1"/>
    </xf>
    <xf numFmtId="43" fontId="28" fillId="0" borderId="60" xfId="1" applyFont="1" applyFill="1" applyBorder="1" applyAlignment="1">
      <alignment horizontal="right" vertical="center"/>
    </xf>
    <xf numFmtId="43" fontId="28" fillId="0" borderId="60" xfId="1" applyFont="1" applyFill="1" applyBorder="1" applyAlignment="1">
      <alignment vertical="center"/>
    </xf>
    <xf numFmtId="2" fontId="28" fillId="0" borderId="60" xfId="0" applyNumberFormat="1" applyFont="1" applyFill="1" applyBorder="1" applyAlignment="1">
      <alignment vertical="center" wrapText="1"/>
    </xf>
    <xf numFmtId="2" fontId="28" fillId="0" borderId="60" xfId="0" applyNumberFormat="1"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60" xfId="0" applyFont="1" applyFill="1" applyBorder="1" applyAlignment="1">
      <alignment horizontal="center" vertical="center"/>
    </xf>
    <xf numFmtId="0" fontId="6" fillId="0" borderId="61" xfId="0" applyFont="1" applyFill="1" applyBorder="1" applyAlignment="1">
      <alignment horizontal="center" vertical="center"/>
    </xf>
    <xf numFmtId="0" fontId="3" fillId="0" borderId="0" xfId="0" applyFont="1" applyFill="1" applyAlignment="1">
      <alignment horizontal="justify"/>
    </xf>
    <xf numFmtId="49" fontId="3" fillId="0" borderId="0" xfId="0" applyNumberFormat="1" applyFont="1" applyFill="1" applyAlignment="1">
      <alignment horizontal="center"/>
    </xf>
    <xf numFmtId="0" fontId="3" fillId="0" borderId="21" xfId="0" applyFont="1" applyFill="1" applyBorder="1" applyAlignment="1">
      <alignment horizontal="center" vertical="center" wrapText="1"/>
    </xf>
    <xf numFmtId="0" fontId="3" fillId="0" borderId="10" xfId="0" applyFont="1" applyFill="1" applyBorder="1" applyAlignment="1">
      <alignment horizontal="center"/>
    </xf>
    <xf numFmtId="0" fontId="3" fillId="0" borderId="17" xfId="0" applyFont="1" applyFill="1" applyBorder="1" applyAlignment="1">
      <alignment horizontal="justify" vertical="center" wrapText="1"/>
    </xf>
    <xf numFmtId="10" fontId="3" fillId="0" borderId="17" xfId="0" applyNumberFormat="1" applyFont="1" applyFill="1" applyBorder="1" applyAlignment="1">
      <alignment horizontal="center" vertical="center" wrapText="1"/>
    </xf>
    <xf numFmtId="4" fontId="3" fillId="0" borderId="18" xfId="0" applyNumberFormat="1" applyFont="1" applyFill="1" applyBorder="1" applyAlignment="1">
      <alignment horizontal="center" vertical="center" wrapText="1"/>
    </xf>
    <xf numFmtId="4" fontId="3" fillId="0" borderId="17" xfId="0" applyNumberFormat="1" applyFont="1" applyFill="1" applyBorder="1" applyAlignment="1">
      <alignment horizontal="right" vertical="center" wrapText="1"/>
    </xf>
    <xf numFmtId="2" fontId="3" fillId="0" borderId="17" xfId="0" applyNumberFormat="1" applyFont="1" applyFill="1" applyBorder="1" applyAlignment="1">
      <alignment horizontal="right" vertical="center" wrapText="1"/>
    </xf>
    <xf numFmtId="2" fontId="3" fillId="0" borderId="18" xfId="0" applyNumberFormat="1" applyFont="1" applyFill="1" applyBorder="1" applyAlignment="1">
      <alignment horizontal="right" vertical="center" wrapText="1"/>
    </xf>
    <xf numFmtId="2" fontId="3" fillId="0" borderId="16" xfId="0" applyNumberFormat="1" applyFont="1" applyFill="1" applyBorder="1" applyAlignment="1">
      <alignment horizontal="right" vertical="center" wrapText="1"/>
    </xf>
    <xf numFmtId="0" fontId="0" fillId="0" borderId="16" xfId="0" applyFill="1" applyBorder="1"/>
    <xf numFmtId="0" fontId="0" fillId="0" borderId="17" xfId="0" applyFill="1" applyBorder="1"/>
    <xf numFmtId="0" fontId="0" fillId="0" borderId="18" xfId="0" applyFill="1" applyBorder="1"/>
    <xf numFmtId="0" fontId="0" fillId="0" borderId="73" xfId="0" applyFill="1" applyBorder="1" applyAlignment="1">
      <alignment horizontal="center" vertical="center"/>
    </xf>
    <xf numFmtId="0" fontId="3" fillId="0" borderId="5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0" borderId="60" xfId="0" applyFont="1" applyFill="1" applyBorder="1" applyAlignment="1">
      <alignment horizontal="justify" vertical="center" wrapText="1"/>
    </xf>
    <xf numFmtId="3" fontId="10" fillId="0" borderId="61" xfId="0" applyNumberFormat="1" applyFont="1" applyFill="1" applyBorder="1" applyAlignment="1">
      <alignment horizontal="center" vertical="center" wrapText="1"/>
    </xf>
    <xf numFmtId="49" fontId="10" fillId="0" borderId="59" xfId="0" applyNumberFormat="1" applyFont="1" applyFill="1" applyBorder="1" applyAlignment="1">
      <alignment horizontal="center" vertical="center" wrapText="1"/>
    </xf>
    <xf numFmtId="0" fontId="39" fillId="0" borderId="60" xfId="0" applyFont="1" applyFill="1" applyBorder="1" applyAlignment="1">
      <alignment horizontal="justify" vertical="center" wrapText="1"/>
    </xf>
    <xf numFmtId="14" fontId="3" fillId="0" borderId="60" xfId="0" applyNumberFormat="1" applyFont="1" applyFill="1" applyBorder="1" applyAlignment="1">
      <alignment horizontal="center" vertical="center" wrapText="1"/>
    </xf>
    <xf numFmtId="4" fontId="3" fillId="0" borderId="60" xfId="0" applyNumberFormat="1" applyFont="1" applyFill="1" applyBorder="1" applyAlignment="1">
      <alignment vertical="center" wrapText="1"/>
    </xf>
    <xf numFmtId="3" fontId="3" fillId="0" borderId="60" xfId="0" applyNumberFormat="1" applyFont="1" applyFill="1" applyBorder="1" applyAlignment="1">
      <alignment horizontal="center" vertical="center" wrapText="1"/>
    </xf>
    <xf numFmtId="0" fontId="3" fillId="0" borderId="61" xfId="0" applyFont="1" applyFill="1" applyBorder="1" applyAlignment="1">
      <alignment horizontal="center" vertical="center" wrapText="1"/>
    </xf>
    <xf numFmtId="0" fontId="3" fillId="0" borderId="60" xfId="0" applyFont="1" applyFill="1" applyBorder="1" applyAlignment="1">
      <alignment horizontal="left" vertical="center" wrapText="1"/>
    </xf>
    <xf numFmtId="4" fontId="3" fillId="0" borderId="60" xfId="0" applyNumberFormat="1" applyFont="1" applyFill="1" applyBorder="1" applyAlignment="1">
      <alignment horizontal="center" vertical="center" wrapText="1"/>
    </xf>
    <xf numFmtId="4" fontId="3" fillId="0" borderId="59" xfId="0" applyNumberFormat="1" applyFont="1" applyFill="1" applyBorder="1" applyAlignment="1">
      <alignment horizontal="right" vertical="center" wrapText="1"/>
    </xf>
    <xf numFmtId="4" fontId="3" fillId="0" borderId="60" xfId="0" applyNumberFormat="1" applyFont="1" applyFill="1" applyBorder="1" applyAlignment="1">
      <alignment horizontal="right" vertical="center" wrapText="1"/>
    </xf>
    <xf numFmtId="4" fontId="3" fillId="0" borderId="61" xfId="0" applyNumberFormat="1" applyFont="1" applyFill="1" applyBorder="1" applyAlignment="1">
      <alignment horizontal="right" vertical="center" wrapText="1"/>
    </xf>
    <xf numFmtId="49" fontId="3" fillId="0" borderId="59" xfId="0" applyNumberFormat="1" applyFont="1" applyFill="1" applyBorder="1" applyAlignment="1">
      <alignment horizontal="right" vertical="center" wrapText="1"/>
    </xf>
    <xf numFmtId="2" fontId="3" fillId="0" borderId="60" xfId="0" applyNumberFormat="1" applyFont="1" applyFill="1" applyBorder="1" applyAlignment="1">
      <alignment horizontal="right" vertical="center" wrapText="1"/>
    </xf>
    <xf numFmtId="2" fontId="3" fillId="0" borderId="60" xfId="0" applyNumberFormat="1" applyFont="1" applyFill="1" applyBorder="1" applyAlignment="1">
      <alignment horizontal="justify" vertical="center" wrapText="1"/>
    </xf>
    <xf numFmtId="2" fontId="3" fillId="0" borderId="61" xfId="0" applyNumberFormat="1" applyFont="1" applyFill="1" applyBorder="1" applyAlignment="1">
      <alignment horizontal="right" vertical="center" wrapText="1"/>
    </xf>
    <xf numFmtId="2" fontId="3" fillId="0" borderId="59" xfId="0" applyNumberFormat="1" applyFont="1" applyFill="1" applyBorder="1" applyAlignment="1">
      <alignment horizontal="right" vertical="center" wrapText="1"/>
    </xf>
    <xf numFmtId="180" fontId="3" fillId="0" borderId="59" xfId="0" applyNumberFormat="1" applyFont="1" applyFill="1" applyBorder="1" applyAlignment="1">
      <alignment horizontal="center" vertical="center" wrapText="1"/>
    </xf>
    <xf numFmtId="49" fontId="3" fillId="0" borderId="59"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3" fontId="3" fillId="0" borderId="6" xfId="0" applyNumberFormat="1"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center" vertical="center" wrapText="1"/>
    </xf>
    <xf numFmtId="4" fontId="3" fillId="0" borderId="5" xfId="0" applyNumberFormat="1" applyFont="1" applyFill="1" applyBorder="1" applyAlignment="1">
      <alignment horizontal="right" vertical="center" wrapText="1"/>
    </xf>
    <xf numFmtId="4" fontId="3" fillId="0" borderId="6" xfId="0" applyNumberFormat="1" applyFont="1" applyFill="1" applyBorder="1" applyAlignment="1">
      <alignment horizontal="right" vertical="center" wrapText="1"/>
    </xf>
    <xf numFmtId="4" fontId="3" fillId="0" borderId="7" xfId="0" applyNumberFormat="1" applyFont="1" applyFill="1" applyBorder="1" applyAlignment="1">
      <alignment horizontal="right" vertical="center" wrapText="1"/>
    </xf>
    <xf numFmtId="49" fontId="3" fillId="0" borderId="5" xfId="0" applyNumberFormat="1" applyFont="1" applyFill="1" applyBorder="1" applyAlignment="1">
      <alignment horizontal="right" vertical="center" wrapText="1"/>
    </xf>
    <xf numFmtId="2" fontId="3" fillId="0" borderId="6" xfId="0" applyNumberFormat="1" applyFont="1" applyFill="1" applyBorder="1" applyAlignment="1">
      <alignment horizontal="right" vertical="center" wrapText="1"/>
    </xf>
    <xf numFmtId="2" fontId="3" fillId="0" borderId="6" xfId="0" applyNumberFormat="1" applyFont="1" applyFill="1" applyBorder="1" applyAlignment="1">
      <alignment horizontal="justify" vertical="center" wrapText="1"/>
    </xf>
    <xf numFmtId="2" fontId="3" fillId="0" borderId="7" xfId="0" applyNumberFormat="1" applyFont="1" applyFill="1" applyBorder="1" applyAlignment="1">
      <alignment horizontal="right" vertical="center" wrapText="1"/>
    </xf>
    <xf numFmtId="2" fontId="3" fillId="0" borderId="5" xfId="0" applyNumberFormat="1" applyFont="1" applyFill="1" applyBorder="1" applyAlignment="1">
      <alignment horizontal="right" vertical="center" wrapText="1"/>
    </xf>
    <xf numFmtId="0" fontId="0" fillId="0" borderId="5" xfId="0" applyFill="1" applyBorder="1"/>
    <xf numFmtId="0" fontId="0" fillId="0" borderId="6" xfId="0" applyFill="1" applyBorder="1"/>
    <xf numFmtId="0" fontId="0" fillId="0" borderId="7" xfId="0" applyFill="1" applyBorder="1"/>
    <xf numFmtId="0" fontId="3" fillId="0" borderId="17" xfId="0" applyFont="1" applyFill="1" applyBorder="1" applyAlignment="1">
      <alignment horizontal="left" vertical="center" wrapText="1"/>
    </xf>
    <xf numFmtId="49" fontId="3" fillId="0" borderId="16" xfId="0" applyNumberFormat="1" applyFont="1" applyFill="1" applyBorder="1" applyAlignment="1">
      <alignment horizontal="right" vertical="center" wrapText="1"/>
    </xf>
    <xf numFmtId="10" fontId="3" fillId="0" borderId="22" xfId="0" applyNumberFormat="1" applyFont="1" applyFill="1" applyBorder="1" applyAlignment="1">
      <alignment horizontal="center" vertical="center" wrapText="1"/>
    </xf>
    <xf numFmtId="4" fontId="3" fillId="0" borderId="23" xfId="0" applyNumberFormat="1" applyFont="1" applyFill="1" applyBorder="1" applyAlignment="1">
      <alignment horizontal="center" vertical="center" wrapText="1"/>
    </xf>
    <xf numFmtId="4" fontId="3" fillId="0" borderId="21" xfId="0" applyNumberFormat="1" applyFont="1" applyFill="1" applyBorder="1" applyAlignment="1">
      <alignment horizontal="right" vertical="center" wrapText="1"/>
    </xf>
    <xf numFmtId="4" fontId="3" fillId="0" borderId="23" xfId="0" applyNumberFormat="1" applyFont="1" applyFill="1" applyBorder="1" applyAlignment="1">
      <alignment horizontal="right" vertical="center" wrapText="1"/>
    </xf>
    <xf numFmtId="49" fontId="3" fillId="0" borderId="21" xfId="0" applyNumberFormat="1" applyFont="1" applyFill="1" applyBorder="1" applyAlignment="1">
      <alignment horizontal="right" vertical="center" wrapText="1"/>
    </xf>
    <xf numFmtId="2" fontId="3" fillId="0" borderId="22" xfId="0" applyNumberFormat="1" applyFont="1" applyFill="1" applyBorder="1" applyAlignment="1">
      <alignment horizontal="right" vertical="center" wrapText="1"/>
    </xf>
    <xf numFmtId="2" fontId="3" fillId="0" borderId="22" xfId="0" applyNumberFormat="1" applyFont="1" applyFill="1" applyBorder="1" applyAlignment="1">
      <alignment horizontal="justify" vertical="center" wrapText="1"/>
    </xf>
    <xf numFmtId="2" fontId="3" fillId="0" borderId="23" xfId="0" applyNumberFormat="1" applyFont="1" applyFill="1" applyBorder="1" applyAlignment="1">
      <alignment horizontal="right" vertical="center" wrapText="1"/>
    </xf>
    <xf numFmtId="2" fontId="3" fillId="0" borderId="21" xfId="0" applyNumberFormat="1" applyFont="1" applyFill="1" applyBorder="1" applyAlignment="1">
      <alignment horizontal="right" vertical="center" wrapText="1"/>
    </xf>
    <xf numFmtId="2" fontId="3" fillId="0" borderId="11" xfId="0" applyNumberFormat="1" applyFont="1" applyFill="1" applyBorder="1" applyAlignment="1">
      <alignment horizontal="justify" vertical="center" wrapText="1"/>
    </xf>
    <xf numFmtId="0" fontId="0" fillId="0" borderId="10" xfId="0" applyFill="1" applyBorder="1"/>
    <xf numFmtId="0" fontId="0" fillId="0" borderId="12" xfId="0" applyFill="1" applyBorder="1"/>
    <xf numFmtId="14" fontId="3" fillId="0" borderId="39" xfId="0" applyNumberFormat="1" applyFont="1" applyFill="1" applyBorder="1" applyAlignment="1">
      <alignment horizontal="center" vertical="center" wrapText="1"/>
    </xf>
    <xf numFmtId="3" fontId="3" fillId="0" borderId="39" xfId="0" applyNumberFormat="1" applyFont="1" applyFill="1" applyBorder="1" applyAlignment="1">
      <alignment horizontal="center" vertical="center" wrapText="1"/>
    </xf>
    <xf numFmtId="0" fontId="3" fillId="0" borderId="39" xfId="0" applyFont="1" applyFill="1" applyBorder="1" applyAlignment="1">
      <alignment horizontal="center" vertical="center" wrapText="1"/>
    </xf>
    <xf numFmtId="4" fontId="3" fillId="0" borderId="39" xfId="0" applyNumberFormat="1" applyFont="1" applyFill="1" applyBorder="1" applyAlignment="1">
      <alignment horizontal="center" vertical="center" wrapText="1"/>
    </xf>
    <xf numFmtId="0" fontId="3" fillId="0" borderId="72" xfId="0" applyFont="1" applyFill="1" applyBorder="1" applyAlignment="1">
      <alignment horizontal="center" vertical="center" wrapText="1"/>
    </xf>
    <xf numFmtId="4" fontId="3" fillId="0" borderId="38" xfId="0" applyNumberFormat="1" applyFont="1" applyFill="1" applyBorder="1" applyAlignment="1">
      <alignment horizontal="right" vertical="center" wrapText="1"/>
    </xf>
    <xf numFmtId="4" fontId="3" fillId="0" borderId="39" xfId="0" applyNumberFormat="1" applyFont="1" applyFill="1" applyBorder="1" applyAlignment="1">
      <alignment horizontal="right" vertical="center" wrapText="1"/>
    </xf>
    <xf numFmtId="4" fontId="3" fillId="0" borderId="72" xfId="0" applyNumberFormat="1" applyFont="1" applyFill="1" applyBorder="1" applyAlignment="1">
      <alignment horizontal="right" vertical="center" wrapText="1"/>
    </xf>
    <xf numFmtId="49" fontId="3" fillId="0" borderId="38" xfId="0" applyNumberFormat="1" applyFont="1" applyFill="1" applyBorder="1" applyAlignment="1">
      <alignment horizontal="right" vertical="center" wrapText="1"/>
    </xf>
    <xf numFmtId="2" fontId="3" fillId="0" borderId="39" xfId="0" applyNumberFormat="1" applyFont="1" applyFill="1" applyBorder="1" applyAlignment="1">
      <alignment horizontal="right" vertical="center" wrapText="1"/>
    </xf>
    <xf numFmtId="2" fontId="3" fillId="0" borderId="39" xfId="0" applyNumberFormat="1" applyFont="1" applyFill="1" applyBorder="1" applyAlignment="1">
      <alignment horizontal="justify" vertical="center" wrapText="1"/>
    </xf>
    <xf numFmtId="2" fontId="3" fillId="0" borderId="72" xfId="0" applyNumberFormat="1" applyFont="1" applyFill="1" applyBorder="1" applyAlignment="1">
      <alignment horizontal="right" vertical="center" wrapText="1"/>
    </xf>
    <xf numFmtId="2" fontId="3" fillId="0" borderId="38" xfId="0" applyNumberFormat="1" applyFont="1" applyFill="1" applyBorder="1" applyAlignment="1">
      <alignment horizontal="right" vertical="center" wrapText="1"/>
    </xf>
    <xf numFmtId="0" fontId="3" fillId="0" borderId="3" xfId="0" applyFont="1" applyFill="1" applyBorder="1" applyAlignment="1">
      <alignment horizontal="left" vertical="center" wrapText="1"/>
    </xf>
    <xf numFmtId="4" fontId="3" fillId="0" borderId="2" xfId="0" applyNumberFormat="1" applyFont="1" applyFill="1" applyBorder="1" applyAlignment="1">
      <alignment horizontal="right" vertical="center" wrapText="1"/>
    </xf>
    <xf numFmtId="4" fontId="3" fillId="0" borderId="3" xfId="0" applyNumberFormat="1" applyFont="1" applyFill="1" applyBorder="1" applyAlignment="1">
      <alignment horizontal="right" vertical="center" wrapText="1"/>
    </xf>
    <xf numFmtId="4" fontId="3" fillId="0" borderId="4" xfId="0" applyNumberFormat="1" applyFont="1" applyFill="1" applyBorder="1" applyAlignment="1">
      <alignment horizontal="right" vertical="center" wrapText="1"/>
    </xf>
    <xf numFmtId="2" fontId="3" fillId="0" borderId="2" xfId="0" applyNumberFormat="1" applyFont="1" applyFill="1" applyBorder="1" applyAlignment="1">
      <alignment horizontal="right" vertical="center" wrapText="1"/>
    </xf>
    <xf numFmtId="2" fontId="3" fillId="0" borderId="3" xfId="0" applyNumberFormat="1" applyFont="1" applyFill="1" applyBorder="1" applyAlignment="1">
      <alignment horizontal="right" vertical="center" wrapText="1"/>
    </xf>
    <xf numFmtId="2" fontId="3" fillId="0" borderId="4" xfId="0" applyNumberFormat="1" applyFont="1" applyFill="1" applyBorder="1" applyAlignment="1">
      <alignment horizontal="right" vertical="center" wrapText="1"/>
    </xf>
    <xf numFmtId="0" fontId="3" fillId="0" borderId="7" xfId="0" applyFont="1" applyFill="1" applyBorder="1" applyAlignment="1">
      <alignment vertical="center" wrapText="1"/>
    </xf>
    <xf numFmtId="49" fontId="3" fillId="0" borderId="2" xfId="0" applyNumberFormat="1" applyFont="1" applyFill="1" applyBorder="1" applyAlignment="1">
      <alignment horizontal="right" vertical="center" wrapText="1"/>
    </xf>
    <xf numFmtId="0" fontId="3" fillId="0" borderId="23" xfId="0" applyFont="1" applyFill="1" applyBorder="1" applyAlignment="1">
      <alignment vertical="center" wrapText="1"/>
    </xf>
    <xf numFmtId="4" fontId="3" fillId="0" borderId="27" xfId="0" applyNumberFormat="1" applyFont="1" applyFill="1" applyBorder="1" applyAlignment="1">
      <alignment horizontal="right" vertical="center" wrapText="1"/>
    </xf>
    <xf numFmtId="4" fontId="3" fillId="0" borderId="31" xfId="0" applyNumberFormat="1" applyFont="1" applyFill="1" applyBorder="1" applyAlignment="1">
      <alignment horizontal="right" vertical="center" wrapText="1"/>
    </xf>
    <xf numFmtId="4" fontId="3" fillId="0" borderId="30" xfId="0" applyNumberFormat="1" applyFont="1" applyFill="1" applyBorder="1" applyAlignment="1">
      <alignment horizontal="right" vertical="center" wrapText="1"/>
    </xf>
    <xf numFmtId="49" fontId="3" fillId="0" borderId="31" xfId="0" applyNumberFormat="1" applyFont="1" applyFill="1" applyBorder="1" applyAlignment="1">
      <alignment horizontal="right" vertical="center" wrapText="1"/>
    </xf>
    <xf numFmtId="2" fontId="3" fillId="0" borderId="32" xfId="0" applyNumberFormat="1" applyFont="1" applyFill="1" applyBorder="1" applyAlignment="1">
      <alignment horizontal="justify" vertical="center" wrapText="1"/>
    </xf>
    <xf numFmtId="0" fontId="3" fillId="0" borderId="72" xfId="0" applyFont="1" applyFill="1" applyBorder="1" applyAlignment="1">
      <alignment vertical="center" wrapText="1"/>
    </xf>
    <xf numFmtId="49" fontId="3" fillId="0" borderId="21" xfId="0" applyNumberFormat="1" applyFont="1" applyFill="1" applyBorder="1" applyAlignment="1">
      <alignment horizontal="center" vertical="center" wrapText="1"/>
    </xf>
    <xf numFmtId="14" fontId="3" fillId="0" borderId="58" xfId="0" applyNumberFormat="1" applyFont="1" applyFill="1" applyBorder="1" applyAlignment="1">
      <alignment horizontal="center" vertical="center" wrapText="1"/>
    </xf>
    <xf numFmtId="0" fontId="3" fillId="0" borderId="65" xfId="0" applyFont="1" applyFill="1" applyBorder="1" applyAlignment="1">
      <alignment horizontal="left" vertical="center" wrapText="1"/>
    </xf>
    <xf numFmtId="4" fontId="3" fillId="0" borderId="69" xfId="0" applyNumberFormat="1" applyFont="1" applyFill="1" applyBorder="1" applyAlignment="1">
      <alignment horizontal="right" vertical="center" wrapText="1"/>
    </xf>
    <xf numFmtId="0" fontId="3" fillId="0" borderId="39" xfId="0" applyFont="1" applyFill="1" applyBorder="1" applyAlignment="1">
      <alignment horizontal="left" vertical="center" wrapText="1"/>
    </xf>
    <xf numFmtId="2" fontId="3" fillId="0" borderId="74" xfId="0" applyNumberFormat="1" applyFont="1" applyFill="1" applyBorder="1" applyAlignment="1">
      <alignment horizontal="right" vertical="center" wrapText="1"/>
    </xf>
    <xf numFmtId="2" fontId="3" fillId="0" borderId="74" xfId="0" applyNumberFormat="1" applyFont="1" applyFill="1" applyBorder="1" applyAlignment="1">
      <alignment horizontal="justify" vertical="center" wrapText="1"/>
    </xf>
    <xf numFmtId="2" fontId="3" fillId="0" borderId="75" xfId="0" applyNumberFormat="1" applyFont="1" applyFill="1" applyBorder="1" applyAlignment="1">
      <alignment horizontal="right" vertical="center" wrapText="1"/>
    </xf>
    <xf numFmtId="0" fontId="0" fillId="0" borderId="39" xfId="0" applyFill="1" applyBorder="1"/>
    <xf numFmtId="0" fontId="0" fillId="0" borderId="72" xfId="0" applyFill="1" applyBorder="1"/>
    <xf numFmtId="3" fontId="3" fillId="0" borderId="61" xfId="0" applyNumberFormat="1" applyFont="1" applyFill="1" applyBorder="1" applyAlignment="1">
      <alignment horizontal="center" vertical="center" wrapText="1"/>
    </xf>
    <xf numFmtId="49" fontId="3" fillId="0" borderId="63" xfId="0" applyNumberFormat="1" applyFont="1" applyFill="1" applyBorder="1" applyAlignment="1">
      <alignment horizontal="center" vertical="center" wrapText="1"/>
    </xf>
    <xf numFmtId="49" fontId="3" fillId="0" borderId="60" xfId="0" applyNumberFormat="1" applyFont="1" applyFill="1" applyBorder="1" applyAlignment="1">
      <alignment horizontal="center" vertical="center" wrapText="1"/>
    </xf>
    <xf numFmtId="49" fontId="3" fillId="0" borderId="65" xfId="0" applyNumberFormat="1" applyFont="1" applyFill="1" applyBorder="1" applyAlignment="1">
      <alignment horizontal="justify" vertical="center" wrapText="1"/>
    </xf>
    <xf numFmtId="49" fontId="3" fillId="0" borderId="65" xfId="0" applyNumberFormat="1" applyFont="1" applyFill="1" applyBorder="1" applyAlignment="1">
      <alignment horizontal="center" vertical="center" wrapText="1"/>
    </xf>
    <xf numFmtId="180" fontId="10" fillId="0" borderId="59" xfId="0" applyNumberFormat="1" applyFont="1" applyFill="1" applyBorder="1" applyAlignment="1">
      <alignment horizontal="center" vertical="center" wrapText="1"/>
    </xf>
    <xf numFmtId="43" fontId="0" fillId="0" borderId="60" xfId="0" applyNumberFormat="1" applyFill="1" applyBorder="1" applyAlignment="1">
      <alignment vertical="center"/>
    </xf>
    <xf numFmtId="9" fontId="3" fillId="0" borderId="60" xfId="0" applyNumberFormat="1" applyFont="1" applyFill="1" applyBorder="1" applyAlignment="1">
      <alignment horizontal="center" vertical="center" wrapText="1"/>
    </xf>
    <xf numFmtId="43" fontId="3" fillId="0" borderId="60" xfId="0" applyNumberFormat="1" applyFont="1" applyFill="1" applyBorder="1" applyAlignment="1">
      <alignment horizontal="right" vertical="center" wrapText="1"/>
    </xf>
    <xf numFmtId="2" fontId="3" fillId="0" borderId="59" xfId="0" applyNumberFormat="1" applyFont="1" applyFill="1" applyBorder="1" applyAlignment="1">
      <alignment horizontal="center" vertical="center" wrapText="1"/>
    </xf>
    <xf numFmtId="14" fontId="3" fillId="0" borderId="61" xfId="0" applyNumberFormat="1" applyFont="1" applyFill="1" applyBorder="1" applyAlignment="1">
      <alignment horizontal="center" vertical="center" wrapText="1"/>
    </xf>
    <xf numFmtId="14" fontId="3" fillId="0" borderId="60" xfId="0" applyNumberFormat="1" applyFont="1" applyFill="1" applyBorder="1" applyAlignment="1">
      <alignment horizontal="right" vertical="center" wrapText="1"/>
    </xf>
    <xf numFmtId="14" fontId="3" fillId="0" borderId="61" xfId="0" applyNumberFormat="1" applyFont="1" applyFill="1" applyBorder="1" applyAlignment="1">
      <alignment horizontal="right" vertical="center" wrapText="1"/>
    </xf>
    <xf numFmtId="4" fontId="3" fillId="0" borderId="61" xfId="0" applyNumberFormat="1" applyFont="1" applyFill="1" applyBorder="1" applyAlignment="1">
      <alignment horizontal="center" vertical="center" wrapText="1"/>
    </xf>
    <xf numFmtId="2" fontId="3" fillId="0" borderId="60" xfId="0" applyNumberFormat="1" applyFont="1" applyFill="1" applyBorder="1" applyAlignment="1">
      <alignment horizontal="center" vertical="center" wrapText="1"/>
    </xf>
    <xf numFmtId="2" fontId="3" fillId="0" borderId="61"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4" fontId="3" fillId="0" borderId="6" xfId="0" applyNumberFormat="1" applyFont="1" applyFill="1" applyBorder="1" applyAlignment="1">
      <alignment vertical="center" wrapText="1"/>
    </xf>
    <xf numFmtId="2" fontId="3" fillId="0" borderId="7" xfId="0" applyNumberFormat="1" applyFont="1" applyFill="1" applyBorder="1" applyAlignment="1">
      <alignment horizontal="center" vertical="center" wrapText="1"/>
    </xf>
    <xf numFmtId="2" fontId="3" fillId="0" borderId="6"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14" fontId="3" fillId="0" borderId="6" xfId="0" applyNumberFormat="1" applyFont="1" applyFill="1" applyBorder="1" applyAlignment="1">
      <alignment horizontal="right" vertical="center" wrapText="1"/>
    </xf>
    <xf numFmtId="14" fontId="3" fillId="0" borderId="7" xfId="0" applyNumberFormat="1" applyFont="1" applyFill="1" applyBorder="1" applyAlignment="1">
      <alignment horizontal="right" vertical="center" wrapText="1"/>
    </xf>
    <xf numFmtId="0" fontId="3" fillId="0" borderId="5" xfId="0" applyFont="1" applyFill="1" applyBorder="1" applyAlignment="1">
      <alignment vertical="center" wrapText="1"/>
    </xf>
    <xf numFmtId="0" fontId="3" fillId="0" borderId="6" xfId="0" applyFont="1" applyFill="1" applyBorder="1" applyAlignment="1">
      <alignment vertical="center" wrapText="1"/>
    </xf>
    <xf numFmtId="3" fontId="3" fillId="0" borderId="7" xfId="0" applyNumberFormat="1" applyFont="1" applyFill="1" applyBorder="1" applyAlignment="1">
      <alignment horizontal="center" vertical="center" wrapText="1"/>
    </xf>
    <xf numFmtId="49" fontId="3" fillId="0" borderId="5" xfId="0" applyNumberFormat="1" applyFont="1" applyFill="1" applyBorder="1" applyAlignment="1">
      <alignment vertical="center" wrapText="1"/>
    </xf>
    <xf numFmtId="14" fontId="3" fillId="0" borderId="6" xfId="0" applyNumberFormat="1" applyFont="1" applyFill="1" applyBorder="1" applyAlignment="1">
      <alignment vertical="center" wrapText="1"/>
    </xf>
    <xf numFmtId="3" fontId="3" fillId="0" borderId="6" xfId="0" applyNumberFormat="1" applyFont="1" applyFill="1" applyBorder="1" applyAlignment="1">
      <alignment vertical="center" wrapText="1"/>
    </xf>
    <xf numFmtId="0" fontId="10" fillId="0" borderId="60" xfId="0" applyFont="1" applyFill="1" applyBorder="1" applyAlignment="1">
      <alignment horizontal="justify" vertical="center" wrapText="1"/>
    </xf>
    <xf numFmtId="4" fontId="5" fillId="0" borderId="60" xfId="0" applyNumberFormat="1" applyFont="1" applyFill="1" applyBorder="1" applyAlignment="1">
      <alignment wrapText="1"/>
    </xf>
    <xf numFmtId="43" fontId="5" fillId="0" borderId="60" xfId="0" applyNumberFormat="1" applyFont="1" applyFill="1" applyBorder="1" applyAlignment="1">
      <alignment wrapText="1"/>
    </xf>
    <xf numFmtId="0" fontId="3" fillId="0" borderId="60" xfId="0" applyFont="1" applyFill="1" applyBorder="1" applyAlignment="1">
      <alignment horizontal="center"/>
    </xf>
    <xf numFmtId="0" fontId="3" fillId="0" borderId="61" xfId="0" applyFont="1" applyFill="1" applyBorder="1" applyAlignment="1">
      <alignment horizontal="center"/>
    </xf>
    <xf numFmtId="0" fontId="3" fillId="0" borderId="21" xfId="0" applyFont="1" applyFill="1" applyBorder="1" applyAlignment="1">
      <alignment horizontal="center"/>
    </xf>
    <xf numFmtId="0" fontId="3" fillId="0" borderId="22" xfId="0" applyFont="1" applyFill="1" applyBorder="1" applyAlignment="1">
      <alignment horizontal="center"/>
    </xf>
    <xf numFmtId="0" fontId="3" fillId="0" borderId="23" xfId="0" applyFont="1" applyFill="1" applyBorder="1" applyAlignment="1">
      <alignment horizontal="center"/>
    </xf>
    <xf numFmtId="0" fontId="3" fillId="0" borderId="54" xfId="0" applyFont="1" applyFill="1" applyBorder="1" applyAlignment="1">
      <alignment horizontal="center" vertical="center" wrapText="1"/>
    </xf>
    <xf numFmtId="0" fontId="3" fillId="0" borderId="27" xfId="0" applyFont="1" applyFill="1" applyBorder="1" applyAlignment="1">
      <alignment horizontal="center"/>
    </xf>
    <xf numFmtId="0" fontId="3" fillId="0" borderId="25" xfId="0" applyFont="1" applyFill="1" applyBorder="1" applyAlignment="1">
      <alignment horizontal="center"/>
    </xf>
    <xf numFmtId="0" fontId="3" fillId="0" borderId="26" xfId="0" applyFont="1" applyFill="1" applyBorder="1" applyAlignment="1">
      <alignment horizontal="center"/>
    </xf>
    <xf numFmtId="14" fontId="3" fillId="0" borderId="10" xfId="0" applyNumberFormat="1" applyFont="1" applyFill="1" applyBorder="1" applyAlignment="1">
      <alignment horizontal="center" vertical="center" wrapText="1"/>
    </xf>
    <xf numFmtId="14" fontId="3" fillId="0" borderId="37" xfId="0" applyNumberFormat="1" applyFont="1" applyFill="1" applyBorder="1" applyAlignment="1">
      <alignment horizontal="center" vertical="center" wrapText="1"/>
    </xf>
    <xf numFmtId="3" fontId="3" fillId="0" borderId="19" xfId="0" applyNumberFormat="1" applyFont="1" applyFill="1" applyBorder="1" applyAlignment="1">
      <alignment horizontal="center" vertical="center" wrapText="1"/>
    </xf>
    <xf numFmtId="14" fontId="3" fillId="0" borderId="19" xfId="0" applyNumberFormat="1" applyFont="1" applyFill="1" applyBorder="1" applyAlignment="1">
      <alignment horizontal="center" vertical="center" wrapText="1"/>
    </xf>
    <xf numFmtId="9" fontId="3" fillId="0" borderId="6" xfId="0" applyNumberFormat="1" applyFont="1" applyFill="1" applyBorder="1" applyAlignment="1">
      <alignment horizontal="center" vertical="center" wrapText="1"/>
    </xf>
    <xf numFmtId="4" fontId="3" fillId="0" borderId="19" xfId="0" applyNumberFormat="1" applyFont="1" applyFill="1" applyBorder="1" applyAlignment="1">
      <alignment horizontal="right" vertical="center" wrapText="1"/>
    </xf>
    <xf numFmtId="49" fontId="3" fillId="0" borderId="19" xfId="0" applyNumberFormat="1" applyFont="1" applyFill="1" applyBorder="1" applyAlignment="1">
      <alignment horizontal="right" vertical="center" wrapText="1"/>
    </xf>
    <xf numFmtId="2" fontId="3" fillId="0" borderId="19" xfId="0" applyNumberFormat="1" applyFont="1" applyFill="1" applyBorder="1" applyAlignment="1">
      <alignment horizontal="right" vertical="center" wrapText="1"/>
    </xf>
    <xf numFmtId="0" fontId="0" fillId="0" borderId="19" xfId="0" applyFill="1" applyBorder="1"/>
    <xf numFmtId="0" fontId="0" fillId="0" borderId="73" xfId="0" applyBorder="1" applyAlignment="1">
      <alignment horizontal="center" vertical="center" wrapText="1"/>
    </xf>
    <xf numFmtId="0" fontId="0" fillId="0" borderId="74" xfId="0" applyBorder="1" applyAlignment="1">
      <alignment horizontal="center" vertical="center" wrapText="1"/>
    </xf>
    <xf numFmtId="49" fontId="0" fillId="0" borderId="39" xfId="0" applyNumberFormat="1" applyBorder="1" applyAlignment="1">
      <alignment horizontal="justify" vertical="center" wrapText="1"/>
    </xf>
    <xf numFmtId="0" fontId="0" fillId="0" borderId="39" xfId="0" applyBorder="1" applyAlignment="1">
      <alignment horizontal="justify" vertical="center" wrapText="1"/>
    </xf>
    <xf numFmtId="0" fontId="0" fillId="0" borderId="40" xfId="0" applyBorder="1" applyAlignment="1">
      <alignment horizontal="justify" vertical="center" wrapText="1"/>
    </xf>
    <xf numFmtId="3" fontId="0" fillId="0" borderId="61" xfId="0" applyNumberFormat="1" applyBorder="1" applyAlignment="1">
      <alignment horizontal="center" vertical="center" wrapText="1"/>
    </xf>
    <xf numFmtId="49" fontId="3" fillId="0" borderId="74" xfId="0" applyNumberFormat="1"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74" xfId="0" applyFont="1" applyFill="1" applyBorder="1" applyAlignment="1">
      <alignment horizontal="center" vertical="center" wrapText="1"/>
    </xf>
    <xf numFmtId="4" fontId="3" fillId="0" borderId="74" xfId="0" applyNumberFormat="1" applyFont="1" applyFill="1" applyBorder="1" applyAlignment="1">
      <alignment horizontal="right" vertical="center" wrapText="1"/>
    </xf>
    <xf numFmtId="3" fontId="3" fillId="0" borderId="72" xfId="0" applyNumberFormat="1" applyFont="1" applyFill="1" applyBorder="1" applyAlignment="1">
      <alignment horizontal="center" vertical="center" wrapText="1"/>
    </xf>
    <xf numFmtId="0" fontId="0" fillId="0" borderId="74" xfId="0" applyFill="1" applyBorder="1"/>
    <xf numFmtId="0" fontId="5" fillId="0" borderId="61" xfId="0" applyFont="1" applyFill="1" applyBorder="1" applyAlignment="1">
      <alignment wrapText="1"/>
    </xf>
    <xf numFmtId="0" fontId="5" fillId="0" borderId="65" xfId="0" applyFont="1" applyFill="1" applyBorder="1" applyAlignment="1">
      <alignment wrapText="1"/>
    </xf>
    <xf numFmtId="4" fontId="5" fillId="0" borderId="65" xfId="0" applyNumberFormat="1" applyFont="1" applyFill="1" applyBorder="1" applyAlignment="1">
      <alignment wrapText="1"/>
    </xf>
    <xf numFmtId="4" fontId="5" fillId="0" borderId="61" xfId="0" applyNumberFormat="1" applyFont="1" applyFill="1" applyBorder="1" applyAlignment="1">
      <alignment wrapText="1"/>
    </xf>
    <xf numFmtId="49" fontId="5" fillId="0" borderId="65" xfId="0" applyNumberFormat="1" applyFont="1" applyFill="1" applyBorder="1" applyAlignment="1">
      <alignment wrapText="1"/>
    </xf>
    <xf numFmtId="0" fontId="3" fillId="0" borderId="65" xfId="0" applyFont="1" applyFill="1" applyBorder="1" applyAlignment="1">
      <alignment horizontal="center" wrapText="1"/>
    </xf>
    <xf numFmtId="49" fontId="3" fillId="0" borderId="27" xfId="0" applyNumberFormat="1" applyFont="1" applyFill="1" applyBorder="1" applyAlignment="1">
      <alignment horizontal="right" vertical="center" wrapText="1"/>
    </xf>
    <xf numFmtId="0" fontId="3" fillId="0" borderId="26" xfId="0" applyFont="1" applyBorder="1" applyAlignment="1">
      <alignment horizontal="center"/>
    </xf>
    <xf numFmtId="2" fontId="3" fillId="0" borderId="51" xfId="0" applyNumberFormat="1" applyFont="1" applyFill="1" applyBorder="1" applyAlignment="1">
      <alignment horizontal="right" vertical="center" wrapText="1"/>
    </xf>
    <xf numFmtId="49" fontId="3" fillId="0" borderId="51" xfId="0" applyNumberFormat="1" applyFont="1" applyFill="1" applyBorder="1" applyAlignment="1">
      <alignment horizontal="right" vertical="center" wrapText="1"/>
    </xf>
    <xf numFmtId="0" fontId="0" fillId="0" borderId="34" xfId="0" quotePrefix="1" applyBorder="1" applyAlignment="1">
      <alignment horizontal="center" vertical="center"/>
    </xf>
    <xf numFmtId="49" fontId="3" fillId="0" borderId="32" xfId="0" applyNumberFormat="1" applyFont="1" applyFill="1" applyBorder="1" applyAlignment="1">
      <alignment horizontal="right" vertical="center" wrapText="1"/>
    </xf>
    <xf numFmtId="2" fontId="3" fillId="0" borderId="32" xfId="0" applyNumberFormat="1" applyFont="1" applyFill="1" applyBorder="1" applyAlignment="1">
      <alignment horizontal="center" vertical="center" wrapText="1"/>
    </xf>
    <xf numFmtId="0" fontId="3" fillId="0" borderId="32" xfId="0" applyFont="1" applyBorder="1" applyAlignment="1">
      <alignment horizontal="center"/>
    </xf>
    <xf numFmtId="0" fontId="3" fillId="0" borderId="30" xfId="0" applyFont="1" applyBorder="1" applyAlignment="1">
      <alignment horizontal="center"/>
    </xf>
    <xf numFmtId="44" fontId="3" fillId="2" borderId="11" xfId="2" applyFont="1" applyFill="1" applyBorder="1" applyAlignment="1">
      <alignment horizontal="right" vertical="center" wrapText="1"/>
    </xf>
    <xf numFmtId="0" fontId="3" fillId="2" borderId="12" xfId="0" applyFont="1" applyFill="1" applyBorder="1" applyAlignment="1">
      <alignment horizontal="center" vertical="center"/>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14" fontId="3" fillId="2" borderId="25" xfId="0" applyNumberFormat="1" applyFont="1" applyFill="1" applyBorder="1" applyAlignment="1">
      <alignment horizontal="center" vertical="center" wrapText="1"/>
    </xf>
    <xf numFmtId="44" fontId="3" fillId="2" borderId="25" xfId="2" applyFont="1" applyFill="1" applyBorder="1" applyAlignment="1">
      <alignment horizontal="right" vertical="center" wrapText="1"/>
    </xf>
    <xf numFmtId="17" fontId="3" fillId="2" borderId="25" xfId="0" applyNumberFormat="1" applyFont="1" applyFill="1" applyBorder="1" applyAlignment="1">
      <alignment horizontal="center" vertical="center" wrapText="1"/>
    </xf>
    <xf numFmtId="4" fontId="3" fillId="2" borderId="25" xfId="0" applyNumberFormat="1" applyFont="1" applyFill="1" applyBorder="1" applyAlignment="1">
      <alignment horizontal="right" vertical="center" wrapText="1"/>
    </xf>
    <xf numFmtId="44" fontId="3" fillId="2" borderId="25" xfId="2" applyFont="1" applyFill="1" applyBorder="1" applyAlignment="1">
      <alignment horizontal="center" vertical="center" wrapText="1"/>
    </xf>
    <xf numFmtId="44" fontId="3" fillId="2" borderId="54" xfId="2" applyFont="1" applyFill="1" applyBorder="1" applyAlignment="1">
      <alignment horizontal="right" vertical="center" wrapText="1"/>
    </xf>
    <xf numFmtId="2" fontId="3" fillId="2" borderId="10" xfId="1" applyNumberFormat="1" applyFont="1" applyFill="1" applyBorder="1" applyAlignment="1">
      <alignment horizontal="right" vertical="center" wrapText="1"/>
    </xf>
    <xf numFmtId="0" fontId="3" fillId="2" borderId="11" xfId="0" applyNumberFormat="1" applyFont="1" applyFill="1" applyBorder="1" applyAlignment="1">
      <alignment horizontal="right" vertical="center" wrapText="1"/>
    </xf>
    <xf numFmtId="14" fontId="3" fillId="2" borderId="12" xfId="0" applyNumberFormat="1" applyFont="1" applyFill="1" applyBorder="1" applyAlignment="1">
      <alignment horizontal="right" vertical="center" wrapText="1"/>
    </xf>
    <xf numFmtId="2" fontId="3" fillId="2" borderId="10" xfId="0" applyNumberFormat="1" applyFont="1" applyFill="1" applyBorder="1" applyAlignment="1">
      <alignment horizontal="center" vertical="center" wrapText="1"/>
    </xf>
    <xf numFmtId="2" fontId="3" fillId="2" borderId="14" xfId="0" applyNumberFormat="1" applyFont="1" applyFill="1" applyBorder="1" applyAlignment="1">
      <alignment horizontal="right" vertical="center" wrapText="1"/>
    </xf>
    <xf numFmtId="2" fontId="3" fillId="2" borderId="53" xfId="0" applyNumberFormat="1" applyFont="1" applyFill="1" applyBorder="1" applyAlignment="1">
      <alignment horizontal="right" vertical="center" wrapText="1"/>
    </xf>
    <xf numFmtId="2" fontId="3" fillId="2" borderId="10" xfId="0" applyNumberFormat="1" applyFont="1" applyFill="1" applyBorder="1" applyAlignment="1">
      <alignment horizontal="right" vertical="center" wrapText="1"/>
    </xf>
    <xf numFmtId="3" fontId="3" fillId="2" borderId="11" xfId="0" applyNumberFormat="1" applyFont="1" applyFill="1" applyBorder="1" applyAlignment="1">
      <alignment horizontal="left" vertical="center" wrapText="1"/>
    </xf>
    <xf numFmtId="44" fontId="3" fillId="0" borderId="11" xfId="2" applyFont="1" applyFill="1" applyBorder="1" applyAlignment="1">
      <alignment horizontal="right" vertical="center" wrapText="1"/>
    </xf>
    <xf numFmtId="44" fontId="3" fillId="0" borderId="54" xfId="2" applyFont="1" applyFill="1" applyBorder="1" applyAlignment="1">
      <alignment horizontal="right" vertical="center" wrapText="1"/>
    </xf>
    <xf numFmtId="14" fontId="3" fillId="0" borderId="10" xfId="1" applyNumberFormat="1" applyFont="1" applyFill="1" applyBorder="1" applyAlignment="1">
      <alignment horizontal="center" vertical="center" wrapText="1"/>
    </xf>
    <xf numFmtId="14" fontId="3" fillId="2" borderId="10" xfId="1" applyNumberFormat="1" applyFont="1" applyFill="1" applyBorder="1" applyAlignment="1">
      <alignment horizontal="center" vertical="center" wrapText="1"/>
    </xf>
    <xf numFmtId="44" fontId="6" fillId="2" borderId="11" xfId="2" applyFont="1" applyFill="1" applyBorder="1" applyAlignment="1">
      <alignment horizontal="right" vertical="center" wrapText="1"/>
    </xf>
    <xf numFmtId="49" fontId="3" fillId="2" borderId="35" xfId="0" applyNumberFormat="1" applyFont="1" applyFill="1" applyBorder="1" applyAlignment="1">
      <alignment horizontal="center" vertical="center" wrapText="1"/>
    </xf>
    <xf numFmtId="0" fontId="27" fillId="2" borderId="11" xfId="0" applyFont="1" applyFill="1" applyBorder="1" applyAlignment="1">
      <alignment vertical="center" wrapText="1"/>
    </xf>
    <xf numFmtId="0" fontId="3" fillId="2" borderId="14" xfId="0" applyFont="1" applyFill="1" applyBorder="1" applyAlignment="1">
      <alignment horizontal="left" vertical="center" wrapText="1"/>
    </xf>
    <xf numFmtId="0" fontId="6" fillId="2" borderId="32" xfId="0" applyFont="1" applyFill="1" applyBorder="1" applyAlignment="1">
      <alignment horizontal="left" vertical="center" wrapText="1"/>
    </xf>
    <xf numFmtId="49" fontId="6" fillId="2" borderId="62" xfId="0" applyNumberFormat="1" applyFont="1" applyFill="1" applyBorder="1" applyAlignment="1">
      <alignment horizontal="center" vertical="center" wrapText="1"/>
    </xf>
    <xf numFmtId="49" fontId="6" fillId="2" borderId="35" xfId="0" applyNumberFormat="1" applyFont="1" applyFill="1" applyBorder="1" applyAlignment="1">
      <alignment horizontal="center" vertical="center" wrapText="1"/>
    </xf>
    <xf numFmtId="3" fontId="40" fillId="2" borderId="11" xfId="0" applyNumberFormat="1" applyFont="1" applyFill="1" applyBorder="1" applyAlignment="1">
      <alignment horizontal="center" vertical="center"/>
    </xf>
    <xf numFmtId="2" fontId="3" fillId="2" borderId="54" xfId="0" applyNumberFormat="1" applyFont="1" applyFill="1" applyBorder="1" applyAlignment="1">
      <alignment horizontal="right" vertical="center" wrapText="1"/>
    </xf>
    <xf numFmtId="0" fontId="9" fillId="2" borderId="14" xfId="0" applyFont="1" applyFill="1" applyBorder="1" applyAlignment="1">
      <alignment horizontal="center" vertical="center"/>
    </xf>
    <xf numFmtId="49" fontId="6" fillId="2" borderId="11" xfId="0" applyNumberFormat="1" applyFont="1" applyFill="1" applyBorder="1" applyAlignment="1">
      <alignment horizontal="left" vertical="center" wrapText="1"/>
    </xf>
    <xf numFmtId="49" fontId="6" fillId="0" borderId="35" xfId="0" applyNumberFormat="1" applyFont="1" applyFill="1" applyBorder="1" applyAlignment="1">
      <alignment horizontal="center" vertical="center" wrapText="1"/>
    </xf>
    <xf numFmtId="0" fontId="3" fillId="0" borderId="14" xfId="0" applyFont="1" applyFill="1" applyBorder="1" applyAlignment="1">
      <alignment horizontal="left" vertical="center" wrapText="1"/>
    </xf>
    <xf numFmtId="44" fontId="3" fillId="2" borderId="0" xfId="2" applyFont="1" applyFill="1" applyAlignment="1">
      <alignment horizontal="right" vertical="center"/>
    </xf>
    <xf numFmtId="14" fontId="3" fillId="2" borderId="11" xfId="1" applyNumberFormat="1" applyFont="1" applyFill="1" applyBorder="1" applyAlignment="1">
      <alignment horizontal="center" vertical="center" wrapText="1"/>
    </xf>
    <xf numFmtId="3" fontId="6" fillId="0" borderId="11" xfId="0" applyNumberFormat="1" applyFont="1" applyBorder="1" applyAlignment="1">
      <alignment horizontal="center" vertical="center"/>
    </xf>
    <xf numFmtId="2" fontId="3" fillId="2" borderId="14" xfId="1" applyNumberFormat="1" applyFont="1" applyFill="1" applyBorder="1" applyAlignment="1">
      <alignment horizontal="right" vertical="center" wrapText="1"/>
    </xf>
    <xf numFmtId="14" fontId="40" fillId="0" borderId="0" xfId="0" applyNumberFormat="1" applyFont="1" applyFill="1" applyBorder="1" applyAlignment="1">
      <alignment horizontal="center" vertical="center"/>
    </xf>
    <xf numFmtId="3" fontId="40" fillId="0" borderId="11" xfId="0" applyNumberFormat="1" applyFont="1" applyFill="1" applyBorder="1" applyAlignment="1">
      <alignment horizontal="center" vertical="center"/>
    </xf>
    <xf numFmtId="0" fontId="3" fillId="0" borderId="0" xfId="0" applyFont="1" applyFill="1" applyBorder="1" applyAlignment="1">
      <alignment vertical="center" wrapText="1"/>
    </xf>
    <xf numFmtId="44" fontId="3" fillId="0" borderId="32" xfId="2" applyFont="1" applyFill="1" applyBorder="1" applyAlignment="1">
      <alignment horizontal="right" vertical="center" wrapText="1"/>
    </xf>
    <xf numFmtId="2" fontId="3" fillId="0" borderId="14" xfId="1" applyNumberFormat="1" applyFont="1" applyFill="1" applyBorder="1" applyAlignment="1">
      <alignment horizontal="right" vertical="center" wrapText="1"/>
    </xf>
    <xf numFmtId="2" fontId="3" fillId="0" borderId="11" xfId="1" applyNumberFormat="1" applyFont="1" applyFill="1" applyBorder="1" applyAlignment="1">
      <alignment horizontal="right" vertical="center" wrapText="1"/>
    </xf>
    <xf numFmtId="0" fontId="3" fillId="0" borderId="11" xfId="0" applyFont="1" applyFill="1" applyBorder="1" applyAlignment="1" applyProtection="1">
      <alignment horizontal="center" vertical="center" wrapText="1"/>
      <protection locked="0"/>
    </xf>
    <xf numFmtId="3" fontId="40" fillId="0" borderId="11" xfId="0" applyNumberFormat="1" applyFont="1" applyBorder="1" applyAlignment="1">
      <alignment horizontal="center" vertical="center"/>
    </xf>
    <xf numFmtId="49" fontId="3" fillId="2" borderId="32" xfId="0" applyNumberFormat="1" applyFont="1" applyFill="1" applyBorder="1" applyAlignment="1">
      <alignment horizontal="center" vertical="center" wrapText="1"/>
    </xf>
    <xf numFmtId="14" fontId="6" fillId="2" borderId="32" xfId="0" applyNumberFormat="1" applyFont="1" applyFill="1" applyBorder="1" applyAlignment="1">
      <alignment horizontal="center" vertical="center" wrapText="1"/>
    </xf>
    <xf numFmtId="44" fontId="3" fillId="2" borderId="32" xfId="2" applyFont="1" applyFill="1" applyBorder="1" applyAlignment="1">
      <alignment horizontal="right" vertical="center" wrapText="1"/>
    </xf>
    <xf numFmtId="44" fontId="3" fillId="2" borderId="32" xfId="2" applyFont="1" applyFill="1" applyBorder="1" applyAlignment="1">
      <alignment horizontal="center" vertical="center" wrapText="1"/>
    </xf>
    <xf numFmtId="2" fontId="3" fillId="2" borderId="11" xfId="1" applyNumberFormat="1" applyFont="1" applyFill="1" applyBorder="1" applyAlignment="1">
      <alignment horizontal="right" vertical="center" wrapText="1"/>
    </xf>
    <xf numFmtId="0" fontId="3" fillId="2" borderId="32" xfId="0" applyNumberFormat="1" applyFont="1" applyFill="1" applyBorder="1" applyAlignment="1">
      <alignment horizontal="right" vertical="center" wrapText="1"/>
    </xf>
    <xf numFmtId="2" fontId="3" fillId="2" borderId="32" xfId="0" applyNumberFormat="1" applyFont="1" applyFill="1" applyBorder="1" applyAlignment="1">
      <alignment horizontal="right" vertical="center" wrapText="1"/>
    </xf>
    <xf numFmtId="2" fontId="3" fillId="2" borderId="37" xfId="0" applyNumberFormat="1" applyFont="1" applyFill="1" applyBorder="1" applyAlignment="1">
      <alignment horizontal="right" vertical="center" wrapText="1"/>
    </xf>
    <xf numFmtId="0" fontId="32" fillId="0" borderId="11" xfId="0" applyFont="1" applyFill="1" applyBorder="1" applyAlignment="1">
      <alignment vertical="center" wrapText="1"/>
    </xf>
    <xf numFmtId="0" fontId="32" fillId="0" borderId="32" xfId="0" applyFont="1" applyFill="1" applyBorder="1" applyAlignment="1">
      <alignment vertical="center" wrapText="1"/>
    </xf>
    <xf numFmtId="3" fontId="40" fillId="0" borderId="32" xfId="0" applyNumberFormat="1" applyFont="1" applyFill="1" applyBorder="1" applyAlignment="1">
      <alignment horizontal="center" vertical="center"/>
    </xf>
    <xf numFmtId="0" fontId="27" fillId="0" borderId="32" xfId="0" applyFont="1" applyFill="1" applyBorder="1" applyAlignment="1">
      <alignment vertical="center" wrapText="1"/>
    </xf>
    <xf numFmtId="2" fontId="3" fillId="0" borderId="32" xfId="1" applyNumberFormat="1" applyFont="1" applyFill="1" applyBorder="1" applyAlignment="1">
      <alignment horizontal="right" vertical="center" wrapText="1"/>
    </xf>
    <xf numFmtId="0" fontId="3" fillId="0" borderId="19" xfId="0" applyFont="1" applyFill="1" applyBorder="1" applyAlignment="1">
      <alignment horizontal="center" vertical="center" wrapText="1"/>
    </xf>
    <xf numFmtId="49" fontId="3" fillId="2" borderId="69" xfId="0" applyNumberFormat="1" applyFont="1" applyFill="1" applyBorder="1" applyAlignment="1">
      <alignment horizontal="center" vertical="center" wrapText="1"/>
    </xf>
    <xf numFmtId="14" fontId="3" fillId="2" borderId="22" xfId="0" applyNumberFormat="1" applyFont="1" applyFill="1" applyBorder="1" applyAlignment="1">
      <alignment horizontal="center" vertical="center" wrapText="1"/>
    </xf>
    <xf numFmtId="4" fontId="3" fillId="2" borderId="58" xfId="0" applyNumberFormat="1" applyFont="1" applyFill="1" applyBorder="1" applyAlignment="1">
      <alignment horizontal="center" vertical="center" wrapText="1"/>
    </xf>
    <xf numFmtId="4" fontId="3" fillId="2" borderId="54" xfId="0" applyNumberFormat="1" applyFont="1" applyFill="1" applyBorder="1" applyAlignment="1">
      <alignment horizontal="right" vertical="center" wrapText="1"/>
    </xf>
    <xf numFmtId="0" fontId="3" fillId="2" borderId="53" xfId="0" applyFont="1" applyFill="1" applyBorder="1" applyAlignment="1">
      <alignment horizontal="center" vertical="center" wrapText="1"/>
    </xf>
    <xf numFmtId="49" fontId="3" fillId="2" borderId="24" xfId="0" applyNumberFormat="1" applyFont="1" applyFill="1" applyBorder="1" applyAlignment="1">
      <alignment horizontal="center" vertical="center" wrapText="1"/>
    </xf>
    <xf numFmtId="2" fontId="3" fillId="2" borderId="12" xfId="0" applyNumberFormat="1" applyFont="1" applyFill="1" applyBorder="1" applyAlignment="1">
      <alignment horizontal="right" vertical="center" wrapText="1"/>
    </xf>
    <xf numFmtId="17" fontId="3" fillId="2" borderId="27" xfId="0" applyNumberFormat="1" applyFont="1" applyFill="1" applyBorder="1" applyAlignment="1">
      <alignment horizontal="center" vertical="center" wrapText="1"/>
    </xf>
    <xf numFmtId="2" fontId="3" fillId="2" borderId="14" xfId="0" applyNumberFormat="1" applyFont="1" applyFill="1" applyBorder="1" applyAlignment="1">
      <alignment horizontal="center" vertical="center" wrapText="1"/>
    </xf>
    <xf numFmtId="0" fontId="3" fillId="2" borderId="10" xfId="0" applyNumberFormat="1" applyFont="1" applyFill="1" applyBorder="1" applyAlignment="1">
      <alignment horizontal="right" vertical="center" wrapText="1"/>
    </xf>
    <xf numFmtId="2" fontId="3" fillId="2" borderId="12" xfId="0" applyNumberFormat="1" applyFont="1" applyFill="1" applyBorder="1" applyAlignment="1">
      <alignment horizontal="center" vertical="center" wrapText="1"/>
    </xf>
    <xf numFmtId="0" fontId="3" fillId="2" borderId="76" xfId="0" applyFont="1" applyFill="1" applyBorder="1" applyAlignment="1">
      <alignment horizontal="center" vertical="center" wrapText="1"/>
    </xf>
    <xf numFmtId="14" fontId="3" fillId="2" borderId="37" xfId="0" applyNumberFormat="1" applyFont="1" applyFill="1" applyBorder="1" applyAlignment="1">
      <alignment horizontal="center" vertical="center" wrapText="1"/>
    </xf>
    <xf numFmtId="14" fontId="3" fillId="2" borderId="32" xfId="0" applyNumberFormat="1" applyFont="1" applyFill="1" applyBorder="1" applyAlignment="1">
      <alignment horizontal="center" vertical="center" wrapText="1"/>
    </xf>
    <xf numFmtId="0" fontId="3" fillId="2" borderId="37" xfId="0" applyNumberFormat="1" applyFont="1" applyFill="1" applyBorder="1" applyAlignment="1">
      <alignment horizontal="right" vertical="center" wrapText="1"/>
    </xf>
    <xf numFmtId="2" fontId="3" fillId="2" borderId="32" xfId="0" applyNumberFormat="1" applyFont="1" applyFill="1" applyBorder="1" applyAlignment="1">
      <alignment horizontal="center" vertical="center" wrapText="1"/>
    </xf>
    <xf numFmtId="2" fontId="3" fillId="2" borderId="30" xfId="0" applyNumberFormat="1" applyFont="1" applyFill="1" applyBorder="1" applyAlignment="1">
      <alignment horizontal="center" vertical="center" wrapText="1"/>
    </xf>
    <xf numFmtId="2" fontId="3" fillId="2" borderId="57" xfId="0" applyNumberFormat="1" applyFont="1" applyFill="1" applyBorder="1" applyAlignment="1">
      <alignment horizontal="right" vertical="center" wrapText="1"/>
    </xf>
    <xf numFmtId="0" fontId="3" fillId="2" borderId="31" xfId="0" applyNumberFormat="1" applyFont="1" applyFill="1" applyBorder="1" applyAlignment="1">
      <alignment horizontal="right" vertical="center" wrapText="1"/>
    </xf>
    <xf numFmtId="2" fontId="3" fillId="2" borderId="31" xfId="0" applyNumberFormat="1" applyFont="1" applyFill="1" applyBorder="1" applyAlignment="1">
      <alignment horizontal="right" vertical="center" wrapText="1"/>
    </xf>
    <xf numFmtId="0" fontId="3" fillId="2" borderId="12" xfId="0" applyNumberFormat="1" applyFont="1" applyFill="1" applyBorder="1" applyAlignment="1">
      <alignment horizontal="right" vertical="center" wrapText="1"/>
    </xf>
    <xf numFmtId="0" fontId="3" fillId="2" borderId="12" xfId="0" applyNumberFormat="1" applyFont="1" applyFill="1" applyBorder="1" applyAlignment="1">
      <alignment horizontal="center" vertical="center" wrapText="1"/>
    </xf>
    <xf numFmtId="0" fontId="3" fillId="2" borderId="32" xfId="0" applyNumberFormat="1" applyFont="1" applyFill="1" applyBorder="1" applyAlignment="1">
      <alignment horizontal="center" vertical="center" wrapText="1"/>
    </xf>
    <xf numFmtId="4" fontId="3" fillId="2" borderId="32" xfId="0" applyNumberFormat="1" applyFont="1" applyFill="1" applyBorder="1" applyAlignment="1">
      <alignment horizontal="right" vertical="center" wrapText="1"/>
    </xf>
    <xf numFmtId="17" fontId="3" fillId="2" borderId="76" xfId="0" applyNumberFormat="1" applyFont="1" applyFill="1" applyBorder="1" applyAlignment="1">
      <alignment horizontal="center" vertical="center" wrapText="1"/>
    </xf>
    <xf numFmtId="2" fontId="3" fillId="2" borderId="31" xfId="0" applyNumberFormat="1" applyFont="1" applyFill="1" applyBorder="1" applyAlignment="1">
      <alignment horizontal="center" vertical="center" wrapText="1"/>
    </xf>
    <xf numFmtId="2" fontId="3" fillId="2" borderId="37" xfId="0" applyNumberFormat="1" applyFont="1" applyFill="1" applyBorder="1" applyAlignment="1">
      <alignment horizontal="center" vertical="center" wrapText="1"/>
    </xf>
    <xf numFmtId="0" fontId="0" fillId="2" borderId="52" xfId="0" applyFill="1" applyBorder="1" applyAlignment="1">
      <alignment horizontal="center" vertical="center"/>
    </xf>
    <xf numFmtId="17" fontId="3" fillId="2" borderId="17" xfId="0" applyNumberFormat="1" applyFont="1" applyFill="1" applyBorder="1" applyAlignment="1">
      <alignment horizontal="center" vertical="center" wrapText="1"/>
    </xf>
    <xf numFmtId="49" fontId="3" fillId="2" borderId="37"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0" fontId="3" fillId="0" borderId="10" xfId="0" applyNumberFormat="1" applyFont="1" applyFill="1" applyBorder="1" applyAlignment="1">
      <alignment horizontal="right" vertical="center" wrapText="1"/>
    </xf>
    <xf numFmtId="0" fontId="3" fillId="0" borderId="0" xfId="0" applyFont="1" applyFill="1" applyAlignment="1">
      <alignment horizontal="left" vertical="center"/>
    </xf>
    <xf numFmtId="0" fontId="3" fillId="0" borderId="0" xfId="0" applyFont="1" applyFill="1" applyAlignment="1">
      <alignment horizontal="center" vertical="center"/>
    </xf>
    <xf numFmtId="0" fontId="5" fillId="0" borderId="1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2"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22"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5" xfId="0" applyFont="1" applyFill="1" applyBorder="1" applyAlignment="1">
      <alignment horizontal="center" vertical="center" wrapText="1"/>
    </xf>
    <xf numFmtId="14" fontId="3" fillId="0" borderId="32" xfId="0" applyNumberFormat="1" applyFont="1" applyFill="1" applyBorder="1" applyAlignment="1">
      <alignment horizontal="center" vertical="center" wrapText="1"/>
    </xf>
    <xf numFmtId="4" fontId="3" fillId="0" borderId="32"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14" fontId="3" fillId="0" borderId="22" xfId="0" applyNumberFormat="1" applyFont="1" applyFill="1" applyBorder="1" applyAlignment="1">
      <alignment horizontal="center" vertical="center" wrapText="1"/>
    </xf>
    <xf numFmtId="14" fontId="3" fillId="0" borderId="25"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2" borderId="12" xfId="0"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14" fontId="3" fillId="0" borderId="11" xfId="0" applyNumberFormat="1" applyFont="1" applyFill="1" applyBorder="1" applyAlignment="1">
      <alignment horizontal="center" vertical="center" wrapText="1"/>
    </xf>
    <xf numFmtId="0" fontId="3" fillId="2" borderId="11" xfId="0" applyFont="1" applyFill="1" applyBorder="1" applyAlignment="1">
      <alignment horizontal="center" vertical="center" wrapText="1"/>
    </xf>
    <xf numFmtId="4" fontId="3" fillId="0" borderId="11"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3" fontId="3" fillId="0" borderId="11" xfId="0" applyNumberFormat="1" applyFont="1" applyFill="1" applyBorder="1" applyAlignment="1">
      <alignment vertical="center" wrapText="1"/>
    </xf>
    <xf numFmtId="14" fontId="3" fillId="0" borderId="11" xfId="0" applyNumberFormat="1" applyFont="1" applyFill="1" applyBorder="1" applyAlignment="1">
      <alignment vertical="center" wrapText="1"/>
    </xf>
    <xf numFmtId="0" fontId="3" fillId="0" borderId="11" xfId="0" applyFont="1" applyFill="1" applyBorder="1" applyAlignment="1">
      <alignment vertical="center" wrapText="1"/>
    </xf>
    <xf numFmtId="4" fontId="3" fillId="0" borderId="11" xfId="0" applyNumberFormat="1" applyFont="1" applyFill="1" applyBorder="1" applyAlignment="1">
      <alignment vertical="center" wrapText="1"/>
    </xf>
    <xf numFmtId="49" fontId="3" fillId="0" borderId="11" xfId="0" applyNumberFormat="1" applyFont="1" applyFill="1" applyBorder="1" applyAlignment="1">
      <alignment vertical="center" wrapText="1"/>
    </xf>
    <xf numFmtId="0" fontId="3" fillId="0" borderId="11" xfId="0" applyNumberFormat="1" applyFont="1" applyFill="1" applyBorder="1" applyAlignment="1">
      <alignment vertical="center" wrapText="1"/>
    </xf>
    <xf numFmtId="3" fontId="3" fillId="2" borderId="11" xfId="0" applyNumberFormat="1" applyFont="1" applyFill="1" applyBorder="1" applyAlignment="1">
      <alignment horizontal="center" vertical="center" wrapText="1"/>
    </xf>
    <xf numFmtId="0" fontId="3" fillId="0" borderId="31" xfId="0" applyFont="1" applyFill="1" applyBorder="1" applyAlignment="1">
      <alignment horizontal="center" vertical="center" wrapText="1"/>
    </xf>
    <xf numFmtId="49" fontId="3" fillId="0" borderId="32"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3" fillId="0" borderId="25" xfId="0" applyNumberFormat="1" applyFont="1" applyFill="1" applyBorder="1" applyAlignment="1">
      <alignment horizontal="center" vertical="center" wrapText="1"/>
    </xf>
    <xf numFmtId="3" fontId="3" fillId="0" borderId="25" xfId="0" applyNumberFormat="1" applyFont="1" applyFill="1" applyBorder="1" applyAlignment="1">
      <alignment horizontal="center" vertical="center" wrapText="1"/>
    </xf>
    <xf numFmtId="4" fontId="3" fillId="0" borderId="25" xfId="0" applyNumberFormat="1" applyFont="1" applyFill="1" applyBorder="1" applyAlignment="1">
      <alignment horizontal="center" vertical="center" wrapText="1"/>
    </xf>
    <xf numFmtId="0" fontId="3" fillId="0" borderId="11" xfId="0" applyFont="1" applyFill="1" applyBorder="1" applyAlignment="1">
      <alignment horizontal="center" vertical="center"/>
    </xf>
    <xf numFmtId="0" fontId="3" fillId="0" borderId="30" xfId="0" applyFont="1" applyFill="1" applyBorder="1" applyAlignment="1">
      <alignment horizontal="center" vertical="center" wrapText="1"/>
    </xf>
    <xf numFmtId="4" fontId="6" fillId="0" borderId="11" xfId="0" applyNumberFormat="1"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0" xfId="0" applyFont="1" applyFill="1" applyAlignment="1">
      <alignment horizontal="left" vertical="center" wrapText="1"/>
    </xf>
    <xf numFmtId="0" fontId="3" fillId="0" borderId="0" xfId="0" applyFont="1" applyAlignment="1">
      <alignment horizontal="left"/>
    </xf>
    <xf numFmtId="0" fontId="5" fillId="0" borderId="35" xfId="0" applyFont="1" applyFill="1" applyBorder="1" applyAlignment="1">
      <alignment horizontal="center" vertical="center" wrapText="1"/>
    </xf>
    <xf numFmtId="0" fontId="3" fillId="0" borderId="0" xfId="0" applyFont="1" applyFill="1" applyBorder="1" applyAlignment="1">
      <alignment horizontal="center" wrapText="1"/>
    </xf>
    <xf numFmtId="0" fontId="0" fillId="0" borderId="48" xfId="0" applyBorder="1" applyAlignment="1">
      <alignment horizontal="center" vertical="center"/>
    </xf>
    <xf numFmtId="0" fontId="3" fillId="0" borderId="11" xfId="0" applyFont="1" applyBorder="1" applyAlignment="1">
      <alignment horizontal="center" vertical="center" wrapText="1"/>
    </xf>
    <xf numFmtId="0" fontId="3" fillId="0" borderId="14" xfId="0" applyFont="1" applyFill="1" applyBorder="1" applyAlignment="1">
      <alignment horizontal="center" vertical="center" wrapText="1"/>
    </xf>
    <xf numFmtId="0" fontId="3" fillId="0" borderId="0" xfId="0" applyFont="1" applyAlignment="1">
      <alignment horizontal="left" vertical="center"/>
    </xf>
    <xf numFmtId="0" fontId="0" fillId="0" borderId="0" xfId="0" applyAlignment="1">
      <alignment horizontal="left" vertical="center"/>
    </xf>
    <xf numFmtId="0" fontId="5" fillId="0" borderId="6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0" fillId="2" borderId="48" xfId="0" applyFill="1" applyBorder="1" applyAlignment="1">
      <alignment horizontal="center" vertical="center"/>
    </xf>
    <xf numFmtId="0" fontId="0" fillId="2" borderId="34" xfId="0" applyFill="1" applyBorder="1" applyAlignment="1">
      <alignment horizontal="center" vertical="center"/>
    </xf>
    <xf numFmtId="43" fontId="3" fillId="2" borderId="11" xfId="1" applyFont="1" applyFill="1" applyBorder="1" applyAlignment="1">
      <alignment horizontal="center" vertical="center" wrapText="1"/>
    </xf>
    <xf numFmtId="0" fontId="6" fillId="2" borderId="11" xfId="0" applyFont="1" applyFill="1" applyBorder="1" applyAlignment="1">
      <alignment horizontal="center" vertical="center" wrapText="1"/>
    </xf>
    <xf numFmtId="2" fontId="3" fillId="0" borderId="11" xfId="0" applyNumberFormat="1" applyFont="1" applyFill="1" applyBorder="1" applyAlignment="1">
      <alignment horizontal="center" vertical="center" wrapText="1"/>
    </xf>
    <xf numFmtId="0" fontId="18" fillId="0" borderId="0" xfId="0" applyFont="1" applyAlignment="1">
      <alignment horizontal="left" vertical="center"/>
    </xf>
    <xf numFmtId="0" fontId="3" fillId="0" borderId="6" xfId="0" applyFont="1" applyFill="1" applyBorder="1" applyAlignment="1">
      <alignment horizontal="center" vertical="center" wrapText="1"/>
    </xf>
    <xf numFmtId="0" fontId="3" fillId="0" borderId="6" xfId="0" applyFont="1" applyFill="1" applyBorder="1" applyAlignment="1">
      <alignment horizontal="justify" vertical="center" wrapText="1"/>
    </xf>
    <xf numFmtId="0" fontId="3" fillId="0" borderId="22" xfId="0" applyFont="1" applyFill="1" applyBorder="1" applyAlignment="1">
      <alignment horizontal="justify" vertical="center" wrapText="1"/>
    </xf>
    <xf numFmtId="0" fontId="3" fillId="0" borderId="25" xfId="0" applyFont="1" applyFill="1" applyBorder="1" applyAlignment="1">
      <alignment horizontal="justify" vertical="center" wrapText="1"/>
    </xf>
    <xf numFmtId="14" fontId="3" fillId="0" borderId="6"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4" fontId="3" fillId="0" borderId="22" xfId="0" applyNumberFormat="1"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32" xfId="0" applyFont="1" applyFill="1" applyBorder="1" applyAlignment="1">
      <alignment horizontal="justify" vertical="center" wrapText="1"/>
    </xf>
    <xf numFmtId="3" fontId="3" fillId="0" borderId="22" xfId="0" applyNumberFormat="1"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3" fontId="6" fillId="0" borderId="25" xfId="0" applyNumberFormat="1" applyFont="1" applyFill="1" applyBorder="1" applyAlignment="1">
      <alignment horizontal="center" vertical="center" wrapText="1"/>
    </xf>
    <xf numFmtId="14" fontId="6" fillId="0" borderId="32" xfId="0" applyNumberFormat="1" applyFont="1" applyFill="1" applyBorder="1" applyAlignment="1">
      <alignment horizontal="center" vertical="center" wrapText="1"/>
    </xf>
    <xf numFmtId="14" fontId="6" fillId="0" borderId="25" xfId="0" applyNumberFormat="1" applyFont="1" applyFill="1" applyBorder="1" applyAlignment="1">
      <alignment horizontal="center" vertical="center" wrapText="1"/>
    </xf>
    <xf numFmtId="0" fontId="3" fillId="0" borderId="32" xfId="0" applyNumberFormat="1" applyFont="1" applyFill="1" applyBorder="1" applyAlignment="1">
      <alignment horizontal="right" vertical="center" wrapText="1"/>
    </xf>
    <xf numFmtId="0" fontId="3" fillId="0" borderId="25" xfId="0" applyNumberFormat="1" applyFont="1" applyFill="1" applyBorder="1" applyAlignment="1">
      <alignment horizontal="right" vertical="center" wrapText="1"/>
    </xf>
    <xf numFmtId="0" fontId="6" fillId="0" borderId="32"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3" fillId="0" borderId="11" xfId="0" applyFont="1" applyFill="1" applyBorder="1" applyAlignment="1">
      <alignment horizontal="justify" vertical="center" wrapText="1"/>
    </xf>
    <xf numFmtId="0" fontId="23" fillId="0" borderId="11" xfId="0" applyFont="1" applyFill="1" applyBorder="1" applyAlignment="1">
      <alignment horizontal="center" vertical="center" wrapText="1"/>
    </xf>
    <xf numFmtId="14" fontId="23" fillId="0" borderId="11" xfId="0" applyNumberFormat="1" applyFont="1" applyFill="1" applyBorder="1" applyAlignment="1">
      <alignment horizontal="center" vertical="center" wrapText="1"/>
    </xf>
    <xf numFmtId="43" fontId="3" fillId="2" borderId="32" xfId="1" applyFont="1" applyFill="1" applyBorder="1" applyAlignment="1">
      <alignment horizontal="center" vertical="center" wrapText="1"/>
    </xf>
    <xf numFmtId="43" fontId="3" fillId="2" borderId="25" xfId="1" applyFont="1" applyFill="1" applyBorder="1" applyAlignment="1">
      <alignment horizontal="center" vertical="center" wrapText="1"/>
    </xf>
    <xf numFmtId="43" fontId="3" fillId="0" borderId="32" xfId="1" applyFont="1" applyFill="1" applyBorder="1" applyAlignment="1">
      <alignment horizontal="center" vertical="center" wrapText="1"/>
    </xf>
    <xf numFmtId="43" fontId="3" fillId="0" borderId="22" xfId="1" applyFont="1" applyFill="1" applyBorder="1" applyAlignment="1">
      <alignment horizontal="center" vertical="center" wrapText="1"/>
    </xf>
    <xf numFmtId="43" fontId="3" fillId="0" borderId="25" xfId="1" applyFont="1" applyFill="1" applyBorder="1" applyAlignment="1">
      <alignment horizontal="center" vertical="center" wrapText="1"/>
    </xf>
    <xf numFmtId="0" fontId="3" fillId="2" borderId="32" xfId="0" applyFont="1" applyFill="1" applyBorder="1" applyAlignment="1">
      <alignment horizontal="left" vertical="center" wrapText="1"/>
    </xf>
    <xf numFmtId="0" fontId="3" fillId="0" borderId="32"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5" xfId="0" applyFont="1" applyFill="1" applyBorder="1" applyAlignment="1">
      <alignment horizontal="left" vertical="center" wrapText="1"/>
    </xf>
    <xf numFmtId="3" fontId="3" fillId="2" borderId="25" xfId="0" applyNumberFormat="1"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0" fillId="0" borderId="0" xfId="0" applyFill="1" applyAlignment="1">
      <alignment horizontal="center"/>
    </xf>
    <xf numFmtId="0" fontId="0" fillId="0" borderId="11" xfId="0" applyFont="1" applyFill="1" applyBorder="1" applyAlignment="1">
      <alignment horizontal="center" vertical="center" wrapText="1"/>
    </xf>
    <xf numFmtId="49" fontId="3" fillId="2" borderId="11" xfId="0" applyNumberFormat="1" applyFont="1" applyFill="1" applyBorder="1" applyAlignment="1">
      <alignment horizontal="center" vertical="center"/>
    </xf>
    <xf numFmtId="0" fontId="3" fillId="2" borderId="11" xfId="0" applyFont="1" applyFill="1" applyBorder="1" applyAlignment="1">
      <alignment horizontal="center" vertical="center"/>
    </xf>
    <xf numFmtId="14" fontId="3" fillId="2" borderId="11" xfId="0" applyNumberFormat="1" applyFont="1" applyFill="1" applyBorder="1" applyAlignment="1">
      <alignment horizontal="center" vertical="center"/>
    </xf>
    <xf numFmtId="176" fontId="3" fillId="2" borderId="11" xfId="0"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4" fontId="3" fillId="2" borderId="11" xfId="0" applyNumberFormat="1" applyFont="1" applyFill="1" applyBorder="1" applyAlignment="1">
      <alignment horizontal="center" vertical="center" wrapText="1"/>
    </xf>
    <xf numFmtId="10" fontId="3" fillId="2" borderId="11" xfId="0" applyNumberFormat="1" applyFont="1" applyFill="1" applyBorder="1" applyAlignment="1">
      <alignment horizontal="center" vertical="center" wrapText="1"/>
    </xf>
    <xf numFmtId="176" fontId="3" fillId="2" borderId="11" xfId="0" applyNumberFormat="1" applyFont="1" applyFill="1" applyBorder="1" applyAlignment="1">
      <alignment horizontal="center" vertical="center" wrapText="1"/>
    </xf>
    <xf numFmtId="43" fontId="3" fillId="2" borderId="11" xfId="1" applyFont="1" applyFill="1" applyBorder="1" applyAlignment="1">
      <alignment horizontal="center" vertical="center"/>
    </xf>
    <xf numFmtId="4" fontId="3" fillId="2" borderId="32" xfId="0" applyNumberFormat="1" applyFont="1" applyFill="1" applyBorder="1" applyAlignment="1">
      <alignment horizontal="center" vertical="center" wrapText="1"/>
    </xf>
    <xf numFmtId="4" fontId="3" fillId="2" borderId="22" xfId="0" applyNumberFormat="1" applyFont="1" applyFill="1" applyBorder="1" applyAlignment="1">
      <alignment horizontal="center" vertical="center" wrapText="1"/>
    </xf>
    <xf numFmtId="4" fontId="3" fillId="2" borderId="25" xfId="0" applyNumberFormat="1" applyFont="1" applyFill="1" applyBorder="1" applyAlignment="1">
      <alignment horizontal="center" vertical="center" wrapText="1"/>
    </xf>
    <xf numFmtId="0" fontId="3" fillId="2" borderId="11" xfId="0" applyNumberFormat="1" applyFont="1" applyFill="1" applyBorder="1" applyAlignment="1">
      <alignment horizontal="center" vertical="center" wrapText="1"/>
    </xf>
    <xf numFmtId="3" fontId="3" fillId="2" borderId="11" xfId="0" applyNumberFormat="1" applyFont="1" applyFill="1" applyBorder="1" applyAlignment="1">
      <alignment horizontal="center" vertical="center"/>
    </xf>
    <xf numFmtId="49" fontId="3" fillId="2" borderId="11" xfId="0" applyNumberFormat="1" applyFont="1" applyFill="1" applyBorder="1" applyAlignment="1">
      <alignment horizontal="center" vertical="center" wrapText="1"/>
    </xf>
    <xf numFmtId="3" fontId="6" fillId="2" borderId="11" xfId="0" applyNumberFormat="1" applyFont="1" applyFill="1" applyBorder="1" applyAlignment="1">
      <alignment horizontal="center" vertical="center" wrapText="1"/>
    </xf>
    <xf numFmtId="176" fontId="6" fillId="2" borderId="11" xfId="0" applyNumberFormat="1" applyFont="1" applyFill="1" applyBorder="1" applyAlignment="1">
      <alignment horizontal="center" vertical="center"/>
    </xf>
    <xf numFmtId="17" fontId="3" fillId="2" borderId="11" xfId="0" applyNumberFormat="1" applyFont="1" applyFill="1" applyBorder="1" applyAlignment="1">
      <alignment horizontal="center" vertical="center" wrapText="1"/>
    </xf>
    <xf numFmtId="176" fontId="6" fillId="2" borderId="11" xfId="0" applyNumberFormat="1" applyFont="1" applyFill="1" applyBorder="1" applyAlignment="1">
      <alignment horizontal="center" vertical="center" wrapText="1"/>
    </xf>
    <xf numFmtId="0" fontId="3" fillId="2" borderId="32" xfId="0" applyFont="1" applyFill="1" applyBorder="1" applyAlignment="1">
      <alignment horizontal="center" vertical="center"/>
    </xf>
    <xf numFmtId="0" fontId="3" fillId="2" borderId="25" xfId="0" applyFont="1" applyFill="1" applyBorder="1" applyAlignment="1">
      <alignment horizontal="center" vertical="center"/>
    </xf>
    <xf numFmtId="10" fontId="3" fillId="2" borderId="25" xfId="0" applyNumberFormat="1" applyFont="1" applyFill="1" applyBorder="1" applyAlignment="1">
      <alignment horizontal="center" vertical="center" wrapText="1"/>
    </xf>
    <xf numFmtId="14" fontId="3" fillId="2" borderId="32" xfId="0" applyNumberFormat="1" applyFont="1" applyFill="1" applyBorder="1" applyAlignment="1">
      <alignment horizontal="center" vertical="center"/>
    </xf>
    <xf numFmtId="4" fontId="3" fillId="2" borderId="11" xfId="0" applyNumberFormat="1" applyFont="1" applyFill="1" applyBorder="1" applyAlignment="1">
      <alignment horizontal="center" vertical="center" wrapText="1"/>
    </xf>
    <xf numFmtId="176" fontId="3" fillId="2" borderId="11" xfId="2" applyNumberFormat="1" applyFont="1" applyFill="1" applyBorder="1" applyAlignment="1">
      <alignment horizontal="center" vertical="center"/>
    </xf>
    <xf numFmtId="176" fontId="3" fillId="2" borderId="32" xfId="0" applyNumberFormat="1" applyFont="1" applyFill="1" applyBorder="1" applyAlignment="1">
      <alignment horizontal="center" vertical="center" wrapText="1"/>
    </xf>
    <xf numFmtId="176" fontId="3" fillId="2" borderId="25" xfId="0" applyNumberFormat="1" applyFont="1" applyFill="1" applyBorder="1" applyAlignment="1">
      <alignment horizontal="center" vertical="center" wrapText="1"/>
    </xf>
    <xf numFmtId="0" fontId="3" fillId="0" borderId="11" xfId="0" applyFont="1" applyFill="1" applyBorder="1" applyAlignment="1">
      <alignment horizontal="center"/>
    </xf>
    <xf numFmtId="176" fontId="3" fillId="0" borderId="11" xfId="0" applyNumberFormat="1" applyFont="1" applyFill="1" applyBorder="1" applyAlignment="1">
      <alignment horizontal="center" vertical="center" wrapText="1"/>
    </xf>
    <xf numFmtId="0" fontId="3" fillId="0" borderId="23" xfId="0" applyFont="1" applyFill="1" applyBorder="1" applyAlignment="1">
      <alignment horizontal="center" vertical="center"/>
    </xf>
    <xf numFmtId="4" fontId="3" fillId="0" borderId="11" xfId="0" applyNumberFormat="1" applyFont="1" applyFill="1" applyBorder="1" applyAlignment="1">
      <alignment horizontal="right" vertical="center" wrapText="1"/>
    </xf>
    <xf numFmtId="4" fontId="3" fillId="0" borderId="32" xfId="0" applyNumberFormat="1" applyFont="1" applyFill="1" applyBorder="1" applyAlignment="1">
      <alignment horizontal="right" vertical="center" wrapText="1"/>
    </xf>
    <xf numFmtId="4" fontId="3" fillId="0" borderId="25" xfId="0" applyNumberFormat="1" applyFont="1" applyFill="1" applyBorder="1" applyAlignment="1">
      <alignment horizontal="right" vertical="center" wrapText="1"/>
    </xf>
    <xf numFmtId="14" fontId="3" fillId="0" borderId="32" xfId="0" applyNumberFormat="1" applyFont="1" applyFill="1" applyBorder="1" applyAlignment="1">
      <alignment horizontal="center" vertical="center"/>
    </xf>
    <xf numFmtId="0" fontId="3" fillId="0" borderId="32" xfId="0" applyFont="1" applyFill="1" applyBorder="1" applyAlignment="1">
      <alignment horizontal="center" vertical="center"/>
    </xf>
    <xf numFmtId="0" fontId="3" fillId="0" borderId="58" xfId="0" applyFont="1" applyFill="1" applyBorder="1" applyAlignment="1">
      <alignment horizontal="center" vertical="center" wrapText="1"/>
    </xf>
    <xf numFmtId="0" fontId="3" fillId="0" borderId="22" xfId="0" applyNumberFormat="1" applyFont="1" applyFill="1" applyBorder="1" applyAlignment="1">
      <alignment horizontal="center" vertical="center" wrapText="1"/>
    </xf>
    <xf numFmtId="176" fontId="3" fillId="0" borderId="25" xfId="0" applyNumberFormat="1" applyFont="1" applyFill="1" applyBorder="1" applyAlignment="1">
      <alignment horizontal="center" vertical="center" wrapText="1"/>
    </xf>
    <xf numFmtId="0" fontId="28" fillId="0" borderId="11" xfId="0" applyFont="1" applyFill="1" applyBorder="1" applyAlignment="1">
      <alignment horizontal="center" vertical="center" wrapText="1"/>
    </xf>
    <xf numFmtId="0" fontId="6" fillId="0" borderId="0" xfId="0"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0" fontId="6" fillId="0" borderId="25" xfId="0" applyFont="1" applyFill="1" applyBorder="1" applyAlignment="1">
      <alignment horizontal="left" vertical="center" wrapText="1"/>
    </xf>
    <xf numFmtId="0" fontId="6" fillId="0" borderId="11" xfId="0" applyFont="1" applyFill="1" applyBorder="1" applyAlignment="1">
      <alignment horizontal="left" vertical="center" wrapText="1"/>
    </xf>
    <xf numFmtId="14" fontId="6" fillId="0" borderId="11" xfId="0" applyNumberFormat="1" applyFont="1" applyFill="1" applyBorder="1" applyAlignment="1">
      <alignment horizontal="center" vertical="center" wrapText="1"/>
    </xf>
    <xf numFmtId="0" fontId="6" fillId="0" borderId="22" xfId="0" applyFont="1" applyFill="1" applyBorder="1" applyAlignment="1">
      <alignment horizontal="left" vertical="center" wrapText="1"/>
    </xf>
    <xf numFmtId="43" fontId="6" fillId="0" borderId="11" xfId="1"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49" fontId="6" fillId="0" borderId="32"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0" fillId="0" borderId="68" xfId="0" applyFill="1" applyBorder="1" applyAlignment="1">
      <alignment horizontal="center" vertical="center"/>
    </xf>
    <xf numFmtId="0" fontId="3" fillId="0" borderId="5"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39" xfId="0" applyFont="1" applyFill="1" applyBorder="1" applyAlignment="1">
      <alignment horizontal="justify" vertical="center" wrapText="1"/>
    </xf>
    <xf numFmtId="49" fontId="3" fillId="0" borderId="5" xfId="0" applyNumberFormat="1" applyFont="1" applyFill="1" applyBorder="1" applyAlignment="1">
      <alignment horizontal="center" vertical="center" wrapText="1"/>
    </xf>
    <xf numFmtId="3" fontId="3" fillId="0" borderId="6" xfId="0" applyNumberFormat="1" applyFont="1" applyFill="1" applyBorder="1" applyAlignment="1">
      <alignment horizontal="center" vertical="center" wrapText="1"/>
    </xf>
    <xf numFmtId="3" fontId="3" fillId="0" borderId="39"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14" fontId="3" fillId="0" borderId="39" xfId="0" applyNumberFormat="1" applyFont="1" applyFill="1" applyBorder="1" applyAlignment="1">
      <alignment horizontal="center" vertical="center" wrapText="1"/>
    </xf>
    <xf numFmtId="4" fontId="3" fillId="0" borderId="39" xfId="0" applyNumberFormat="1" applyFont="1" applyFill="1" applyBorder="1" applyAlignment="1">
      <alignment horizontal="center" vertical="center" wrapText="1"/>
    </xf>
    <xf numFmtId="0" fontId="0" fillId="0" borderId="33" xfId="0" applyFill="1" applyBorder="1" applyAlignment="1">
      <alignment horizontal="center" vertical="center"/>
    </xf>
    <xf numFmtId="0" fontId="3" fillId="0" borderId="2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3" xfId="0" applyFont="1" applyFill="1" applyBorder="1" applyAlignment="1">
      <alignment horizontal="justify" vertical="center" wrapText="1"/>
    </xf>
    <xf numFmtId="0" fontId="3" fillId="0" borderId="17" xfId="0" applyFont="1" applyFill="1" applyBorder="1" applyAlignment="1">
      <alignment horizontal="justify" vertical="center" wrapText="1"/>
    </xf>
    <xf numFmtId="49" fontId="3" fillId="0" borderId="2" xfId="0" applyNumberFormat="1"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3" fontId="10" fillId="0" borderId="23" xfId="0" applyNumberFormat="1" applyFont="1" applyFill="1" applyBorder="1" applyAlignment="1">
      <alignment horizontal="center" vertical="center" wrapText="1"/>
    </xf>
    <xf numFmtId="0" fontId="39" fillId="0" borderId="22" xfId="0" applyFont="1" applyFill="1" applyBorder="1" applyAlignment="1">
      <alignment horizontal="justify" vertical="center" wrapText="1"/>
    </xf>
    <xf numFmtId="2" fontId="3" fillId="0" borderId="3" xfId="0" applyNumberFormat="1" applyFont="1" applyFill="1" applyBorder="1" applyAlignment="1">
      <alignment horizontal="justify" vertical="center" wrapText="1"/>
    </xf>
    <xf numFmtId="2" fontId="3" fillId="0" borderId="17" xfId="0" applyNumberFormat="1" applyFont="1" applyFill="1" applyBorder="1" applyAlignment="1">
      <alignment horizontal="justify" vertical="center" wrapText="1"/>
    </xf>
    <xf numFmtId="0" fontId="3" fillId="0" borderId="4" xfId="0" applyFont="1" applyFill="1" applyBorder="1" applyAlignment="1">
      <alignment horizontal="center" vertical="center" wrapText="1"/>
    </xf>
    <xf numFmtId="0" fontId="3" fillId="0" borderId="18" xfId="0" applyFont="1" applyFill="1" applyBorder="1" applyAlignment="1">
      <alignment horizontal="center" vertical="center" wrapText="1"/>
    </xf>
    <xf numFmtId="14" fontId="3" fillId="0" borderId="3" xfId="0" applyNumberFormat="1" applyFont="1" applyFill="1" applyBorder="1" applyAlignment="1">
      <alignment horizontal="center" vertical="center" wrapText="1"/>
    </xf>
    <xf numFmtId="14" fontId="3" fillId="0" borderId="17" xfId="0" applyNumberFormat="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4" fontId="3" fillId="0" borderId="17" xfId="0" applyNumberFormat="1" applyFont="1" applyFill="1" applyBorder="1" applyAlignment="1">
      <alignment horizontal="center" vertical="center" wrapText="1"/>
    </xf>
    <xf numFmtId="3" fontId="3" fillId="0" borderId="3" xfId="0" applyNumberFormat="1"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9" fillId="0" borderId="0" xfId="0" applyFont="1" applyFill="1" applyAlignment="1">
      <alignment vertical="center"/>
    </xf>
    <xf numFmtId="0" fontId="9" fillId="0" borderId="0" xfId="0" applyFont="1" applyFill="1" applyAlignment="1">
      <alignment horizontal="left" vertical="center"/>
    </xf>
    <xf numFmtId="0" fontId="0" fillId="0" borderId="0" xfId="0" applyFont="1"/>
    <xf numFmtId="0" fontId="0" fillId="0" borderId="0" xfId="0" applyFont="1" applyAlignment="1">
      <alignment horizontal="left"/>
    </xf>
    <xf numFmtId="0" fontId="9" fillId="0" borderId="0" xfId="0" applyFont="1" applyAlignment="1">
      <alignment horizontal="left"/>
    </xf>
    <xf numFmtId="0" fontId="9" fillId="0" borderId="0" xfId="0" applyFont="1" applyAlignment="1">
      <alignment horizontal="center"/>
    </xf>
    <xf numFmtId="0" fontId="20" fillId="0" borderId="0" xfId="0" applyFont="1"/>
    <xf numFmtId="0" fontId="18" fillId="0" borderId="0" xfId="0" applyFont="1" applyAlignment="1">
      <alignment horizontal="center"/>
    </xf>
    <xf numFmtId="0" fontId="21" fillId="0" borderId="0" xfId="0" applyFont="1" applyAlignment="1">
      <alignment horizontal="center"/>
    </xf>
    <xf numFmtId="0" fontId="0" fillId="0" borderId="0" xfId="0" applyFont="1" applyAlignment="1">
      <alignment vertical="center"/>
    </xf>
    <xf numFmtId="0" fontId="0"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center" vertical="center"/>
    </xf>
    <xf numFmtId="0" fontId="9" fillId="0" borderId="0" xfId="0" applyFont="1" applyFill="1" applyAlignment="1">
      <alignment horizontal="center" vertical="center"/>
    </xf>
    <xf numFmtId="0" fontId="0" fillId="0" borderId="0" xfId="0" applyFont="1" applyBorder="1" applyAlignment="1">
      <alignment horizontal="left"/>
    </xf>
    <xf numFmtId="0" fontId="9" fillId="0" borderId="0" xfId="0" applyFont="1" applyBorder="1" applyAlignment="1">
      <alignment horizontal="left"/>
    </xf>
    <xf numFmtId="44" fontId="9" fillId="0" borderId="0" xfId="2" applyFont="1" applyBorder="1" applyAlignment="1">
      <alignment horizontal="left"/>
    </xf>
    <xf numFmtId="0" fontId="0" fillId="0" borderId="0" xfId="0" applyFont="1" applyBorder="1"/>
    <xf numFmtId="0" fontId="9" fillId="0" borderId="0" xfId="0" applyFont="1" applyBorder="1" applyAlignment="1">
      <alignment horizontal="center"/>
    </xf>
    <xf numFmtId="44" fontId="9" fillId="0" borderId="0" xfId="2" applyFont="1" applyBorder="1" applyAlignment="1">
      <alignment horizontal="center"/>
    </xf>
    <xf numFmtId="0" fontId="3" fillId="0" borderId="1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4" fontId="3" fillId="0" borderId="11"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14"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3" fontId="3" fillId="2" borderId="12" xfId="0" applyNumberFormat="1" applyFont="1" applyFill="1" applyBorder="1" applyAlignment="1">
      <alignment horizontal="center" vertical="center" wrapText="1"/>
    </xf>
    <xf numFmtId="0" fontId="3" fillId="0" borderId="11" xfId="0" applyFont="1" applyFill="1" applyBorder="1" applyAlignment="1">
      <alignment horizontal="center" vertical="center"/>
    </xf>
    <xf numFmtId="49" fontId="3" fillId="0" borderId="11" xfId="0" applyNumberFormat="1" applyFont="1" applyFill="1" applyBorder="1" applyAlignment="1">
      <alignment horizontal="center" vertical="center"/>
    </xf>
    <xf numFmtId="0" fontId="3" fillId="0" borderId="32" xfId="0" applyFont="1" applyFill="1" applyBorder="1" applyAlignment="1">
      <alignment horizontal="center" vertical="center" wrapText="1"/>
    </xf>
    <xf numFmtId="0" fontId="3" fillId="0" borderId="25" xfId="0"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32"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 fontId="6" fillId="0" borderId="1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3" fillId="0" borderId="25" xfId="0" applyNumberFormat="1" applyFont="1" applyFill="1" applyBorder="1" applyAlignment="1">
      <alignment horizontal="center" vertical="center" wrapText="1"/>
    </xf>
    <xf numFmtId="14" fontId="3" fillId="0" borderId="32" xfId="0" applyNumberFormat="1" applyFont="1" applyFill="1" applyBorder="1" applyAlignment="1">
      <alignment horizontal="center" vertical="center" wrapText="1"/>
    </xf>
    <xf numFmtId="14" fontId="3" fillId="0" borderId="25" xfId="0" applyNumberFormat="1" applyFont="1" applyFill="1" applyBorder="1" applyAlignment="1">
      <alignment horizontal="center" vertical="center" wrapText="1"/>
    </xf>
    <xf numFmtId="4" fontId="3" fillId="0" borderId="32" xfId="0" applyNumberFormat="1" applyFont="1" applyFill="1" applyBorder="1" applyAlignment="1">
      <alignment horizontal="center" vertical="center" wrapText="1"/>
    </xf>
    <xf numFmtId="4" fontId="3" fillId="0" borderId="25" xfId="0" applyNumberFormat="1" applyFont="1" applyFill="1" applyBorder="1" applyAlignment="1">
      <alignment horizontal="center" vertical="center" wrapText="1"/>
    </xf>
    <xf numFmtId="0" fontId="3" fillId="0" borderId="11" xfId="0" applyFont="1" applyFill="1" applyBorder="1" applyAlignment="1">
      <alignment vertical="center" wrapText="1"/>
    </xf>
    <xf numFmtId="3" fontId="3" fillId="2" borderId="11" xfId="0" applyNumberFormat="1" applyFont="1" applyFill="1" applyBorder="1" applyAlignment="1">
      <alignment horizontal="center" vertical="center" wrapText="1"/>
    </xf>
    <xf numFmtId="0" fontId="3" fillId="0" borderId="32"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4" fontId="3" fillId="0" borderId="11" xfId="0" applyNumberFormat="1" applyFont="1" applyFill="1" applyBorder="1" applyAlignment="1">
      <alignment vertical="center" wrapText="1"/>
    </xf>
    <xf numFmtId="0" fontId="3" fillId="2"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0" borderId="25" xfId="0" applyFont="1" applyFill="1" applyBorder="1" applyAlignment="1">
      <alignment horizontal="center" vertical="center"/>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0" fillId="0" borderId="48" xfId="0" applyBorder="1" applyAlignment="1">
      <alignment horizontal="center" vertical="center"/>
    </xf>
    <xf numFmtId="0" fontId="5" fillId="0" borderId="35"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32"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2" xfId="0" applyFont="1" applyBorder="1" applyAlignment="1">
      <alignment horizontal="center" vertical="center"/>
    </xf>
    <xf numFmtId="2" fontId="3" fillId="0" borderId="11" xfId="0" applyNumberFormat="1" applyFont="1" applyFill="1" applyBorder="1" applyAlignment="1">
      <alignment horizontal="center" vertical="center" wrapText="1"/>
    </xf>
    <xf numFmtId="44" fontId="3" fillId="0" borderId="11" xfId="2"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25" xfId="0" applyFont="1" applyFill="1" applyBorder="1" applyAlignment="1">
      <alignment horizontal="center" vertical="center" wrapText="1"/>
    </xf>
    <xf numFmtId="4" fontId="6" fillId="0" borderId="32" xfId="0" applyNumberFormat="1" applyFont="1" applyFill="1" applyBorder="1" applyAlignment="1">
      <alignment horizontal="center" vertical="center" wrapText="1"/>
    </xf>
    <xf numFmtId="4" fontId="6" fillId="0" borderId="25" xfId="0" applyNumberFormat="1" applyFont="1" applyFill="1" applyBorder="1" applyAlignment="1">
      <alignment horizontal="center" vertical="center" wrapText="1"/>
    </xf>
    <xf numFmtId="0" fontId="3" fillId="0" borderId="11" xfId="0" applyFont="1" applyFill="1" applyBorder="1" applyAlignment="1">
      <alignment horizontal="justify" vertical="center" wrapText="1"/>
    </xf>
    <xf numFmtId="3" fontId="6" fillId="0" borderId="25" xfId="0" applyNumberFormat="1" applyFont="1" applyFill="1" applyBorder="1" applyAlignment="1">
      <alignment horizontal="center" vertical="center" wrapText="1"/>
    </xf>
    <xf numFmtId="14" fontId="6" fillId="0" borderId="32" xfId="0" applyNumberFormat="1" applyFont="1" applyFill="1" applyBorder="1" applyAlignment="1">
      <alignment horizontal="center" vertical="center" wrapText="1"/>
    </xf>
    <xf numFmtId="14" fontId="6" fillId="0" borderId="25" xfId="0" applyNumberFormat="1" applyFont="1" applyFill="1" applyBorder="1" applyAlignment="1">
      <alignment horizontal="center" vertical="center" wrapText="1"/>
    </xf>
    <xf numFmtId="0" fontId="3" fillId="0" borderId="32" xfId="0" applyNumberFormat="1" applyFont="1" applyFill="1" applyBorder="1" applyAlignment="1">
      <alignment horizontal="right" vertical="center" wrapText="1"/>
    </xf>
    <xf numFmtId="0" fontId="3" fillId="0" borderId="32" xfId="0" applyFont="1" applyFill="1" applyBorder="1" applyAlignment="1">
      <alignment horizontal="justify" vertical="center" wrapText="1"/>
    </xf>
    <xf numFmtId="0" fontId="3" fillId="0" borderId="25" xfId="0" applyFont="1" applyFill="1" applyBorder="1" applyAlignment="1">
      <alignment horizontal="justify" vertical="center" wrapText="1"/>
    </xf>
    <xf numFmtId="0" fontId="0" fillId="0" borderId="34" xfId="0" applyBorder="1" applyAlignment="1">
      <alignment horizontal="center" vertical="center"/>
    </xf>
    <xf numFmtId="0" fontId="3" fillId="0" borderId="24" xfId="0" applyFont="1" applyFill="1" applyBorder="1" applyAlignment="1">
      <alignment horizontal="center" vertical="center" wrapText="1"/>
    </xf>
    <xf numFmtId="0" fontId="0" fillId="0" borderId="29" xfId="0" applyBorder="1" applyAlignment="1">
      <alignment horizontal="center" vertical="center"/>
    </xf>
    <xf numFmtId="0" fontId="3" fillId="0" borderId="37" xfId="0" applyFont="1" applyFill="1" applyBorder="1" applyAlignment="1">
      <alignment horizontal="center" vertical="center" wrapText="1"/>
    </xf>
    <xf numFmtId="0" fontId="18" fillId="0" borderId="0" xfId="0" applyFont="1" applyAlignment="1">
      <alignment horizontal="left" vertical="center"/>
    </xf>
    <xf numFmtId="0" fontId="3" fillId="2" borderId="69" xfId="0" applyFont="1" applyFill="1" applyBorder="1" applyAlignment="1">
      <alignment horizontal="center" vertical="center" wrapText="1"/>
    </xf>
    <xf numFmtId="0" fontId="3" fillId="2" borderId="24" xfId="0" applyFont="1" applyFill="1" applyBorder="1" applyAlignment="1">
      <alignment horizontal="center" vertical="center" wrapText="1"/>
    </xf>
    <xf numFmtId="3" fontId="3" fillId="2" borderId="32" xfId="0" applyNumberFormat="1" applyFont="1" applyFill="1" applyBorder="1" applyAlignment="1">
      <alignment horizontal="center" vertical="center" wrapText="1"/>
    </xf>
    <xf numFmtId="3" fontId="3" fillId="2" borderId="25" xfId="0" applyNumberFormat="1" applyFont="1" applyFill="1" applyBorder="1" applyAlignment="1">
      <alignment horizontal="center" vertical="center" wrapText="1"/>
    </xf>
    <xf numFmtId="3" fontId="3" fillId="2" borderId="22" xfId="0" applyNumberFormat="1" applyFont="1" applyFill="1" applyBorder="1" applyAlignment="1">
      <alignment horizontal="center" vertical="center" wrapText="1"/>
    </xf>
    <xf numFmtId="0" fontId="3" fillId="0" borderId="32"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3" fillId="2" borderId="32" xfId="0" applyFont="1" applyFill="1" applyBorder="1" applyAlignment="1">
      <alignment horizontal="left" vertical="center" wrapText="1"/>
    </xf>
    <xf numFmtId="0" fontId="3" fillId="2" borderId="25" xfId="0" applyFont="1" applyFill="1" applyBorder="1" applyAlignment="1">
      <alignment horizontal="left" vertical="center" wrapText="1"/>
    </xf>
    <xf numFmtId="14" fontId="3" fillId="2" borderId="11" xfId="0" applyNumberFormat="1" applyFont="1" applyFill="1" applyBorder="1" applyAlignment="1">
      <alignment horizontal="center" vertical="center" wrapText="1"/>
    </xf>
    <xf numFmtId="0" fontId="3" fillId="2" borderId="11" xfId="0" applyFont="1" applyFill="1" applyBorder="1" applyAlignment="1">
      <alignment horizontal="center" vertical="center"/>
    </xf>
    <xf numFmtId="49" fontId="3" fillId="2" borderId="11" xfId="0" applyNumberFormat="1" applyFont="1" applyFill="1" applyBorder="1" applyAlignment="1">
      <alignment horizontal="center" vertical="center" wrapText="1"/>
    </xf>
    <xf numFmtId="0" fontId="3" fillId="2" borderId="32" xfId="0" applyFont="1" applyFill="1" applyBorder="1" applyAlignment="1">
      <alignment horizontal="center" vertical="center"/>
    </xf>
    <xf numFmtId="0" fontId="3" fillId="2" borderId="22" xfId="0" applyFont="1" applyFill="1" applyBorder="1" applyAlignment="1">
      <alignment horizontal="center" vertical="center"/>
    </xf>
    <xf numFmtId="3" fontId="6" fillId="2" borderId="11" xfId="0" applyNumberFormat="1" applyFont="1" applyFill="1" applyBorder="1" applyAlignment="1">
      <alignment horizontal="center" vertical="center" wrapText="1"/>
    </xf>
    <xf numFmtId="4" fontId="3" fillId="0" borderId="11" xfId="0" applyNumberFormat="1" applyFont="1" applyFill="1" applyBorder="1" applyAlignment="1">
      <alignment horizontal="right" vertical="center" wrapText="1"/>
    </xf>
    <xf numFmtId="4" fontId="3" fillId="0" borderId="32" xfId="0" applyNumberFormat="1" applyFont="1" applyFill="1" applyBorder="1" applyAlignment="1">
      <alignment horizontal="right" vertical="center" wrapText="1"/>
    </xf>
    <xf numFmtId="4" fontId="3" fillId="0" borderId="25" xfId="0" applyNumberFormat="1" applyFont="1" applyFill="1" applyBorder="1" applyAlignment="1">
      <alignment horizontal="right" vertical="center" wrapText="1"/>
    </xf>
    <xf numFmtId="0" fontId="3" fillId="0" borderId="32" xfId="0" applyFont="1" applyFill="1" applyBorder="1" applyAlignment="1">
      <alignment horizontal="center" vertical="center"/>
    </xf>
    <xf numFmtId="0" fontId="3" fillId="0" borderId="0" xfId="0" applyFont="1" applyAlignment="1">
      <alignment horizontal="left" vertical="center"/>
    </xf>
    <xf numFmtId="0" fontId="6" fillId="0" borderId="32" xfId="0" applyFont="1" applyFill="1" applyBorder="1" applyAlignment="1">
      <alignment horizontal="center" vertical="center"/>
    </xf>
    <xf numFmtId="0" fontId="6" fillId="0" borderId="25" xfId="0" applyFont="1" applyFill="1" applyBorder="1" applyAlignment="1">
      <alignment horizontal="center" vertical="center"/>
    </xf>
    <xf numFmtId="2" fontId="6" fillId="0" borderId="32" xfId="0" applyNumberFormat="1" applyFont="1" applyFill="1" applyBorder="1" applyAlignment="1">
      <alignment horizontal="center" vertical="center" wrapText="1"/>
    </xf>
    <xf numFmtId="43" fontId="6" fillId="0" borderId="25" xfId="1" applyFont="1" applyFill="1" applyBorder="1" applyAlignment="1">
      <alignment horizontal="center" vertical="center" wrapText="1"/>
    </xf>
    <xf numFmtId="49" fontId="6" fillId="0" borderId="32" xfId="0" applyNumberFormat="1" applyFont="1" applyFill="1" applyBorder="1" applyAlignment="1">
      <alignment horizontal="center" vertical="center" wrapText="1"/>
    </xf>
    <xf numFmtId="49" fontId="6" fillId="0" borderId="25" xfId="0" applyNumberFormat="1" applyFont="1" applyFill="1" applyBorder="1" applyAlignment="1">
      <alignment horizontal="center" vertical="center" wrapText="1"/>
    </xf>
    <xf numFmtId="0" fontId="6" fillId="0" borderId="32" xfId="0" applyFont="1" applyFill="1" applyBorder="1" applyAlignment="1">
      <alignment horizontal="left" vertical="center" wrapText="1"/>
    </xf>
    <xf numFmtId="2" fontId="6" fillId="0" borderId="11" xfId="0" applyNumberFormat="1" applyFont="1" applyFill="1" applyBorder="1" applyAlignment="1">
      <alignment horizontal="center" vertical="center" wrapText="1"/>
    </xf>
    <xf numFmtId="14" fontId="6" fillId="0" borderId="11" xfId="0" applyNumberFormat="1" applyFont="1" applyFill="1" applyBorder="1" applyAlignment="1">
      <alignment horizontal="center" vertical="center" wrapText="1"/>
    </xf>
    <xf numFmtId="0" fontId="6" fillId="0" borderId="29"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7" xfId="0" applyFont="1" applyFill="1" applyBorder="1" applyAlignment="1">
      <alignment horizontal="center" vertical="center" wrapText="1"/>
    </xf>
    <xf numFmtId="9" fontId="6" fillId="0" borderId="11" xfId="0" applyNumberFormat="1" applyFont="1" applyFill="1" applyBorder="1" applyAlignment="1">
      <alignment horizontal="center" vertical="center" wrapText="1"/>
    </xf>
    <xf numFmtId="43" fontId="6" fillId="0" borderId="11" xfId="1"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0" fontId="6" fillId="0" borderId="11" xfId="0" applyFont="1" applyFill="1" applyBorder="1" applyAlignment="1">
      <alignment horizontal="left" vertical="center" wrapText="1"/>
    </xf>
    <xf numFmtId="0" fontId="6" fillId="0" borderId="11" xfId="0" applyFont="1" applyFill="1" applyBorder="1" applyAlignment="1">
      <alignment horizontal="center" vertical="center"/>
    </xf>
    <xf numFmtId="14" fontId="6" fillId="0" borderId="11" xfId="0" applyNumberFormat="1" applyFont="1" applyFill="1" applyBorder="1" applyAlignment="1">
      <alignment horizontal="center" vertical="center"/>
    </xf>
    <xf numFmtId="0" fontId="28" fillId="0" borderId="11"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49" fontId="5" fillId="0" borderId="10" xfId="0" applyNumberFormat="1" applyFont="1" applyFill="1" applyBorder="1" applyAlignment="1">
      <alignment horizontal="center" vertical="center" wrapText="1"/>
    </xf>
    <xf numFmtId="0" fontId="5" fillId="2" borderId="14"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11" fillId="0" borderId="0" xfId="0" applyFont="1" applyFill="1" applyAlignment="1">
      <alignment horizontal="center" vertical="center"/>
    </xf>
    <xf numFmtId="14" fontId="45" fillId="0" borderId="0" xfId="0" applyNumberFormat="1" applyFont="1" applyAlignment="1">
      <alignment horizontal="left" vertical="center"/>
    </xf>
    <xf numFmtId="0" fontId="9" fillId="0" borderId="0" xfId="0" applyFont="1" applyAlignment="1">
      <alignment vertical="center"/>
    </xf>
    <xf numFmtId="0" fontId="3" fillId="0" borderId="11" xfId="0" applyFont="1" applyFill="1" applyBorder="1" applyAlignment="1">
      <alignment horizontal="left" vertical="center" wrapText="1"/>
    </xf>
    <xf numFmtId="0" fontId="6" fillId="0" borderId="11" xfId="0" applyFont="1" applyFill="1" applyBorder="1" applyAlignment="1">
      <alignment vertical="center" wrapText="1"/>
    </xf>
    <xf numFmtId="43" fontId="3" fillId="0" borderId="11" xfId="1" applyFont="1" applyFill="1" applyBorder="1" applyAlignment="1">
      <alignment horizontal="center" vertical="center" wrapText="1"/>
    </xf>
    <xf numFmtId="0" fontId="27" fillId="0" borderId="11" xfId="0" applyFont="1" applyFill="1" applyBorder="1" applyAlignment="1">
      <alignment horizontal="center" vertical="center" wrapText="1"/>
    </xf>
    <xf numFmtId="164" fontId="3" fillId="0" borderId="11" xfId="0" applyNumberFormat="1" applyFont="1" applyFill="1" applyBorder="1" applyAlignment="1">
      <alignment vertical="center" wrapText="1"/>
    </xf>
    <xf numFmtId="43" fontId="3" fillId="0" borderId="11" xfId="0" applyNumberFormat="1" applyFont="1" applyFill="1" applyBorder="1" applyAlignment="1">
      <alignment vertical="center" wrapText="1"/>
    </xf>
    <xf numFmtId="165" fontId="3" fillId="0" borderId="11" xfId="0" applyNumberFormat="1" applyFont="1" applyFill="1" applyBorder="1" applyAlignment="1">
      <alignment vertical="center" wrapText="1"/>
    </xf>
    <xf numFmtId="43" fontId="17" fillId="0" borderId="11" xfId="1" applyFont="1" applyFill="1" applyBorder="1" applyAlignment="1">
      <alignment vertical="center" wrapText="1"/>
    </xf>
    <xf numFmtId="14" fontId="17" fillId="0" borderId="11" xfId="0" applyNumberFormat="1" applyFont="1" applyFill="1" applyBorder="1" applyAlignment="1">
      <alignment vertical="center" wrapText="1"/>
    </xf>
    <xf numFmtId="2" fontId="3" fillId="0" borderId="32" xfId="0" applyNumberFormat="1" applyFont="1" applyFill="1" applyBorder="1" applyAlignment="1">
      <alignment horizontal="center" vertical="center" wrapText="1"/>
    </xf>
    <xf numFmtId="43" fontId="6" fillId="0" borderId="11" xfId="1" applyFont="1" applyFill="1" applyBorder="1" applyAlignment="1">
      <alignment vertical="center" wrapText="1"/>
    </xf>
    <xf numFmtId="4" fontId="3" fillId="0" borderId="11" xfId="0" applyNumberFormat="1" applyFont="1" applyFill="1" applyBorder="1" applyAlignment="1">
      <alignment horizontal="left" vertical="center" wrapText="1"/>
    </xf>
    <xf numFmtId="166" fontId="3" fillId="0" borderId="11" xfId="0" applyNumberFormat="1" applyFont="1" applyFill="1" applyBorder="1" applyAlignment="1">
      <alignment horizontal="center" vertical="center" wrapText="1"/>
    </xf>
    <xf numFmtId="43" fontId="3" fillId="0" borderId="11" xfId="0" applyNumberFormat="1" applyFont="1" applyFill="1" applyBorder="1" applyAlignment="1">
      <alignment horizontal="right" vertical="center" wrapText="1"/>
    </xf>
    <xf numFmtId="43" fontId="3" fillId="0" borderId="32" xfId="1" applyFont="1" applyFill="1" applyBorder="1" applyAlignment="1">
      <alignment vertical="center" wrapText="1"/>
    </xf>
    <xf numFmtId="14" fontId="17" fillId="0" borderId="11" xfId="0" applyNumberFormat="1" applyFont="1" applyFill="1" applyBorder="1" applyAlignment="1">
      <alignment horizontal="center" vertical="center" wrapText="1"/>
    </xf>
    <xf numFmtId="0" fontId="3" fillId="0" borderId="0" xfId="0" applyFont="1" applyFill="1"/>
    <xf numFmtId="167" fontId="3" fillId="0" borderId="11" xfId="0" applyNumberFormat="1" applyFont="1" applyFill="1" applyBorder="1" applyAlignment="1">
      <alignment vertical="center" wrapText="1"/>
    </xf>
    <xf numFmtId="14" fontId="3" fillId="0" borderId="11" xfId="0" applyNumberFormat="1" applyFont="1" applyFill="1" applyBorder="1" applyAlignment="1">
      <alignment horizontal="justify" vertical="center" wrapText="1"/>
    </xf>
    <xf numFmtId="168" fontId="3" fillId="0" borderId="32" xfId="0" applyNumberFormat="1" applyFont="1" applyFill="1" applyBorder="1" applyAlignment="1">
      <alignment vertical="center" wrapText="1"/>
    </xf>
    <xf numFmtId="168" fontId="3" fillId="0" borderId="11" xfId="0" applyNumberFormat="1" applyFont="1" applyFill="1" applyBorder="1" applyAlignment="1">
      <alignment vertical="center" wrapText="1"/>
    </xf>
    <xf numFmtId="14" fontId="3" fillId="0" borderId="11" xfId="1" applyNumberFormat="1" applyFont="1" applyFill="1" applyBorder="1" applyAlignment="1">
      <alignment vertical="center" wrapText="1"/>
    </xf>
    <xf numFmtId="2" fontId="3" fillId="0" borderId="11" xfId="0" applyNumberFormat="1" applyFont="1" applyFill="1" applyBorder="1" applyAlignment="1">
      <alignment vertical="center" wrapText="1"/>
    </xf>
    <xf numFmtId="2" fontId="3" fillId="0" borderId="22" xfId="0" applyNumberFormat="1" applyFont="1" applyFill="1" applyBorder="1" applyAlignment="1">
      <alignment horizontal="center" vertical="center" wrapText="1"/>
    </xf>
    <xf numFmtId="0" fontId="27" fillId="0" borderId="11" xfId="0" applyFont="1" applyFill="1" applyBorder="1" applyAlignment="1">
      <alignment horizontal="left" vertical="center" wrapText="1"/>
    </xf>
    <xf numFmtId="0" fontId="27" fillId="0" borderId="11" xfId="0" applyFont="1" applyFill="1" applyBorder="1" applyAlignment="1">
      <alignment vertical="center" wrapText="1"/>
    </xf>
    <xf numFmtId="164" fontId="3" fillId="0" borderId="11" xfId="0" applyNumberFormat="1" applyFont="1" applyFill="1" applyBorder="1" applyAlignment="1">
      <alignment horizontal="center" vertical="center" wrapText="1"/>
    </xf>
    <xf numFmtId="4" fontId="3" fillId="0" borderId="0" xfId="0" applyNumberFormat="1" applyFont="1" applyFill="1" applyAlignment="1">
      <alignment vertical="center" wrapText="1"/>
    </xf>
    <xf numFmtId="165" fontId="3" fillId="0" borderId="25" xfId="0" applyNumberFormat="1" applyFont="1" applyFill="1" applyBorder="1" applyAlignment="1">
      <alignment horizontal="center" vertical="center" wrapText="1"/>
    </xf>
    <xf numFmtId="43" fontId="3" fillId="0" borderId="0" xfId="1" applyFont="1" applyFill="1" applyAlignment="1">
      <alignment vertical="center" wrapText="1"/>
    </xf>
    <xf numFmtId="169" fontId="3" fillId="0" borderId="11" xfId="0" applyNumberFormat="1" applyFont="1" applyFill="1" applyBorder="1" applyAlignment="1">
      <alignment horizontal="center" vertical="center" wrapText="1"/>
    </xf>
    <xf numFmtId="170" fontId="3" fillId="0" borderId="11" xfId="0" applyNumberFormat="1" applyFont="1" applyFill="1" applyBorder="1" applyAlignment="1">
      <alignment horizontal="center" vertical="center" wrapText="1"/>
    </xf>
    <xf numFmtId="171" fontId="3" fillId="0" borderId="11" xfId="0" applyNumberFormat="1" applyFont="1" applyFill="1" applyBorder="1" applyAlignment="1">
      <alignment horizontal="center" vertical="center" wrapText="1"/>
    </xf>
    <xf numFmtId="14" fontId="3" fillId="0" borderId="0" xfId="0" applyNumberFormat="1" applyFont="1" applyFill="1" applyAlignment="1">
      <alignment vertical="center" wrapText="1"/>
    </xf>
    <xf numFmtId="0" fontId="27" fillId="0" borderId="25" xfId="0" applyFont="1" applyFill="1" applyBorder="1" applyAlignment="1">
      <alignment horizontal="center" vertical="center" wrapText="1"/>
    </xf>
    <xf numFmtId="0" fontId="3" fillId="0" borderId="25" xfId="0" applyFont="1" applyFill="1" applyBorder="1" applyAlignment="1">
      <alignment vertical="center" wrapText="1"/>
    </xf>
    <xf numFmtId="0" fontId="27" fillId="0" borderId="32" xfId="0" applyFont="1" applyFill="1" applyBorder="1" applyAlignment="1">
      <alignment horizontal="center" vertical="center" wrapText="1"/>
    </xf>
    <xf numFmtId="43" fontId="3" fillId="0" borderId="32" xfId="1" applyFont="1" applyFill="1" applyBorder="1" applyAlignment="1">
      <alignment horizontal="right" vertical="center" wrapText="1"/>
    </xf>
    <xf numFmtId="14" fontId="3" fillId="0" borderId="25" xfId="0" applyNumberFormat="1" applyFont="1" applyFill="1" applyBorder="1" applyAlignment="1">
      <alignment vertical="center" wrapText="1"/>
    </xf>
    <xf numFmtId="0" fontId="3" fillId="0" borderId="0" xfId="0" applyFont="1" applyFill="1" applyAlignment="1">
      <alignment horizontal="right" vertical="center" wrapText="1"/>
    </xf>
    <xf numFmtId="0" fontId="3" fillId="0" borderId="22" xfId="0" applyFont="1" applyFill="1" applyBorder="1" applyAlignment="1">
      <alignment vertical="center" wrapText="1"/>
    </xf>
    <xf numFmtId="14" fontId="3" fillId="0" borderId="22" xfId="0" applyNumberFormat="1" applyFont="1" applyFill="1" applyBorder="1" applyAlignment="1">
      <alignment vertical="center" wrapText="1"/>
    </xf>
    <xf numFmtId="14" fontId="3" fillId="0" borderId="35" xfId="0" applyNumberFormat="1" applyFont="1" applyFill="1" applyBorder="1" applyAlignment="1">
      <alignment horizontal="center" vertical="center" wrapText="1"/>
    </xf>
    <xf numFmtId="0" fontId="5" fillId="0" borderId="0" xfId="0" applyFont="1" applyFill="1" applyAlignment="1">
      <alignment horizontal="justify" vertical="center" wrapText="1"/>
    </xf>
    <xf numFmtId="0" fontId="5" fillId="0" borderId="11" xfId="0" applyFont="1" applyFill="1" applyBorder="1" applyAlignment="1">
      <alignment horizontal="justify" vertical="center" wrapText="1"/>
    </xf>
    <xf numFmtId="2" fontId="3" fillId="0" borderId="58" xfId="0" applyNumberFormat="1" applyFont="1" applyFill="1" applyBorder="1" applyAlignment="1">
      <alignment horizontal="right" vertical="center" wrapText="1"/>
    </xf>
    <xf numFmtId="2" fontId="3" fillId="0" borderId="10" xfId="0" applyNumberFormat="1" applyFont="1" applyFill="1" applyBorder="1" applyAlignment="1">
      <alignment vertical="center" wrapText="1"/>
    </xf>
    <xf numFmtId="2" fontId="3" fillId="0" borderId="12" xfId="0" applyNumberFormat="1" applyFont="1" applyFill="1" applyBorder="1" applyAlignment="1">
      <alignment vertical="center" wrapText="1"/>
    </xf>
    <xf numFmtId="2" fontId="3" fillId="0" borderId="14" xfId="0" applyNumberFormat="1" applyFont="1" applyFill="1" applyBorder="1" applyAlignment="1">
      <alignment vertical="center" wrapText="1"/>
    </xf>
    <xf numFmtId="2" fontId="3" fillId="0" borderId="53" xfId="0" applyNumberFormat="1" applyFont="1" applyFill="1" applyBorder="1" applyAlignment="1">
      <alignment vertical="center" wrapText="1"/>
    </xf>
    <xf numFmtId="43" fontId="3" fillId="0" borderId="11" xfId="1" applyFont="1" applyFill="1" applyBorder="1" applyAlignment="1">
      <alignment vertical="center"/>
    </xf>
    <xf numFmtId="43" fontId="3" fillId="0" borderId="11" xfId="0" applyNumberFormat="1" applyFont="1" applyFill="1" applyBorder="1" applyAlignment="1">
      <alignment vertical="center"/>
    </xf>
    <xf numFmtId="43" fontId="3" fillId="0" borderId="0" xfId="1" applyFont="1" applyFill="1" applyAlignment="1">
      <alignment vertical="center"/>
    </xf>
    <xf numFmtId="0" fontId="3" fillId="0" borderId="11" xfId="0" applyFont="1" applyFill="1" applyBorder="1" applyAlignment="1">
      <alignment wrapText="1"/>
    </xf>
    <xf numFmtId="43" fontId="3" fillId="0" borderId="11" xfId="1" applyFont="1" applyFill="1" applyBorder="1"/>
    <xf numFmtId="3" fontId="49" fillId="0" borderId="11" xfId="3" applyNumberFormat="1" applyFont="1" applyFill="1" applyBorder="1" applyAlignment="1" applyProtection="1">
      <alignment horizontal="center" vertical="center" wrapText="1"/>
    </xf>
    <xf numFmtId="4" fontId="3" fillId="0" borderId="0" xfId="0" applyNumberFormat="1" applyFont="1" applyFill="1" applyAlignment="1">
      <alignment horizontal="right" vertical="center"/>
    </xf>
    <xf numFmtId="43" fontId="3" fillId="0" borderId="11" xfId="1" applyFont="1" applyFill="1" applyBorder="1" applyAlignment="1">
      <alignment horizontal="center" wrapText="1"/>
    </xf>
    <xf numFmtId="43" fontId="6" fillId="0" borderId="0" xfId="1" applyFont="1" applyFill="1" applyAlignment="1">
      <alignment vertical="center" wrapText="1"/>
    </xf>
    <xf numFmtId="43" fontId="50" fillId="0" borderId="11" xfId="1" applyFont="1" applyFill="1" applyBorder="1" applyAlignment="1">
      <alignment vertical="center" wrapText="1"/>
    </xf>
    <xf numFmtId="0" fontId="6" fillId="0" borderId="22" xfId="0" applyFont="1" applyFill="1" applyBorder="1" applyAlignment="1">
      <alignment vertical="center" wrapText="1"/>
    </xf>
    <xf numFmtId="165" fontId="6" fillId="0" borderId="11" xfId="0" applyNumberFormat="1" applyFont="1" applyFill="1" applyBorder="1" applyAlignment="1">
      <alignment vertical="center" wrapText="1"/>
    </xf>
    <xf numFmtId="0" fontId="27" fillId="0" borderId="22" xfId="0" applyFont="1" applyFill="1" applyBorder="1" applyAlignment="1">
      <alignment horizontal="left" vertical="center" wrapText="1"/>
    </xf>
    <xf numFmtId="173" fontId="6" fillId="0" borderId="11" xfId="0" applyNumberFormat="1" applyFont="1" applyFill="1" applyBorder="1" applyAlignment="1">
      <alignment vertical="center" wrapText="1"/>
    </xf>
    <xf numFmtId="0" fontId="6" fillId="0" borderId="0" xfId="0" applyFont="1" applyFill="1" applyAlignment="1">
      <alignment horizontal="center" vertical="center" wrapText="1"/>
    </xf>
    <xf numFmtId="164" fontId="6" fillId="0" borderId="11" xfId="1" applyNumberFormat="1" applyFont="1" applyFill="1" applyBorder="1" applyAlignment="1">
      <alignment vertical="center" wrapText="1"/>
    </xf>
    <xf numFmtId="166" fontId="6" fillId="0" borderId="11" xfId="1" applyNumberFormat="1" applyFont="1" applyFill="1" applyBorder="1" applyAlignment="1">
      <alignment vertical="center" wrapText="1"/>
    </xf>
    <xf numFmtId="173" fontId="6" fillId="0" borderId="11" xfId="0" applyNumberFormat="1" applyFont="1" applyFill="1" applyBorder="1" applyAlignment="1">
      <alignment horizontal="center" vertical="center" wrapText="1"/>
    </xf>
    <xf numFmtId="0" fontId="6" fillId="0" borderId="22" xfId="0" applyNumberFormat="1" applyFont="1" applyFill="1" applyBorder="1" applyAlignment="1">
      <alignment horizontal="center" vertical="center" wrapText="1"/>
    </xf>
    <xf numFmtId="3" fontId="6" fillId="0" borderId="0" xfId="0" applyNumberFormat="1" applyFont="1" applyFill="1" applyAlignment="1">
      <alignment horizontal="center" vertical="center" wrapText="1"/>
    </xf>
    <xf numFmtId="3" fontId="6" fillId="0" borderId="11" xfId="0" applyNumberFormat="1" applyFont="1" applyFill="1" applyBorder="1" applyAlignment="1">
      <alignment vertical="center" wrapText="1"/>
    </xf>
    <xf numFmtId="174" fontId="6" fillId="0" borderId="11" xfId="0" applyNumberFormat="1" applyFont="1" applyFill="1" applyBorder="1" applyAlignment="1">
      <alignment vertical="center" wrapText="1"/>
    </xf>
    <xf numFmtId="4" fontId="27" fillId="0" borderId="0" xfId="0" applyNumberFormat="1" applyFont="1" applyFill="1" applyAlignment="1">
      <alignment vertical="center" wrapText="1"/>
    </xf>
    <xf numFmtId="49" fontId="6" fillId="0" borderId="11" xfId="0" applyNumberFormat="1" applyFont="1" applyFill="1" applyBorder="1" applyAlignment="1">
      <alignment vertical="center" wrapText="1"/>
    </xf>
    <xf numFmtId="0" fontId="6" fillId="0" borderId="32" xfId="0" applyNumberFormat="1" applyFont="1" applyFill="1" applyBorder="1" applyAlignment="1">
      <alignment horizontal="center" vertical="center" wrapText="1"/>
    </xf>
    <xf numFmtId="14" fontId="6" fillId="0" borderId="11" xfId="0" applyNumberFormat="1" applyFont="1" applyFill="1" applyBorder="1" applyAlignment="1">
      <alignment horizontal="right" vertical="center" wrapText="1"/>
    </xf>
    <xf numFmtId="14" fontId="6" fillId="0" borderId="0" xfId="0" applyNumberFormat="1" applyFont="1" applyFill="1" applyAlignment="1">
      <alignment vertical="center" wrapText="1"/>
    </xf>
    <xf numFmtId="14" fontId="6" fillId="0" borderId="25" xfId="0" applyNumberFormat="1" applyFont="1" applyFill="1" applyBorder="1" applyAlignment="1">
      <alignment vertical="center" wrapText="1"/>
    </xf>
    <xf numFmtId="14" fontId="50" fillId="0" borderId="11" xfId="0" applyNumberFormat="1" applyFont="1" applyFill="1" applyBorder="1" applyAlignment="1">
      <alignment vertical="center" wrapText="1"/>
    </xf>
    <xf numFmtId="0" fontId="23" fillId="0" borderId="0" xfId="0" applyFont="1" applyFill="1" applyBorder="1" applyAlignment="1">
      <alignment horizontal="left"/>
    </xf>
    <xf numFmtId="0" fontId="23" fillId="0" borderId="0" xfId="0" applyFont="1" applyFill="1" applyBorder="1" applyAlignment="1">
      <alignment horizontal="center"/>
    </xf>
    <xf numFmtId="0" fontId="23" fillId="0" borderId="0" xfId="0" applyFont="1" applyFill="1" applyBorder="1" applyAlignment="1"/>
    <xf numFmtId="0" fontId="23" fillId="0" borderId="0" xfId="0" applyFont="1" applyFill="1" applyBorder="1" applyAlignment="1">
      <alignment horizontal="center" vertical="center"/>
    </xf>
    <xf numFmtId="43" fontId="23" fillId="0" borderId="0" xfId="1" applyFont="1" applyFill="1" applyBorder="1" applyAlignment="1">
      <alignment horizontal="center"/>
    </xf>
    <xf numFmtId="0" fontId="23" fillId="0" borderId="0" xfId="0" applyNumberFormat="1" applyFont="1" applyFill="1" applyBorder="1" applyAlignment="1">
      <alignment horizont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0" fontId="3" fillId="0" borderId="0" xfId="0" applyFont="1" applyFill="1" applyBorder="1" applyAlignment="1">
      <alignment horizontal="center" vertical="center"/>
    </xf>
    <xf numFmtId="43" fontId="3" fillId="0" borderId="0" xfId="1" applyFont="1" applyFill="1" applyBorder="1" applyAlignment="1">
      <alignment vertical="center"/>
    </xf>
    <xf numFmtId="0" fontId="20" fillId="0" borderId="0" xfId="0" applyFont="1" applyFill="1" applyBorder="1" applyAlignment="1"/>
    <xf numFmtId="0" fontId="20" fillId="0" borderId="0" xfId="0" applyFont="1" applyBorder="1"/>
    <xf numFmtId="0" fontId="20" fillId="0" borderId="0" xfId="0" applyFont="1" applyFill="1" applyBorder="1" applyAlignment="1">
      <alignment horizontal="left"/>
    </xf>
    <xf numFmtId="43" fontId="20" fillId="0" borderId="0" xfId="1" applyFont="1" applyFill="1" applyBorder="1" applyAlignment="1">
      <alignment horizontal="left"/>
    </xf>
    <xf numFmtId="0" fontId="20"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NumberFormat="1" applyFont="1" applyFill="1" applyBorder="1" applyAlignment="1">
      <alignment horizontal="left"/>
    </xf>
    <xf numFmtId="0" fontId="41"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20" fillId="0" borderId="0" xfId="0" applyFont="1" applyFill="1" applyBorder="1" applyAlignment="1">
      <alignment horizontal="right"/>
    </xf>
    <xf numFmtId="43" fontId="20" fillId="0" borderId="0" xfId="1" applyFont="1" applyFill="1" applyBorder="1" applyAlignment="1">
      <alignment horizontal="center"/>
    </xf>
    <xf numFmtId="0" fontId="20" fillId="0" borderId="0" xfId="0" applyNumberFormat="1"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horizontal="center" wrapText="1"/>
    </xf>
    <xf numFmtId="0" fontId="23" fillId="0" borderId="0" xfId="0" applyFont="1" applyFill="1" applyBorder="1" applyAlignment="1">
      <alignment horizontal="left" wrapText="1"/>
    </xf>
    <xf numFmtId="0" fontId="23" fillId="0" borderId="0" xfId="0" applyFont="1" applyFill="1" applyBorder="1" applyAlignment="1">
      <alignment wrapText="1"/>
    </xf>
    <xf numFmtId="0" fontId="24" fillId="0" borderId="0" xfId="0" applyFont="1" applyFill="1" applyBorder="1" applyAlignment="1">
      <alignment horizontal="center" vertical="center" wrapText="1"/>
    </xf>
    <xf numFmtId="0" fontId="23" fillId="0" borderId="0" xfId="0" applyFont="1" applyFill="1" applyBorder="1" applyAlignment="1">
      <alignment vertical="center" wrapText="1"/>
    </xf>
    <xf numFmtId="43" fontId="23" fillId="0" borderId="0" xfId="1" applyFont="1" applyFill="1" applyBorder="1" applyAlignment="1">
      <alignment wrapText="1"/>
    </xf>
    <xf numFmtId="0" fontId="23" fillId="0" borderId="0" xfId="0" applyNumberFormat="1" applyFont="1" applyFill="1" applyBorder="1" applyAlignment="1">
      <alignment wrapText="1"/>
    </xf>
    <xf numFmtId="43" fontId="14" fillId="0" borderId="0" xfId="1" applyFont="1" applyFill="1" applyBorder="1" applyAlignment="1">
      <alignment wrapText="1"/>
    </xf>
    <xf numFmtId="0" fontId="14" fillId="0" borderId="0" xfId="0" applyFont="1" applyFill="1" applyBorder="1" applyAlignment="1">
      <alignment horizontal="right" wrapText="1"/>
    </xf>
    <xf numFmtId="0" fontId="14" fillId="0" borderId="0" xfId="0" applyFont="1" applyFill="1" applyBorder="1" applyAlignment="1">
      <alignment horizontal="center" wrapText="1"/>
    </xf>
    <xf numFmtId="0" fontId="14" fillId="0" borderId="0" xfId="0" applyFont="1" applyFill="1" applyBorder="1" applyAlignment="1">
      <alignment horizontal="left" wrapText="1"/>
    </xf>
    <xf numFmtId="0" fontId="14" fillId="0" borderId="0" xfId="0" applyFont="1" applyFill="1" applyBorder="1" applyAlignment="1">
      <alignment wrapText="1"/>
    </xf>
    <xf numFmtId="0" fontId="0" fillId="0" borderId="0" xfId="0" applyFill="1" applyBorder="1" applyAlignment="1">
      <alignment horizontal="center"/>
    </xf>
    <xf numFmtId="43" fontId="0" fillId="0" borderId="0" xfId="1" applyFont="1" applyFill="1" applyBorder="1"/>
    <xf numFmtId="43" fontId="5" fillId="0" borderId="11" xfId="1" applyFont="1" applyFill="1" applyBorder="1" applyAlignment="1">
      <alignment horizontal="center" vertical="center" wrapText="1"/>
    </xf>
    <xf numFmtId="0" fontId="5" fillId="0" borderId="11" xfId="0" applyFont="1" applyFill="1" applyBorder="1" applyAlignment="1">
      <alignment horizontal="center" wrapText="1"/>
    </xf>
    <xf numFmtId="0" fontId="5" fillId="0" borderId="11" xfId="0" applyNumberFormat="1" applyFont="1" applyFill="1" applyBorder="1" applyAlignment="1">
      <alignment wrapText="1"/>
    </xf>
    <xf numFmtId="2" fontId="5" fillId="0" borderId="11" xfId="0" applyNumberFormat="1" applyFont="1" applyFill="1" applyBorder="1" applyAlignment="1">
      <alignment horizontal="center" wrapText="1"/>
    </xf>
    <xf numFmtId="0" fontId="5" fillId="0" borderId="0" xfId="0" applyFont="1"/>
    <xf numFmtId="0" fontId="3" fillId="0" borderId="0" xfId="0" applyFont="1" applyFill="1" applyBorder="1" applyAlignment="1">
      <alignment horizontal="right" wrapText="1"/>
    </xf>
    <xf numFmtId="0" fontId="3" fillId="0" borderId="0" xfId="0" applyFont="1" applyFill="1" applyBorder="1" applyAlignment="1">
      <alignment horizontal="left" wrapText="1"/>
    </xf>
    <xf numFmtId="0" fontId="3" fillId="0" borderId="0" xfId="0" applyFont="1" applyFill="1" applyBorder="1" applyAlignment="1">
      <alignment wrapText="1"/>
    </xf>
    <xf numFmtId="43" fontId="3" fillId="0" borderId="0" xfId="1" applyFont="1" applyFill="1" applyBorder="1" applyAlignment="1">
      <alignment wrapText="1"/>
    </xf>
    <xf numFmtId="0" fontId="3" fillId="0" borderId="0" xfId="0" applyNumberFormat="1" applyFont="1" applyFill="1" applyBorder="1" applyAlignment="1">
      <alignment wrapText="1"/>
    </xf>
    <xf numFmtId="0" fontId="3" fillId="0" borderId="0" xfId="0" applyFont="1" applyBorder="1"/>
    <xf numFmtId="164" fontId="3" fillId="0" borderId="25" xfId="0" applyNumberFormat="1" applyFont="1" applyFill="1" applyBorder="1" applyAlignment="1">
      <alignment vertical="center" wrapText="1"/>
    </xf>
    <xf numFmtId="43" fontId="3" fillId="0" borderId="25" xfId="0" applyNumberFormat="1" applyFont="1" applyFill="1" applyBorder="1" applyAlignment="1">
      <alignment vertical="center" wrapText="1"/>
    </xf>
    <xf numFmtId="0" fontId="3" fillId="0" borderId="14" xfId="0" applyFont="1" applyFill="1" applyBorder="1" applyAlignment="1">
      <alignment horizontal="right" vertical="center" wrapText="1"/>
    </xf>
    <xf numFmtId="0" fontId="27" fillId="0" borderId="14" xfId="0" applyFont="1" applyFill="1" applyBorder="1" applyAlignment="1">
      <alignment horizontal="right" vertical="center" wrapText="1"/>
    </xf>
    <xf numFmtId="0" fontId="3" fillId="0" borderId="51" xfId="0" applyFont="1" applyFill="1" applyBorder="1" applyAlignment="1">
      <alignment horizontal="right" vertical="center" wrapText="1"/>
    </xf>
    <xf numFmtId="0" fontId="3" fillId="0" borderId="37" xfId="0" applyFont="1" applyFill="1" applyBorder="1" applyAlignment="1">
      <alignment horizontal="right" vertical="center" wrapText="1"/>
    </xf>
    <xf numFmtId="0" fontId="3" fillId="0" borderId="69" xfId="0" applyFont="1" applyFill="1" applyBorder="1" applyAlignment="1">
      <alignment horizontal="right" vertical="center" wrapText="1"/>
    </xf>
    <xf numFmtId="0" fontId="3" fillId="0" borderId="37" xfId="0" applyFont="1" applyFill="1" applyBorder="1" applyAlignment="1">
      <alignment vertical="center" wrapText="1"/>
    </xf>
    <xf numFmtId="0" fontId="3" fillId="0" borderId="14" xfId="0" applyFont="1" applyFill="1" applyBorder="1" applyAlignment="1">
      <alignment horizontal="right" vertical="center"/>
    </xf>
    <xf numFmtId="0" fontId="6" fillId="0" borderId="14" xfId="0" applyFont="1" applyFill="1" applyBorder="1" applyAlignment="1">
      <alignment horizontal="right" vertical="center" wrapText="1"/>
    </xf>
    <xf numFmtId="0" fontId="23" fillId="0" borderId="14" xfId="0" applyFont="1" applyFill="1" applyBorder="1" applyAlignment="1">
      <alignment horizontal="right" vertical="center" wrapText="1"/>
    </xf>
    <xf numFmtId="0" fontId="3" fillId="0" borderId="4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23" fillId="0" borderId="52" xfId="0" applyFont="1" applyFill="1" applyBorder="1" applyAlignment="1">
      <alignment horizontal="center" vertical="center" wrapText="1"/>
    </xf>
    <xf numFmtId="43" fontId="5" fillId="0" borderId="17" xfId="1" applyFont="1" applyFill="1" applyBorder="1" applyAlignment="1">
      <alignment horizontal="center" vertical="center" wrapText="1"/>
    </xf>
    <xf numFmtId="0" fontId="5" fillId="0" borderId="17" xfId="0" applyNumberFormat="1" applyFont="1" applyFill="1" applyBorder="1" applyAlignment="1">
      <alignment horizontal="center" vertical="center" wrapText="1"/>
    </xf>
    <xf numFmtId="0" fontId="0" fillId="0" borderId="0" xfId="0" applyFont="1" applyFill="1" applyBorder="1"/>
    <xf numFmtId="0" fontId="18" fillId="0" borderId="0" xfId="0" applyFont="1" applyAlignment="1">
      <alignment horizontal="left"/>
    </xf>
    <xf numFmtId="0" fontId="18" fillId="0" borderId="0" xfId="0" applyFont="1" applyAlignment="1"/>
    <xf numFmtId="0" fontId="0" fillId="0" borderId="0" xfId="0" applyBorder="1" applyAlignment="1"/>
    <xf numFmtId="3" fontId="0" fillId="0" borderId="0" xfId="0" applyNumberFormat="1" applyBorder="1" applyAlignment="1">
      <alignment horizontal="center" vertical="center"/>
    </xf>
    <xf numFmtId="10" fontId="0" fillId="0" borderId="0" xfId="0" applyNumberFormat="1" applyBorder="1" applyAlignment="1"/>
    <xf numFmtId="176" fontId="0" fillId="0" borderId="0" xfId="0" applyNumberFormat="1" applyBorder="1" applyAlignment="1"/>
    <xf numFmtId="0" fontId="0" fillId="0" borderId="0" xfId="0" applyBorder="1" applyAlignment="1">
      <alignment horizontal="left"/>
    </xf>
    <xf numFmtId="0" fontId="0" fillId="0" borderId="0" xfId="0" applyBorder="1" applyAlignment="1">
      <alignment horizontal="center" vertical="center"/>
    </xf>
    <xf numFmtId="0" fontId="0" fillId="0" borderId="0" xfId="0" applyBorder="1" applyAlignment="1">
      <alignment vertical="center"/>
    </xf>
    <xf numFmtId="14" fontId="0" fillId="0" borderId="0" xfId="0" applyNumberFormat="1" applyBorder="1" applyAlignment="1">
      <alignment horizontal="center" vertical="center"/>
    </xf>
    <xf numFmtId="10" fontId="0" fillId="0" borderId="0" xfId="0" applyNumberFormat="1" applyBorder="1"/>
    <xf numFmtId="0" fontId="0" fillId="0" borderId="0" xfId="0" applyBorder="1" applyAlignment="1">
      <alignment horizontal="left" vertical="center"/>
    </xf>
    <xf numFmtId="176" fontId="0" fillId="0" borderId="0" xfId="0" applyNumberFormat="1" applyBorder="1" applyAlignment="1">
      <alignment horizontal="left"/>
    </xf>
    <xf numFmtId="0" fontId="3" fillId="2" borderId="48" xfId="0" applyFont="1" applyFill="1" applyBorder="1" applyAlignment="1">
      <alignment horizontal="center" vertical="center"/>
    </xf>
    <xf numFmtId="0" fontId="3" fillId="2" borderId="48" xfId="0" applyFont="1" applyFill="1" applyBorder="1" applyAlignment="1" applyProtection="1">
      <alignment horizontal="center" vertical="center"/>
      <protection locked="0"/>
    </xf>
    <xf numFmtId="0" fontId="3" fillId="2" borderId="37" xfId="0" applyFont="1" applyFill="1" applyBorder="1" applyAlignment="1">
      <alignment horizontal="center" vertical="center"/>
    </xf>
    <xf numFmtId="176" fontId="3" fillId="2" borderId="32" xfId="0" applyNumberFormat="1" applyFont="1" applyFill="1" applyBorder="1" applyAlignment="1">
      <alignment horizontal="center" vertical="center"/>
    </xf>
    <xf numFmtId="4" fontId="5" fillId="2" borderId="60" xfId="0" applyNumberFormat="1" applyFont="1" applyFill="1" applyBorder="1" applyAlignment="1">
      <alignment horizontal="center" vertical="center" wrapText="1"/>
    </xf>
    <xf numFmtId="0" fontId="5" fillId="2" borderId="60" xfId="0" applyFont="1" applyFill="1" applyBorder="1" applyAlignment="1">
      <alignment horizontal="center" vertical="center" wrapText="1"/>
    </xf>
    <xf numFmtId="3" fontId="5" fillId="2" borderId="60" xfId="0" applyNumberFormat="1" applyFont="1" applyFill="1" applyBorder="1" applyAlignment="1">
      <alignment horizontal="center" vertical="center" wrapText="1"/>
    </xf>
    <xf numFmtId="10" fontId="5" fillId="2" borderId="60" xfId="0" applyNumberFormat="1" applyFont="1" applyFill="1" applyBorder="1" applyAlignment="1">
      <alignment horizontal="center" vertical="center" wrapText="1"/>
    </xf>
    <xf numFmtId="2" fontId="5" fillId="2" borderId="60" xfId="0" applyNumberFormat="1" applyFont="1" applyFill="1" applyBorder="1" applyAlignment="1">
      <alignment horizontal="center" vertical="center" wrapText="1"/>
    </xf>
    <xf numFmtId="176" fontId="5" fillId="2" borderId="60" xfId="0" applyNumberFormat="1" applyFont="1" applyFill="1" applyBorder="1" applyAlignment="1">
      <alignment horizontal="center" vertical="center" wrapText="1"/>
    </xf>
    <xf numFmtId="0" fontId="3" fillId="2" borderId="60" xfId="0" applyFont="1" applyFill="1" applyBorder="1" applyAlignment="1">
      <alignment horizontal="center" vertical="center" wrapText="1"/>
    </xf>
    <xf numFmtId="3" fontId="3" fillId="2" borderId="60" xfId="0" applyNumberFormat="1" applyFont="1" applyFill="1" applyBorder="1" applyAlignment="1">
      <alignment horizontal="center" vertical="center" wrapText="1"/>
    </xf>
    <xf numFmtId="14" fontId="3" fillId="2" borderId="60" xfId="0" applyNumberFormat="1" applyFont="1" applyFill="1" applyBorder="1" applyAlignment="1">
      <alignment horizontal="center" vertical="center" wrapText="1"/>
    </xf>
    <xf numFmtId="0" fontId="3" fillId="2" borderId="60" xfId="0" applyFont="1" applyFill="1" applyBorder="1" applyAlignment="1">
      <alignment horizontal="center" vertical="center"/>
    </xf>
    <xf numFmtId="0" fontId="3" fillId="2" borderId="61" xfId="0" applyFont="1" applyFill="1" applyBorder="1" applyAlignment="1">
      <alignment horizontal="center" vertical="center"/>
    </xf>
    <xf numFmtId="0" fontId="3" fillId="0" borderId="48" xfId="0" applyNumberFormat="1" applyFont="1" applyFill="1" applyBorder="1" applyAlignment="1" applyProtection="1">
      <alignment horizontal="center" vertical="center"/>
      <protection locked="0"/>
    </xf>
    <xf numFmtId="176" fontId="3" fillId="0" borderId="11" xfId="0" applyNumberFormat="1" applyFont="1" applyFill="1" applyBorder="1" applyAlignment="1">
      <alignment horizontal="center" vertical="center"/>
    </xf>
    <xf numFmtId="0" fontId="3" fillId="0" borderId="37" xfId="0" applyFont="1" applyFill="1" applyBorder="1" applyAlignment="1">
      <alignment horizontal="center" vertical="center"/>
    </xf>
    <xf numFmtId="176" fontId="3" fillId="0" borderId="32" xfId="0" applyNumberFormat="1" applyFont="1" applyFill="1" applyBorder="1" applyAlignment="1">
      <alignment horizontal="center" vertical="center"/>
    </xf>
    <xf numFmtId="49" fontId="3" fillId="2" borderId="32" xfId="0" applyNumberFormat="1" applyFont="1" applyFill="1" applyBorder="1" applyAlignment="1">
      <alignment horizontal="center" vertical="center"/>
    </xf>
    <xf numFmtId="0" fontId="3" fillId="0" borderId="52" xfId="0" applyNumberFormat="1" applyFont="1" applyFill="1" applyBorder="1" applyAlignment="1" applyProtection="1">
      <alignment horizontal="center" vertical="center"/>
      <protection locked="0"/>
    </xf>
    <xf numFmtId="0" fontId="3" fillId="2" borderId="0" xfId="0" applyFont="1" applyFill="1" applyBorder="1"/>
    <xf numFmtId="0" fontId="3" fillId="4" borderId="0" xfId="0" applyFont="1" applyFill="1" applyBorder="1"/>
    <xf numFmtId="0" fontId="3" fillId="4" borderId="0" xfId="0" applyFont="1" applyFill="1"/>
    <xf numFmtId="0" fontId="3" fillId="0" borderId="11" xfId="0" applyFont="1" applyBorder="1" applyAlignment="1">
      <alignment horizontal="center" vertical="center"/>
    </xf>
    <xf numFmtId="0" fontId="3" fillId="0" borderId="12" xfId="0" applyFont="1" applyBorder="1" applyAlignment="1">
      <alignment horizontal="center" vertical="center"/>
    </xf>
    <xf numFmtId="176" fontId="3" fillId="0" borderId="17" xfId="0" applyNumberFormat="1" applyFont="1" applyFill="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49" fontId="3" fillId="2" borderId="25" xfId="0" applyNumberFormat="1" applyFont="1" applyFill="1" applyBorder="1" applyAlignment="1">
      <alignment horizontal="center" vertical="center" wrapText="1"/>
    </xf>
    <xf numFmtId="14" fontId="3" fillId="2" borderId="25" xfId="0" applyNumberFormat="1" applyFont="1" applyFill="1" applyBorder="1" applyAlignment="1">
      <alignment horizontal="center" vertical="center" wrapText="1"/>
    </xf>
    <xf numFmtId="4" fontId="6" fillId="2" borderId="25" xfId="0" applyNumberFormat="1" applyFont="1" applyFill="1" applyBorder="1" applyAlignment="1">
      <alignment horizontal="center" vertical="center" wrapText="1"/>
    </xf>
    <xf numFmtId="0" fontId="7" fillId="2" borderId="25" xfId="0" applyFont="1" applyFill="1" applyBorder="1" applyAlignment="1">
      <alignment horizontal="center" vertical="center" wrapText="1"/>
    </xf>
    <xf numFmtId="0" fontId="3" fillId="2" borderId="25" xfId="0" applyNumberFormat="1" applyFont="1" applyFill="1" applyBorder="1" applyAlignment="1">
      <alignment horizontal="center" vertical="center" wrapText="1"/>
    </xf>
    <xf numFmtId="0" fontId="7" fillId="2" borderId="11" xfId="0" applyFont="1" applyFill="1" applyBorder="1" applyAlignment="1">
      <alignment horizontal="center" vertical="center" wrapText="1"/>
    </xf>
    <xf numFmtId="4" fontId="6" fillId="2" borderId="11" xfId="0" applyNumberFormat="1" applyFont="1" applyFill="1" applyBorder="1" applyAlignment="1">
      <alignment horizontal="center" vertical="center"/>
    </xf>
    <xf numFmtId="49" fontId="6" fillId="2" borderId="11" xfId="0" applyNumberFormat="1" applyFont="1" applyFill="1" applyBorder="1" applyAlignment="1">
      <alignment horizontal="center" vertical="center" wrapText="1"/>
    </xf>
    <xf numFmtId="10" fontId="3" fillId="2" borderId="11" xfId="0" applyNumberFormat="1" applyFont="1" applyFill="1" applyBorder="1" applyAlignment="1">
      <alignment horizontal="center" vertical="center"/>
    </xf>
    <xf numFmtId="10" fontId="37" fillId="2" borderId="11" xfId="0" applyNumberFormat="1" applyFont="1" applyFill="1" applyBorder="1" applyAlignment="1">
      <alignment horizontal="center" vertical="center" wrapText="1"/>
    </xf>
    <xf numFmtId="0" fontId="3" fillId="3" borderId="0" xfId="0" applyFont="1" applyFill="1" applyBorder="1"/>
    <xf numFmtId="0" fontId="3" fillId="3" borderId="0" xfId="0" applyFont="1" applyFill="1"/>
    <xf numFmtId="49" fontId="3" fillId="2" borderId="32" xfId="0" applyNumberFormat="1" applyFont="1" applyFill="1" applyBorder="1" applyAlignment="1">
      <alignment horizontal="center" vertical="center" wrapText="1"/>
    </xf>
    <xf numFmtId="49" fontId="3" fillId="2" borderId="22" xfId="0" applyNumberFormat="1" applyFont="1" applyFill="1" applyBorder="1" applyAlignment="1">
      <alignment horizontal="center" vertical="center" wrapText="1"/>
    </xf>
    <xf numFmtId="0" fontId="6" fillId="2" borderId="14" xfId="0" applyFont="1" applyFill="1" applyBorder="1" applyAlignment="1">
      <alignment horizontal="center" vertical="center" wrapText="1"/>
    </xf>
    <xf numFmtId="14" fontId="6" fillId="2" borderId="11" xfId="0" applyNumberFormat="1" applyFont="1" applyFill="1" applyBorder="1" applyAlignment="1">
      <alignment horizontal="center" vertical="center" wrapText="1"/>
    </xf>
    <xf numFmtId="3" fontId="7" fillId="2" borderId="11" xfId="0" applyNumberFormat="1" applyFont="1" applyFill="1" applyBorder="1" applyAlignment="1">
      <alignment horizontal="center" vertical="center" wrapText="1"/>
    </xf>
    <xf numFmtId="0" fontId="7" fillId="2" borderId="11" xfId="0" applyFont="1" applyFill="1" applyBorder="1" applyAlignment="1">
      <alignment horizontal="center" vertical="center"/>
    </xf>
    <xf numFmtId="14" fontId="7" fillId="2" borderId="11" xfId="0" applyNumberFormat="1" applyFont="1" applyFill="1" applyBorder="1" applyAlignment="1">
      <alignment horizontal="center" vertical="center" wrapText="1"/>
    </xf>
    <xf numFmtId="0" fontId="6" fillId="2" borderId="14" xfId="0" applyFont="1" applyFill="1" applyBorder="1" applyAlignment="1">
      <alignment horizontal="center" vertical="center"/>
    </xf>
    <xf numFmtId="0" fontId="6" fillId="2" borderId="11" xfId="0" applyFont="1" applyFill="1" applyBorder="1" applyAlignment="1">
      <alignment horizontal="center" vertical="center"/>
    </xf>
    <xf numFmtId="14" fontId="6" fillId="2" borderId="11" xfId="0" applyNumberFormat="1" applyFont="1" applyFill="1" applyBorder="1" applyAlignment="1">
      <alignment horizontal="center" vertical="center"/>
    </xf>
    <xf numFmtId="4" fontId="6" fillId="2" borderId="11" xfId="1" applyNumberFormat="1" applyFont="1" applyFill="1" applyBorder="1" applyAlignment="1">
      <alignment horizontal="center" vertical="center"/>
    </xf>
    <xf numFmtId="176" fontId="6" fillId="2" borderId="11" xfId="1" applyNumberFormat="1" applyFont="1" applyFill="1" applyBorder="1" applyAlignment="1">
      <alignment horizontal="center" vertical="center"/>
    </xf>
    <xf numFmtId="176" fontId="3" fillId="2" borderId="11" xfId="2" applyNumberFormat="1" applyFont="1" applyFill="1" applyBorder="1" applyAlignment="1">
      <alignment horizontal="center" vertical="center" wrapText="1"/>
    </xf>
    <xf numFmtId="4" fontId="3" fillId="2" borderId="11" xfId="2" applyNumberFormat="1" applyFont="1" applyFill="1" applyBorder="1" applyAlignment="1">
      <alignment horizontal="center" vertical="center" wrapText="1"/>
    </xf>
    <xf numFmtId="176" fontId="6" fillId="2" borderId="11" xfId="2" applyNumberFormat="1" applyFont="1" applyFill="1" applyBorder="1" applyAlignment="1">
      <alignment horizontal="center" vertical="center"/>
    </xf>
    <xf numFmtId="4" fontId="33" fillId="2" borderId="11" xfId="2" applyNumberFormat="1" applyFont="1" applyFill="1" applyBorder="1" applyAlignment="1">
      <alignment horizontal="center" vertical="center"/>
    </xf>
    <xf numFmtId="0" fontId="6" fillId="2" borderId="48" xfId="0" applyFont="1" applyFill="1" applyBorder="1" applyAlignment="1">
      <alignment horizontal="center" vertical="center"/>
    </xf>
    <xf numFmtId="43" fontId="6" fillId="2" borderId="11" xfId="1" applyFont="1" applyFill="1" applyBorder="1" applyAlignment="1">
      <alignment horizontal="center" vertical="center"/>
    </xf>
    <xf numFmtId="4" fontId="3" fillId="2" borderId="11" xfId="0" applyNumberFormat="1" applyFont="1" applyFill="1" applyBorder="1" applyAlignment="1">
      <alignment horizontal="center" vertical="center"/>
    </xf>
    <xf numFmtId="0" fontId="3" fillId="0" borderId="0" xfId="0" applyFont="1" applyFill="1" applyBorder="1"/>
    <xf numFmtId="4" fontId="6" fillId="2" borderId="32" xfId="0" applyNumberFormat="1" applyFont="1" applyFill="1" applyBorder="1" applyAlignment="1">
      <alignment horizontal="center" vertical="center" wrapText="1"/>
    </xf>
    <xf numFmtId="10" fontId="3" fillId="0" borderId="0" xfId="0" applyNumberFormat="1" applyFont="1"/>
    <xf numFmtId="176" fontId="3" fillId="0" borderId="0" xfId="0" applyNumberFormat="1" applyFont="1"/>
    <xf numFmtId="0" fontId="18" fillId="0" borderId="0" xfId="0" applyFont="1" applyBorder="1" applyAlignment="1"/>
    <xf numFmtId="14" fontId="18" fillId="0" borderId="0" xfId="0" applyNumberFormat="1" applyFont="1" applyBorder="1" applyAlignment="1">
      <alignment horizontal="center" vertical="center"/>
    </xf>
    <xf numFmtId="14" fontId="18" fillId="0" borderId="0" xfId="0" applyNumberFormat="1" applyFont="1" applyBorder="1" applyAlignment="1"/>
    <xf numFmtId="14" fontId="20" fillId="0" borderId="0" xfId="0" applyNumberFormat="1" applyFont="1" applyBorder="1"/>
    <xf numFmtId="0" fontId="20" fillId="0" borderId="0" xfId="0" applyFont="1" applyBorder="1" applyAlignment="1">
      <alignment horizontal="left"/>
    </xf>
    <xf numFmtId="14" fontId="20" fillId="0" borderId="0" xfId="0" applyNumberFormat="1" applyFont="1" applyBorder="1" applyAlignment="1">
      <alignment horizontal="center" vertical="center"/>
    </xf>
    <xf numFmtId="0" fontId="20" fillId="0" borderId="0" xfId="0" applyFont="1" applyBorder="1" applyAlignment="1">
      <alignment horizontal="left" vertical="center"/>
    </xf>
    <xf numFmtId="10" fontId="20" fillId="0" borderId="0" xfId="0" applyNumberFormat="1" applyFont="1" applyBorder="1"/>
    <xf numFmtId="176" fontId="20" fillId="0" borderId="0" xfId="0" applyNumberFormat="1" applyFont="1" applyBorder="1" applyAlignment="1">
      <alignment horizontal="left"/>
    </xf>
    <xf numFmtId="0" fontId="18" fillId="0" borderId="0" xfId="0" applyFont="1" applyBorder="1" applyAlignment="1">
      <alignment horizontal="left"/>
    </xf>
    <xf numFmtId="0" fontId="20" fillId="0" borderId="0" xfId="0" applyFont="1" applyBorder="1" applyAlignment="1"/>
    <xf numFmtId="0" fontId="20" fillId="0" borderId="0" xfId="0" applyFont="1" applyBorder="1" applyAlignment="1">
      <alignment horizontal="center" vertical="center"/>
    </xf>
    <xf numFmtId="0" fontId="20" fillId="0" borderId="0" xfId="0" applyFont="1" applyBorder="1" applyAlignment="1">
      <alignment vertical="center"/>
    </xf>
    <xf numFmtId="3" fontId="20" fillId="0" borderId="0" xfId="0" applyNumberFormat="1" applyFont="1" applyBorder="1" applyAlignment="1">
      <alignment horizontal="center" vertical="center"/>
    </xf>
    <xf numFmtId="10" fontId="20" fillId="0" borderId="0" xfId="0" applyNumberFormat="1" applyFont="1" applyBorder="1" applyAlignment="1"/>
    <xf numFmtId="14" fontId="18" fillId="0" borderId="0" xfId="0" applyNumberFormat="1" applyFont="1" applyBorder="1" applyAlignment="1">
      <alignment horizontal="left" vertical="center"/>
    </xf>
    <xf numFmtId="14" fontId="18" fillId="0" borderId="0" xfId="0" applyNumberFormat="1" applyFont="1" applyBorder="1" applyAlignment="1">
      <alignment horizontal="left"/>
    </xf>
    <xf numFmtId="2" fontId="18" fillId="0" borderId="0" xfId="0" applyNumberFormat="1" applyFont="1" applyBorder="1" applyAlignment="1">
      <alignment horizontal="left"/>
    </xf>
    <xf numFmtId="10" fontId="18" fillId="0" borderId="0" xfId="0" applyNumberFormat="1" applyFont="1" applyBorder="1" applyAlignment="1">
      <alignment horizontal="left"/>
    </xf>
    <xf numFmtId="4" fontId="18" fillId="0" borderId="0" xfId="0" applyNumberFormat="1" applyFont="1" applyBorder="1" applyAlignment="1">
      <alignment horizontal="left"/>
    </xf>
    <xf numFmtId="0" fontId="18" fillId="0" borderId="0" xfId="0" applyFont="1" applyBorder="1" applyAlignment="1">
      <alignment horizontal="center"/>
    </xf>
    <xf numFmtId="2" fontId="20" fillId="0" borderId="0" xfId="0" applyNumberFormat="1" applyFont="1" applyBorder="1" applyAlignment="1"/>
    <xf numFmtId="0" fontId="18" fillId="0" borderId="0" xfId="0" applyFont="1" applyBorder="1" applyAlignment="1">
      <alignment horizontal="center" vertical="center"/>
    </xf>
    <xf numFmtId="14" fontId="18" fillId="0" borderId="0" xfId="0" applyNumberFormat="1" applyFont="1" applyBorder="1" applyAlignment="1">
      <alignment horizontal="center"/>
    </xf>
    <xf numFmtId="0" fontId="18" fillId="0" borderId="0" xfId="0" applyNumberFormat="1" applyFont="1" applyBorder="1" applyAlignment="1">
      <alignment horizontal="center"/>
    </xf>
    <xf numFmtId="10" fontId="18" fillId="0" borderId="0" xfId="0" applyNumberFormat="1" applyFont="1" applyBorder="1" applyAlignment="1">
      <alignment horizontal="center"/>
    </xf>
    <xf numFmtId="0" fontId="18" fillId="2" borderId="0" xfId="0" applyFont="1" applyFill="1" applyBorder="1" applyAlignment="1">
      <alignment horizontal="center"/>
    </xf>
    <xf numFmtId="0" fontId="18" fillId="0" borderId="0" xfId="0" applyFont="1" applyBorder="1" applyAlignment="1">
      <alignment vertical="center"/>
    </xf>
    <xf numFmtId="0" fontId="18" fillId="0" borderId="0" xfId="0" applyFont="1" applyFill="1" applyBorder="1" applyAlignment="1"/>
    <xf numFmtId="0" fontId="3" fillId="0" borderId="25" xfId="0" applyFont="1" applyFill="1" applyBorder="1" applyAlignment="1">
      <alignment horizontal="right" vertical="center" wrapText="1"/>
    </xf>
    <xf numFmtId="3" fontId="3" fillId="0" borderId="25" xfId="0" applyNumberFormat="1" applyFont="1" applyFill="1" applyBorder="1" applyAlignment="1">
      <alignment horizontal="justify" vertical="center" wrapText="1"/>
    </xf>
    <xf numFmtId="3" fontId="3" fillId="0" borderId="25" xfId="0" applyNumberFormat="1" applyFont="1" applyFill="1" applyBorder="1" applyAlignment="1">
      <alignment vertical="center" wrapText="1"/>
    </xf>
    <xf numFmtId="0" fontId="5" fillId="0" borderId="11" xfId="0" applyFont="1" applyFill="1" applyBorder="1" applyAlignment="1">
      <alignment horizontal="center" vertical="center"/>
    </xf>
    <xf numFmtId="0" fontId="5" fillId="0" borderId="56" xfId="0" applyFont="1" applyFill="1" applyBorder="1" applyAlignment="1">
      <alignment horizontal="center" vertical="center"/>
    </xf>
    <xf numFmtId="14" fontId="0" fillId="0" borderId="0" xfId="0" applyNumberFormat="1" applyAlignment="1">
      <alignment vertical="center"/>
    </xf>
    <xf numFmtId="0" fontId="29" fillId="2" borderId="0" xfId="0" applyFont="1" applyFill="1" applyAlignment="1">
      <alignment horizontal="center" vertical="center"/>
    </xf>
    <xf numFmtId="0" fontId="3" fillId="0" borderId="26" xfId="0" applyFont="1" applyFill="1" applyBorder="1" applyAlignment="1">
      <alignment horizontal="center" vertical="center"/>
    </xf>
    <xf numFmtId="0" fontId="0" fillId="0" borderId="0" xfId="0" applyFont="1" applyFill="1" applyAlignment="1">
      <alignment vertical="center"/>
    </xf>
    <xf numFmtId="0" fontId="3" fillId="0" borderId="32" xfId="0" applyFont="1" applyFill="1" applyBorder="1" applyAlignment="1">
      <alignment vertical="center"/>
    </xf>
    <xf numFmtId="4" fontId="5" fillId="0" borderId="17" xfId="0" applyNumberFormat="1" applyFont="1" applyFill="1" applyBorder="1" applyAlignment="1">
      <alignment vertical="center" wrapText="1"/>
    </xf>
    <xf numFmtId="4" fontId="0" fillId="0" borderId="11" xfId="0" applyNumberFormat="1" applyFill="1" applyBorder="1" applyAlignment="1">
      <alignment vertical="center"/>
    </xf>
    <xf numFmtId="4" fontId="5" fillId="0" borderId="11" xfId="0" applyNumberFormat="1" applyFont="1" applyFill="1" applyBorder="1" applyAlignment="1">
      <alignment vertical="center" wrapText="1"/>
    </xf>
    <xf numFmtId="4" fontId="3" fillId="0" borderId="19" xfId="0" applyNumberFormat="1" applyFont="1" applyFill="1" applyBorder="1" applyAlignment="1">
      <alignment horizontal="center" vertical="center" wrapText="1"/>
    </xf>
    <xf numFmtId="4" fontId="3" fillId="0" borderId="17" xfId="0" applyNumberFormat="1" applyFont="1" applyFill="1" applyBorder="1" applyAlignment="1">
      <alignment horizontal="center" vertical="center"/>
    </xf>
    <xf numFmtId="4" fontId="3" fillId="0" borderId="18" xfId="0" applyNumberFormat="1" applyFont="1" applyFill="1" applyBorder="1" applyAlignment="1">
      <alignment horizontal="center" vertical="center"/>
    </xf>
    <xf numFmtId="4" fontId="0" fillId="2" borderId="0" xfId="0" applyNumberFormat="1" applyFill="1" applyAlignment="1">
      <alignment vertical="center"/>
    </xf>
    <xf numFmtId="4" fontId="0" fillId="0" borderId="0" xfId="0" applyNumberFormat="1" applyAlignment="1">
      <alignment vertical="center"/>
    </xf>
    <xf numFmtId="0" fontId="18" fillId="0" borderId="0" xfId="0" applyFont="1" applyFill="1" applyAlignment="1">
      <alignment horizontal="left" vertical="center"/>
    </xf>
    <xf numFmtId="0" fontId="18" fillId="2" borderId="0" xfId="0" applyFont="1" applyFill="1" applyAlignment="1">
      <alignment horizontal="center" vertical="center"/>
    </xf>
    <xf numFmtId="0" fontId="20" fillId="0" borderId="0" xfId="0" applyFont="1" applyAlignment="1">
      <alignment horizontal="left"/>
    </xf>
    <xf numFmtId="0" fontId="32" fillId="0" borderId="29" xfId="0" applyFont="1" applyBorder="1" applyAlignment="1">
      <alignment horizontal="center" vertical="center"/>
    </xf>
    <xf numFmtId="3" fontId="3" fillId="2" borderId="32" xfId="0" applyNumberFormat="1" applyFont="1" applyFill="1" applyBorder="1" applyAlignment="1">
      <alignment horizontal="center" vertical="center"/>
    </xf>
    <xf numFmtId="43" fontId="3" fillId="2" borderId="32" xfId="1" applyFont="1" applyFill="1" applyBorder="1" applyAlignment="1">
      <alignment horizontal="center" vertical="center"/>
    </xf>
    <xf numFmtId="9" fontId="3" fillId="0" borderId="32" xfId="4" applyFont="1" applyFill="1" applyBorder="1" applyAlignment="1">
      <alignment horizontal="center" vertical="center" wrapText="1"/>
    </xf>
    <xf numFmtId="43" fontId="3" fillId="2" borderId="32" xfId="1" applyFont="1" applyFill="1" applyBorder="1" applyAlignment="1">
      <alignment horizontal="right" vertical="center" wrapText="1"/>
    </xf>
    <xf numFmtId="2" fontId="6" fillId="2" borderId="32" xfId="0" applyNumberFormat="1" applyFont="1" applyFill="1" applyBorder="1" applyAlignment="1">
      <alignment horizontal="center" vertical="center" wrapText="1"/>
    </xf>
    <xf numFmtId="2" fontId="6" fillId="2" borderId="32" xfId="0" applyNumberFormat="1" applyFont="1" applyFill="1" applyBorder="1" applyAlignment="1">
      <alignment horizontal="right" vertical="center" wrapText="1"/>
    </xf>
    <xf numFmtId="0" fontId="20" fillId="0" borderId="0" xfId="0" applyFont="1" applyAlignment="1"/>
    <xf numFmtId="0" fontId="20" fillId="0" borderId="0" xfId="0" applyFont="1" applyAlignment="1">
      <alignment horizontal="center" vertical="center"/>
    </xf>
    <xf numFmtId="43" fontId="18" fillId="0" borderId="0" xfId="0" applyNumberFormat="1" applyFont="1" applyAlignment="1">
      <alignment horizontal="left" vertical="center"/>
    </xf>
    <xf numFmtId="0" fontId="32" fillId="0" borderId="0" xfId="0" applyFont="1" applyAlignment="1">
      <alignment vertical="center"/>
    </xf>
    <xf numFmtId="0" fontId="5" fillId="0" borderId="59"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32" fillId="0" borderId="0" xfId="0" applyFont="1" applyFill="1" applyAlignment="1">
      <alignment vertical="center"/>
    </xf>
    <xf numFmtId="0" fontId="5" fillId="2" borderId="17" xfId="0" applyFont="1" applyFill="1" applyBorder="1" applyAlignment="1">
      <alignment horizontal="center" vertical="center"/>
    </xf>
    <xf numFmtId="0" fontId="3" fillId="0" borderId="11" xfId="0" applyFont="1" applyBorder="1" applyAlignment="1">
      <alignment vertical="center"/>
    </xf>
    <xf numFmtId="0" fontId="3" fillId="2" borderId="11" xfId="0" applyFont="1" applyFill="1" applyBorder="1" applyAlignment="1">
      <alignment horizontal="justify" vertical="center"/>
    </xf>
    <xf numFmtId="0" fontId="32" fillId="0" borderId="0" xfId="0" applyFont="1" applyBorder="1" applyAlignment="1">
      <alignment vertical="center"/>
    </xf>
    <xf numFmtId="0" fontId="32" fillId="0" borderId="11" xfId="0" applyFont="1" applyBorder="1" applyAlignment="1">
      <alignment vertical="center"/>
    </xf>
    <xf numFmtId="0" fontId="32" fillId="2" borderId="11" xfId="0" applyFont="1" applyFill="1" applyBorder="1" applyAlignment="1">
      <alignment vertical="center"/>
    </xf>
    <xf numFmtId="43" fontId="32" fillId="2" borderId="11" xfId="1" applyFont="1" applyFill="1" applyBorder="1" applyAlignment="1">
      <alignment vertical="center"/>
    </xf>
    <xf numFmtId="0" fontId="32" fillId="0" borderId="11" xfId="0" applyFont="1" applyFill="1" applyBorder="1" applyAlignment="1">
      <alignment vertical="center"/>
    </xf>
    <xf numFmtId="43" fontId="32" fillId="0" borderId="11" xfId="1" applyFont="1" applyFill="1" applyBorder="1" applyAlignment="1">
      <alignment vertical="center"/>
    </xf>
    <xf numFmtId="0" fontId="32" fillId="2" borderId="11" xfId="0" applyFont="1" applyFill="1" applyBorder="1" applyAlignment="1">
      <alignment horizontal="center" vertical="center"/>
    </xf>
    <xf numFmtId="0" fontId="32" fillId="0" borderId="32" xfId="0" applyFont="1" applyBorder="1" applyAlignment="1">
      <alignment vertical="center"/>
    </xf>
    <xf numFmtId="0" fontId="32" fillId="2" borderId="32" xfId="0" applyFont="1" applyFill="1" applyBorder="1" applyAlignment="1">
      <alignment vertical="center"/>
    </xf>
    <xf numFmtId="43" fontId="32" fillId="2" borderId="32" xfId="1" applyFont="1" applyFill="1" applyBorder="1" applyAlignment="1">
      <alignment vertical="center"/>
    </xf>
    <xf numFmtId="43" fontId="5" fillId="0" borderId="60" xfId="0" applyNumberFormat="1" applyFont="1" applyFill="1" applyBorder="1" applyAlignment="1">
      <alignment vertical="center" wrapText="1"/>
    </xf>
    <xf numFmtId="43" fontId="5" fillId="0" borderId="60" xfId="1" applyFont="1" applyFill="1" applyBorder="1" applyAlignment="1">
      <alignment horizontal="right" vertical="center" wrapText="1"/>
    </xf>
    <xf numFmtId="49" fontId="5" fillId="0" borderId="60" xfId="0" applyNumberFormat="1" applyFont="1" applyFill="1" applyBorder="1" applyAlignment="1">
      <alignment vertical="center" wrapText="1"/>
    </xf>
    <xf numFmtId="2" fontId="5" fillId="2" borderId="60" xfId="0" applyNumberFormat="1" applyFont="1" applyFill="1" applyBorder="1" applyAlignment="1">
      <alignment vertical="center" wrapText="1"/>
    </xf>
    <xf numFmtId="3" fontId="5" fillId="2" borderId="60" xfId="0" applyNumberFormat="1" applyFont="1" applyFill="1" applyBorder="1" applyAlignment="1">
      <alignment vertical="center" wrapText="1"/>
    </xf>
    <xf numFmtId="14" fontId="5" fillId="2" borderId="60" xfId="0" applyNumberFormat="1" applyFont="1" applyFill="1" applyBorder="1" applyAlignment="1">
      <alignment vertical="center" wrapText="1"/>
    </xf>
    <xf numFmtId="0" fontId="5" fillId="0" borderId="60" xfId="0" applyFont="1" applyBorder="1" applyAlignment="1">
      <alignment horizontal="center" vertical="center"/>
    </xf>
    <xf numFmtId="0" fontId="5" fillId="0" borderId="61" xfId="0" applyFont="1" applyBorder="1" applyAlignment="1">
      <alignment horizontal="center" vertical="center"/>
    </xf>
    <xf numFmtId="43" fontId="32" fillId="0" borderId="0" xfId="1" applyFont="1" applyAlignment="1">
      <alignment vertical="center"/>
    </xf>
    <xf numFmtId="0" fontId="5" fillId="0" borderId="75" xfId="0" applyFont="1" applyFill="1" applyBorder="1" applyAlignment="1">
      <alignment vertical="center" wrapText="1"/>
    </xf>
    <xf numFmtId="44" fontId="0" fillId="0" borderId="0" xfId="0" applyNumberFormat="1" applyAlignment="1">
      <alignment vertical="center"/>
    </xf>
    <xf numFmtId="0" fontId="0" fillId="0" borderId="0" xfId="0" applyNumberFormat="1" applyAlignment="1">
      <alignment vertical="center"/>
    </xf>
    <xf numFmtId="0" fontId="31" fillId="0" borderId="0" xfId="0" applyFont="1" applyAlignment="1">
      <alignment horizontal="center" vertical="center"/>
    </xf>
    <xf numFmtId="0" fontId="54" fillId="0" borderId="0" xfId="0" applyFont="1" applyFill="1" applyAlignment="1">
      <alignment horizontal="right" vertical="center"/>
    </xf>
    <xf numFmtId="0" fontId="54" fillId="0" borderId="0" xfId="0" applyFont="1" applyFill="1" applyAlignment="1">
      <alignment horizontal="left" vertical="center"/>
    </xf>
    <xf numFmtId="0" fontId="54" fillId="0" borderId="0" xfId="0" applyFont="1" applyFill="1" applyAlignment="1">
      <alignment horizontal="center" vertical="center"/>
    </xf>
    <xf numFmtId="0" fontId="41" fillId="0" borderId="0" xfId="0" applyFont="1" applyFill="1" applyAlignment="1">
      <alignment vertical="center"/>
    </xf>
    <xf numFmtId="0" fontId="6" fillId="0" borderId="75" xfId="0" applyFont="1" applyFill="1" applyBorder="1" applyAlignment="1">
      <alignment vertical="center" wrapText="1"/>
    </xf>
    <xf numFmtId="43" fontId="30" fillId="0" borderId="0" xfId="0" applyNumberFormat="1" applyFont="1" applyFill="1" applyAlignment="1">
      <alignment vertical="center"/>
    </xf>
    <xf numFmtId="43" fontId="30" fillId="0" borderId="0" xfId="0" applyNumberFormat="1" applyFont="1" applyFill="1" applyAlignment="1">
      <alignment horizontal="right" vertical="center"/>
    </xf>
    <xf numFmtId="0" fontId="30" fillId="0" borderId="0" xfId="0" applyFont="1" applyFill="1" applyAlignment="1">
      <alignment horizontal="center" vertical="center"/>
    </xf>
    <xf numFmtId="0" fontId="54" fillId="0" borderId="0" xfId="0" applyFont="1" applyFill="1" applyAlignment="1">
      <alignment vertical="center"/>
    </xf>
    <xf numFmtId="49" fontId="0" fillId="0" borderId="0" xfId="0" applyNumberFormat="1" applyFill="1"/>
    <xf numFmtId="43" fontId="0" fillId="0" borderId="0" xfId="0" applyNumberFormat="1" applyFill="1"/>
    <xf numFmtId="0" fontId="20" fillId="0" borderId="0" xfId="0" applyFont="1" applyFill="1"/>
    <xf numFmtId="0" fontId="20" fillId="0" borderId="0" xfId="0" applyFont="1" applyFill="1" applyAlignment="1">
      <alignment horizontal="left"/>
    </xf>
    <xf numFmtId="49" fontId="20" fillId="0" borderId="0" xfId="0" applyNumberFormat="1" applyFont="1" applyFill="1" applyAlignment="1">
      <alignment horizontal="left"/>
    </xf>
    <xf numFmtId="0" fontId="18" fillId="0" borderId="0" xfId="0" applyFont="1" applyFill="1" applyAlignment="1">
      <alignment horizontal="justify"/>
    </xf>
    <xf numFmtId="0" fontId="18" fillId="0" borderId="0" xfId="0" applyFont="1" applyFill="1" applyAlignment="1">
      <alignment horizontal="left"/>
    </xf>
    <xf numFmtId="0" fontId="18" fillId="0" borderId="0" xfId="0" applyFont="1" applyFill="1" applyAlignment="1">
      <alignment horizontal="center"/>
    </xf>
    <xf numFmtId="49" fontId="18" fillId="0" borderId="0" xfId="0" applyNumberFormat="1" applyFont="1" applyFill="1" applyAlignment="1">
      <alignment horizontal="left"/>
    </xf>
    <xf numFmtId="0" fontId="20" fillId="0" borderId="0" xfId="0" applyFont="1" applyFill="1" applyAlignment="1">
      <alignment horizontal="center"/>
    </xf>
    <xf numFmtId="49" fontId="18" fillId="0" borderId="0" xfId="0" applyNumberFormat="1" applyFont="1" applyFill="1" applyAlignment="1">
      <alignment horizontal="center"/>
    </xf>
    <xf numFmtId="0" fontId="18" fillId="0" borderId="0" xfId="0" applyFont="1" applyFill="1" applyAlignment="1"/>
    <xf numFmtId="49" fontId="18" fillId="0" borderId="0" xfId="0" applyNumberFormat="1" applyFont="1" applyFill="1" applyAlignment="1"/>
    <xf numFmtId="0" fontId="3" fillId="0" borderId="75" xfId="0" applyFont="1" applyFill="1" applyBorder="1" applyAlignment="1">
      <alignment wrapText="1"/>
    </xf>
    <xf numFmtId="49" fontId="0" fillId="0" borderId="0" xfId="0" applyNumberFormat="1" applyFill="1" applyAlignment="1">
      <alignment horizontal="left" vertical="center"/>
    </xf>
    <xf numFmtId="0" fontId="18" fillId="0" borderId="0" xfId="0" applyFont="1" applyFill="1" applyAlignment="1">
      <alignment vertical="center"/>
    </xf>
    <xf numFmtId="0" fontId="20" fillId="0" borderId="0" xfId="0" applyFont="1" applyFill="1" applyAlignment="1">
      <alignment vertical="center"/>
    </xf>
    <xf numFmtId="0" fontId="20" fillId="0" borderId="0" xfId="0" applyFont="1" applyFill="1" applyAlignment="1">
      <alignment horizontal="left" vertical="center"/>
    </xf>
    <xf numFmtId="49" fontId="20" fillId="0" borderId="0" xfId="0" applyNumberFormat="1" applyFont="1" applyFill="1" applyAlignment="1">
      <alignment horizontal="left" vertical="center"/>
    </xf>
    <xf numFmtId="0" fontId="18" fillId="0" borderId="0" xfId="0" applyFont="1" applyFill="1" applyAlignment="1">
      <alignment horizontal="justify" vertical="center"/>
    </xf>
    <xf numFmtId="0" fontId="18" fillId="0" borderId="0" xfId="0" applyFont="1" applyFill="1" applyAlignment="1">
      <alignment horizontal="center" vertical="center"/>
    </xf>
    <xf numFmtId="49" fontId="18" fillId="0" borderId="0" xfId="0" applyNumberFormat="1" applyFont="1" applyFill="1" applyAlignment="1">
      <alignment horizontal="left" vertical="center"/>
    </xf>
    <xf numFmtId="0" fontId="20" fillId="0" borderId="0" xfId="0" applyFont="1" applyFill="1" applyAlignment="1">
      <alignment horizontal="center" vertical="center"/>
    </xf>
    <xf numFmtId="49" fontId="18" fillId="0" borderId="0" xfId="0" applyNumberFormat="1" applyFont="1" applyFill="1" applyAlignment="1">
      <alignment horizontal="center" vertical="center"/>
    </xf>
    <xf numFmtId="49" fontId="18" fillId="0" borderId="0" xfId="0" applyNumberFormat="1" applyFont="1" applyFill="1" applyAlignment="1">
      <alignment vertical="center"/>
    </xf>
    <xf numFmtId="0" fontId="3" fillId="0" borderId="75" xfId="0" applyFont="1" applyFill="1" applyBorder="1" applyAlignment="1">
      <alignmen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0" fillId="0" borderId="16" xfId="0" applyFill="1" applyBorder="1" applyAlignment="1">
      <alignment vertical="center"/>
    </xf>
    <xf numFmtId="0" fontId="0" fillId="0" borderId="17" xfId="0" applyFill="1" applyBorder="1" applyAlignment="1">
      <alignment vertical="center"/>
    </xf>
    <xf numFmtId="0" fontId="0" fillId="0" borderId="18" xfId="0" applyFill="1" applyBorder="1" applyAlignment="1">
      <alignment vertical="center"/>
    </xf>
    <xf numFmtId="0" fontId="0" fillId="0" borderId="59" xfId="0" applyFill="1" applyBorder="1" applyAlignment="1">
      <alignment vertical="center"/>
    </xf>
    <xf numFmtId="0" fontId="0" fillId="0" borderId="60" xfId="0" applyFill="1" applyBorder="1" applyAlignment="1">
      <alignment vertical="center"/>
    </xf>
    <xf numFmtId="0" fontId="0" fillId="0" borderId="61" xfId="0" applyFill="1" applyBorder="1" applyAlignment="1">
      <alignment vertical="center"/>
    </xf>
    <xf numFmtId="0" fontId="0" fillId="0" borderId="5"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0" fontId="0" fillId="0" borderId="21" xfId="0" applyFill="1" applyBorder="1" applyAlignment="1">
      <alignment vertical="center"/>
    </xf>
    <xf numFmtId="0" fontId="0" fillId="0" borderId="22" xfId="0" applyFill="1" applyBorder="1" applyAlignment="1">
      <alignment vertical="center"/>
    </xf>
    <xf numFmtId="0" fontId="0" fillId="0" borderId="23" xfId="0" applyFill="1" applyBorder="1" applyAlignment="1">
      <alignment vertical="center"/>
    </xf>
    <xf numFmtId="0" fontId="0" fillId="0" borderId="10" xfId="0" applyFill="1" applyBorder="1" applyAlignment="1">
      <alignment vertical="center"/>
    </xf>
    <xf numFmtId="0" fontId="0" fillId="0" borderId="11" xfId="0" applyFill="1" applyBorder="1" applyAlignment="1">
      <alignment vertical="center"/>
    </xf>
    <xf numFmtId="0" fontId="0" fillId="0" borderId="12" xfId="0" applyFill="1" applyBorder="1" applyAlignment="1">
      <alignment vertical="center"/>
    </xf>
    <xf numFmtId="0" fontId="0" fillId="0" borderId="69" xfId="0" applyFill="1" applyBorder="1" applyAlignment="1">
      <alignment vertical="center"/>
    </xf>
    <xf numFmtId="0" fontId="0" fillId="0" borderId="2" xfId="0" applyFill="1" applyBorder="1" applyAlignment="1">
      <alignment vertical="center"/>
    </xf>
    <xf numFmtId="0" fontId="0" fillId="0" borderId="3" xfId="0" applyFill="1" applyBorder="1" applyAlignment="1">
      <alignment vertical="center"/>
    </xf>
    <xf numFmtId="0" fontId="0" fillId="0" borderId="4"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0" borderId="30" xfId="0" applyFill="1" applyBorder="1" applyAlignment="1">
      <alignment vertical="center"/>
    </xf>
    <xf numFmtId="0" fontId="0" fillId="0" borderId="38" xfId="0" applyFill="1" applyBorder="1" applyAlignment="1">
      <alignment vertical="center"/>
    </xf>
    <xf numFmtId="0" fontId="0" fillId="0" borderId="39" xfId="0" applyFill="1" applyBorder="1" applyAlignment="1">
      <alignment vertical="center"/>
    </xf>
    <xf numFmtId="0" fontId="0" fillId="0" borderId="72" xfId="0" applyFill="1" applyBorder="1" applyAlignment="1">
      <alignment vertical="center"/>
    </xf>
    <xf numFmtId="0" fontId="3" fillId="0" borderId="60" xfId="0" applyFont="1" applyFill="1" applyBorder="1" applyAlignment="1">
      <alignment horizontal="center" vertical="center"/>
    </xf>
    <xf numFmtId="0" fontId="3" fillId="0" borderId="61" xfId="0" applyFont="1" applyFill="1" applyBorder="1" applyAlignment="1">
      <alignment horizontal="center" vertical="center"/>
    </xf>
    <xf numFmtId="4" fontId="0" fillId="0" borderId="0" xfId="0" applyNumberFormat="1" applyFill="1" applyAlignment="1">
      <alignment vertical="center"/>
    </xf>
    <xf numFmtId="49" fontId="0" fillId="0" borderId="0" xfId="0" applyNumberFormat="1" applyFill="1" applyAlignment="1">
      <alignment vertical="center"/>
    </xf>
    <xf numFmtId="43" fontId="0" fillId="0" borderId="0" xfId="0" applyNumberFormat="1" applyFill="1" applyAlignment="1">
      <alignment vertical="center"/>
    </xf>
    <xf numFmtId="0" fontId="3" fillId="0" borderId="75" xfId="0" applyFont="1" applyFill="1" applyBorder="1" applyAlignment="1"/>
    <xf numFmtId="49" fontId="5" fillId="0" borderId="14"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0" fontId="5" fillId="0" borderId="75" xfId="0" applyFont="1" applyFill="1" applyBorder="1" applyAlignment="1">
      <alignment vertical="center"/>
    </xf>
    <xf numFmtId="0" fontId="3" fillId="2" borderId="27"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5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54" xfId="0" applyFont="1" applyFill="1" applyBorder="1" applyAlignment="1">
      <alignment horizontal="center" vertical="center"/>
    </xf>
    <xf numFmtId="0" fontId="3" fillId="2" borderId="26" xfId="0" applyFont="1" applyFill="1" applyBorder="1" applyAlignment="1">
      <alignment horizontal="center" vertical="center"/>
    </xf>
    <xf numFmtId="0" fontId="0" fillId="2" borderId="0" xfId="0" applyFill="1" applyAlignment="1">
      <alignment vertical="center"/>
    </xf>
    <xf numFmtId="0" fontId="3" fillId="2" borderId="10" xfId="0" applyFont="1" applyFill="1" applyBorder="1" applyAlignment="1">
      <alignment horizontal="center" vertical="center"/>
    </xf>
    <xf numFmtId="0" fontId="3" fillId="2" borderId="53" xfId="0" applyFont="1" applyFill="1" applyBorder="1" applyAlignment="1">
      <alignment horizontal="center" vertical="center"/>
    </xf>
    <xf numFmtId="0" fontId="3" fillId="2" borderId="51" xfId="0" applyFont="1" applyFill="1" applyBorder="1" applyAlignment="1">
      <alignment horizontal="center" vertical="center"/>
    </xf>
    <xf numFmtId="0" fontId="3" fillId="2" borderId="35" xfId="0" applyFont="1" applyFill="1" applyBorder="1" applyAlignment="1">
      <alignment horizontal="center" vertical="center"/>
    </xf>
    <xf numFmtId="0" fontId="3" fillId="2" borderId="30" xfId="0" applyFont="1" applyFill="1" applyBorder="1" applyAlignment="1">
      <alignment horizontal="center" vertical="center"/>
    </xf>
    <xf numFmtId="4" fontId="5" fillId="0" borderId="65" xfId="0" applyNumberFormat="1" applyFont="1" applyFill="1" applyBorder="1" applyAlignment="1">
      <alignment vertical="center" wrapText="1"/>
    </xf>
    <xf numFmtId="4" fontId="5" fillId="0" borderId="66" xfId="0" applyNumberFormat="1" applyFont="1" applyFill="1" applyBorder="1" applyAlignment="1">
      <alignment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0" borderId="11"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0" fontId="3" fillId="0" borderId="25" xfId="0" applyFont="1" applyFill="1" applyBorder="1" applyAlignment="1">
      <alignment horizontal="center" vertical="center" wrapText="1"/>
    </xf>
    <xf numFmtId="14" fontId="3" fillId="0" borderId="25"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14" fontId="3" fillId="0" borderId="11" xfId="0" applyNumberFormat="1" applyFont="1" applyFill="1" applyBorder="1" applyAlignment="1">
      <alignment horizontal="center" vertical="center" wrapText="1"/>
    </xf>
    <xf numFmtId="4" fontId="3" fillId="0" borderId="11" xfId="0" applyNumberFormat="1" applyFont="1" applyFill="1" applyBorder="1" applyAlignment="1">
      <alignment horizontal="center" vertical="center" wrapText="1"/>
    </xf>
    <xf numFmtId="3" fontId="3" fillId="0" borderId="11" xfId="0" applyNumberFormat="1" applyFont="1" applyFill="1" applyBorder="1" applyAlignment="1">
      <alignment vertical="center" wrapText="1"/>
    </xf>
    <xf numFmtId="14" fontId="3" fillId="0" borderId="11" xfId="0" applyNumberFormat="1" applyFont="1" applyFill="1" applyBorder="1" applyAlignment="1">
      <alignment vertical="center" wrapText="1"/>
    </xf>
    <xf numFmtId="0" fontId="3" fillId="0" borderId="11" xfId="0" applyFont="1" applyFill="1" applyBorder="1" applyAlignment="1">
      <alignment vertical="center" wrapText="1"/>
    </xf>
    <xf numFmtId="4" fontId="3" fillId="0" borderId="11" xfId="0" applyNumberFormat="1" applyFont="1" applyFill="1" applyBorder="1" applyAlignment="1">
      <alignment vertical="center" wrapText="1"/>
    </xf>
    <xf numFmtId="49" fontId="3" fillId="0" borderId="25" xfId="0" applyNumberFormat="1" applyFont="1" applyFill="1" applyBorder="1" applyAlignment="1">
      <alignment horizontal="center" vertical="center" wrapText="1"/>
    </xf>
    <xf numFmtId="49" fontId="3" fillId="0" borderId="24" xfId="0" applyNumberFormat="1" applyFont="1" applyFill="1" applyBorder="1" applyAlignment="1">
      <alignment horizontal="center" vertical="center" wrapText="1"/>
    </xf>
    <xf numFmtId="4" fontId="6" fillId="0" borderId="11" xfId="0" applyNumberFormat="1" applyFont="1" applyFill="1" applyBorder="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left" vertical="center"/>
    </xf>
    <xf numFmtId="0" fontId="5" fillId="0" borderId="35"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12" xfId="0" applyFont="1" applyBorder="1" applyAlignment="1">
      <alignment horizontal="center" vertical="center"/>
    </xf>
    <xf numFmtId="43" fontId="3" fillId="0" borderId="25" xfId="1" applyFont="1" applyFill="1" applyBorder="1" applyAlignment="1">
      <alignment horizontal="center" vertical="center" wrapText="1"/>
    </xf>
    <xf numFmtId="43" fontId="3" fillId="0" borderId="11" xfId="1" applyFont="1" applyFill="1" applyBorder="1" applyAlignment="1">
      <alignment horizontal="center" vertical="center" wrapText="1"/>
    </xf>
    <xf numFmtId="0" fontId="3" fillId="0" borderId="11" xfId="0" applyFont="1" applyFill="1" applyBorder="1" applyAlignment="1">
      <alignment horizontal="left" vertical="center" wrapText="1"/>
    </xf>
    <xf numFmtId="0" fontId="6" fillId="0" borderId="11" xfId="0" applyFont="1" applyFill="1" applyBorder="1" applyAlignment="1">
      <alignment vertical="center" wrapText="1"/>
    </xf>
    <xf numFmtId="4" fontId="3" fillId="0" borderId="11" xfId="0" applyNumberFormat="1" applyFont="1" applyFill="1" applyBorder="1" applyAlignment="1">
      <alignment horizontal="left" vertical="center" wrapText="1"/>
    </xf>
    <xf numFmtId="0" fontId="3" fillId="0" borderId="25" xfId="0" applyFont="1" applyFill="1" applyBorder="1" applyAlignment="1">
      <alignment vertical="center" wrapText="1"/>
    </xf>
    <xf numFmtId="0" fontId="2" fillId="0" borderId="0" xfId="0" applyFont="1" applyFill="1" applyBorder="1" applyAlignment="1">
      <alignment horizontal="center" vertical="center" wrapText="1"/>
    </xf>
    <xf numFmtId="4" fontId="3" fillId="0" borderId="11" xfId="0" applyNumberFormat="1" applyFont="1" applyFill="1" applyBorder="1" applyAlignment="1">
      <alignment horizontal="right" vertical="center" wrapText="1"/>
    </xf>
    <xf numFmtId="49" fontId="6" fillId="0" borderId="11" xfId="0" applyNumberFormat="1" applyFont="1" applyFill="1" applyBorder="1" applyAlignment="1">
      <alignment horizontal="center" vertical="center" wrapText="1"/>
    </xf>
    <xf numFmtId="43" fontId="6" fillId="0" borderId="11" xfId="1" applyFont="1" applyFill="1" applyBorder="1" applyAlignment="1">
      <alignment horizontal="right" vertical="center" wrapText="1"/>
    </xf>
    <xf numFmtId="3" fontId="6" fillId="0" borderId="11"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5" fillId="2" borderId="12" xfId="0"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44" fontId="5" fillId="2" borderId="11" xfId="2" applyFont="1" applyFill="1" applyBorder="1" applyAlignment="1">
      <alignment horizontal="center" vertical="center" wrapText="1"/>
    </xf>
    <xf numFmtId="44" fontId="5" fillId="2" borderId="35" xfId="2" applyFont="1" applyFill="1" applyBorder="1" applyAlignment="1">
      <alignment horizontal="center" vertical="center" wrapText="1"/>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7" xfId="0" applyFont="1" applyFill="1" applyBorder="1" applyAlignment="1">
      <alignment horizontal="center" vertical="center" wrapText="1"/>
    </xf>
    <xf numFmtId="49" fontId="5" fillId="2" borderId="17" xfId="0" applyNumberFormat="1" applyFont="1" applyFill="1" applyBorder="1" applyAlignment="1">
      <alignment horizontal="center" vertical="center" wrapText="1"/>
    </xf>
    <xf numFmtId="0" fontId="5" fillId="2" borderId="17" xfId="0" applyFont="1" applyFill="1" applyBorder="1" applyAlignment="1">
      <alignment horizontal="left" vertical="center" wrapText="1"/>
    </xf>
    <xf numFmtId="0" fontId="5" fillId="2" borderId="18" xfId="0" applyFont="1" applyFill="1" applyBorder="1" applyAlignment="1">
      <alignment horizontal="center" vertical="center" wrapText="1"/>
    </xf>
    <xf numFmtId="49" fontId="5" fillId="2" borderId="16" xfId="0" applyNumberFormat="1" applyFont="1" applyFill="1" applyBorder="1" applyAlignment="1">
      <alignment horizontal="center" vertical="center" wrapText="1"/>
    </xf>
    <xf numFmtId="44" fontId="5" fillId="2" borderId="17" xfId="2" applyFont="1" applyFill="1" applyBorder="1" applyAlignment="1">
      <alignment horizontal="right" vertical="center" wrapText="1"/>
    </xf>
    <xf numFmtId="44" fontId="5" fillId="2" borderId="17" xfId="2" applyFont="1" applyFill="1" applyBorder="1" applyAlignment="1">
      <alignment horizontal="center" vertical="center" wrapText="1"/>
    </xf>
    <xf numFmtId="44" fontId="5" fillId="2" borderId="41" xfId="2" applyFont="1" applyFill="1" applyBorder="1" applyAlignment="1">
      <alignment horizontal="right" vertical="center" wrapText="1"/>
    </xf>
    <xf numFmtId="44" fontId="5" fillId="2" borderId="9" xfId="2" applyFont="1" applyFill="1" applyBorder="1" applyAlignment="1">
      <alignment horizontal="center" vertical="center" wrapText="1"/>
    </xf>
    <xf numFmtId="2" fontId="5" fillId="2" borderId="10" xfId="1" applyNumberFormat="1" applyFont="1" applyFill="1" applyBorder="1" applyAlignment="1">
      <alignment horizontal="center" vertical="center" wrapText="1"/>
    </xf>
    <xf numFmtId="0" fontId="5" fillId="2" borderId="14" xfId="0" applyNumberFormat="1" applyFont="1" applyFill="1" applyBorder="1" applyAlignment="1">
      <alignment horizontal="center" vertical="center" wrapText="1"/>
    </xf>
    <xf numFmtId="14" fontId="5" fillId="2" borderId="53" xfId="0" applyNumberFormat="1" applyFont="1" applyFill="1" applyBorder="1" applyAlignment="1">
      <alignment horizontal="center" vertical="center" wrapText="1"/>
    </xf>
    <xf numFmtId="44" fontId="18" fillId="0" borderId="0" xfId="2" applyFont="1" applyAlignment="1">
      <alignment horizontal="left" vertical="center"/>
    </xf>
    <xf numFmtId="44" fontId="20" fillId="0" borderId="0" xfId="2" applyFont="1" applyAlignment="1">
      <alignment horizontal="left" vertical="center"/>
    </xf>
    <xf numFmtId="44" fontId="0" fillId="0" borderId="0" xfId="2" applyFont="1" applyAlignment="1">
      <alignment horizontal="right" vertical="center"/>
    </xf>
    <xf numFmtId="44" fontId="0" fillId="0" borderId="0" xfId="2" applyFont="1" applyAlignment="1">
      <alignment vertical="center"/>
    </xf>
    <xf numFmtId="2" fontId="0" fillId="0" borderId="0" xfId="1" applyNumberFormat="1" applyFont="1" applyAlignment="1">
      <alignment vertical="center"/>
    </xf>
    <xf numFmtId="44" fontId="3" fillId="0" borderId="0" xfId="2" applyFont="1" applyAlignment="1">
      <alignment horizontal="right" vertical="center"/>
    </xf>
    <xf numFmtId="44" fontId="3" fillId="0" borderId="0" xfId="2" applyFont="1" applyAlignment="1">
      <alignment horizontal="center" vertical="center"/>
    </xf>
    <xf numFmtId="2" fontId="3" fillId="0" borderId="0" xfId="1" applyNumberFormat="1" applyFont="1" applyAlignment="1">
      <alignment horizontal="center" vertical="center"/>
    </xf>
    <xf numFmtId="0"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5" fillId="2" borderId="10" xfId="0" applyFont="1" applyFill="1" applyBorder="1" applyAlignment="1">
      <alignment horizontal="center" vertical="center"/>
    </xf>
    <xf numFmtId="0" fontId="5" fillId="2" borderId="53" xfId="0" applyFont="1" applyFill="1" applyBorder="1" applyAlignment="1">
      <alignment horizontal="center" vertical="center"/>
    </xf>
    <xf numFmtId="0" fontId="9" fillId="2" borderId="0" xfId="0" applyFont="1" applyFill="1" applyAlignment="1">
      <alignment horizontal="left" vertical="center"/>
    </xf>
    <xf numFmtId="0" fontId="0" fillId="6" borderId="0" xfId="0" applyFill="1" applyAlignment="1">
      <alignment vertical="center"/>
    </xf>
    <xf numFmtId="44" fontId="0" fillId="0" borderId="11" xfId="2" applyFont="1" applyFill="1" applyBorder="1" applyAlignment="1">
      <alignment vertical="center"/>
    </xf>
    <xf numFmtId="0" fontId="0" fillId="0" borderId="0" xfId="0" applyAlignment="1">
      <alignment horizontal="center" vertical="center"/>
    </xf>
    <xf numFmtId="0" fontId="5" fillId="2" borderId="19" xfId="0" applyFont="1" applyFill="1" applyBorder="1" applyAlignment="1">
      <alignment horizontal="center" vertical="center" wrapText="1"/>
    </xf>
    <xf numFmtId="0" fontId="45" fillId="2" borderId="34" xfId="0" applyFont="1" applyFill="1" applyBorder="1" applyAlignment="1">
      <alignment horizontal="center" vertical="center"/>
    </xf>
    <xf numFmtId="0" fontId="45" fillId="2" borderId="48" xfId="0" applyFont="1" applyFill="1" applyBorder="1" applyAlignment="1">
      <alignment horizontal="center" vertical="center"/>
    </xf>
    <xf numFmtId="0" fontId="45" fillId="0" borderId="48" xfId="0" applyFont="1" applyFill="1" applyBorder="1" applyAlignment="1">
      <alignment horizontal="center" vertical="center"/>
    </xf>
    <xf numFmtId="0" fontId="45" fillId="0" borderId="29" xfId="0" applyFont="1" applyFill="1" applyBorder="1" applyAlignment="1">
      <alignment horizontal="center" vertical="center"/>
    </xf>
    <xf numFmtId="0" fontId="45" fillId="2" borderId="29" xfId="0" applyFont="1" applyFill="1" applyBorder="1" applyAlignment="1">
      <alignment horizontal="center" vertical="center"/>
    </xf>
    <xf numFmtId="0" fontId="5" fillId="2" borderId="33" xfId="0" applyFont="1" applyFill="1" applyBorder="1" applyAlignment="1">
      <alignment horizontal="center" vertical="center"/>
    </xf>
    <xf numFmtId="0" fontId="9" fillId="2" borderId="22" xfId="0" applyFont="1" applyFill="1" applyBorder="1" applyAlignment="1">
      <alignment horizontal="left" vertical="center" wrapText="1"/>
    </xf>
    <xf numFmtId="3" fontId="40" fillId="0" borderId="32" xfId="0" applyNumberFormat="1" applyFont="1" applyBorder="1" applyAlignment="1">
      <alignment horizontal="center" vertical="center"/>
    </xf>
    <xf numFmtId="44" fontId="3" fillId="2" borderId="22" xfId="2" applyFont="1" applyFill="1" applyBorder="1" applyAlignment="1">
      <alignment horizontal="right" vertical="center" wrapText="1"/>
    </xf>
    <xf numFmtId="4" fontId="3" fillId="2" borderId="22" xfId="0" applyNumberFormat="1" applyFont="1" applyFill="1" applyBorder="1" applyAlignment="1">
      <alignment horizontal="right" vertical="center" wrapText="1"/>
    </xf>
    <xf numFmtId="44" fontId="3" fillId="2" borderId="22" xfId="2" applyFont="1" applyFill="1" applyBorder="1" applyAlignment="1">
      <alignment horizontal="center" vertical="center" wrapText="1"/>
    </xf>
    <xf numFmtId="44" fontId="3" fillId="2" borderId="58" xfId="2" applyFont="1" applyFill="1" applyBorder="1" applyAlignment="1">
      <alignment horizontal="right" vertical="center" wrapText="1"/>
    </xf>
    <xf numFmtId="2" fontId="3" fillId="2" borderId="21" xfId="1" applyNumberFormat="1" applyFont="1" applyFill="1" applyBorder="1" applyAlignment="1">
      <alignment horizontal="right" vertical="center" wrapText="1"/>
    </xf>
    <xf numFmtId="0" fontId="3" fillId="2" borderId="22" xfId="0" applyNumberFormat="1" applyFont="1" applyFill="1" applyBorder="1" applyAlignment="1">
      <alignment horizontal="right" vertical="center" wrapText="1"/>
    </xf>
    <xf numFmtId="2" fontId="3" fillId="2" borderId="22" xfId="0" applyNumberFormat="1" applyFont="1" applyFill="1" applyBorder="1" applyAlignment="1">
      <alignment horizontal="right" vertical="center" wrapText="1"/>
    </xf>
    <xf numFmtId="14" fontId="3" fillId="2" borderId="58" xfId="0" applyNumberFormat="1" applyFont="1" applyFill="1" applyBorder="1" applyAlignment="1">
      <alignment horizontal="right" vertical="center" wrapText="1"/>
    </xf>
    <xf numFmtId="2" fontId="3" fillId="2" borderId="69" xfId="0" applyNumberFormat="1" applyFont="1" applyFill="1" applyBorder="1" applyAlignment="1">
      <alignment horizontal="right" vertical="center" wrapText="1"/>
    </xf>
    <xf numFmtId="0" fontId="3" fillId="2" borderId="23" xfId="0" applyFont="1" applyFill="1" applyBorder="1" applyAlignment="1">
      <alignment horizontal="center" vertical="center"/>
    </xf>
    <xf numFmtId="44" fontId="5" fillId="2" borderId="60" xfId="2" applyFont="1" applyFill="1" applyBorder="1" applyAlignment="1">
      <alignment horizontal="right" vertical="center" wrapText="1"/>
    </xf>
    <xf numFmtId="0" fontId="5" fillId="2" borderId="60" xfId="0" applyFont="1" applyFill="1" applyBorder="1" applyAlignment="1">
      <alignment vertical="center" wrapText="1"/>
    </xf>
    <xf numFmtId="44" fontId="5" fillId="2" borderId="60" xfId="2" applyFont="1" applyFill="1" applyBorder="1" applyAlignment="1">
      <alignment vertical="center" wrapText="1"/>
    </xf>
    <xf numFmtId="2" fontId="5" fillId="2" borderId="59" xfId="1" applyNumberFormat="1" applyFont="1" applyFill="1" applyBorder="1" applyAlignment="1">
      <alignment vertical="center" wrapText="1"/>
    </xf>
    <xf numFmtId="0" fontId="5" fillId="2" borderId="60" xfId="0" applyNumberFormat="1" applyFont="1" applyFill="1" applyBorder="1" applyAlignment="1">
      <alignment vertical="center" wrapText="1"/>
    </xf>
    <xf numFmtId="14" fontId="5" fillId="2" borderId="61" xfId="0" applyNumberFormat="1" applyFont="1" applyFill="1" applyBorder="1" applyAlignment="1">
      <alignment vertical="center" wrapText="1"/>
    </xf>
    <xf numFmtId="2" fontId="5" fillId="2" borderId="59" xfId="0" applyNumberFormat="1" applyFont="1" applyFill="1" applyBorder="1" applyAlignment="1">
      <alignment vertical="center" wrapText="1"/>
    </xf>
    <xf numFmtId="2" fontId="5" fillId="2" borderId="65" xfId="0" applyNumberFormat="1" applyFont="1" applyFill="1" applyBorder="1" applyAlignment="1">
      <alignment vertical="center" wrapText="1"/>
    </xf>
    <xf numFmtId="2" fontId="5" fillId="2" borderId="67" xfId="0" applyNumberFormat="1" applyFont="1" applyFill="1" applyBorder="1" applyAlignment="1">
      <alignment vertical="center" wrapText="1"/>
    </xf>
    <xf numFmtId="0" fontId="3" fillId="2" borderId="65" xfId="0" applyFont="1" applyFill="1" applyBorder="1" applyAlignment="1">
      <alignment horizontal="center" vertical="center" wrapText="1"/>
    </xf>
    <xf numFmtId="0" fontId="11" fillId="0" borderId="0" xfId="0" applyFont="1" applyFill="1" applyAlignment="1">
      <alignment vertical="center"/>
    </xf>
    <xf numFmtId="0" fontId="6" fillId="0" borderId="11" xfId="0" applyNumberFormat="1" applyFont="1" applyFill="1" applyBorder="1" applyAlignment="1">
      <alignment horizontal="center" vertical="center"/>
    </xf>
    <xf numFmtId="14" fontId="6" fillId="0" borderId="0" xfId="0" applyNumberFormat="1" applyFont="1" applyFill="1" applyAlignment="1">
      <alignment horizontal="center" vertical="center"/>
    </xf>
    <xf numFmtId="4" fontId="28" fillId="0"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2" fontId="28"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14" fontId="6" fillId="0" borderId="25" xfId="0" applyNumberFormat="1" applyFont="1" applyFill="1" applyBorder="1" applyAlignment="1">
      <alignment horizontal="center" vertical="center"/>
    </xf>
    <xf numFmtId="49" fontId="6" fillId="0" borderId="24" xfId="0" applyNumberFormat="1" applyFont="1" applyFill="1" applyBorder="1" applyAlignment="1">
      <alignment horizontal="center" vertical="center" wrapText="1"/>
    </xf>
    <xf numFmtId="4" fontId="28" fillId="0" borderId="60" xfId="0" applyNumberFormat="1" applyFont="1" applyFill="1" applyBorder="1" applyAlignment="1">
      <alignment horizontal="center" vertical="center" wrapText="1"/>
    </xf>
    <xf numFmtId="0" fontId="30" fillId="0" borderId="0" xfId="0" applyFont="1" applyFill="1" applyAlignment="1">
      <alignment horizontal="left" vertical="center"/>
    </xf>
    <xf numFmtId="0" fontId="54" fillId="0" borderId="0" xfId="0" applyFont="1" applyFill="1" applyAlignment="1">
      <alignment vertical="center" wrapText="1"/>
    </xf>
    <xf numFmtId="0" fontId="41" fillId="0" borderId="0" xfId="0" applyFont="1" applyFill="1" applyAlignment="1">
      <alignment horizontal="left" vertical="center"/>
    </xf>
    <xf numFmtId="0" fontId="6" fillId="0" borderId="0" xfId="0" applyFont="1" applyFill="1" applyBorder="1" applyAlignment="1">
      <alignment vertical="center"/>
    </xf>
    <xf numFmtId="0" fontId="28" fillId="0" borderId="0" xfId="0" applyFont="1" applyFill="1" applyAlignment="1">
      <alignment horizontal="center" vertical="center"/>
    </xf>
    <xf numFmtId="0" fontId="6" fillId="0" borderId="0" xfId="0" applyFont="1" applyFill="1" applyAlignment="1">
      <alignment horizontal="left" vertical="center"/>
    </xf>
    <xf numFmtId="0" fontId="5" fillId="0" borderId="16"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72" xfId="0" applyFont="1" applyFill="1" applyBorder="1" applyAlignment="1">
      <alignment horizontal="center" vertical="center" wrapText="1"/>
    </xf>
    <xf numFmtId="49" fontId="5" fillId="0" borderId="74" xfId="0" applyNumberFormat="1" applyFont="1" applyFill="1" applyBorder="1" applyAlignment="1">
      <alignment horizontal="center" vertical="center" wrapText="1"/>
    </xf>
    <xf numFmtId="4" fontId="5" fillId="0" borderId="39" xfId="0" applyNumberFormat="1" applyFont="1" applyFill="1" applyBorder="1" applyAlignment="1">
      <alignment horizontal="center" vertical="center" wrapText="1"/>
    </xf>
    <xf numFmtId="4" fontId="5" fillId="0" borderId="60" xfId="0" applyNumberFormat="1" applyFont="1" applyFill="1" applyBorder="1" applyAlignment="1">
      <alignment horizontal="right" vertical="center" wrapText="1"/>
    </xf>
    <xf numFmtId="49" fontId="14" fillId="0" borderId="11" xfId="0" applyNumberFormat="1" applyFont="1" applyFill="1" applyBorder="1" applyAlignment="1">
      <alignment horizontal="center" vertical="center" wrapText="1"/>
    </xf>
    <xf numFmtId="4" fontId="5" fillId="0" borderId="32" xfId="0" applyNumberFormat="1" applyFont="1" applyFill="1" applyBorder="1" applyAlignment="1">
      <alignment horizontal="right" vertical="center" wrapText="1"/>
    </xf>
    <xf numFmtId="0" fontId="0" fillId="0" borderId="34" xfId="0" applyFill="1" applyBorder="1" applyAlignment="1">
      <alignment horizontal="center" vertical="center"/>
    </xf>
    <xf numFmtId="0" fontId="0" fillId="0" borderId="48" xfId="0" applyFill="1" applyBorder="1" applyAlignment="1">
      <alignment horizontal="center" vertical="center"/>
    </xf>
    <xf numFmtId="4" fontId="3" fillId="0" borderId="11" xfId="0" applyNumberFormat="1" applyFont="1" applyFill="1" applyBorder="1" applyAlignment="1">
      <alignment horizontal="justify" vertical="center" wrapText="1"/>
    </xf>
    <xf numFmtId="0" fontId="0" fillId="0" borderId="48" xfId="0" applyFont="1" applyFill="1" applyBorder="1" applyAlignment="1">
      <alignment horizontal="center" vertical="center"/>
    </xf>
    <xf numFmtId="0" fontId="0" fillId="0" borderId="29" xfId="0" applyFill="1" applyBorder="1" applyAlignment="1">
      <alignment horizontal="center" vertical="center"/>
    </xf>
    <xf numFmtId="49" fontId="5" fillId="0" borderId="60" xfId="0" applyNumberFormat="1" applyFont="1" applyFill="1" applyBorder="1" applyAlignment="1">
      <alignment horizontal="center" vertical="center" wrapText="1"/>
    </xf>
    <xf numFmtId="49" fontId="5" fillId="0" borderId="65" xfId="0" applyNumberFormat="1" applyFont="1" applyFill="1" applyBorder="1" applyAlignment="1">
      <alignment horizontal="center" vertical="center" wrapText="1"/>
    </xf>
    <xf numFmtId="4" fontId="5" fillId="0" borderId="60" xfId="0" applyNumberFormat="1" applyFont="1" applyFill="1" applyBorder="1" applyAlignment="1">
      <alignment horizontal="center" vertical="center" wrapText="1"/>
    </xf>
    <xf numFmtId="0" fontId="5" fillId="0" borderId="59" xfId="0" applyNumberFormat="1" applyFont="1" applyFill="1" applyBorder="1" applyAlignment="1">
      <alignment horizontal="center" vertical="center" wrapText="1"/>
    </xf>
    <xf numFmtId="3" fontId="5" fillId="0" borderId="60" xfId="0" applyNumberFormat="1" applyFont="1" applyFill="1" applyBorder="1" applyAlignment="1">
      <alignment horizontal="center" vertical="center" wrapText="1"/>
    </xf>
    <xf numFmtId="3" fontId="5" fillId="0" borderId="61" xfId="0" applyNumberFormat="1" applyFont="1" applyFill="1" applyBorder="1" applyAlignment="1">
      <alignment horizontal="center" vertical="center" wrapText="1"/>
    </xf>
    <xf numFmtId="0" fontId="5" fillId="0" borderId="59" xfId="0" applyFont="1" applyFill="1" applyBorder="1" applyAlignment="1">
      <alignment horizontal="center" vertical="center"/>
    </xf>
    <xf numFmtId="0" fontId="5" fillId="0" borderId="60" xfId="0" applyFont="1" applyFill="1" applyBorder="1" applyAlignment="1">
      <alignment horizontal="center" vertical="center"/>
    </xf>
    <xf numFmtId="0" fontId="5" fillId="0" borderId="61" xfId="0" applyFont="1" applyFill="1" applyBorder="1" applyAlignment="1">
      <alignment horizontal="center" vertical="center"/>
    </xf>
    <xf numFmtId="0" fontId="18" fillId="2" borderId="0" xfId="0" applyFont="1" applyFill="1" applyBorder="1" applyAlignment="1">
      <alignment horizontal="left" vertical="center"/>
    </xf>
    <xf numFmtId="14" fontId="5" fillId="0" borderId="11" xfId="0" applyNumberFormat="1" applyFont="1" applyFill="1" applyBorder="1" applyAlignment="1">
      <alignment horizontal="center" vertical="center" wrapText="1"/>
    </xf>
    <xf numFmtId="4" fontId="28" fillId="0" borderId="11" xfId="0" applyNumberFormat="1" applyFont="1" applyFill="1" applyBorder="1" applyAlignment="1">
      <alignment horizontal="right" vertical="center" wrapText="1"/>
    </xf>
    <xf numFmtId="3" fontId="3" fillId="0" borderId="11" xfId="0" quotePrefix="1" applyNumberFormat="1"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74"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30" fillId="0" borderId="48"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66" xfId="0" applyFont="1" applyFill="1" applyBorder="1" applyAlignment="1">
      <alignment vertical="center" wrapText="1"/>
    </xf>
    <xf numFmtId="0" fontId="5" fillId="0" borderId="59" xfId="0" applyFont="1" applyFill="1" applyBorder="1" applyAlignment="1">
      <alignment vertical="center" wrapText="1"/>
    </xf>
    <xf numFmtId="3" fontId="5" fillId="0" borderId="60" xfId="0" applyNumberFormat="1" applyFont="1" applyFill="1" applyBorder="1" applyAlignment="1">
      <alignment vertical="center" wrapText="1"/>
    </xf>
    <xf numFmtId="0" fontId="5" fillId="0" borderId="60" xfId="0" applyFont="1" applyFill="1" applyBorder="1" applyAlignment="1">
      <alignment horizontal="justify" vertical="center" wrapText="1"/>
    </xf>
    <xf numFmtId="4" fontId="5" fillId="0" borderId="61" xfId="0" applyNumberFormat="1" applyFont="1" applyFill="1" applyBorder="1" applyAlignment="1">
      <alignment horizontal="center" vertical="center" wrapText="1"/>
    </xf>
    <xf numFmtId="0" fontId="3" fillId="0" borderId="27" xfId="0" applyNumberFormat="1" applyFont="1" applyFill="1" applyBorder="1" applyAlignment="1">
      <alignment horizontal="right" vertical="center" wrapText="1"/>
    </xf>
    <xf numFmtId="43" fontId="5" fillId="0" borderId="66" xfId="1" applyFont="1" applyFill="1" applyBorder="1" applyAlignment="1">
      <alignment vertical="center" wrapText="1"/>
    </xf>
    <xf numFmtId="0" fontId="2" fillId="0" borderId="0" xfId="0" applyFont="1" applyFill="1" applyBorder="1" applyAlignment="1">
      <alignment wrapText="1"/>
    </xf>
    <xf numFmtId="14" fontId="5" fillId="0" borderId="17" xfId="0" applyNumberFormat="1" applyFont="1" applyFill="1" applyBorder="1" applyAlignment="1">
      <alignment horizontal="center" vertical="center" wrapText="1"/>
    </xf>
    <xf numFmtId="175" fontId="5" fillId="0" borderId="18" xfId="0" applyNumberFormat="1" applyFont="1" applyFill="1" applyBorder="1" applyAlignment="1">
      <alignment horizontal="center" vertical="center" wrapText="1"/>
    </xf>
    <xf numFmtId="0" fontId="3" fillId="0" borderId="11" xfId="1"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3" fillId="0" borderId="11" xfId="0" applyFont="1" applyFill="1" applyBorder="1" applyAlignment="1">
      <alignment horizontal="left" vertical="center"/>
    </xf>
    <xf numFmtId="175" fontId="3" fillId="0" borderId="11" xfId="0" applyNumberFormat="1" applyFont="1" applyFill="1" applyBorder="1" applyAlignment="1">
      <alignment horizontal="center" vertical="center" wrapText="1"/>
    </xf>
    <xf numFmtId="0" fontId="27" fillId="0" borderId="11" xfId="0" applyFont="1" applyFill="1" applyBorder="1" applyAlignment="1">
      <alignment horizontal="left" wrapText="1"/>
    </xf>
    <xf numFmtId="43" fontId="5" fillId="0" borderId="11" xfId="1" applyFont="1" applyFill="1" applyBorder="1" applyAlignment="1">
      <alignment vertical="center" wrapText="1"/>
    </xf>
    <xf numFmtId="175" fontId="5" fillId="0" borderId="11" xfId="0" applyNumberFormat="1" applyFont="1" applyFill="1" applyBorder="1" applyAlignment="1">
      <alignment wrapText="1"/>
    </xf>
    <xf numFmtId="0" fontId="0" fillId="0" borderId="0" xfId="0" applyFill="1" applyBorder="1" applyAlignment="1">
      <alignment wrapText="1"/>
    </xf>
    <xf numFmtId="0" fontId="5" fillId="0" borderId="0" xfId="0" applyFont="1" applyFill="1" applyBorder="1" applyAlignment="1"/>
    <xf numFmtId="14" fontId="3" fillId="0" borderId="11" xfId="1" applyNumberFormat="1" applyFont="1" applyFill="1" applyBorder="1" applyAlignment="1">
      <alignment horizontal="center" vertical="center" wrapText="1"/>
    </xf>
    <xf numFmtId="14" fontId="5" fillId="0" borderId="11" xfId="0" applyNumberFormat="1" applyFont="1" applyFill="1" applyBorder="1" applyAlignment="1">
      <alignment vertical="center" wrapText="1"/>
    </xf>
    <xf numFmtId="0" fontId="0" fillId="0" borderId="0" xfId="0" applyFill="1" applyBorder="1" applyAlignment="1">
      <alignment vertical="center" wrapText="1"/>
    </xf>
    <xf numFmtId="43" fontId="0" fillId="0" borderId="0" xfId="1" applyFont="1" applyFill="1" applyAlignment="1">
      <alignment vertical="center"/>
    </xf>
    <xf numFmtId="14" fontId="0" fillId="0" borderId="0" xfId="0" applyNumberFormat="1" applyFill="1"/>
    <xf numFmtId="175" fontId="0" fillId="0" borderId="0" xfId="0" applyNumberFormat="1" applyFill="1"/>
    <xf numFmtId="0" fontId="2" fillId="0" borderId="0" xfId="0" applyFont="1" applyFill="1" applyBorder="1" applyAlignment="1"/>
    <xf numFmtId="0" fontId="0" fillId="0" borderId="0" xfId="0" applyFill="1" applyAlignment="1"/>
    <xf numFmtId="0" fontId="3" fillId="0" borderId="0" xfId="0" applyFont="1" applyFill="1" applyAlignment="1">
      <alignment wrapText="1"/>
    </xf>
    <xf numFmtId="43" fontId="5" fillId="0" borderId="11" xfId="0" applyNumberFormat="1" applyFont="1" applyFill="1" applyBorder="1" applyAlignment="1">
      <alignment vertical="center" wrapText="1"/>
    </xf>
    <xf numFmtId="0" fontId="0" fillId="0" borderId="0" xfId="0" applyFill="1" applyAlignment="1">
      <alignment wrapText="1"/>
    </xf>
    <xf numFmtId="0" fontId="0" fillId="0" borderId="0" xfId="0" applyFill="1" applyAlignment="1">
      <alignment horizontal="justify" vertical="center" wrapText="1"/>
    </xf>
    <xf numFmtId="0" fontId="0" fillId="0" borderId="11" xfId="0" applyFill="1" applyBorder="1" applyAlignment="1">
      <alignment wrapText="1"/>
    </xf>
    <xf numFmtId="43" fontId="6" fillId="0" borderId="11" xfId="1" applyFont="1" applyFill="1" applyBorder="1"/>
    <xf numFmtId="43" fontId="6" fillId="0" borderId="0" xfId="1" applyFont="1" applyFill="1"/>
    <xf numFmtId="0" fontId="6" fillId="0" borderId="11" xfId="0" applyFont="1" applyBorder="1" applyAlignment="1">
      <alignment vertical="center"/>
    </xf>
    <xf numFmtId="0" fontId="55" fillId="0" borderId="11" xfId="0" applyFont="1" applyBorder="1" applyAlignment="1">
      <alignment vertical="center"/>
    </xf>
    <xf numFmtId="2" fontId="3" fillId="0" borderId="25" xfId="0" applyNumberFormat="1" applyFont="1" applyFill="1" applyBorder="1" applyAlignment="1">
      <alignment vertical="center" wrapText="1"/>
    </xf>
    <xf numFmtId="2" fontId="3" fillId="0" borderId="25" xfId="1" applyNumberFormat="1" applyFont="1" applyFill="1" applyBorder="1" applyAlignment="1">
      <alignment vertical="center" wrapText="1"/>
    </xf>
    <xf numFmtId="2" fontId="6" fillId="0" borderId="25" xfId="1" applyNumberFormat="1" applyFont="1" applyFill="1" applyBorder="1" applyAlignment="1">
      <alignment vertical="center" wrapText="1"/>
    </xf>
    <xf numFmtId="2" fontId="6" fillId="0" borderId="25" xfId="0" applyNumberFormat="1" applyFont="1" applyFill="1" applyBorder="1" applyAlignment="1">
      <alignment vertical="center" wrapText="1"/>
    </xf>
    <xf numFmtId="43" fontId="6" fillId="0" borderId="25" xfId="1" applyFont="1" applyFill="1" applyBorder="1" applyAlignment="1">
      <alignment vertical="center" wrapText="1"/>
    </xf>
    <xf numFmtId="1" fontId="3" fillId="0" borderId="11" xfId="0" applyNumberFormat="1" applyFont="1" applyFill="1" applyBorder="1" applyAlignment="1">
      <alignment vertical="center" wrapText="1"/>
    </xf>
    <xf numFmtId="2" fontId="3" fillId="0" borderId="11" xfId="1" applyNumberFormat="1" applyFont="1" applyFill="1" applyBorder="1" applyAlignment="1">
      <alignment vertical="center" wrapText="1"/>
    </xf>
    <xf numFmtId="43" fontId="6" fillId="0" borderId="25" xfId="1" applyNumberFormat="1" applyFont="1" applyFill="1" applyBorder="1" applyAlignment="1">
      <alignment vertical="center" wrapText="1"/>
    </xf>
    <xf numFmtId="0" fontId="6" fillId="0" borderId="14" xfId="0" applyFont="1" applyBorder="1" applyAlignment="1">
      <alignment vertical="center"/>
    </xf>
    <xf numFmtId="3" fontId="6" fillId="0" borderId="11" xfId="0" applyNumberFormat="1" applyFont="1" applyBorder="1" applyAlignment="1">
      <alignment vertical="center" wrapText="1"/>
    </xf>
    <xf numFmtId="0" fontId="6" fillId="0" borderId="11" xfId="0" applyFont="1" applyBorder="1" applyAlignment="1">
      <alignment vertical="center" wrapText="1"/>
    </xf>
    <xf numFmtId="43" fontId="6" fillId="0" borderId="11" xfId="1" applyFont="1" applyBorder="1" applyAlignment="1">
      <alignment vertical="center"/>
    </xf>
    <xf numFmtId="4" fontId="6" fillId="0" borderId="11" xfId="0" applyNumberFormat="1" applyFont="1" applyBorder="1" applyAlignment="1">
      <alignment vertical="center"/>
    </xf>
    <xf numFmtId="14" fontId="6" fillId="0" borderId="11" xfId="0" applyNumberFormat="1" applyFont="1" applyBorder="1" applyAlignment="1">
      <alignment vertical="center"/>
    </xf>
    <xf numFmtId="14" fontId="6" fillId="0" borderId="11" xfId="0" applyNumberFormat="1" applyFont="1" applyFill="1" applyBorder="1" applyAlignment="1">
      <alignment vertical="center"/>
    </xf>
    <xf numFmtId="43" fontId="3" fillId="0" borderId="54" xfId="1" applyFont="1" applyFill="1" applyBorder="1" applyAlignment="1">
      <alignment vertical="center" wrapText="1"/>
    </xf>
    <xf numFmtId="43" fontId="3" fillId="0" borderId="11" xfId="1" applyNumberFormat="1" applyFont="1" applyFill="1" applyBorder="1" applyAlignment="1">
      <alignment vertical="center" wrapText="1"/>
    </xf>
    <xf numFmtId="3" fontId="6" fillId="0" borderId="11" xfId="0" applyNumberFormat="1" applyFont="1" applyBorder="1" applyAlignment="1">
      <alignment vertical="center"/>
    </xf>
    <xf numFmtId="2" fontId="6" fillId="0" borderId="11" xfId="1" applyNumberFormat="1" applyFont="1" applyBorder="1" applyAlignment="1">
      <alignment vertical="center"/>
    </xf>
    <xf numFmtId="4" fontId="4" fillId="0" borderId="11" xfId="0" applyNumberFormat="1" applyFont="1" applyBorder="1" applyAlignment="1">
      <alignment vertical="center"/>
    </xf>
    <xf numFmtId="49" fontId="3" fillId="0" borderId="14" xfId="1" applyNumberFormat="1" applyFont="1" applyFill="1" applyBorder="1" applyAlignment="1">
      <alignment vertical="center" wrapText="1"/>
    </xf>
    <xf numFmtId="0" fontId="3" fillId="0" borderId="14" xfId="0" applyFont="1" applyBorder="1" applyAlignment="1">
      <alignment vertical="center"/>
    </xf>
    <xf numFmtId="49" fontId="3" fillId="0" borderId="48" xfId="0" applyNumberFormat="1" applyFont="1" applyBorder="1" applyAlignment="1">
      <alignment horizontal="center" vertical="center"/>
    </xf>
    <xf numFmtId="49" fontId="3" fillId="0" borderId="52" xfId="0" applyNumberFormat="1" applyFont="1" applyBorder="1" applyAlignment="1">
      <alignment horizontal="center" vertical="center"/>
    </xf>
    <xf numFmtId="0" fontId="21" fillId="0" borderId="0" xfId="0" applyFont="1" applyFill="1" applyAlignment="1">
      <alignment horizontal="left" vertical="center"/>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3" fillId="0" borderId="0" xfId="0" applyFont="1" applyFill="1" applyAlignment="1">
      <alignment horizontal="center" vertical="center"/>
    </xf>
    <xf numFmtId="0" fontId="6" fillId="0" borderId="0" xfId="0" applyFont="1" applyFill="1" applyAlignment="1">
      <alignment horizontal="left" vertical="center" wrapText="1"/>
    </xf>
    <xf numFmtId="0" fontId="5" fillId="0" borderId="0" xfId="0" applyFont="1" applyFill="1" applyAlignment="1">
      <alignment horizontal="left" vertical="center"/>
    </xf>
    <xf numFmtId="0" fontId="3" fillId="0" borderId="1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4" fillId="0" borderId="0" xfId="0" applyFont="1" applyFill="1" applyAlignment="1">
      <alignment horizontal="left" vertical="center"/>
    </xf>
    <xf numFmtId="4" fontId="3" fillId="0" borderId="11"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14"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3" fontId="3" fillId="2" borderId="12" xfId="0" applyNumberFormat="1"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wrapText="1"/>
    </xf>
    <xf numFmtId="49" fontId="3" fillId="0" borderId="11" xfId="0" applyNumberFormat="1" applyFont="1" applyFill="1" applyBorder="1" applyAlignment="1">
      <alignment horizontal="center" vertical="center"/>
    </xf>
    <xf numFmtId="0" fontId="3" fillId="0" borderId="32"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26" xfId="0"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24" xfId="0" applyNumberFormat="1" applyFont="1" applyFill="1" applyBorder="1" applyAlignment="1">
      <alignment horizontal="center" vertical="center" wrapText="1"/>
    </xf>
    <xf numFmtId="49" fontId="3" fillId="0" borderId="32"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 fontId="6" fillId="0" borderId="1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3" fillId="0" borderId="25" xfId="0" applyNumberFormat="1" applyFont="1" applyFill="1" applyBorder="1" applyAlignment="1">
      <alignment horizontal="center" vertical="center" wrapText="1"/>
    </xf>
    <xf numFmtId="14" fontId="3" fillId="0" borderId="32" xfId="0" applyNumberFormat="1" applyFont="1" applyFill="1" applyBorder="1" applyAlignment="1">
      <alignment horizontal="center" vertical="center" wrapText="1"/>
    </xf>
    <xf numFmtId="14" fontId="3" fillId="0" borderId="25" xfId="0" applyNumberFormat="1" applyFont="1" applyFill="1" applyBorder="1" applyAlignment="1">
      <alignment horizontal="center" vertical="center" wrapText="1"/>
    </xf>
    <xf numFmtId="3" fontId="3" fillId="2" borderId="30" xfId="0" applyNumberFormat="1" applyFont="1" applyFill="1" applyBorder="1" applyAlignment="1">
      <alignment horizontal="center" vertical="center" wrapText="1"/>
    </xf>
    <xf numFmtId="3" fontId="3" fillId="2" borderId="26"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4" fontId="3" fillId="0" borderId="32" xfId="0" applyNumberFormat="1" applyFont="1" applyFill="1" applyBorder="1" applyAlignment="1">
      <alignment horizontal="center" vertical="center" wrapText="1"/>
    </xf>
    <xf numFmtId="4" fontId="3" fillId="0" borderId="25" xfId="0" applyNumberFormat="1" applyFont="1" applyFill="1" applyBorder="1" applyAlignment="1">
      <alignment horizontal="center" vertical="center" wrapText="1"/>
    </xf>
    <xf numFmtId="0" fontId="3" fillId="0" borderId="11" xfId="0" applyFont="1" applyFill="1" applyBorder="1" applyAlignment="1">
      <alignment vertical="center" wrapText="1"/>
    </xf>
    <xf numFmtId="0" fontId="3" fillId="0" borderId="11" xfId="0" applyNumberFormat="1" applyFont="1" applyFill="1" applyBorder="1" applyAlignment="1">
      <alignment vertical="center" wrapText="1"/>
    </xf>
    <xf numFmtId="3" fontId="3" fillId="2" borderId="11" xfId="0" applyNumberFormat="1"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32" xfId="0" applyNumberFormat="1" applyFont="1" applyFill="1" applyBorder="1" applyAlignment="1">
      <alignment horizontal="center" vertical="center" wrapText="1"/>
    </xf>
    <xf numFmtId="0" fontId="3" fillId="0" borderId="25" xfId="0" applyNumberFormat="1" applyFont="1" applyFill="1" applyBorder="1" applyAlignment="1">
      <alignment horizontal="center" vertical="center" wrapText="1"/>
    </xf>
    <xf numFmtId="3" fontId="3" fillId="0" borderId="11" xfId="0" applyNumberFormat="1" applyFont="1" applyFill="1" applyBorder="1" applyAlignment="1">
      <alignment vertical="center" wrapText="1"/>
    </xf>
    <xf numFmtId="14" fontId="3" fillId="0" borderId="11" xfId="0" applyNumberFormat="1" applyFont="1" applyFill="1" applyBorder="1" applyAlignment="1">
      <alignment vertical="center" wrapText="1"/>
    </xf>
    <xf numFmtId="0" fontId="3" fillId="0" borderId="11" xfId="0" applyNumberFormat="1" applyFont="1" applyFill="1" applyBorder="1" applyAlignment="1">
      <alignment horizontal="center" vertical="center" wrapText="1"/>
    </xf>
    <xf numFmtId="3" fontId="3" fillId="2" borderId="12" xfId="0" applyNumberFormat="1" applyFont="1" applyFill="1" applyBorder="1" applyAlignment="1">
      <alignment vertical="center" wrapText="1"/>
    </xf>
    <xf numFmtId="49" fontId="3" fillId="0" borderId="10" xfId="0" applyNumberFormat="1" applyFont="1" applyFill="1" applyBorder="1" applyAlignment="1">
      <alignment vertical="center" wrapText="1"/>
    </xf>
    <xf numFmtId="4" fontId="3" fillId="0" borderId="11" xfId="0" applyNumberFormat="1" applyFont="1" applyFill="1" applyBorder="1" applyAlignment="1">
      <alignment vertical="center" wrapText="1"/>
    </xf>
    <xf numFmtId="0" fontId="3" fillId="0" borderId="10" xfId="0" applyFont="1" applyFill="1" applyBorder="1" applyAlignment="1">
      <alignment vertical="center" wrapText="1"/>
    </xf>
    <xf numFmtId="49" fontId="3" fillId="0" borderId="11" xfId="0" applyNumberFormat="1" applyFont="1" applyFill="1" applyBorder="1" applyAlignment="1">
      <alignment vertical="center" wrapText="1"/>
    </xf>
    <xf numFmtId="0" fontId="3" fillId="0" borderId="22"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14" fontId="3" fillId="0" borderId="30" xfId="0" applyNumberFormat="1" applyFont="1" applyFill="1" applyBorder="1" applyAlignment="1">
      <alignment horizontal="center" vertical="center"/>
    </xf>
    <xf numFmtId="14" fontId="3" fillId="0" borderId="23" xfId="0" applyNumberFormat="1" applyFont="1" applyFill="1" applyBorder="1" applyAlignment="1">
      <alignment horizontal="center" vertical="center"/>
    </xf>
    <xf numFmtId="14" fontId="3" fillId="0" borderId="26" xfId="0" applyNumberFormat="1" applyFont="1" applyFill="1" applyBorder="1" applyAlignment="1">
      <alignment horizontal="center" vertical="center"/>
    </xf>
    <xf numFmtId="0" fontId="3" fillId="2" borderId="32"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5" xfId="0" applyFont="1" applyFill="1" applyBorder="1" applyAlignment="1">
      <alignment horizontal="center" vertical="center" wrapText="1"/>
    </xf>
    <xf numFmtId="14" fontId="3" fillId="0" borderId="22" xfId="0" applyNumberFormat="1" applyFont="1" applyFill="1" applyBorder="1" applyAlignment="1">
      <alignment horizontal="center" vertical="center"/>
    </xf>
    <xf numFmtId="14" fontId="3" fillId="0" borderId="25" xfId="0" applyNumberFormat="1" applyFont="1" applyFill="1" applyBorder="1" applyAlignment="1">
      <alignment horizontal="center" vertical="center"/>
    </xf>
    <xf numFmtId="14" fontId="3" fillId="0" borderId="22" xfId="0" applyNumberFormat="1" applyFont="1" applyFill="1" applyBorder="1" applyAlignment="1">
      <alignment horizontal="center" vertical="center" wrapText="1"/>
    </xf>
    <xf numFmtId="0" fontId="3" fillId="0" borderId="29"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34" xfId="0" applyFont="1" applyFill="1" applyBorder="1" applyAlignment="1">
      <alignment horizontal="center" vertical="center"/>
    </xf>
    <xf numFmtId="0" fontId="3" fillId="2" borderId="30"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0" borderId="31"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xf>
    <xf numFmtId="0" fontId="3" fillId="0" borderId="25" xfId="0" applyFont="1" applyFill="1" applyBorder="1" applyAlignment="1">
      <alignment horizontal="center" vertical="center"/>
    </xf>
    <xf numFmtId="9" fontId="3" fillId="0" borderId="22" xfId="0" applyNumberFormat="1" applyFont="1" applyFill="1" applyBorder="1" applyAlignment="1">
      <alignment horizontal="center" vertical="center"/>
    </xf>
    <xf numFmtId="0" fontId="3" fillId="0" borderId="20" xfId="0" applyFont="1" applyFill="1" applyBorder="1" applyAlignment="1">
      <alignment horizontal="center" vertical="center"/>
    </xf>
    <xf numFmtId="0" fontId="3" fillId="0" borderId="28" xfId="0"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 fillId="0" borderId="1"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9" fillId="0" borderId="0" xfId="0" applyFont="1" applyFill="1" applyAlignment="1">
      <alignment horizontal="left" vertical="center"/>
    </xf>
    <xf numFmtId="0" fontId="46" fillId="0" borderId="0" xfId="0" applyFont="1" applyFill="1" applyAlignment="1">
      <alignment horizontal="left" vertic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2" fillId="0" borderId="0" xfId="0" applyFont="1" applyAlignment="1">
      <alignment horizontal="left"/>
    </xf>
    <xf numFmtId="0" fontId="12" fillId="0" borderId="0" xfId="0" applyFont="1" applyAlignment="1">
      <alignment horizontal="left" wrapText="1"/>
    </xf>
    <xf numFmtId="0" fontId="10" fillId="0" borderId="0" xfId="0" applyFont="1" applyAlignment="1">
      <alignment horizontal="center" vertical="center"/>
    </xf>
    <xf numFmtId="0" fontId="13" fillId="0" borderId="0" xfId="0" applyFont="1" applyAlignment="1">
      <alignment horizontal="left" wrapText="1"/>
    </xf>
    <xf numFmtId="0" fontId="10" fillId="0" borderId="0" xfId="0" applyFont="1" applyAlignment="1">
      <alignment horizontal="left"/>
    </xf>
    <xf numFmtId="0" fontId="10" fillId="0" borderId="0" xfId="0" applyFont="1" applyAlignment="1">
      <alignment horizontal="left" wrapText="1"/>
    </xf>
    <xf numFmtId="0" fontId="10" fillId="0" borderId="0" xfId="0" applyFont="1" applyAlignment="1">
      <alignment horizontal="left" vertical="center" wrapText="1"/>
    </xf>
    <xf numFmtId="0" fontId="10" fillId="0" borderId="0" xfId="0" applyFont="1" applyAlignment="1">
      <alignment horizontal="center" vertical="top"/>
    </xf>
    <xf numFmtId="0" fontId="10" fillId="0" borderId="0" xfId="0" applyFont="1" applyAlignment="1">
      <alignment horizontal="center"/>
    </xf>
    <xf numFmtId="0" fontId="3" fillId="0" borderId="0" xfId="0" applyFont="1" applyAlignment="1">
      <alignment horizontal="left"/>
    </xf>
    <xf numFmtId="0" fontId="3" fillId="0" borderId="14"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1" xfId="0" applyFont="1" applyBorder="1" applyAlignment="1">
      <alignment horizontal="center"/>
    </xf>
    <xf numFmtId="0" fontId="0" fillId="0" borderId="42" xfId="0" applyBorder="1" applyAlignment="1">
      <alignment horizontal="center" vertical="center"/>
    </xf>
    <xf numFmtId="0" fontId="0" fillId="0" borderId="48" xfId="0" applyBorder="1" applyAlignment="1">
      <alignment horizontal="center" vertical="center"/>
    </xf>
    <xf numFmtId="0" fontId="0" fillId="0" borderId="52" xfId="0" applyBorder="1" applyAlignment="1">
      <alignment horizontal="center" vertical="center"/>
    </xf>
    <xf numFmtId="0" fontId="5" fillId="0" borderId="43"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46"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 xfId="0" applyFont="1" applyFill="1" applyBorder="1" applyAlignment="1">
      <alignment horizontal="center" wrapText="1"/>
    </xf>
    <xf numFmtId="0" fontId="5" fillId="0" borderId="47" xfId="0" applyFont="1" applyFill="1" applyBorder="1" applyAlignment="1">
      <alignment horizontal="center" wrapText="1"/>
    </xf>
    <xf numFmtId="0" fontId="5" fillId="0" borderId="13" xfId="0" applyFont="1" applyBorder="1" applyAlignment="1">
      <alignment horizont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3" fillId="0" borderId="12" xfId="0" applyFont="1" applyBorder="1" applyAlignment="1">
      <alignment horizontal="center"/>
    </xf>
    <xf numFmtId="0" fontId="3" fillId="0" borderId="0" xfId="0" applyFont="1" applyFill="1" applyBorder="1" applyAlignment="1">
      <alignment horizontal="center" wrapText="1"/>
    </xf>
    <xf numFmtId="0" fontId="5" fillId="0" borderId="15" xfId="0" applyFont="1" applyBorder="1" applyAlignment="1">
      <alignment horizontal="center" wrapText="1"/>
    </xf>
    <xf numFmtId="0" fontId="5" fillId="0" borderId="55" xfId="0" applyFont="1" applyBorder="1" applyAlignment="1">
      <alignment horizontal="center" wrapText="1"/>
    </xf>
    <xf numFmtId="0" fontId="5" fillId="0" borderId="19" xfId="0" applyFont="1" applyBorder="1" applyAlignment="1">
      <alignment horizontal="center" wrapText="1"/>
    </xf>
    <xf numFmtId="0" fontId="9" fillId="0" borderId="0" xfId="0" applyFont="1" applyAlignment="1">
      <alignment horizontal="left"/>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3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59"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0" xfId="0" applyFont="1" applyBorder="1" applyAlignment="1">
      <alignment horizontal="left" vertical="center" wrapText="1"/>
    </xf>
    <xf numFmtId="0" fontId="9" fillId="0" borderId="0" xfId="0" applyFont="1" applyAlignment="1">
      <alignment horizontal="left" vertical="center"/>
    </xf>
    <xf numFmtId="0" fontId="2" fillId="0" borderId="42" xfId="0" applyFont="1" applyBorder="1" applyAlignment="1">
      <alignment horizontal="center" vertical="center"/>
    </xf>
    <xf numFmtId="0" fontId="2" fillId="0" borderId="48" xfId="0" applyFont="1" applyBorder="1" applyAlignment="1">
      <alignment horizontal="center" vertical="center"/>
    </xf>
    <xf numFmtId="0" fontId="2" fillId="0" borderId="52" xfId="0" applyFont="1" applyBorder="1" applyAlignment="1">
      <alignment horizontal="center" vertical="center"/>
    </xf>
    <xf numFmtId="0" fontId="5" fillId="0" borderId="1"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2" xfId="0" applyFont="1" applyBorder="1" applyAlignment="1">
      <alignment horizontal="center" vertical="center"/>
    </xf>
    <xf numFmtId="0" fontId="5" fillId="0" borderId="63" xfId="0" applyFont="1" applyBorder="1" applyAlignment="1">
      <alignment horizontal="center" wrapText="1"/>
    </xf>
    <xf numFmtId="0" fontId="5" fillId="0" borderId="64" xfId="0" applyFont="1" applyBorder="1" applyAlignment="1">
      <alignment horizontal="center" wrapText="1"/>
    </xf>
    <xf numFmtId="0" fontId="5" fillId="0" borderId="65" xfId="0" applyFont="1" applyBorder="1" applyAlignment="1">
      <alignment horizontal="center" wrapText="1"/>
    </xf>
    <xf numFmtId="2" fontId="3" fillId="0" borderId="11" xfId="0" applyNumberFormat="1" applyFont="1" applyFill="1" applyBorder="1" applyAlignment="1">
      <alignment horizontal="center" vertical="center" wrapText="1"/>
    </xf>
    <xf numFmtId="0" fontId="0" fillId="2" borderId="48" xfId="0" applyFill="1" applyBorder="1" applyAlignment="1">
      <alignment horizontal="center" vertical="center"/>
    </xf>
    <xf numFmtId="44" fontId="3" fillId="0" borderId="11" xfId="0" applyNumberFormat="1" applyFont="1" applyFill="1" applyBorder="1" applyAlignment="1">
      <alignment horizontal="center" vertical="center" wrapText="1"/>
    </xf>
    <xf numFmtId="44" fontId="3" fillId="0" borderId="11" xfId="2" applyFont="1" applyFill="1" applyBorder="1" applyAlignment="1">
      <alignment horizontal="center" vertical="center" wrapText="1"/>
    </xf>
    <xf numFmtId="44" fontId="3" fillId="2" borderId="11" xfId="0" applyNumberFormat="1" applyFont="1" applyFill="1" applyBorder="1" applyAlignment="1">
      <alignment horizontal="center" vertical="center" wrapText="1"/>
    </xf>
    <xf numFmtId="44" fontId="6" fillId="2" borderId="11" xfId="0" applyNumberFormat="1" applyFont="1" applyFill="1" applyBorder="1" applyAlignment="1">
      <alignment horizontal="center" vertical="center" wrapText="1"/>
    </xf>
    <xf numFmtId="0" fontId="6" fillId="2" borderId="11" xfId="0" applyFont="1" applyFill="1" applyBorder="1" applyAlignment="1">
      <alignment horizontal="center" vertical="center" wrapText="1"/>
    </xf>
    <xf numFmtId="44" fontId="3" fillId="0" borderId="32" xfId="0" applyNumberFormat="1" applyFont="1" applyFill="1" applyBorder="1" applyAlignment="1">
      <alignment horizontal="center" vertical="center" wrapText="1"/>
    </xf>
    <xf numFmtId="44" fontId="3" fillId="0" borderId="22" xfId="0" applyNumberFormat="1" applyFont="1" applyFill="1" applyBorder="1" applyAlignment="1">
      <alignment horizontal="center" vertical="center" wrapText="1"/>
    </xf>
    <xf numFmtId="44" fontId="3" fillId="0" borderId="25" xfId="0" applyNumberFormat="1" applyFont="1" applyFill="1" applyBorder="1" applyAlignment="1">
      <alignment horizontal="center" vertical="center" wrapText="1"/>
    </xf>
    <xf numFmtId="44" fontId="3" fillId="2" borderId="32" xfId="0" applyNumberFormat="1" applyFont="1" applyFill="1" applyBorder="1" applyAlignment="1">
      <alignment horizontal="center" vertical="center" wrapText="1"/>
    </xf>
    <xf numFmtId="44" fontId="3" fillId="2" borderId="22" xfId="0" applyNumberFormat="1" applyFont="1" applyFill="1" applyBorder="1" applyAlignment="1">
      <alignment horizontal="center" vertical="center" wrapText="1"/>
    </xf>
    <xf numFmtId="44" fontId="3" fillId="2" borderId="25" xfId="0" applyNumberFormat="1" applyFont="1" applyFill="1" applyBorder="1" applyAlignment="1">
      <alignment horizontal="center" vertical="center" wrapText="1"/>
    </xf>
    <xf numFmtId="0" fontId="3" fillId="2" borderId="48" xfId="0" applyFont="1" applyFill="1" applyBorder="1" applyAlignment="1">
      <alignment horizontal="center" vertical="center" wrapText="1"/>
    </xf>
    <xf numFmtId="43" fontId="3" fillId="2" borderId="11" xfId="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17" fontId="3" fillId="0" borderId="11" xfId="0" applyNumberFormat="1" applyFont="1" applyFill="1" applyBorder="1" applyAlignment="1">
      <alignment horizontal="center" vertical="center" wrapText="1"/>
    </xf>
    <xf numFmtId="44" fontId="18" fillId="0" borderId="11" xfId="2" applyFont="1" applyBorder="1" applyAlignment="1">
      <alignment horizontal="center" vertical="center" wrapText="1"/>
    </xf>
    <xf numFmtId="0" fontId="18" fillId="0" borderId="11" xfId="0" applyFont="1" applyBorder="1" applyAlignment="1">
      <alignment horizontal="center" vertical="center" wrapText="1"/>
    </xf>
    <xf numFmtId="0" fontId="9" fillId="0" borderId="11" xfId="0" applyFont="1" applyBorder="1" applyAlignment="1">
      <alignment horizontal="center" vertical="center" wrapText="1"/>
    </xf>
    <xf numFmtId="44" fontId="3" fillId="0" borderId="11" xfId="2" applyFont="1" applyBorder="1" applyAlignment="1">
      <alignment horizontal="center" vertical="center" wrapText="1"/>
    </xf>
    <xf numFmtId="0" fontId="3" fillId="0" borderId="14" xfId="0" applyFont="1" applyBorder="1" applyAlignment="1">
      <alignment horizontal="center" vertical="center" wrapText="1"/>
    </xf>
    <xf numFmtId="0" fontId="0" fillId="2" borderId="29" xfId="0" applyFill="1" applyBorder="1" applyAlignment="1">
      <alignment horizontal="center" vertical="center"/>
    </xf>
    <xf numFmtId="0" fontId="0" fillId="2" borderId="33" xfId="0" applyFill="1" applyBorder="1" applyAlignment="1">
      <alignment horizontal="center" vertical="center"/>
    </xf>
    <xf numFmtId="0" fontId="0" fillId="2" borderId="34" xfId="0" applyFill="1" applyBorder="1" applyAlignment="1">
      <alignment horizontal="center" vertical="center"/>
    </xf>
    <xf numFmtId="0" fontId="5" fillId="0" borderId="11" xfId="0" applyFont="1" applyBorder="1" applyAlignment="1">
      <alignment horizontal="center"/>
    </xf>
    <xf numFmtId="0" fontId="9" fillId="0" borderId="0" xfId="0" applyFont="1" applyBorder="1" applyAlignment="1">
      <alignment horizontal="left"/>
    </xf>
    <xf numFmtId="0" fontId="5" fillId="0" borderId="12" xfId="0" applyFont="1" applyBorder="1" applyAlignment="1">
      <alignment horizontal="center"/>
    </xf>
    <xf numFmtId="0" fontId="6" fillId="0" borderId="32" xfId="0" applyFont="1" applyFill="1" applyBorder="1" applyAlignment="1">
      <alignment horizontal="center" vertical="center" wrapText="1"/>
    </xf>
    <xf numFmtId="0" fontId="6" fillId="0" borderId="25" xfId="0" applyFont="1" applyFill="1" applyBorder="1" applyAlignment="1">
      <alignment horizontal="center" vertical="center" wrapText="1"/>
    </xf>
    <xf numFmtId="4" fontId="6" fillId="0" borderId="32" xfId="0" applyNumberFormat="1" applyFont="1" applyFill="1" applyBorder="1" applyAlignment="1">
      <alignment horizontal="center" vertical="center" wrapText="1"/>
    </xf>
    <xf numFmtId="4" fontId="6" fillId="0" borderId="25" xfId="0" applyNumberFormat="1" applyFont="1" applyFill="1" applyBorder="1" applyAlignment="1">
      <alignment horizontal="center" vertical="center" wrapText="1"/>
    </xf>
    <xf numFmtId="0" fontId="7" fillId="0" borderId="14" xfId="0" applyFont="1" applyFill="1" applyBorder="1" applyAlignment="1">
      <alignment horizontal="center" vertical="center" wrapText="1"/>
    </xf>
    <xf numFmtId="0" fontId="5" fillId="0" borderId="63"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5" xfId="0" applyFont="1" applyBorder="1" applyAlignment="1">
      <alignment horizontal="center" vertical="center" wrapText="1"/>
    </xf>
    <xf numFmtId="0" fontId="3" fillId="0" borderId="11" xfId="0" applyFont="1" applyFill="1" applyBorder="1" applyAlignment="1">
      <alignment horizontal="justify" vertical="center" wrapText="1"/>
    </xf>
    <xf numFmtId="14" fontId="6" fillId="0" borderId="32" xfId="0" applyNumberFormat="1" applyFont="1" applyFill="1" applyBorder="1" applyAlignment="1">
      <alignment horizontal="center" vertical="center" wrapText="1"/>
    </xf>
    <xf numFmtId="14" fontId="6" fillId="0" borderId="22" xfId="0" applyNumberFormat="1" applyFont="1" applyFill="1" applyBorder="1" applyAlignment="1">
      <alignment horizontal="center" vertical="center" wrapText="1"/>
    </xf>
    <xf numFmtId="14" fontId="6" fillId="0" borderId="25" xfId="0" applyNumberFormat="1" applyFont="1" applyFill="1" applyBorder="1" applyAlignment="1">
      <alignment horizontal="center" vertical="center" wrapText="1"/>
    </xf>
    <xf numFmtId="0" fontId="6" fillId="0" borderId="22" xfId="0" applyFont="1" applyFill="1" applyBorder="1" applyAlignment="1">
      <alignment horizontal="center" vertical="center" wrapText="1"/>
    </xf>
    <xf numFmtId="49" fontId="3" fillId="0" borderId="22" xfId="0" applyNumberFormat="1"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3" fontId="6" fillId="0" borderId="25" xfId="0" applyNumberFormat="1" applyFont="1" applyFill="1" applyBorder="1" applyAlignment="1">
      <alignment horizontal="center" vertical="center" wrapText="1"/>
    </xf>
    <xf numFmtId="4" fontId="6" fillId="0" borderId="22" xfId="0" applyNumberFormat="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0" fontId="3" fillId="0" borderId="32" xfId="0" applyNumberFormat="1" applyFont="1" applyFill="1" applyBorder="1" applyAlignment="1">
      <alignment horizontal="right" vertical="center" wrapText="1"/>
    </xf>
    <xf numFmtId="0" fontId="3" fillId="0" borderId="22" xfId="0" applyNumberFormat="1" applyFont="1" applyFill="1" applyBorder="1" applyAlignment="1">
      <alignment horizontal="right" vertical="center" wrapText="1"/>
    </xf>
    <xf numFmtId="0" fontId="3" fillId="0" borderId="25" xfId="0" applyNumberFormat="1" applyFont="1" applyFill="1" applyBorder="1" applyAlignment="1">
      <alignment horizontal="right" vertical="center" wrapText="1"/>
    </xf>
    <xf numFmtId="0" fontId="3" fillId="0" borderId="30" xfId="0" applyNumberFormat="1" applyFont="1" applyFill="1" applyBorder="1" applyAlignment="1">
      <alignment horizontal="right" vertical="center" wrapText="1"/>
    </xf>
    <xf numFmtId="0" fontId="3" fillId="0" borderId="23" xfId="0" applyNumberFormat="1" applyFont="1" applyFill="1" applyBorder="1" applyAlignment="1">
      <alignment horizontal="right" vertical="center" wrapText="1"/>
    </xf>
    <xf numFmtId="0" fontId="3" fillId="0" borderId="26" xfId="0" applyNumberFormat="1" applyFont="1" applyFill="1" applyBorder="1" applyAlignment="1">
      <alignment horizontal="right" vertical="center" wrapText="1"/>
    </xf>
    <xf numFmtId="4" fontId="3" fillId="0" borderId="22" xfId="0" applyNumberFormat="1" applyFont="1" applyFill="1" applyBorder="1" applyAlignment="1">
      <alignment horizontal="center" vertical="center" wrapText="1"/>
    </xf>
    <xf numFmtId="0" fontId="3" fillId="0" borderId="32" xfId="0" applyFont="1" applyFill="1" applyBorder="1" applyAlignment="1">
      <alignment horizontal="justify" vertical="center" wrapText="1"/>
    </xf>
    <xf numFmtId="0" fontId="3" fillId="0" borderId="22" xfId="0" applyFont="1" applyFill="1" applyBorder="1" applyAlignment="1">
      <alignment horizontal="justify" vertical="center" wrapText="1"/>
    </xf>
    <xf numFmtId="0" fontId="3" fillId="0" borderId="25" xfId="0" applyFont="1" applyFill="1" applyBorder="1" applyAlignment="1">
      <alignment horizontal="justify" vertical="center" wrapText="1"/>
    </xf>
    <xf numFmtId="0" fontId="0" fillId="0" borderId="29"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3" fillId="0" borderId="37"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0" borderId="24" xfId="0" applyFont="1" applyFill="1" applyBorder="1" applyAlignment="1">
      <alignment horizontal="center" vertical="center" wrapText="1"/>
    </xf>
    <xf numFmtId="3" fontId="3" fillId="0" borderId="22"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0" fillId="0" borderId="68" xfId="0" applyBorder="1" applyAlignment="1">
      <alignment horizontal="center" vertical="center"/>
    </xf>
    <xf numFmtId="0" fontId="3" fillId="0" borderId="8" xfId="0" applyFont="1" applyFill="1" applyBorder="1" applyAlignment="1">
      <alignment horizontal="center" vertical="center" wrapText="1"/>
    </xf>
    <xf numFmtId="0" fontId="3" fillId="0" borderId="6" xfId="0" applyFont="1" applyFill="1" applyBorder="1" applyAlignment="1">
      <alignment horizontal="justify" vertical="center" wrapText="1"/>
    </xf>
    <xf numFmtId="14" fontId="3" fillId="0" borderId="6"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0" fontId="5" fillId="0" borderId="25" xfId="0" applyFont="1" applyFill="1" applyBorder="1" applyAlignment="1">
      <alignment horizontal="center" wrapText="1"/>
    </xf>
    <xf numFmtId="0" fontId="5" fillId="0" borderId="11" xfId="0" applyFont="1" applyFill="1" applyBorder="1" applyAlignment="1">
      <alignment horizont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left" wrapText="1"/>
    </xf>
    <xf numFmtId="43" fontId="6" fillId="0" borderId="32" xfId="1" applyFont="1" applyFill="1" applyBorder="1" applyAlignment="1">
      <alignment horizontal="center" vertical="center" wrapText="1"/>
    </xf>
    <xf numFmtId="43" fontId="6" fillId="0" borderId="22" xfId="1" applyFont="1" applyFill="1" applyBorder="1" applyAlignment="1">
      <alignment horizontal="center" vertical="center" wrapText="1"/>
    </xf>
    <xf numFmtId="43" fontId="6" fillId="0" borderId="25" xfId="1" applyFont="1" applyFill="1" applyBorder="1" applyAlignment="1">
      <alignment horizontal="center" vertical="center" wrapText="1"/>
    </xf>
    <xf numFmtId="49" fontId="6" fillId="0" borderId="32" xfId="0" applyNumberFormat="1" applyFont="1" applyFill="1" applyBorder="1" applyAlignment="1">
      <alignment horizontal="center" vertical="center" wrapText="1"/>
    </xf>
    <xf numFmtId="49" fontId="6" fillId="0" borderId="22" xfId="0" applyNumberFormat="1" applyFont="1" applyFill="1" applyBorder="1" applyAlignment="1">
      <alignment horizontal="center" vertical="center" wrapText="1"/>
    </xf>
    <xf numFmtId="49" fontId="6" fillId="0" borderId="25" xfId="0" applyNumberFormat="1" applyFont="1" applyFill="1" applyBorder="1" applyAlignment="1">
      <alignment horizontal="center" vertical="center" wrapText="1"/>
    </xf>
    <xf numFmtId="14" fontId="50" fillId="0" borderId="32" xfId="0" applyNumberFormat="1" applyFont="1" applyFill="1" applyBorder="1" applyAlignment="1">
      <alignment horizontal="center" vertical="center" wrapText="1"/>
    </xf>
    <xf numFmtId="14" fontId="50" fillId="0" borderId="22" xfId="0" applyNumberFormat="1" applyFont="1" applyFill="1" applyBorder="1" applyAlignment="1">
      <alignment horizontal="center" vertical="center" wrapText="1"/>
    </xf>
    <xf numFmtId="14" fontId="50" fillId="0" borderId="25" xfId="0" applyNumberFormat="1"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3" fillId="0" borderId="37" xfId="0" applyFont="1" applyFill="1" applyBorder="1" applyAlignment="1">
      <alignment horizontal="right" vertical="center" wrapText="1"/>
    </xf>
    <xf numFmtId="0" fontId="3" fillId="0" borderId="69" xfId="0" applyFont="1" applyFill="1" applyBorder="1" applyAlignment="1">
      <alignment horizontal="right" vertical="center" wrapText="1"/>
    </xf>
    <xf numFmtId="0" fontId="3" fillId="0" borderId="24" xfId="0" applyFont="1" applyFill="1" applyBorder="1" applyAlignment="1">
      <alignment horizontal="right" vertical="center" wrapText="1"/>
    </xf>
    <xf numFmtId="0" fontId="6" fillId="0" borderId="32" xfId="0" applyNumberFormat="1" applyFont="1" applyFill="1" applyBorder="1" applyAlignment="1">
      <alignment horizontal="center" vertical="center" wrapText="1"/>
    </xf>
    <xf numFmtId="0" fontId="6" fillId="0" borderId="25" xfId="0" applyNumberFormat="1" applyFont="1" applyFill="1" applyBorder="1" applyAlignment="1">
      <alignment horizontal="center" vertical="center" wrapText="1"/>
    </xf>
    <xf numFmtId="0" fontId="27" fillId="0" borderId="37" xfId="0" applyFont="1" applyFill="1" applyBorder="1" applyAlignment="1">
      <alignment horizontal="center" vertical="center" wrapText="1"/>
    </xf>
    <xf numFmtId="0" fontId="27" fillId="0" borderId="24" xfId="0" applyFont="1" applyFill="1" applyBorder="1" applyAlignment="1">
      <alignment horizontal="center" vertical="center" wrapText="1"/>
    </xf>
    <xf numFmtId="0" fontId="6" fillId="0" borderId="37" xfId="0" applyFont="1" applyFill="1" applyBorder="1" applyAlignment="1">
      <alignment horizontal="right" vertical="center" wrapText="1"/>
    </xf>
    <xf numFmtId="0" fontId="6" fillId="0" borderId="24" xfId="0" applyFont="1" applyFill="1" applyBorder="1" applyAlignment="1">
      <alignment horizontal="right" vertical="center" wrapText="1"/>
    </xf>
    <xf numFmtId="0" fontId="6" fillId="0" borderId="32"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3" fillId="0" borderId="32"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27" fillId="0" borderId="32"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37" xfId="0" applyFont="1" applyFill="1" applyBorder="1" applyAlignment="1">
      <alignment horizontal="right" vertical="center" wrapText="1"/>
    </xf>
    <xf numFmtId="0" fontId="27" fillId="0" borderId="24" xfId="0" applyFont="1" applyFill="1" applyBorder="1" applyAlignment="1">
      <alignment horizontal="right" vertical="center" wrapText="1"/>
    </xf>
    <xf numFmtId="0" fontId="6" fillId="0" borderId="22" xfId="0" applyNumberFormat="1" applyFont="1" applyFill="1" applyBorder="1" applyAlignment="1">
      <alignment horizontal="center" vertical="center" wrapText="1"/>
    </xf>
    <xf numFmtId="43" fontId="6" fillId="0" borderId="32" xfId="0" applyNumberFormat="1" applyFont="1" applyFill="1" applyBorder="1" applyAlignment="1">
      <alignment horizontal="center" vertical="center" wrapText="1"/>
    </xf>
    <xf numFmtId="43" fontId="6" fillId="0" borderId="22" xfId="0" applyNumberFormat="1" applyFont="1" applyFill="1" applyBorder="1" applyAlignment="1">
      <alignment horizontal="center" vertical="center" wrapText="1"/>
    </xf>
    <xf numFmtId="43" fontId="6" fillId="0" borderId="25" xfId="0" applyNumberFormat="1" applyFont="1" applyFill="1" applyBorder="1" applyAlignment="1">
      <alignment horizontal="center" vertical="center" wrapText="1"/>
    </xf>
    <xf numFmtId="0" fontId="27" fillId="0" borderId="22" xfId="0" applyFont="1" applyFill="1" applyBorder="1" applyAlignment="1">
      <alignment horizontal="center" vertical="center" wrapText="1"/>
    </xf>
    <xf numFmtId="14" fontId="27" fillId="0" borderId="32" xfId="0" applyNumberFormat="1" applyFont="1" applyFill="1" applyBorder="1" applyAlignment="1">
      <alignment horizontal="center" vertical="center" wrapText="1"/>
    </xf>
    <xf numFmtId="14" fontId="27" fillId="0" borderId="22" xfId="0" applyNumberFormat="1" applyFont="1" applyFill="1" applyBorder="1" applyAlignment="1">
      <alignment horizontal="center" vertical="center" wrapText="1"/>
    </xf>
    <xf numFmtId="14" fontId="27" fillId="0" borderId="25" xfId="0" applyNumberFormat="1" applyFont="1" applyFill="1" applyBorder="1" applyAlignment="1">
      <alignment horizontal="center" vertical="center" wrapText="1"/>
    </xf>
    <xf numFmtId="0" fontId="6" fillId="0" borderId="69" xfId="0" applyFont="1" applyFill="1" applyBorder="1" applyAlignment="1">
      <alignment horizontal="right" vertical="center" wrapText="1"/>
    </xf>
    <xf numFmtId="17" fontId="6" fillId="0" borderId="32" xfId="0" applyNumberFormat="1" applyFont="1" applyFill="1" applyBorder="1" applyAlignment="1">
      <alignment horizontal="center" vertical="center" wrapText="1"/>
    </xf>
    <xf numFmtId="17" fontId="6" fillId="0" borderId="22" xfId="0" applyNumberFormat="1" applyFont="1" applyFill="1" applyBorder="1" applyAlignment="1">
      <alignment horizontal="center" vertical="center" wrapText="1"/>
    </xf>
    <xf numFmtId="17" fontId="6" fillId="0" borderId="25" xfId="0" applyNumberFormat="1" applyFont="1" applyFill="1" applyBorder="1" applyAlignment="1">
      <alignment horizontal="center" vertical="center" wrapText="1"/>
    </xf>
    <xf numFmtId="0" fontId="6" fillId="0" borderId="22"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6" fillId="0" borderId="37"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51" fillId="0" borderId="32" xfId="0" applyFont="1" applyFill="1" applyBorder="1" applyAlignment="1">
      <alignment horizontal="center" vertical="center" wrapText="1"/>
    </xf>
    <xf numFmtId="0" fontId="51" fillId="0" borderId="22" xfId="0" applyFont="1" applyFill="1" applyBorder="1" applyAlignment="1">
      <alignment horizontal="center" vertical="center" wrapText="1"/>
    </xf>
    <xf numFmtId="0" fontId="51" fillId="0" borderId="25" xfId="0" applyFont="1" applyFill="1" applyBorder="1" applyAlignment="1">
      <alignment horizontal="center" vertical="center" wrapText="1"/>
    </xf>
    <xf numFmtId="4" fontId="27" fillId="0" borderId="32" xfId="0" applyNumberFormat="1" applyFont="1" applyFill="1" applyBorder="1" applyAlignment="1">
      <alignment horizontal="center" vertical="center" wrapText="1"/>
    </xf>
    <xf numFmtId="4" fontId="27" fillId="0" borderId="22" xfId="0" applyNumberFormat="1" applyFont="1" applyFill="1" applyBorder="1" applyAlignment="1">
      <alignment horizontal="center" vertical="center" wrapText="1"/>
    </xf>
    <xf numFmtId="4" fontId="27" fillId="0" borderId="25" xfId="0" applyNumberFormat="1" applyFont="1" applyFill="1" applyBorder="1" applyAlignment="1">
      <alignment horizontal="center" vertical="center" wrapText="1"/>
    </xf>
    <xf numFmtId="43" fontId="50" fillId="0" borderId="32" xfId="1" applyFont="1" applyFill="1" applyBorder="1" applyAlignment="1">
      <alignment horizontal="center" vertical="center" wrapText="1"/>
    </xf>
    <xf numFmtId="43" fontId="50" fillId="0" borderId="22" xfId="1" applyFont="1" applyFill="1" applyBorder="1" applyAlignment="1">
      <alignment horizontal="center" vertical="center" wrapText="1"/>
    </xf>
    <xf numFmtId="43" fontId="50" fillId="0" borderId="25" xfId="1" applyFont="1" applyFill="1" applyBorder="1" applyAlignment="1">
      <alignment horizontal="center" vertical="center" wrapText="1"/>
    </xf>
    <xf numFmtId="0" fontId="5" fillId="0" borderId="22" xfId="0" applyFont="1" applyFill="1" applyBorder="1" applyAlignment="1">
      <alignment horizontal="center" vertical="center" wrapText="1"/>
    </xf>
    <xf numFmtId="0" fontId="50" fillId="0" borderId="32" xfId="0" applyFont="1" applyFill="1" applyBorder="1" applyAlignment="1">
      <alignment horizontal="center" vertical="center" wrapText="1"/>
    </xf>
    <xf numFmtId="0" fontId="50" fillId="0" borderId="22" xfId="0" applyFont="1" applyFill="1" applyBorder="1" applyAlignment="1">
      <alignment horizontal="center" vertical="center" wrapText="1"/>
    </xf>
    <xf numFmtId="0" fontId="50" fillId="0" borderId="25" xfId="0" applyFont="1" applyFill="1" applyBorder="1" applyAlignment="1">
      <alignment horizontal="center" vertical="center" wrapText="1"/>
    </xf>
    <xf numFmtId="14" fontId="51" fillId="0" borderId="32" xfId="0" applyNumberFormat="1" applyFont="1" applyFill="1" applyBorder="1" applyAlignment="1">
      <alignment horizontal="center" vertical="center" wrapText="1"/>
    </xf>
    <xf numFmtId="14" fontId="51" fillId="0" borderId="22" xfId="0" applyNumberFormat="1" applyFont="1" applyFill="1" applyBorder="1" applyAlignment="1">
      <alignment horizontal="center" vertical="center" wrapText="1"/>
    </xf>
    <xf numFmtId="14" fontId="51" fillId="0" borderId="25" xfId="0" applyNumberFormat="1"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32"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27" fillId="0" borderId="25" xfId="0" applyFont="1" applyFill="1" applyBorder="1" applyAlignment="1">
      <alignment horizontal="left" vertical="center" wrapText="1"/>
    </xf>
    <xf numFmtId="172" fontId="3" fillId="0" borderId="32" xfId="0" applyNumberFormat="1" applyFont="1" applyFill="1" applyBorder="1" applyAlignment="1">
      <alignment horizontal="center" vertical="center" wrapText="1"/>
    </xf>
    <xf numFmtId="172" fontId="3" fillId="0" borderId="22" xfId="0" applyNumberFormat="1" applyFont="1" applyFill="1" applyBorder="1" applyAlignment="1">
      <alignment horizontal="center" vertical="center" wrapText="1"/>
    </xf>
    <xf numFmtId="172" fontId="3" fillId="0" borderId="25" xfId="0" applyNumberFormat="1" applyFont="1" applyFill="1" applyBorder="1" applyAlignment="1">
      <alignment horizontal="center" vertical="center" wrapText="1"/>
    </xf>
    <xf numFmtId="2" fontId="3" fillId="0" borderId="32" xfId="0" applyNumberFormat="1" applyFont="1" applyFill="1" applyBorder="1" applyAlignment="1">
      <alignment horizontal="center" vertical="center" wrapText="1"/>
    </xf>
    <xf numFmtId="2" fontId="3" fillId="0" borderId="22" xfId="0" applyNumberFormat="1" applyFont="1" applyFill="1" applyBorder="1" applyAlignment="1">
      <alignment horizontal="center" vertical="center" wrapText="1"/>
    </xf>
    <xf numFmtId="2" fontId="3" fillId="0" borderId="25" xfId="0" applyNumberFormat="1" applyFont="1" applyFill="1" applyBorder="1" applyAlignment="1">
      <alignment horizontal="center" vertical="center" wrapText="1"/>
    </xf>
    <xf numFmtId="43" fontId="3" fillId="0" borderId="32" xfId="1" applyFont="1" applyFill="1" applyBorder="1" applyAlignment="1">
      <alignment horizontal="center" vertical="center" wrapText="1"/>
    </xf>
    <xf numFmtId="43" fontId="3" fillId="0" borderId="25" xfId="1"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34" xfId="0" applyFont="1" applyFill="1" applyBorder="1" applyAlignment="1">
      <alignment horizontal="center" vertical="center" wrapText="1"/>
    </xf>
    <xf numFmtId="4" fontId="3" fillId="0" borderId="32" xfId="0" applyNumberFormat="1" applyFont="1" applyFill="1" applyBorder="1" applyAlignment="1">
      <alignment horizontal="right" vertical="center" wrapText="1"/>
    </xf>
    <xf numFmtId="4" fontId="3" fillId="0" borderId="25" xfId="0" applyNumberFormat="1" applyFont="1" applyFill="1" applyBorder="1" applyAlignment="1">
      <alignment horizontal="right" vertical="center" wrapText="1"/>
    </xf>
    <xf numFmtId="0" fontId="3" fillId="0" borderId="25" xfId="0" applyFont="1" applyFill="1" applyBorder="1" applyAlignment="1">
      <alignment vertical="center" wrapText="1"/>
    </xf>
    <xf numFmtId="43" fontId="3" fillId="0" borderId="22" xfId="1"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22" xfId="0" applyNumberFormat="1" applyFont="1" applyFill="1" applyBorder="1" applyAlignment="1">
      <alignment horizontal="center" vertical="center" wrapText="1"/>
    </xf>
    <xf numFmtId="0" fontId="3" fillId="0" borderId="32" xfId="0" applyFont="1" applyFill="1" applyBorder="1" applyAlignment="1">
      <alignment horizontal="center"/>
    </xf>
    <xf numFmtId="0" fontId="3" fillId="0" borderId="22" xfId="0" applyFont="1" applyFill="1" applyBorder="1" applyAlignment="1">
      <alignment horizontal="center"/>
    </xf>
    <xf numFmtId="0" fontId="3" fillId="0" borderId="25" xfId="0" applyFont="1" applyFill="1" applyBorder="1" applyAlignment="1">
      <alignment horizontal="center"/>
    </xf>
    <xf numFmtId="43" fontId="3" fillId="0" borderId="11" xfId="1" applyFont="1" applyFill="1" applyBorder="1" applyAlignment="1">
      <alignment horizontal="center" vertical="center" wrapText="1"/>
    </xf>
    <xf numFmtId="0" fontId="27" fillId="0" borderId="14" xfId="0" applyFont="1" applyFill="1" applyBorder="1" applyAlignment="1">
      <alignment horizontal="right" vertical="center" wrapText="1"/>
    </xf>
    <xf numFmtId="0" fontId="27" fillId="0" borderId="11" xfId="0" applyFont="1" applyFill="1" applyBorder="1" applyAlignment="1">
      <alignment horizontal="center" vertical="center" wrapText="1"/>
    </xf>
    <xf numFmtId="0" fontId="27" fillId="0" borderId="11" xfId="0" applyFont="1" applyFill="1" applyBorder="1" applyAlignment="1">
      <alignment horizontal="left" vertical="center" wrapText="1"/>
    </xf>
    <xf numFmtId="3" fontId="27" fillId="0" borderId="11" xfId="0" applyNumberFormat="1" applyFont="1" applyFill="1" applyBorder="1" applyAlignment="1">
      <alignment horizontal="center" vertical="center" wrapText="1"/>
    </xf>
    <xf numFmtId="49" fontId="3" fillId="0" borderId="69" xfId="0" applyNumberFormat="1" applyFont="1" applyFill="1" applyBorder="1" applyAlignment="1">
      <alignment horizontal="center" vertical="center" wrapText="1"/>
    </xf>
    <xf numFmtId="43" fontId="3" fillId="0" borderId="32" xfId="0" applyNumberFormat="1" applyFont="1" applyFill="1" applyBorder="1" applyAlignment="1">
      <alignment horizontal="center" vertical="center" wrapText="1"/>
    </xf>
    <xf numFmtId="43" fontId="3" fillId="0" borderId="22" xfId="0" applyNumberFormat="1" applyFont="1" applyFill="1" applyBorder="1" applyAlignment="1">
      <alignment horizontal="center" vertical="center" wrapText="1"/>
    </xf>
    <xf numFmtId="43" fontId="3" fillId="0" borderId="25" xfId="0" applyNumberFormat="1" applyFont="1" applyFill="1" applyBorder="1" applyAlignment="1">
      <alignment horizontal="center" vertical="center" wrapText="1"/>
    </xf>
    <xf numFmtId="0" fontId="3" fillId="0" borderId="37" xfId="0" applyNumberFormat="1" applyFont="1" applyFill="1" applyBorder="1" applyAlignment="1">
      <alignment horizontal="center" vertical="center" wrapText="1"/>
    </xf>
    <xf numFmtId="0" fontId="3" fillId="0" borderId="69"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wrapText="1"/>
    </xf>
    <xf numFmtId="0" fontId="3" fillId="0" borderId="11" xfId="0" applyFont="1" applyFill="1" applyBorder="1" applyAlignment="1">
      <alignment horizontal="left" vertical="center" wrapText="1"/>
    </xf>
    <xf numFmtId="0" fontId="3" fillId="0" borderId="14" xfId="0" applyFont="1" applyFill="1" applyBorder="1" applyAlignment="1">
      <alignment horizontal="right" vertical="center" wrapText="1"/>
    </xf>
    <xf numFmtId="4" fontId="3" fillId="0" borderId="11" xfId="0" applyNumberFormat="1" applyFont="1" applyFill="1" applyBorder="1" applyAlignment="1">
      <alignment horizontal="left" vertical="center" wrapText="1"/>
    </xf>
    <xf numFmtId="49" fontId="3" fillId="0" borderId="37" xfId="0" applyNumberFormat="1" applyFont="1" applyFill="1" applyBorder="1" applyAlignment="1">
      <alignment horizontal="right" vertical="center" wrapText="1"/>
    </xf>
    <xf numFmtId="49" fontId="3" fillId="0" borderId="69" xfId="0" applyNumberFormat="1" applyFont="1" applyFill="1" applyBorder="1" applyAlignment="1">
      <alignment horizontal="right" vertical="center" wrapText="1"/>
    </xf>
    <xf numFmtId="49" fontId="3" fillId="0" borderId="24" xfId="0" applyNumberFormat="1" applyFont="1" applyFill="1" applyBorder="1" applyAlignment="1">
      <alignment horizontal="right" vertical="center" wrapText="1"/>
    </xf>
    <xf numFmtId="0" fontId="17" fillId="0" borderId="11" xfId="0" applyFont="1" applyFill="1" applyBorder="1" applyAlignment="1">
      <alignment horizontal="center" vertical="center" wrapText="1"/>
    </xf>
    <xf numFmtId="0" fontId="5" fillId="0" borderId="11" xfId="0" applyNumberFormat="1" applyFont="1" applyFill="1" applyBorder="1" applyAlignment="1">
      <alignment horizontal="center" vertical="center" wrapText="1"/>
    </xf>
    <xf numFmtId="0" fontId="20" fillId="0" borderId="0" xfId="0" applyFont="1" applyFill="1" applyBorder="1" applyAlignment="1">
      <alignment horizontal="left"/>
    </xf>
    <xf numFmtId="0" fontId="23" fillId="0" borderId="0" xfId="0" applyFont="1" applyFill="1" applyBorder="1" applyAlignment="1">
      <alignment horizontal="center" vertical="center"/>
    </xf>
    <xf numFmtId="0" fontId="5" fillId="0" borderId="42"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6" fillId="0" borderId="25" xfId="0" applyFont="1" applyFill="1" applyBorder="1" applyAlignment="1">
      <alignment vertical="center" wrapText="1"/>
    </xf>
    <xf numFmtId="0" fontId="6" fillId="0" borderId="11" xfId="0" applyFont="1" applyFill="1" applyBorder="1" applyAlignment="1">
      <alignment vertical="center" wrapText="1"/>
    </xf>
    <xf numFmtId="4" fontId="3" fillId="0" borderId="25" xfId="0" applyNumberFormat="1" applyFont="1" applyFill="1" applyBorder="1" applyAlignment="1">
      <alignment horizontal="left" vertical="center" wrapText="1"/>
    </xf>
    <xf numFmtId="0" fontId="6" fillId="0" borderId="11"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3" fillId="0" borderId="54" xfId="0" applyFont="1" applyFill="1" applyBorder="1" applyAlignment="1">
      <alignment horizontal="center" vertical="center" wrapText="1"/>
    </xf>
    <xf numFmtId="175" fontId="3" fillId="0" borderId="22" xfId="0" applyNumberFormat="1" applyFont="1" applyFill="1" applyBorder="1" applyAlignment="1">
      <alignment horizontal="center" vertical="center" wrapText="1"/>
    </xf>
    <xf numFmtId="175" fontId="3" fillId="0" borderId="25" xfId="0" applyNumberFormat="1" applyFont="1" applyFill="1" applyBorder="1" applyAlignment="1">
      <alignment horizontal="center" vertical="center" wrapText="1"/>
    </xf>
    <xf numFmtId="0" fontId="5" fillId="0" borderId="75" xfId="0" applyFont="1" applyFill="1" applyBorder="1" applyAlignment="1">
      <alignment horizontal="center"/>
    </xf>
    <xf numFmtId="43" fontId="5" fillId="0" borderId="11" xfId="1" applyFont="1" applyFill="1" applyBorder="1" applyAlignment="1">
      <alignment horizontal="center" vertical="center" wrapText="1"/>
    </xf>
    <xf numFmtId="14" fontId="28" fillId="0" borderId="11" xfId="0" applyNumberFormat="1" applyFont="1" applyFill="1" applyBorder="1" applyAlignment="1">
      <alignment horizontal="center" vertical="center" wrapText="1"/>
    </xf>
    <xf numFmtId="175" fontId="3" fillId="0" borderId="32" xfId="0" applyNumberFormat="1" applyFont="1" applyFill="1" applyBorder="1" applyAlignment="1">
      <alignment horizontal="center" vertical="center" wrapText="1"/>
    </xf>
    <xf numFmtId="0" fontId="5" fillId="0" borderId="49" xfId="0" applyFont="1" applyFill="1" applyBorder="1" applyAlignment="1">
      <alignment horizontal="center"/>
    </xf>
    <xf numFmtId="14" fontId="6" fillId="0" borderId="11" xfId="0" applyNumberFormat="1" applyFont="1" applyFill="1" applyBorder="1" applyAlignment="1">
      <alignment horizontal="center" vertical="center" wrapText="1"/>
    </xf>
    <xf numFmtId="0" fontId="3" fillId="0" borderId="32" xfId="1" applyNumberFormat="1" applyFont="1" applyFill="1" applyBorder="1" applyAlignment="1">
      <alignment horizontal="center" vertical="center" wrapText="1"/>
    </xf>
    <xf numFmtId="0" fontId="3" fillId="0" borderId="22" xfId="1" applyNumberFormat="1" applyFont="1" applyFill="1" applyBorder="1" applyAlignment="1">
      <alignment horizontal="center" vertical="center" wrapText="1"/>
    </xf>
    <xf numFmtId="0" fontId="3" fillId="0" borderId="25" xfId="1" applyNumberFormat="1" applyFont="1" applyFill="1" applyBorder="1" applyAlignment="1">
      <alignment horizontal="center" vertical="center" wrapText="1"/>
    </xf>
    <xf numFmtId="0" fontId="5" fillId="0" borderId="0" xfId="0" applyFont="1" applyFill="1" applyBorder="1" applyAlignment="1">
      <alignment horizontal="center" wrapText="1"/>
    </xf>
    <xf numFmtId="0" fontId="28" fillId="0" borderId="11" xfId="0" applyFont="1" applyFill="1" applyBorder="1" applyAlignment="1">
      <alignment horizontal="center" vertical="center" wrapText="1"/>
    </xf>
    <xf numFmtId="176" fontId="3" fillId="2" borderId="11" xfId="0" applyNumberFormat="1" applyFont="1" applyFill="1" applyBorder="1" applyAlignment="1">
      <alignment horizontal="center" vertical="center" wrapText="1"/>
    </xf>
    <xf numFmtId="176" fontId="3" fillId="2" borderId="32" xfId="0" applyNumberFormat="1" applyFont="1" applyFill="1" applyBorder="1" applyAlignment="1">
      <alignment horizontal="center" vertical="center" wrapText="1"/>
    </xf>
    <xf numFmtId="4" fontId="3" fillId="2" borderId="32" xfId="0" applyNumberFormat="1" applyFont="1" applyFill="1" applyBorder="1" applyAlignment="1">
      <alignment horizontal="center" vertical="center" wrapText="1"/>
    </xf>
    <xf numFmtId="4" fontId="3" fillId="2" borderId="22" xfId="0" applyNumberFormat="1" applyFont="1" applyFill="1" applyBorder="1" applyAlignment="1">
      <alignment horizontal="center" vertical="center" wrapText="1"/>
    </xf>
    <xf numFmtId="14" fontId="3" fillId="2" borderId="11" xfId="0" applyNumberFormat="1" applyFont="1" applyFill="1" applyBorder="1" applyAlignment="1">
      <alignment horizontal="center" vertical="center" wrapText="1"/>
    </xf>
    <xf numFmtId="14" fontId="3" fillId="2" borderId="32" xfId="0" applyNumberFormat="1" applyFont="1" applyFill="1" applyBorder="1" applyAlignment="1">
      <alignment horizontal="center" vertical="center" wrapText="1"/>
    </xf>
    <xf numFmtId="176" fontId="3" fillId="2" borderId="11" xfId="0" applyNumberFormat="1" applyFont="1" applyFill="1" applyBorder="1" applyAlignment="1">
      <alignment horizontal="center" vertical="center"/>
    </xf>
    <xf numFmtId="176" fontId="3" fillId="2" borderId="32" xfId="0" applyNumberFormat="1" applyFont="1" applyFill="1" applyBorder="1" applyAlignment="1">
      <alignment horizontal="center" vertical="center"/>
    </xf>
    <xf numFmtId="3" fontId="3" fillId="2" borderId="32" xfId="0" applyNumberFormat="1" applyFont="1" applyFill="1" applyBorder="1" applyAlignment="1">
      <alignment horizontal="center" vertical="center" wrapText="1"/>
    </xf>
    <xf numFmtId="14" fontId="3" fillId="2" borderId="11" xfId="0" applyNumberFormat="1" applyFont="1" applyFill="1" applyBorder="1" applyAlignment="1">
      <alignment horizontal="center" vertical="center"/>
    </xf>
    <xf numFmtId="14" fontId="3" fillId="2" borderId="32" xfId="0" applyNumberFormat="1" applyFont="1" applyFill="1" applyBorder="1" applyAlignment="1">
      <alignment horizontal="center" vertical="center"/>
    </xf>
    <xf numFmtId="49" fontId="3" fillId="2" borderId="11" xfId="0" applyNumberFormat="1" applyFont="1" applyFill="1" applyBorder="1" applyAlignment="1">
      <alignment horizontal="center" vertical="center"/>
    </xf>
    <xf numFmtId="0" fontId="3" fillId="2" borderId="11" xfId="0" applyFont="1" applyFill="1" applyBorder="1" applyAlignment="1">
      <alignment horizontal="center" vertical="center"/>
    </xf>
    <xf numFmtId="0" fontId="3" fillId="2" borderId="32" xfId="0" applyFont="1" applyFill="1" applyBorder="1" applyAlignment="1">
      <alignment horizontal="center" vertical="center"/>
    </xf>
    <xf numFmtId="0" fontId="5" fillId="2" borderId="59"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3" fillId="2" borderId="48" xfId="0" applyNumberFormat="1" applyFont="1" applyFill="1" applyBorder="1" applyAlignment="1" applyProtection="1">
      <alignment horizontal="center" vertical="center"/>
      <protection locked="0"/>
    </xf>
    <xf numFmtId="0" fontId="3" fillId="2" borderId="29" xfId="0" applyNumberFormat="1" applyFont="1" applyFill="1" applyBorder="1" applyAlignment="1" applyProtection="1">
      <alignment horizontal="center" vertical="center"/>
      <protection locked="0"/>
    </xf>
    <xf numFmtId="0" fontId="3" fillId="2" borderId="14" xfId="0" applyFont="1" applyFill="1" applyBorder="1" applyAlignment="1">
      <alignment horizontal="center" vertical="center"/>
    </xf>
    <xf numFmtId="0" fontId="3" fillId="2" borderId="37" xfId="0" applyFont="1" applyFill="1" applyBorder="1" applyAlignment="1">
      <alignment horizontal="center" vertical="center"/>
    </xf>
    <xf numFmtId="10" fontId="3" fillId="2" borderId="11" xfId="0" applyNumberFormat="1" applyFont="1" applyFill="1" applyBorder="1" applyAlignment="1">
      <alignment horizontal="center" vertical="center" wrapText="1"/>
    </xf>
    <xf numFmtId="10" fontId="3" fillId="2" borderId="32" xfId="0" applyNumberFormat="1" applyFont="1" applyFill="1" applyBorder="1" applyAlignment="1">
      <alignment horizontal="center" vertical="center" wrapText="1"/>
    </xf>
    <xf numFmtId="0" fontId="3" fillId="2" borderId="48" xfId="0" applyFont="1" applyFill="1" applyBorder="1" applyAlignment="1">
      <alignment horizontal="center" vertical="center"/>
    </xf>
    <xf numFmtId="0" fontId="3" fillId="2" borderId="14" xfId="0" applyFont="1" applyFill="1" applyBorder="1" applyAlignment="1">
      <alignment horizontal="center" vertical="center" wrapText="1"/>
    </xf>
    <xf numFmtId="49" fontId="3" fillId="2" borderId="11" xfId="0" applyNumberFormat="1" applyFont="1" applyFill="1" applyBorder="1" applyAlignment="1">
      <alignment horizontal="center" vertical="center" wrapText="1"/>
    </xf>
    <xf numFmtId="4" fontId="3" fillId="2" borderId="11" xfId="0" applyNumberFormat="1" applyFont="1" applyFill="1" applyBorder="1" applyAlignment="1">
      <alignment horizontal="center" vertical="center" wrapText="1"/>
    </xf>
    <xf numFmtId="176" fontId="6" fillId="2" borderId="11" xfId="0" applyNumberFormat="1" applyFont="1" applyFill="1" applyBorder="1" applyAlignment="1">
      <alignment horizontal="center" vertical="center" wrapText="1"/>
    </xf>
    <xf numFmtId="176" fontId="6" fillId="2" borderId="11" xfId="2" applyNumberFormat="1" applyFont="1" applyFill="1" applyBorder="1" applyAlignment="1">
      <alignment horizontal="center" vertical="center" wrapText="1"/>
    </xf>
    <xf numFmtId="4" fontId="3" fillId="2" borderId="25" xfId="0" applyNumberFormat="1" applyFont="1" applyFill="1" applyBorder="1" applyAlignment="1">
      <alignment horizontal="center" vertical="center" wrapText="1"/>
    </xf>
    <xf numFmtId="176" fontId="6" fillId="2" borderId="11" xfId="0" applyNumberFormat="1" applyFont="1" applyFill="1" applyBorder="1" applyAlignment="1">
      <alignment horizontal="center" vertical="center"/>
    </xf>
    <xf numFmtId="3" fontId="3" fillId="2" borderId="11" xfId="0"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4" fontId="3" fillId="2" borderId="11" xfId="1" applyNumberFormat="1" applyFont="1" applyFill="1" applyBorder="1" applyAlignment="1">
      <alignment horizontal="center" vertical="center"/>
    </xf>
    <xf numFmtId="0" fontId="3" fillId="2" borderId="22" xfId="0" applyFont="1" applyFill="1" applyBorder="1" applyAlignment="1">
      <alignment horizontal="center" vertical="center"/>
    </xf>
    <xf numFmtId="0" fontId="3" fillId="2" borderId="25" xfId="0" applyFont="1" applyFill="1" applyBorder="1" applyAlignment="1">
      <alignment horizontal="center" vertical="center"/>
    </xf>
    <xf numFmtId="10" fontId="3" fillId="2" borderId="22" xfId="0" applyNumberFormat="1" applyFont="1" applyFill="1" applyBorder="1" applyAlignment="1">
      <alignment horizontal="center" vertical="center" wrapText="1"/>
    </xf>
    <xf numFmtId="10" fontId="3" fillId="2" borderId="25" xfId="0" applyNumberFormat="1" applyFont="1" applyFill="1" applyBorder="1" applyAlignment="1">
      <alignment horizontal="center" vertical="center" wrapText="1"/>
    </xf>
    <xf numFmtId="14" fontId="3" fillId="2" borderId="22" xfId="0" applyNumberFormat="1" applyFont="1" applyFill="1" applyBorder="1" applyAlignment="1">
      <alignment horizontal="center" vertical="center"/>
    </xf>
    <xf numFmtId="14" fontId="3" fillId="2" borderId="25" xfId="0" applyNumberFormat="1" applyFont="1" applyFill="1" applyBorder="1" applyAlignment="1">
      <alignment horizontal="center" vertical="center"/>
    </xf>
    <xf numFmtId="176" fontId="3" fillId="2" borderId="22" xfId="0" applyNumberFormat="1" applyFont="1" applyFill="1" applyBorder="1" applyAlignment="1">
      <alignment horizontal="center" vertical="center" wrapText="1"/>
    </xf>
    <xf numFmtId="176" fontId="3" fillId="2" borderId="25" xfId="0" applyNumberFormat="1" applyFont="1" applyFill="1" applyBorder="1" applyAlignment="1">
      <alignment horizontal="center" vertical="center" wrapText="1"/>
    </xf>
    <xf numFmtId="176" fontId="3" fillId="2" borderId="11" xfId="2" applyNumberFormat="1" applyFont="1" applyFill="1" applyBorder="1" applyAlignment="1">
      <alignment horizontal="center" vertical="center"/>
    </xf>
    <xf numFmtId="177" fontId="3" fillId="2" borderId="11" xfId="1" applyNumberFormat="1" applyFont="1" applyFill="1" applyBorder="1" applyAlignment="1">
      <alignment horizontal="center" vertical="center"/>
    </xf>
    <xf numFmtId="17" fontId="3" fillId="2" borderId="11" xfId="0" applyNumberFormat="1" applyFont="1" applyFill="1" applyBorder="1" applyAlignment="1">
      <alignment horizontal="center" vertical="center" wrapText="1"/>
    </xf>
    <xf numFmtId="0" fontId="3" fillId="2" borderId="11" xfId="0" applyNumberFormat="1" applyFont="1" applyFill="1" applyBorder="1" applyAlignment="1">
      <alignment horizontal="center" vertical="center" wrapText="1"/>
    </xf>
    <xf numFmtId="3" fontId="6" fillId="2" borderId="11" xfId="0" applyNumberFormat="1" applyFont="1" applyFill="1" applyBorder="1" applyAlignment="1">
      <alignment horizontal="center" vertical="center" wrapText="1"/>
    </xf>
    <xf numFmtId="176" fontId="6" fillId="2" borderId="32" xfId="0" applyNumberFormat="1" applyFont="1" applyFill="1" applyBorder="1" applyAlignment="1">
      <alignment horizontal="center" vertical="center"/>
    </xf>
    <xf numFmtId="176" fontId="6" fillId="2" borderId="25" xfId="0" applyNumberFormat="1" applyFont="1" applyFill="1" applyBorder="1" applyAlignment="1">
      <alignment horizontal="center" vertical="center"/>
    </xf>
    <xf numFmtId="17" fontId="3" fillId="2" borderId="14" xfId="0" applyNumberFormat="1" applyFont="1" applyFill="1" applyBorder="1" applyAlignment="1">
      <alignment horizontal="center" vertical="center"/>
    </xf>
    <xf numFmtId="43" fontId="3" fillId="2" borderId="11" xfId="1" applyFont="1" applyFill="1" applyBorder="1" applyAlignment="1">
      <alignment horizontal="center" vertical="center"/>
    </xf>
    <xf numFmtId="3" fontId="3" fillId="2" borderId="11" xfId="1" applyNumberFormat="1" applyFont="1" applyFill="1" applyBorder="1" applyAlignment="1">
      <alignment horizontal="center" vertical="center"/>
    </xf>
    <xf numFmtId="4" fontId="6" fillId="2" borderId="32" xfId="0" applyNumberFormat="1" applyFont="1" applyFill="1" applyBorder="1" applyAlignment="1">
      <alignment horizontal="center" vertical="center" wrapText="1"/>
    </xf>
    <xf numFmtId="4" fontId="6" fillId="2" borderId="22" xfId="0" applyNumberFormat="1" applyFont="1" applyFill="1" applyBorder="1" applyAlignment="1">
      <alignment horizontal="center" vertical="center" wrapText="1"/>
    </xf>
    <xf numFmtId="4" fontId="6" fillId="2" borderId="25" xfId="0" applyNumberFormat="1" applyFont="1" applyFill="1" applyBorder="1" applyAlignment="1">
      <alignment horizontal="center" vertical="center" wrapText="1"/>
    </xf>
    <xf numFmtId="43" fontId="6" fillId="2" borderId="11" xfId="1" applyFont="1" applyFill="1" applyBorder="1" applyAlignment="1">
      <alignment horizontal="center" vertical="center"/>
    </xf>
    <xf numFmtId="10" fontId="7" fillId="2" borderId="11" xfId="0" applyNumberFormat="1" applyFont="1" applyFill="1" applyBorder="1" applyAlignment="1">
      <alignment horizontal="center" vertical="center" wrapText="1"/>
    </xf>
    <xf numFmtId="0" fontId="7" fillId="2" borderId="11" xfId="0" applyFont="1" applyFill="1" applyBorder="1" applyAlignment="1">
      <alignment horizontal="center" vertical="center" wrapText="1"/>
    </xf>
    <xf numFmtId="176" fontId="7" fillId="2" borderId="11"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14" fontId="6" fillId="2" borderId="11" xfId="0" applyNumberFormat="1" applyFont="1" applyFill="1" applyBorder="1" applyAlignment="1">
      <alignment horizontal="center" vertical="center" wrapText="1"/>
    </xf>
    <xf numFmtId="0" fontId="6" fillId="2" borderId="48" xfId="0" applyFont="1" applyFill="1" applyBorder="1" applyAlignment="1">
      <alignment horizontal="center" vertical="center"/>
    </xf>
    <xf numFmtId="0" fontId="6" fillId="2" borderId="14" xfId="0" applyFont="1" applyFill="1" applyBorder="1" applyAlignment="1">
      <alignment horizontal="center" vertical="center" wrapText="1"/>
    </xf>
    <xf numFmtId="49" fontId="3" fillId="2" borderId="32" xfId="0" applyNumberFormat="1" applyFont="1" applyFill="1" applyBorder="1" applyAlignment="1">
      <alignment horizontal="center" vertical="center" wrapText="1"/>
    </xf>
    <xf numFmtId="49" fontId="3" fillId="2" borderId="22" xfId="0" applyNumberFormat="1" applyFont="1" applyFill="1" applyBorder="1" applyAlignment="1">
      <alignment horizontal="center" vertical="center" wrapText="1"/>
    </xf>
    <xf numFmtId="49" fontId="3" fillId="2" borderId="25" xfId="0" applyNumberFormat="1" applyFont="1" applyFill="1" applyBorder="1" applyAlignment="1">
      <alignment horizontal="center" vertical="center" wrapText="1"/>
    </xf>
    <xf numFmtId="4" fontId="6" fillId="2" borderId="11" xfId="0" applyNumberFormat="1" applyFont="1" applyFill="1" applyBorder="1" applyAlignment="1">
      <alignment horizontal="center" vertical="center" wrapText="1"/>
    </xf>
    <xf numFmtId="0" fontId="3" fillId="2" borderId="34" xfId="0" applyFont="1" applyFill="1" applyBorder="1" applyAlignment="1">
      <alignment horizontal="center" vertical="center"/>
    </xf>
    <xf numFmtId="0" fontId="3" fillId="2" borderId="24" xfId="0" applyFont="1" applyFill="1" applyBorder="1" applyAlignment="1">
      <alignment horizontal="center" vertical="center" wrapText="1"/>
    </xf>
    <xf numFmtId="0" fontId="0" fillId="0" borderId="0" xfId="0" applyFont="1" applyFill="1" applyBorder="1" applyAlignment="1">
      <alignment horizontal="center" wrapText="1"/>
    </xf>
    <xf numFmtId="0" fontId="3" fillId="0" borderId="42" xfId="0" applyFont="1" applyBorder="1" applyAlignment="1">
      <alignment horizontal="center" vertical="center"/>
    </xf>
    <xf numFmtId="0" fontId="3" fillId="0" borderId="48" xfId="0" applyFont="1" applyBorder="1" applyAlignment="1">
      <alignment horizontal="center" vertical="center"/>
    </xf>
    <xf numFmtId="0" fontId="3" fillId="0" borderId="52" xfId="0" applyFont="1" applyBorder="1" applyAlignment="1">
      <alignment horizontal="center" vertical="center"/>
    </xf>
    <xf numFmtId="176" fontId="6" fillId="2" borderId="25" xfId="0" applyNumberFormat="1" applyFont="1" applyFill="1" applyBorder="1" applyAlignment="1">
      <alignment horizontal="center" vertical="center" wrapText="1"/>
    </xf>
    <xf numFmtId="0" fontId="3" fillId="2" borderId="25" xfId="0" applyNumberFormat="1" applyFont="1" applyFill="1" applyBorder="1" applyAlignment="1">
      <alignment horizontal="center" vertical="center" wrapText="1"/>
    </xf>
    <xf numFmtId="14" fontId="3" fillId="2" borderId="25" xfId="0" applyNumberFormat="1" applyFont="1" applyFill="1" applyBorder="1" applyAlignment="1">
      <alignment horizontal="center" vertical="center"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3" fontId="3" fillId="2" borderId="25" xfId="0" applyNumberFormat="1" applyFont="1" applyFill="1" applyBorder="1" applyAlignment="1">
      <alignment horizontal="center" vertical="center" wrapText="1"/>
    </xf>
    <xf numFmtId="0" fontId="3" fillId="0" borderId="30" xfId="0" applyFont="1" applyFill="1" applyBorder="1" applyAlignment="1">
      <alignment horizontal="center" vertical="center"/>
    </xf>
    <xf numFmtId="0" fontId="3" fillId="0" borderId="23" xfId="0" applyFont="1" applyFill="1" applyBorder="1" applyAlignment="1">
      <alignment horizontal="center" vertical="center"/>
    </xf>
    <xf numFmtId="4" fontId="3" fillId="0" borderId="11" xfId="0" applyNumberFormat="1" applyFont="1" applyFill="1" applyBorder="1" applyAlignment="1">
      <alignment horizontal="right" vertical="center" wrapText="1"/>
    </xf>
    <xf numFmtId="4" fontId="5" fillId="0" borderId="9" xfId="0" applyNumberFormat="1" applyFont="1" applyFill="1" applyBorder="1" applyAlignment="1">
      <alignment horizontal="center" vertical="center" wrapText="1"/>
    </xf>
    <xf numFmtId="4" fontId="5" fillId="0" borderId="51" xfId="0" applyNumberFormat="1" applyFont="1" applyFill="1" applyBorder="1" applyAlignment="1">
      <alignment horizontal="center" vertical="center" wrapText="1"/>
    </xf>
    <xf numFmtId="4" fontId="5" fillId="0" borderId="14" xfId="0" applyNumberFormat="1" applyFont="1" applyFill="1" applyBorder="1" applyAlignment="1">
      <alignment horizontal="center" vertical="center" wrapText="1"/>
    </xf>
    <xf numFmtId="0" fontId="22" fillId="0" borderId="32" xfId="0" applyFont="1" applyFill="1" applyBorder="1" applyAlignment="1">
      <alignment horizontal="center" vertical="center"/>
    </xf>
    <xf numFmtId="0" fontId="22" fillId="0" borderId="22" xfId="0" applyFont="1" applyFill="1" applyBorder="1" applyAlignment="1">
      <alignment horizontal="center" vertical="center"/>
    </xf>
    <xf numFmtId="0" fontId="22" fillId="0" borderId="25" xfId="0" applyFont="1" applyFill="1" applyBorder="1" applyAlignment="1">
      <alignment horizontal="center" vertical="center"/>
    </xf>
    <xf numFmtId="14" fontId="3" fillId="0" borderId="32" xfId="0" applyNumberFormat="1" applyFont="1" applyFill="1" applyBorder="1" applyAlignment="1">
      <alignment horizontal="center" vertical="center"/>
    </xf>
    <xf numFmtId="0" fontId="3" fillId="0" borderId="32" xfId="0" applyFont="1" applyFill="1" applyBorder="1" applyAlignment="1">
      <alignment horizontal="center" vertical="center"/>
    </xf>
    <xf numFmtId="0" fontId="3" fillId="0" borderId="70" xfId="0" applyFont="1" applyFill="1" applyBorder="1" applyAlignment="1">
      <alignment horizontal="center" vertical="center" wrapText="1"/>
    </xf>
    <xf numFmtId="176" fontId="3" fillId="0" borderId="11" xfId="0" applyNumberFormat="1" applyFont="1" applyFill="1" applyBorder="1" applyAlignment="1">
      <alignment horizontal="center" vertical="center" wrapText="1"/>
    </xf>
    <xf numFmtId="176" fontId="6" fillId="0" borderId="22" xfId="0" applyNumberFormat="1" applyFont="1" applyFill="1" applyBorder="1" applyAlignment="1">
      <alignment horizontal="center" vertical="center" wrapText="1"/>
    </xf>
    <xf numFmtId="0" fontId="5" fillId="0" borderId="11" xfId="0" applyFont="1" applyFill="1" applyBorder="1" applyAlignment="1">
      <alignment horizontal="center" vertical="center"/>
    </xf>
    <xf numFmtId="0" fontId="3" fillId="0" borderId="0" xfId="0" applyFont="1" applyFill="1" applyBorder="1" applyAlignment="1">
      <alignment horizontal="center" vertical="center" wrapText="1"/>
    </xf>
    <xf numFmtId="0" fontId="2" fillId="0" borderId="42" xfId="0" applyFont="1" applyFill="1" applyBorder="1" applyAlignment="1">
      <alignment horizontal="center" vertical="center"/>
    </xf>
    <xf numFmtId="0" fontId="2" fillId="0" borderId="48" xfId="0" applyFont="1" applyFill="1" applyBorder="1" applyAlignment="1">
      <alignment horizontal="center" vertical="center"/>
    </xf>
    <xf numFmtId="0" fontId="2" fillId="0" borderId="52" xfId="0" applyFont="1" applyFill="1" applyBorder="1" applyAlignment="1">
      <alignment horizontal="center" vertical="center"/>
    </xf>
    <xf numFmtId="0" fontId="5" fillId="0" borderId="12" xfId="0" applyFont="1" applyFill="1" applyBorder="1" applyAlignment="1">
      <alignment horizontal="center" vertical="center"/>
    </xf>
    <xf numFmtId="0" fontId="18" fillId="0" borderId="0" xfId="0" applyFont="1" applyFill="1" applyAlignment="1">
      <alignment horizontal="left" vertical="center"/>
    </xf>
    <xf numFmtId="0" fontId="18" fillId="0" borderId="0" xfId="0" applyFont="1" applyAlignment="1">
      <alignment horizontal="left" vertical="center"/>
    </xf>
    <xf numFmtId="0" fontId="5" fillId="2" borderId="11"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3" fillId="0" borderId="42" xfId="0" applyFont="1" applyBorder="1" applyAlignment="1">
      <alignment horizontal="center" vertical="center"/>
    </xf>
    <xf numFmtId="0" fontId="53" fillId="0" borderId="48" xfId="0" applyFont="1" applyBorder="1" applyAlignment="1">
      <alignment horizontal="center" vertical="center"/>
    </xf>
    <xf numFmtId="0" fontId="53" fillId="0" borderId="52" xfId="0" applyFont="1" applyBorder="1" applyAlignment="1">
      <alignment horizontal="center" vertical="center"/>
    </xf>
    <xf numFmtId="0" fontId="5" fillId="2" borderId="3" xfId="0" applyFont="1" applyFill="1" applyBorder="1" applyAlignment="1">
      <alignment horizontal="center" vertical="center" wrapText="1"/>
    </xf>
    <xf numFmtId="0" fontId="3" fillId="0" borderId="32"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22" xfId="0" applyNumberFormat="1" applyFont="1" applyBorder="1" applyAlignment="1">
      <alignment horizontal="center" vertical="center" wrapText="1"/>
    </xf>
    <xf numFmtId="3" fontId="3" fillId="0" borderId="25" xfId="0" applyNumberFormat="1" applyFont="1" applyBorder="1" applyAlignment="1">
      <alignment horizontal="center" vertical="center" wrapText="1"/>
    </xf>
    <xf numFmtId="14" fontId="3" fillId="0" borderId="32" xfId="0" applyNumberFormat="1" applyFont="1" applyBorder="1" applyAlignment="1">
      <alignment horizontal="center" vertical="center" wrapText="1"/>
    </xf>
    <xf numFmtId="14" fontId="3" fillId="0" borderId="22" xfId="0" applyNumberFormat="1" applyFont="1" applyBorder="1" applyAlignment="1">
      <alignment horizontal="center" vertical="center" wrapText="1"/>
    </xf>
    <xf numFmtId="14" fontId="3" fillId="0" borderId="25"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25" xfId="0" applyNumberFormat="1" applyFont="1" applyBorder="1" applyAlignment="1">
      <alignment horizontal="center" vertical="center" wrapText="1"/>
    </xf>
    <xf numFmtId="44" fontId="3" fillId="0" borderId="32" xfId="0" applyNumberFormat="1" applyFont="1" applyBorder="1" applyAlignment="1">
      <alignment horizontal="center" vertical="center" wrapText="1"/>
    </xf>
    <xf numFmtId="44" fontId="3" fillId="0" borderId="22" xfId="0" applyNumberFormat="1" applyFont="1" applyBorder="1" applyAlignment="1">
      <alignment horizontal="center" vertical="center" wrapText="1"/>
    </xf>
    <xf numFmtId="44" fontId="3" fillId="0" borderId="25" xfId="0" applyNumberFormat="1" applyFont="1" applyBorder="1" applyAlignment="1">
      <alignment horizontal="center" vertical="center" wrapText="1"/>
    </xf>
    <xf numFmtId="0" fontId="3" fillId="0" borderId="37"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24" xfId="0" applyFont="1" applyBorder="1" applyAlignment="1">
      <alignment horizontal="center" vertical="center" wrapText="1"/>
    </xf>
    <xf numFmtId="17" fontId="3" fillId="0" borderId="32" xfId="0" applyNumberFormat="1" applyFont="1" applyFill="1" applyBorder="1" applyAlignment="1">
      <alignment horizontal="center" vertical="center" wrapText="1"/>
    </xf>
    <xf numFmtId="17" fontId="3" fillId="0" borderId="22" xfId="0" applyNumberFormat="1" applyFont="1" applyFill="1" applyBorder="1" applyAlignment="1">
      <alignment horizontal="center" vertical="center" wrapText="1"/>
    </xf>
    <xf numFmtId="17" fontId="3" fillId="0" borderId="25" xfId="0" applyNumberFormat="1" applyFont="1" applyFill="1" applyBorder="1" applyAlignment="1">
      <alignment horizontal="center" vertical="center" wrapText="1"/>
    </xf>
    <xf numFmtId="176" fontId="3" fillId="0" borderId="22" xfId="0" applyNumberFormat="1" applyFont="1" applyFill="1" applyBorder="1" applyAlignment="1">
      <alignment horizontal="center" vertical="center" wrapText="1"/>
    </xf>
    <xf numFmtId="176" fontId="3" fillId="0" borderId="25" xfId="0" applyNumberFormat="1" applyFont="1" applyFill="1" applyBorder="1" applyAlignment="1">
      <alignment horizontal="center" vertical="center" wrapText="1"/>
    </xf>
    <xf numFmtId="0" fontId="0" fillId="0" borderId="68" xfId="0" applyBorder="1" applyAlignment="1">
      <alignment horizontal="center" vertical="center" wrapText="1"/>
    </xf>
    <xf numFmtId="0" fontId="0" fillId="0" borderId="34" xfId="0" applyBorder="1" applyAlignment="1">
      <alignment horizontal="center" vertical="center" wrapText="1"/>
    </xf>
    <xf numFmtId="0" fontId="5" fillId="0" borderId="32" xfId="0" applyFont="1" applyBorder="1" applyAlignment="1">
      <alignment horizontal="center" vertical="center" wrapText="1"/>
    </xf>
    <xf numFmtId="0" fontId="5" fillId="0" borderId="25" xfId="0" applyFont="1" applyBorder="1" applyAlignment="1">
      <alignment horizontal="center" vertical="center" wrapText="1"/>
    </xf>
    <xf numFmtId="0" fontId="3" fillId="0" borderId="0" xfId="0" applyFont="1" applyAlignment="1">
      <alignment horizontal="left" vertical="center"/>
    </xf>
    <xf numFmtId="0" fontId="36" fillId="0" borderId="42" xfId="0" applyFont="1" applyBorder="1" applyAlignment="1">
      <alignment horizontal="center" vertical="center"/>
    </xf>
    <xf numFmtId="0" fontId="36" fillId="0" borderId="48" xfId="0" applyFont="1" applyBorder="1" applyAlignment="1">
      <alignment horizontal="center" vertical="center"/>
    </xf>
    <xf numFmtId="0" fontId="36" fillId="0" borderId="52" xfId="0" applyFont="1" applyBorder="1" applyAlignment="1">
      <alignment horizontal="center" vertical="center"/>
    </xf>
    <xf numFmtId="0" fontId="28" fillId="0" borderId="63" xfId="0" applyFont="1" applyFill="1" applyBorder="1" applyAlignment="1">
      <alignment horizontal="center" vertical="center" wrapText="1"/>
    </xf>
    <xf numFmtId="0" fontId="28" fillId="0" borderId="64" xfId="0" applyFont="1" applyFill="1" applyBorder="1" applyAlignment="1">
      <alignment horizontal="center" vertical="center" wrapText="1"/>
    </xf>
    <xf numFmtId="0" fontId="28" fillId="0" borderId="65" xfId="0" applyFont="1" applyFill="1" applyBorder="1" applyAlignment="1">
      <alignment horizontal="center" vertical="center" wrapText="1"/>
    </xf>
    <xf numFmtId="0" fontId="6" fillId="0" borderId="32" xfId="0" applyFont="1" applyFill="1" applyBorder="1" applyAlignment="1">
      <alignment horizontal="center" vertical="center"/>
    </xf>
    <xf numFmtId="0" fontId="6" fillId="0" borderId="25" xfId="0" applyFont="1" applyFill="1" applyBorder="1" applyAlignment="1">
      <alignment horizontal="center" vertical="center"/>
    </xf>
    <xf numFmtId="2" fontId="6" fillId="0" borderId="32" xfId="0" applyNumberFormat="1" applyFont="1" applyFill="1" applyBorder="1" applyAlignment="1">
      <alignment horizontal="center" vertical="center" wrapText="1"/>
    </xf>
    <xf numFmtId="2" fontId="6" fillId="0" borderId="25" xfId="0" applyNumberFormat="1" applyFont="1" applyFill="1" applyBorder="1" applyAlignment="1">
      <alignment horizontal="center" vertical="center" wrapText="1"/>
    </xf>
    <xf numFmtId="2" fontId="6" fillId="0" borderId="11" xfId="0" applyNumberFormat="1" applyFont="1" applyFill="1" applyBorder="1" applyAlignment="1">
      <alignment horizontal="center" vertical="center" wrapText="1"/>
    </xf>
    <xf numFmtId="0" fontId="6" fillId="0" borderId="29" xfId="0" applyFont="1" applyFill="1" applyBorder="1" applyAlignment="1">
      <alignment horizontal="center" vertical="center"/>
    </xf>
    <xf numFmtId="0" fontId="6" fillId="0" borderId="34" xfId="0" applyFont="1" applyFill="1" applyBorder="1" applyAlignment="1">
      <alignment horizontal="center" vertical="center"/>
    </xf>
    <xf numFmtId="9" fontId="6" fillId="0" borderId="11" xfId="0" applyNumberFormat="1" applyFont="1" applyFill="1" applyBorder="1" applyAlignment="1">
      <alignment horizontal="center" vertical="center" wrapText="1"/>
    </xf>
    <xf numFmtId="43" fontId="6" fillId="0" borderId="11" xfId="1" applyFont="1" applyFill="1" applyBorder="1" applyAlignment="1">
      <alignment horizontal="center" vertical="center" wrapText="1"/>
    </xf>
    <xf numFmtId="3" fontId="6" fillId="0" borderId="11"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14" fontId="6" fillId="0" borderId="11" xfId="0" applyNumberFormat="1" applyFont="1" applyFill="1" applyBorder="1" applyAlignment="1">
      <alignment horizontal="left" vertical="center" wrapText="1"/>
    </xf>
    <xf numFmtId="0" fontId="30" fillId="0" borderId="11" xfId="0" applyFont="1" applyFill="1" applyBorder="1" applyAlignment="1">
      <alignment horizontal="center" vertical="center" wrapText="1"/>
    </xf>
    <xf numFmtId="0" fontId="30" fillId="0" borderId="11" xfId="0" applyFont="1" applyFill="1" applyBorder="1" applyAlignment="1">
      <alignment horizontal="left" vertical="center" wrapText="1"/>
    </xf>
    <xf numFmtId="4" fontId="6" fillId="0" borderId="11" xfId="0" applyNumberFormat="1" applyFont="1" applyFill="1" applyBorder="1" applyAlignment="1">
      <alignment horizontal="left" vertical="center" wrapText="1"/>
    </xf>
    <xf numFmtId="0" fontId="6" fillId="0" borderId="22" xfId="0" applyFont="1" applyFill="1" applyBorder="1" applyAlignment="1">
      <alignment horizontal="center" vertical="center"/>
    </xf>
    <xf numFmtId="2" fontId="6" fillId="0" borderId="22" xfId="0" applyNumberFormat="1" applyFont="1" applyFill="1" applyBorder="1" applyAlignment="1">
      <alignment horizontal="center" vertical="center" wrapText="1"/>
    </xf>
    <xf numFmtId="43" fontId="6" fillId="0" borderId="11" xfId="1" applyFont="1" applyFill="1" applyBorder="1" applyAlignment="1">
      <alignment horizontal="right" vertical="center" wrapText="1"/>
    </xf>
    <xf numFmtId="49" fontId="6" fillId="0" borderId="11" xfId="0" applyNumberFormat="1" applyFont="1" applyFill="1" applyBorder="1" applyAlignment="1">
      <alignment horizontal="center" vertical="center"/>
    </xf>
    <xf numFmtId="0" fontId="6" fillId="0" borderId="11" xfId="0" applyFont="1" applyFill="1" applyBorder="1" applyAlignment="1">
      <alignment horizontal="left" vertical="center"/>
    </xf>
    <xf numFmtId="0" fontId="6" fillId="0" borderId="11" xfId="0" applyFont="1" applyFill="1" applyBorder="1" applyAlignment="1">
      <alignment horizontal="center" vertical="center"/>
    </xf>
    <xf numFmtId="14" fontId="6" fillId="0" borderId="11" xfId="0" applyNumberFormat="1" applyFont="1" applyFill="1" applyBorder="1" applyAlignment="1">
      <alignment horizontal="center" vertical="center"/>
    </xf>
    <xf numFmtId="4" fontId="6" fillId="0" borderId="11" xfId="0" applyNumberFormat="1" applyFont="1" applyFill="1" applyBorder="1" applyAlignment="1">
      <alignment horizontal="center" vertical="center"/>
    </xf>
    <xf numFmtId="0" fontId="6" fillId="0" borderId="33" xfId="0" applyFont="1" applyFill="1" applyBorder="1" applyAlignment="1">
      <alignment horizontal="center" vertical="center"/>
    </xf>
    <xf numFmtId="0" fontId="6" fillId="0" borderId="14" xfId="0" applyFont="1" applyFill="1" applyBorder="1" applyAlignment="1">
      <alignment horizontal="center" vertical="center"/>
    </xf>
    <xf numFmtId="0" fontId="30" fillId="0" borderId="32" xfId="0" applyFont="1" applyFill="1" applyBorder="1" applyAlignment="1">
      <alignment horizontal="center" vertical="center"/>
    </xf>
    <xf numFmtId="0" fontId="30" fillId="0" borderId="22" xfId="0" applyFont="1" applyFill="1" applyBorder="1" applyAlignment="1">
      <alignment horizontal="center" vertical="center"/>
    </xf>
    <xf numFmtId="0" fontId="30" fillId="0" borderId="25" xfId="0" applyFont="1" applyFill="1" applyBorder="1" applyAlignment="1">
      <alignment horizontal="center" vertical="center"/>
    </xf>
    <xf numFmtId="0" fontId="6" fillId="0" borderId="32" xfId="0" applyFont="1" applyFill="1" applyBorder="1" applyAlignment="1">
      <alignment horizontal="left" vertical="center"/>
    </xf>
    <xf numFmtId="0" fontId="6" fillId="0" borderId="22" xfId="0" applyFont="1" applyFill="1" applyBorder="1" applyAlignment="1">
      <alignment horizontal="left" vertical="center"/>
    </xf>
    <xf numFmtId="0" fontId="6" fillId="0" borderId="25" xfId="0" applyFont="1" applyFill="1" applyBorder="1" applyAlignment="1">
      <alignment horizontal="left" vertical="center"/>
    </xf>
    <xf numFmtId="43" fontId="6" fillId="0" borderId="25" xfId="1" applyFont="1" applyFill="1" applyBorder="1" applyAlignment="1">
      <alignment horizontal="right" vertical="center" wrapText="1"/>
    </xf>
    <xf numFmtId="178" fontId="6" fillId="0" borderId="25" xfId="0" applyNumberFormat="1" applyFont="1" applyFill="1" applyBorder="1" applyAlignment="1">
      <alignment horizontal="center" vertical="center" wrapText="1"/>
    </xf>
    <xf numFmtId="178" fontId="6" fillId="0" borderId="11" xfId="0" applyNumberFormat="1" applyFont="1" applyFill="1" applyBorder="1" applyAlignment="1">
      <alignment horizontal="center" vertical="center" wrapText="1"/>
    </xf>
    <xf numFmtId="0" fontId="36" fillId="0" borderId="42" xfId="0" applyFont="1" applyFill="1" applyBorder="1" applyAlignment="1">
      <alignment horizontal="center" vertical="center"/>
    </xf>
    <xf numFmtId="0" fontId="36" fillId="0" borderId="48" xfId="0" applyFont="1" applyFill="1" applyBorder="1" applyAlignment="1">
      <alignment horizontal="center" vertical="center"/>
    </xf>
    <xf numFmtId="0" fontId="36" fillId="0" borderId="52" xfId="0" applyFont="1" applyFill="1" applyBorder="1" applyAlignment="1">
      <alignment horizontal="center" vertical="center"/>
    </xf>
    <xf numFmtId="0" fontId="28" fillId="0" borderId="13"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14" fontId="3" fillId="0" borderId="39" xfId="0" applyNumberFormat="1"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9" fillId="0" borderId="6" xfId="0" applyFont="1" applyFill="1" applyBorder="1" applyAlignment="1">
      <alignment horizontal="justify" vertical="center" wrapText="1"/>
    </xf>
    <xf numFmtId="0" fontId="39" fillId="0" borderId="39" xfId="0" applyFont="1" applyFill="1" applyBorder="1" applyAlignment="1">
      <alignment horizontal="justify" vertical="center" wrapText="1"/>
    </xf>
    <xf numFmtId="4" fontId="3" fillId="0" borderId="39" xfId="0" applyNumberFormat="1" applyFont="1" applyFill="1" applyBorder="1" applyAlignment="1">
      <alignment horizontal="center" vertical="center" wrapText="1"/>
    </xf>
    <xf numFmtId="3" fontId="3" fillId="0" borderId="6" xfId="0" applyNumberFormat="1" applyFont="1" applyFill="1" applyBorder="1" applyAlignment="1">
      <alignment horizontal="center" vertical="center" wrapText="1"/>
    </xf>
    <xf numFmtId="3" fontId="3" fillId="0" borderId="39" xfId="0" applyNumberFormat="1" applyFont="1" applyFill="1" applyBorder="1" applyAlignment="1">
      <alignment horizontal="center" vertical="center" wrapText="1"/>
    </xf>
    <xf numFmtId="0" fontId="0" fillId="0" borderId="68" xfId="0" applyFill="1" applyBorder="1" applyAlignment="1">
      <alignment horizontal="center" vertical="center"/>
    </xf>
    <xf numFmtId="0" fontId="0" fillId="0" borderId="71" xfId="0" applyFill="1" applyBorder="1" applyAlignment="1">
      <alignment horizontal="center" vertical="center"/>
    </xf>
    <xf numFmtId="0" fontId="3" fillId="0" borderId="5"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9" xfId="0" applyFont="1" applyFill="1" applyBorder="1" applyAlignment="1">
      <alignment horizontal="justify" vertical="center" wrapText="1"/>
    </xf>
    <xf numFmtId="3" fontId="10" fillId="0" borderId="7" xfId="0" applyNumberFormat="1" applyFont="1" applyFill="1" applyBorder="1" applyAlignment="1">
      <alignment horizontal="center" vertical="center" wrapText="1"/>
    </xf>
    <xf numFmtId="3" fontId="10" fillId="0" borderId="72"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0" fontId="39" fillId="0" borderId="22" xfId="0" applyFont="1" applyFill="1" applyBorder="1" applyAlignment="1">
      <alignment horizontal="justify" vertical="center" wrapText="1"/>
    </xf>
    <xf numFmtId="0" fontId="0" fillId="0" borderId="33" xfId="0" applyFill="1" applyBorder="1" applyAlignment="1">
      <alignment horizontal="center" vertical="center"/>
    </xf>
    <xf numFmtId="0" fontId="3" fillId="0" borderId="21" xfId="0" applyFont="1" applyFill="1" applyBorder="1" applyAlignment="1">
      <alignment horizontal="center" vertical="center" wrapText="1"/>
    </xf>
    <xf numFmtId="3" fontId="10" fillId="0" borderId="23" xfId="0" applyNumberFormat="1" applyFont="1" applyFill="1" applyBorder="1" applyAlignment="1">
      <alignment horizontal="center" vertical="center" wrapText="1"/>
    </xf>
    <xf numFmtId="49" fontId="3" fillId="0" borderId="2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3" fontId="3" fillId="0" borderId="3" xfId="0" applyNumberFormat="1" applyFont="1" applyFill="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3" fontId="3" fillId="0" borderId="23" xfId="0" applyNumberFormat="1" applyFont="1" applyFill="1" applyBorder="1" applyAlignment="1">
      <alignment horizontal="center" vertical="center" wrapText="1"/>
    </xf>
    <xf numFmtId="3" fontId="3" fillId="0" borderId="72" xfId="0" applyNumberFormat="1" applyFont="1" applyFill="1" applyBorder="1" applyAlignment="1">
      <alignment horizontal="center" vertical="center" wrapText="1"/>
    </xf>
    <xf numFmtId="43" fontId="3" fillId="0" borderId="6" xfId="1" applyFont="1" applyFill="1" applyBorder="1" applyAlignment="1">
      <alignment horizontal="center" vertical="center" wrapText="1"/>
    </xf>
    <xf numFmtId="43" fontId="3" fillId="0" borderId="39" xfId="1" applyFont="1" applyFill="1" applyBorder="1" applyAlignment="1">
      <alignment horizontal="center" vertical="center" wrapText="1"/>
    </xf>
    <xf numFmtId="2" fontId="3" fillId="0" borderId="3" xfId="0" applyNumberFormat="1" applyFont="1" applyFill="1" applyBorder="1" applyAlignment="1">
      <alignment horizontal="justify" vertical="center" wrapText="1"/>
    </xf>
    <xf numFmtId="2" fontId="3" fillId="0" borderId="17" xfId="0" applyNumberFormat="1" applyFont="1" applyFill="1" applyBorder="1" applyAlignment="1">
      <alignment horizontal="justify" vertical="center" wrapText="1"/>
    </xf>
    <xf numFmtId="3" fontId="3" fillId="0" borderId="4" xfId="0" applyNumberFormat="1" applyFont="1" applyFill="1" applyBorder="1" applyAlignment="1">
      <alignment horizontal="center" vertical="center" wrapText="1"/>
    </xf>
    <xf numFmtId="3" fontId="3" fillId="0" borderId="18"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3" xfId="0" applyFont="1" applyFill="1" applyBorder="1" applyAlignment="1">
      <alignment horizontal="justify" vertical="center" wrapText="1"/>
    </xf>
    <xf numFmtId="0" fontId="3" fillId="0" borderId="17" xfId="0" applyFont="1" applyFill="1" applyBorder="1" applyAlignment="1">
      <alignment horizontal="justify" vertical="center" wrapText="1"/>
    </xf>
    <xf numFmtId="14" fontId="3" fillId="0" borderId="3" xfId="0" applyNumberFormat="1" applyFont="1" applyFill="1" applyBorder="1" applyAlignment="1">
      <alignment horizontal="center" vertical="center" wrapText="1"/>
    </xf>
    <xf numFmtId="14" fontId="3" fillId="0" borderId="17" xfId="0" applyNumberFormat="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4" fontId="3" fillId="0" borderId="17" xfId="0" applyNumberFormat="1" applyFont="1" applyFill="1" applyBorder="1" applyAlignment="1">
      <alignment horizontal="center" vertical="center" wrapText="1"/>
    </xf>
    <xf numFmtId="0" fontId="0" fillId="0" borderId="42" xfId="0" applyFill="1" applyBorder="1" applyAlignment="1">
      <alignment horizontal="center" vertical="center"/>
    </xf>
    <xf numFmtId="0" fontId="0" fillId="0" borderId="52" xfId="0" applyFill="1" applyBorder="1" applyAlignment="1">
      <alignment horizontal="center" vertical="center"/>
    </xf>
    <xf numFmtId="0" fontId="3" fillId="0" borderId="2"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0" fontId="5" fillId="0" borderId="59" xfId="0" applyFont="1" applyFill="1" applyBorder="1" applyAlignment="1">
      <alignment horizontal="center" wrapText="1"/>
    </xf>
    <xf numFmtId="0" fontId="5" fillId="0" borderId="60" xfId="0" applyFont="1" applyFill="1" applyBorder="1" applyAlignment="1">
      <alignment horizontal="center" wrapText="1"/>
    </xf>
    <xf numFmtId="0" fontId="0" fillId="0" borderId="72" xfId="0"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74" xfId="0" applyNumberFormat="1" applyFont="1" applyFill="1" applyBorder="1" applyAlignment="1">
      <alignment horizontal="center" vertical="center" wrapText="1"/>
    </xf>
    <xf numFmtId="0" fontId="39" fillId="0" borderId="6"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71" xfId="0" applyBorder="1" applyAlignment="1">
      <alignment horizontal="center" vertical="center" wrapText="1"/>
    </xf>
    <xf numFmtId="180" fontId="3" fillId="0" borderId="5" xfId="0" applyNumberFormat="1" applyFont="1" applyFill="1"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justify" vertical="center" wrapText="1"/>
    </xf>
    <xf numFmtId="0" fontId="3" fillId="0" borderId="70" xfId="0" applyFont="1" applyFill="1" applyBorder="1" applyAlignment="1">
      <alignment horizontal="justify" vertical="center" wrapText="1"/>
    </xf>
    <xf numFmtId="0" fontId="0" fillId="0" borderId="40" xfId="0" applyBorder="1" applyAlignment="1">
      <alignment horizontal="justify" vertical="center" wrapText="1"/>
    </xf>
    <xf numFmtId="0" fontId="3" fillId="0" borderId="40" xfId="0"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49" fontId="10" fillId="0" borderId="38" xfId="0" applyNumberFormat="1" applyFont="1" applyFill="1" applyBorder="1" applyAlignment="1">
      <alignment horizontal="center" vertical="center" wrapText="1"/>
    </xf>
    <xf numFmtId="0" fontId="5" fillId="0" borderId="67" xfId="0" applyFont="1" applyBorder="1" applyAlignment="1">
      <alignment horizontal="center" vertical="center" wrapText="1"/>
    </xf>
    <xf numFmtId="0" fontId="5" fillId="2" borderId="3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30"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64" xfId="0" applyFont="1" applyFill="1" applyBorder="1" applyAlignment="1">
      <alignment horizontal="center" vertical="center" wrapText="1"/>
    </xf>
    <xf numFmtId="0" fontId="5" fillId="2" borderId="65" xfId="0" applyFont="1" applyFill="1" applyBorder="1" applyAlignment="1">
      <alignment horizontal="center" vertical="center" wrapText="1"/>
    </xf>
    <xf numFmtId="0" fontId="45" fillId="2" borderId="42" xfId="0" applyFont="1" applyFill="1" applyBorder="1" applyAlignment="1">
      <alignment horizontal="center" vertical="center"/>
    </xf>
    <xf numFmtId="0" fontId="45" fillId="2" borderId="48" xfId="0" applyFont="1" applyFill="1" applyBorder="1" applyAlignment="1">
      <alignment horizontal="center" vertical="center"/>
    </xf>
    <xf numFmtId="0" fontId="45" fillId="2" borderId="52" xfId="0" applyFont="1" applyFill="1" applyBorder="1" applyAlignment="1">
      <alignment horizontal="center" vertical="center"/>
    </xf>
    <xf numFmtId="0" fontId="5" fillId="2" borderId="4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5" fillId="2" borderId="35" xfId="0" applyFont="1" applyFill="1" applyBorder="1" applyAlignment="1">
      <alignment horizontal="center" vertical="center" wrapText="1"/>
    </xf>
    <xf numFmtId="2" fontId="5" fillId="2" borderId="10" xfId="1"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14" fontId="5" fillId="2" borderId="12" xfId="0" applyNumberFormat="1"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28" fillId="0" borderId="59" xfId="0" applyFont="1" applyFill="1" applyBorder="1" applyAlignment="1">
      <alignment horizontal="center" vertical="center" wrapText="1"/>
    </xf>
    <xf numFmtId="0" fontId="28" fillId="0" borderId="60" xfId="0" applyFont="1" applyFill="1" applyBorder="1" applyAlignment="1">
      <alignment horizontal="center" vertical="center" wrapText="1"/>
    </xf>
    <xf numFmtId="0" fontId="6" fillId="0" borderId="0" xfId="0" applyFont="1" applyFill="1" applyAlignment="1">
      <alignment horizontal="left" vertical="center"/>
    </xf>
    <xf numFmtId="0" fontId="28" fillId="0" borderId="0" xfId="0" applyFont="1" applyFill="1" applyAlignment="1">
      <alignment horizontal="left" vertical="center"/>
    </xf>
    <xf numFmtId="0" fontId="6" fillId="0" borderId="0" xfId="0" applyFont="1" applyFill="1" applyAlignment="1">
      <alignment horizontal="center" vertical="center"/>
    </xf>
    <xf numFmtId="0" fontId="28" fillId="0" borderId="42" xfId="0" applyFont="1" applyFill="1" applyBorder="1" applyAlignment="1">
      <alignment horizontal="center" vertical="center"/>
    </xf>
    <xf numFmtId="0" fontId="28" fillId="0" borderId="48" xfId="0" applyFont="1" applyFill="1" applyBorder="1" applyAlignment="1">
      <alignment horizontal="center" vertical="center"/>
    </xf>
    <xf numFmtId="0" fontId="28" fillId="0" borderId="52" xfId="0" applyFont="1" applyFill="1" applyBorder="1" applyAlignment="1">
      <alignment horizontal="center" vertical="center"/>
    </xf>
    <xf numFmtId="4" fontId="5" fillId="0" borderId="11" xfId="0" applyNumberFormat="1" applyFont="1" applyFill="1" applyBorder="1" applyAlignment="1">
      <alignment horizontal="center" vertical="center" wrapText="1"/>
    </xf>
    <xf numFmtId="4" fontId="5" fillId="0" borderId="11" xfId="0" applyNumberFormat="1" applyFont="1" applyFill="1" applyBorder="1" applyAlignment="1">
      <alignment horizontal="right" vertical="center" wrapText="1"/>
    </xf>
    <xf numFmtId="0" fontId="0" fillId="0" borderId="48" xfId="0" applyFill="1" applyBorder="1" applyAlignment="1">
      <alignment horizontal="center" vertical="center"/>
    </xf>
    <xf numFmtId="9" fontId="3" fillId="0" borderId="11" xfId="4" applyFont="1" applyFill="1" applyBorder="1" applyAlignment="1">
      <alignment horizontal="center" vertical="center" wrapText="1"/>
    </xf>
    <xf numFmtId="0" fontId="3" fillId="0" borderId="14" xfId="0" applyFont="1" applyFill="1" applyBorder="1" applyAlignment="1">
      <alignment horizontal="center" vertical="center"/>
    </xf>
    <xf numFmtId="14" fontId="5" fillId="0" borderId="11" xfId="0" applyNumberFormat="1"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10" xfId="0" applyNumberFormat="1" applyFont="1" applyFill="1" applyBorder="1" applyAlignment="1">
      <alignment horizontal="center" vertical="center" wrapText="1"/>
    </xf>
    <xf numFmtId="0" fontId="5" fillId="0" borderId="16" xfId="0" applyNumberFormat="1" applyFont="1" applyFill="1" applyBorder="1" applyAlignment="1">
      <alignment horizontal="center" vertical="center" wrapText="1"/>
    </xf>
    <xf numFmtId="3" fontId="5" fillId="0" borderId="11" xfId="0" applyNumberFormat="1" applyFont="1" applyFill="1" applyBorder="1" applyAlignment="1">
      <alignment horizontal="center" vertical="center" wrapText="1"/>
    </xf>
    <xf numFmtId="3" fontId="5" fillId="0" borderId="17" xfId="0" applyNumberFormat="1" applyFont="1" applyFill="1" applyBorder="1" applyAlignment="1">
      <alignment horizontal="center" vertical="center" wrapText="1"/>
    </xf>
    <xf numFmtId="3" fontId="5" fillId="0" borderId="12" xfId="0" applyNumberFormat="1" applyFont="1" applyFill="1" applyBorder="1" applyAlignment="1">
      <alignment horizontal="center" vertical="center" wrapText="1"/>
    </xf>
    <xf numFmtId="3" fontId="5" fillId="0" borderId="18" xfId="0" applyNumberFormat="1" applyFont="1" applyFill="1" applyBorder="1" applyAlignment="1">
      <alignment horizontal="center" vertical="center" wrapText="1"/>
    </xf>
    <xf numFmtId="0" fontId="5" fillId="0" borderId="19" xfId="0" applyFont="1" applyFill="1" applyBorder="1" applyAlignment="1">
      <alignment horizontal="center" vertical="center" wrapText="1"/>
    </xf>
    <xf numFmtId="0" fontId="3" fillId="0" borderId="32" xfId="0" applyFont="1" applyFill="1" applyBorder="1" applyAlignment="1">
      <alignment vertical="center" wrapText="1"/>
    </xf>
    <xf numFmtId="0" fontId="3" fillId="0" borderId="22" xfId="0" applyFont="1" applyFill="1" applyBorder="1" applyAlignment="1">
      <alignment vertical="center" wrapText="1"/>
    </xf>
    <xf numFmtId="43" fontId="3" fillId="0" borderId="32" xfId="1" applyFont="1" applyFill="1" applyBorder="1" applyAlignment="1">
      <alignment vertical="center" wrapText="1"/>
    </xf>
    <xf numFmtId="43" fontId="3" fillId="0" borderId="22" xfId="1" applyFont="1" applyFill="1" applyBorder="1" applyAlignment="1">
      <alignment vertical="center" wrapText="1"/>
    </xf>
    <xf numFmtId="43" fontId="3" fillId="0" borderId="25" xfId="1" applyFont="1" applyFill="1" applyBorder="1" applyAlignment="1">
      <alignment vertical="center" wrapText="1"/>
    </xf>
    <xf numFmtId="0" fontId="6" fillId="0" borderId="32" xfId="0" applyFont="1" applyFill="1" applyBorder="1" applyAlignment="1">
      <alignment vertical="center" wrapText="1"/>
    </xf>
    <xf numFmtId="0" fontId="6" fillId="0" borderId="22" xfId="0" applyFont="1" applyFill="1" applyBorder="1" applyAlignment="1">
      <alignment vertical="center" wrapText="1"/>
    </xf>
    <xf numFmtId="0" fontId="6" fillId="0" borderId="32" xfId="0" applyFont="1" applyBorder="1" applyAlignment="1">
      <alignment vertical="center"/>
    </xf>
    <xf numFmtId="0" fontId="6" fillId="0" borderId="22" xfId="0" applyFont="1" applyBorder="1" applyAlignment="1">
      <alignment vertical="center"/>
    </xf>
    <xf numFmtId="0" fontId="6" fillId="0" borderId="25" xfId="0" applyFont="1" applyBorder="1" applyAlignment="1">
      <alignment vertical="center"/>
    </xf>
    <xf numFmtId="0" fontId="3" fillId="0" borderId="32" xfId="0" applyFont="1" applyBorder="1" applyAlignment="1">
      <alignment vertical="center"/>
    </xf>
    <xf numFmtId="0" fontId="3" fillId="0" borderId="22" xfId="0" applyFont="1" applyBorder="1" applyAlignment="1">
      <alignment vertical="center"/>
    </xf>
    <xf numFmtId="0" fontId="3" fillId="0" borderId="25" xfId="0" applyFont="1" applyBorder="1" applyAlignment="1">
      <alignment vertical="center"/>
    </xf>
    <xf numFmtId="43" fontId="6" fillId="0" borderId="32" xfId="1" applyFont="1" applyFill="1" applyBorder="1" applyAlignment="1">
      <alignment vertical="center" wrapText="1"/>
    </xf>
    <xf numFmtId="43" fontId="6" fillId="0" borderId="22" xfId="1" applyFont="1" applyFill="1" applyBorder="1" applyAlignment="1">
      <alignment vertical="center" wrapText="1"/>
    </xf>
    <xf numFmtId="43" fontId="6" fillId="0" borderId="25" xfId="1" applyFont="1" applyFill="1" applyBorder="1" applyAlignment="1">
      <alignment vertical="center" wrapText="1"/>
    </xf>
    <xf numFmtId="3" fontId="6" fillId="0" borderId="32" xfId="0" applyNumberFormat="1" applyFont="1" applyFill="1" applyBorder="1" applyAlignment="1">
      <alignment vertical="center" wrapText="1"/>
    </xf>
    <xf numFmtId="3" fontId="6" fillId="0" borderId="22" xfId="0" applyNumberFormat="1" applyFont="1" applyFill="1" applyBorder="1" applyAlignment="1">
      <alignment vertical="center" wrapText="1"/>
    </xf>
    <xf numFmtId="3" fontId="6" fillId="0" borderId="25" xfId="0" applyNumberFormat="1" applyFont="1" applyFill="1" applyBorder="1" applyAlignment="1">
      <alignment vertical="center" wrapText="1"/>
    </xf>
    <xf numFmtId="4" fontId="6" fillId="0" borderId="32" xfId="0" applyNumberFormat="1" applyFont="1" applyFill="1" applyBorder="1" applyAlignment="1">
      <alignment vertical="center" wrapText="1"/>
    </xf>
    <xf numFmtId="4" fontId="6" fillId="0" borderId="22" xfId="0" applyNumberFormat="1" applyFont="1" applyFill="1" applyBorder="1" applyAlignment="1">
      <alignment vertical="center" wrapText="1"/>
    </xf>
    <xf numFmtId="4" fontId="6" fillId="0" borderId="25" xfId="0" applyNumberFormat="1" applyFont="1" applyFill="1" applyBorder="1" applyAlignment="1">
      <alignment vertical="center" wrapText="1"/>
    </xf>
    <xf numFmtId="49" fontId="3" fillId="0" borderId="29" xfId="0" applyNumberFormat="1" applyFont="1" applyBorder="1" applyAlignment="1">
      <alignment horizontal="center" vertical="center"/>
    </xf>
    <xf numFmtId="49" fontId="3" fillId="0" borderId="33" xfId="0" applyNumberFormat="1" applyFont="1" applyBorder="1" applyAlignment="1">
      <alignment horizontal="center" vertical="center"/>
    </xf>
    <xf numFmtId="49" fontId="3" fillId="0" borderId="34" xfId="0" applyNumberFormat="1" applyFont="1" applyBorder="1" applyAlignment="1">
      <alignment horizontal="center" vertical="center"/>
    </xf>
    <xf numFmtId="0" fontId="3" fillId="0" borderId="37" xfId="0" applyFont="1" applyBorder="1" applyAlignment="1">
      <alignment vertical="center"/>
    </xf>
    <xf numFmtId="0" fontId="3" fillId="0" borderId="69" xfId="0" applyFont="1" applyBorder="1" applyAlignment="1">
      <alignment vertical="center"/>
    </xf>
    <xf numFmtId="0" fontId="3" fillId="0" borderId="24" xfId="0" applyFont="1" applyBorder="1" applyAlignment="1">
      <alignment vertical="center"/>
    </xf>
    <xf numFmtId="0" fontId="6" fillId="0" borderId="11" xfId="0" applyFont="1" applyBorder="1" applyAlignment="1">
      <alignment vertical="center"/>
    </xf>
    <xf numFmtId="0" fontId="6" fillId="2" borderId="32" xfId="0" applyFont="1" applyFill="1" applyBorder="1" applyAlignment="1">
      <alignment vertical="center" wrapText="1"/>
    </xf>
    <xf numFmtId="0" fontId="6" fillId="2" borderId="22" xfId="0" applyFont="1" applyFill="1" applyBorder="1" applyAlignment="1">
      <alignment vertical="center" wrapText="1"/>
    </xf>
    <xf numFmtId="0" fontId="6" fillId="2" borderId="25" xfId="0" applyFont="1" applyFill="1" applyBorder="1" applyAlignment="1">
      <alignment vertical="center" wrapText="1"/>
    </xf>
    <xf numFmtId="2" fontId="3" fillId="0" borderId="32" xfId="1" applyNumberFormat="1" applyFont="1" applyFill="1" applyBorder="1" applyAlignment="1">
      <alignment vertical="center" wrapText="1"/>
    </xf>
    <xf numFmtId="2" fontId="3" fillId="0" borderId="22" xfId="1" applyNumberFormat="1" applyFont="1" applyFill="1" applyBorder="1" applyAlignment="1">
      <alignment vertical="center" wrapText="1"/>
    </xf>
    <xf numFmtId="2" fontId="3" fillId="0" borderId="25" xfId="1" applyNumberFormat="1" applyFont="1" applyFill="1" applyBorder="1" applyAlignment="1">
      <alignment vertical="center" wrapText="1"/>
    </xf>
    <xf numFmtId="43" fontId="6" fillId="0" borderId="11" xfId="1" applyFont="1" applyBorder="1" applyAlignment="1">
      <alignment vertical="center"/>
    </xf>
    <xf numFmtId="3" fontId="6" fillId="2" borderId="32" xfId="0" applyNumberFormat="1" applyFont="1" applyFill="1" applyBorder="1" applyAlignment="1">
      <alignment vertical="center" wrapText="1"/>
    </xf>
    <xf numFmtId="0" fontId="27" fillId="0" borderId="37" xfId="0" applyFont="1" applyBorder="1" applyAlignment="1">
      <alignment vertical="center"/>
    </xf>
    <xf numFmtId="0" fontId="27" fillId="0" borderId="69" xfId="0" applyFont="1" applyBorder="1" applyAlignment="1">
      <alignment vertical="center"/>
    </xf>
    <xf numFmtId="0" fontId="27" fillId="0" borderId="24" xfId="0" applyFont="1" applyBorder="1" applyAlignment="1">
      <alignment vertical="center"/>
    </xf>
    <xf numFmtId="0" fontId="6" fillId="2" borderId="11" xfId="0" applyFont="1" applyFill="1" applyBorder="1" applyAlignment="1">
      <alignment vertical="center" wrapText="1"/>
    </xf>
    <xf numFmtId="0" fontId="27" fillId="0" borderId="22" xfId="0" applyFont="1" applyBorder="1" applyAlignment="1">
      <alignment vertical="center"/>
    </xf>
    <xf numFmtId="0" fontId="27" fillId="0" borderId="25" xfId="0" applyFont="1" applyBorder="1" applyAlignment="1">
      <alignment vertical="center"/>
    </xf>
    <xf numFmtId="43" fontId="6" fillId="0" borderId="25" xfId="1" applyFont="1" applyBorder="1" applyAlignment="1">
      <alignment vertical="center"/>
    </xf>
    <xf numFmtId="3" fontId="6" fillId="2" borderId="22" xfId="0" applyNumberFormat="1" applyFont="1" applyFill="1" applyBorder="1" applyAlignment="1">
      <alignment vertical="center" wrapText="1"/>
    </xf>
    <xf numFmtId="0" fontId="5" fillId="0" borderId="42"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9" fillId="0" borderId="0" xfId="0" applyFont="1" applyAlignment="1">
      <alignment vertical="center"/>
    </xf>
    <xf numFmtId="0" fontId="3" fillId="0" borderId="0" xfId="0" applyFont="1" applyFill="1" applyBorder="1" applyAlignment="1">
      <alignment vertical="center" wrapText="1"/>
    </xf>
  </cellXfs>
  <cellStyles count="5">
    <cellStyle name="Hiperlink" xfId="3" builtinId="8"/>
    <cellStyle name="Moeda" xfId="2" builtinId="4"/>
    <cellStyle name="Normal" xfId="0" builtinId="0"/>
    <cellStyle name="Porcentagem" xfId="4"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24</xdr:col>
      <xdr:colOff>809627</xdr:colOff>
      <xdr:row>0</xdr:row>
      <xdr:rowOff>76200</xdr:rowOff>
    </xdr:from>
    <xdr:to>
      <xdr:col>26</xdr:col>
      <xdr:colOff>190501</xdr:colOff>
      <xdr:row>6</xdr:row>
      <xdr:rowOff>153520</xdr:rowOff>
    </xdr:to>
    <xdr:pic>
      <xdr:nvPicPr>
        <xdr:cNvPr id="2" name="Imagem 1"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27402" y="76200"/>
          <a:ext cx="1000124" cy="104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0</xdr:row>
      <xdr:rowOff>85725</xdr:rowOff>
    </xdr:from>
    <xdr:to>
      <xdr:col>0</xdr:col>
      <xdr:colOff>1109143</xdr:colOff>
      <xdr:row>6</xdr:row>
      <xdr:rowOff>47625</xdr:rowOff>
    </xdr:to>
    <xdr:pic>
      <xdr:nvPicPr>
        <xdr:cNvPr id="3" name="Imagem 2"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85725"/>
          <a:ext cx="890068"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981075</xdr:colOff>
      <xdr:row>12</xdr:row>
      <xdr:rowOff>0</xdr:rowOff>
    </xdr:from>
    <xdr:to>
      <xdr:col>8</xdr:col>
      <xdr:colOff>981075</xdr:colOff>
      <xdr:row>15</xdr:row>
      <xdr:rowOff>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1972925" y="85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974407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6" name="Imagem 5"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38098</xdr:colOff>
      <xdr:row>1</xdr:row>
      <xdr:rowOff>47624</xdr:rowOff>
    </xdr:from>
    <xdr:to>
      <xdr:col>2</xdr:col>
      <xdr:colOff>85724</xdr:colOff>
      <xdr:row>7</xdr:row>
      <xdr:rowOff>76199</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398" y="209549"/>
          <a:ext cx="952501"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981075</xdr:colOff>
      <xdr:row>11</xdr:row>
      <xdr:rowOff>0</xdr:rowOff>
    </xdr:from>
    <xdr:to>
      <xdr:col>8</xdr:col>
      <xdr:colOff>981075</xdr:colOff>
      <xdr:row>13</xdr:row>
      <xdr:rowOff>66675</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9525000" y="85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9601200"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6" name="Imagem 5"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38098</xdr:colOff>
      <xdr:row>1</xdr:row>
      <xdr:rowOff>47624</xdr:rowOff>
    </xdr:from>
    <xdr:to>
      <xdr:col>1</xdr:col>
      <xdr:colOff>895350</xdr:colOff>
      <xdr:row>7</xdr:row>
      <xdr:rowOff>76199</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3" y="209549"/>
          <a:ext cx="857252"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981075</xdr:colOff>
      <xdr:row>12</xdr:row>
      <xdr:rowOff>0</xdr:rowOff>
    </xdr:from>
    <xdr:to>
      <xdr:col>8</xdr:col>
      <xdr:colOff>981075</xdr:colOff>
      <xdr:row>18</xdr:row>
      <xdr:rowOff>147638</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2439650" y="0"/>
          <a:ext cx="0" cy="1357313"/>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5" name="Imagem 4" descr="pmrb_evandro"/>
        <xdr:cNvPicPr/>
      </xdr:nvPicPr>
      <xdr:blipFill>
        <a:blip xmlns:r="http://schemas.openxmlformats.org/officeDocument/2006/relationships" r:embed="rId1" cstate="print"/>
        <a:srcRect/>
        <a:stretch>
          <a:fillRect/>
        </a:stretch>
      </xdr:blipFill>
      <xdr:spPr bwMode="auto">
        <a:xfrm>
          <a:off x="9239250"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7" name="Imagem 6"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38097</xdr:colOff>
      <xdr:row>1</xdr:row>
      <xdr:rowOff>47624</xdr:rowOff>
    </xdr:from>
    <xdr:to>
      <xdr:col>2</xdr:col>
      <xdr:colOff>28574</xdr:colOff>
      <xdr:row>7</xdr:row>
      <xdr:rowOff>76199</xdr:rowOff>
    </xdr:to>
    <xdr:pic>
      <xdr:nvPicPr>
        <xdr:cNvPr id="8" name="Imagem 7"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7" y="209549"/>
          <a:ext cx="94297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981075</xdr:colOff>
      <xdr:row>9</xdr:row>
      <xdr:rowOff>85725</xdr:rowOff>
    </xdr:from>
    <xdr:to>
      <xdr:col>8</xdr:col>
      <xdr:colOff>981075</xdr:colOff>
      <xdr:row>12</xdr:row>
      <xdr:rowOff>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9029700" y="85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10306050"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6" name="Imagem 5"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133348</xdr:colOff>
      <xdr:row>1</xdr:row>
      <xdr:rowOff>57149</xdr:rowOff>
    </xdr:from>
    <xdr:to>
      <xdr:col>2</xdr:col>
      <xdr:colOff>28575</xdr:colOff>
      <xdr:row>7</xdr:row>
      <xdr:rowOff>85724</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48" y="219074"/>
          <a:ext cx="86677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981075</xdr:colOff>
      <xdr:row>11</xdr:row>
      <xdr:rowOff>85725</xdr:rowOff>
    </xdr:from>
    <xdr:to>
      <xdr:col>8</xdr:col>
      <xdr:colOff>981075</xdr:colOff>
      <xdr:row>13</xdr:row>
      <xdr:rowOff>152400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8562975" y="85725"/>
          <a:ext cx="0" cy="457200"/>
        </a:xfrm>
        <a:prstGeom prst="rect">
          <a:avLst/>
        </a:prstGeom>
        <a:noFill/>
        <a:ln w="9525">
          <a:noFill/>
          <a:miter lim="800000"/>
          <a:headEnd/>
          <a:tailEnd/>
        </a:ln>
      </xdr:spPr>
    </xdr:pic>
    <xdr:clientData/>
  </xdr:twoCellAnchor>
  <xdr:twoCellAnchor editAs="oneCell">
    <xdr:from>
      <xdr:col>8</xdr:col>
      <xdr:colOff>981075</xdr:colOff>
      <xdr:row>9</xdr:row>
      <xdr:rowOff>85725</xdr:rowOff>
    </xdr:from>
    <xdr:to>
      <xdr:col>8</xdr:col>
      <xdr:colOff>981075</xdr:colOff>
      <xdr:row>12</xdr:row>
      <xdr:rowOff>0</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10487025" y="1609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5" name="Imagem 4" descr="pmrb_evandro"/>
        <xdr:cNvPicPr/>
      </xdr:nvPicPr>
      <xdr:blipFill>
        <a:blip xmlns:r="http://schemas.openxmlformats.org/officeDocument/2006/relationships" r:embed="rId1" cstate="print"/>
        <a:srcRect/>
        <a:stretch>
          <a:fillRect/>
        </a:stretch>
      </xdr:blipFill>
      <xdr:spPr bwMode="auto">
        <a:xfrm>
          <a:off x="1048702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7" name="Imagem 6"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38098</xdr:colOff>
      <xdr:row>1</xdr:row>
      <xdr:rowOff>47624</xdr:rowOff>
    </xdr:from>
    <xdr:to>
      <xdr:col>1</xdr:col>
      <xdr:colOff>914400</xdr:colOff>
      <xdr:row>7</xdr:row>
      <xdr:rowOff>76199</xdr:rowOff>
    </xdr:to>
    <xdr:pic>
      <xdr:nvPicPr>
        <xdr:cNvPr id="8" name="Imagem 7"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8" y="209549"/>
          <a:ext cx="876302"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981075</xdr:colOff>
      <xdr:row>10</xdr:row>
      <xdr:rowOff>85725</xdr:rowOff>
    </xdr:from>
    <xdr:to>
      <xdr:col>8</xdr:col>
      <xdr:colOff>981075</xdr:colOff>
      <xdr:row>12</xdr:row>
      <xdr:rowOff>161925</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2068175" y="85725"/>
          <a:ext cx="0" cy="457200"/>
        </a:xfrm>
        <a:prstGeom prst="rect">
          <a:avLst/>
        </a:prstGeom>
        <a:noFill/>
        <a:ln w="9525">
          <a:noFill/>
          <a:miter lim="800000"/>
          <a:headEnd/>
          <a:tailEnd/>
        </a:ln>
      </xdr:spPr>
    </xdr:pic>
    <xdr:clientData/>
  </xdr:twoCellAnchor>
  <xdr:twoCellAnchor editAs="oneCell">
    <xdr:from>
      <xdr:col>8</xdr:col>
      <xdr:colOff>981075</xdr:colOff>
      <xdr:row>9</xdr:row>
      <xdr:rowOff>85725</xdr:rowOff>
    </xdr:from>
    <xdr:to>
      <xdr:col>8</xdr:col>
      <xdr:colOff>981075</xdr:colOff>
      <xdr:row>12</xdr:row>
      <xdr:rowOff>0</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10487025" y="1609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5" name="Imagem 4" descr="pmrb_evandro"/>
        <xdr:cNvPicPr/>
      </xdr:nvPicPr>
      <xdr:blipFill>
        <a:blip xmlns:r="http://schemas.openxmlformats.org/officeDocument/2006/relationships" r:embed="rId1" cstate="print"/>
        <a:srcRect/>
        <a:stretch>
          <a:fillRect/>
        </a:stretch>
      </xdr:blipFill>
      <xdr:spPr bwMode="auto">
        <a:xfrm>
          <a:off x="1048702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7" name="Imagem 6"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38099</xdr:colOff>
      <xdr:row>1</xdr:row>
      <xdr:rowOff>47624</xdr:rowOff>
    </xdr:from>
    <xdr:to>
      <xdr:col>1</xdr:col>
      <xdr:colOff>990601</xdr:colOff>
      <xdr:row>7</xdr:row>
      <xdr:rowOff>76199</xdr:rowOff>
    </xdr:to>
    <xdr:pic>
      <xdr:nvPicPr>
        <xdr:cNvPr id="8" name="Imagem 7"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9" y="209549"/>
          <a:ext cx="952502"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981075</xdr:colOff>
      <xdr:row>9</xdr:row>
      <xdr:rowOff>85725</xdr:rowOff>
    </xdr:from>
    <xdr:to>
      <xdr:col>8</xdr:col>
      <xdr:colOff>981075</xdr:colOff>
      <xdr:row>12</xdr:row>
      <xdr:rowOff>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1972925" y="85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953452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6" name="Imagem 5"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133348</xdr:colOff>
      <xdr:row>0</xdr:row>
      <xdr:rowOff>85724</xdr:rowOff>
    </xdr:from>
    <xdr:to>
      <xdr:col>1</xdr:col>
      <xdr:colOff>1028700</xdr:colOff>
      <xdr:row>6</xdr:row>
      <xdr:rowOff>114299</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8" y="85724"/>
          <a:ext cx="895352"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981075</xdr:colOff>
      <xdr:row>20</xdr:row>
      <xdr:rowOff>0</xdr:rowOff>
    </xdr:from>
    <xdr:to>
      <xdr:col>8</xdr:col>
      <xdr:colOff>981075</xdr:colOff>
      <xdr:row>22</xdr:row>
      <xdr:rowOff>54305</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9363075" y="2476500"/>
          <a:ext cx="0" cy="454355"/>
        </a:xfrm>
        <a:prstGeom prst="rect">
          <a:avLst/>
        </a:prstGeom>
        <a:noFill/>
        <a:ln w="9525">
          <a:noFill/>
          <a:miter lim="800000"/>
          <a:headEnd/>
          <a:tailEnd/>
        </a:ln>
      </xdr:spPr>
    </xdr:pic>
    <xdr:clientData/>
  </xdr:twoCellAnchor>
  <xdr:twoCellAnchor editAs="oneCell">
    <xdr:from>
      <xdr:col>8</xdr:col>
      <xdr:colOff>981075</xdr:colOff>
      <xdr:row>9</xdr:row>
      <xdr:rowOff>85725</xdr:rowOff>
    </xdr:from>
    <xdr:to>
      <xdr:col>8</xdr:col>
      <xdr:colOff>981075</xdr:colOff>
      <xdr:row>12</xdr:row>
      <xdr:rowOff>0</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9077325" y="1609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5" name="Imagem 4" descr="pmrb_evandro"/>
        <xdr:cNvPicPr/>
      </xdr:nvPicPr>
      <xdr:blipFill>
        <a:blip xmlns:r="http://schemas.openxmlformats.org/officeDocument/2006/relationships" r:embed="rId1" cstate="print"/>
        <a:srcRect/>
        <a:stretch>
          <a:fillRect/>
        </a:stretch>
      </xdr:blipFill>
      <xdr:spPr bwMode="auto">
        <a:xfrm>
          <a:off x="907732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7" name="Imagem 6"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38098</xdr:colOff>
      <xdr:row>1</xdr:row>
      <xdr:rowOff>47624</xdr:rowOff>
    </xdr:from>
    <xdr:to>
      <xdr:col>1</xdr:col>
      <xdr:colOff>1000125</xdr:colOff>
      <xdr:row>7</xdr:row>
      <xdr:rowOff>76199</xdr:rowOff>
    </xdr:to>
    <xdr:pic>
      <xdr:nvPicPr>
        <xdr:cNvPr id="8" name="Imagem 7"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8" y="209549"/>
          <a:ext cx="96202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981075</xdr:colOff>
      <xdr:row>11</xdr:row>
      <xdr:rowOff>85725</xdr:rowOff>
    </xdr:from>
    <xdr:to>
      <xdr:col>8</xdr:col>
      <xdr:colOff>981075</xdr:colOff>
      <xdr:row>13</xdr:row>
      <xdr:rowOff>152400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1763375" y="85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930592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6" name="Imagem 5"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38098</xdr:colOff>
      <xdr:row>1</xdr:row>
      <xdr:rowOff>47624</xdr:rowOff>
    </xdr:from>
    <xdr:to>
      <xdr:col>2</xdr:col>
      <xdr:colOff>85724</xdr:colOff>
      <xdr:row>7</xdr:row>
      <xdr:rowOff>76199</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398" y="209549"/>
          <a:ext cx="952501"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981075</xdr:colOff>
      <xdr:row>21</xdr:row>
      <xdr:rowOff>0</xdr:rowOff>
    </xdr:from>
    <xdr:to>
      <xdr:col>8</xdr:col>
      <xdr:colOff>981075</xdr:colOff>
      <xdr:row>23</xdr:row>
      <xdr:rowOff>57150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2525375" y="2486025"/>
          <a:ext cx="0" cy="457200"/>
        </a:xfrm>
        <a:prstGeom prst="rect">
          <a:avLst/>
        </a:prstGeom>
        <a:noFill/>
        <a:ln w="9525">
          <a:noFill/>
          <a:miter lim="800000"/>
          <a:headEnd/>
          <a:tailEnd/>
        </a:ln>
      </xdr:spPr>
    </xdr:pic>
    <xdr:clientData/>
  </xdr:twoCellAnchor>
  <xdr:twoCellAnchor editAs="oneCell">
    <xdr:from>
      <xdr:col>8</xdr:col>
      <xdr:colOff>981075</xdr:colOff>
      <xdr:row>21</xdr:row>
      <xdr:rowOff>0</xdr:rowOff>
    </xdr:from>
    <xdr:to>
      <xdr:col>8</xdr:col>
      <xdr:colOff>981075</xdr:colOff>
      <xdr:row>23</xdr:row>
      <xdr:rowOff>57150</xdr:rowOff>
    </xdr:to>
    <xdr:pic>
      <xdr:nvPicPr>
        <xdr:cNvPr id="3" name="Imagem 2" descr="pmrb_evandro"/>
        <xdr:cNvPicPr/>
      </xdr:nvPicPr>
      <xdr:blipFill>
        <a:blip xmlns:r="http://schemas.openxmlformats.org/officeDocument/2006/relationships" r:embed="rId1" cstate="print"/>
        <a:srcRect/>
        <a:stretch>
          <a:fillRect/>
        </a:stretch>
      </xdr:blipFill>
      <xdr:spPr bwMode="auto">
        <a:xfrm>
          <a:off x="12525375" y="85725"/>
          <a:ext cx="0" cy="457200"/>
        </a:xfrm>
        <a:prstGeom prst="rect">
          <a:avLst/>
        </a:prstGeom>
        <a:noFill/>
        <a:ln w="9525">
          <a:noFill/>
          <a:miter lim="800000"/>
          <a:headEnd/>
          <a:tailEnd/>
        </a:ln>
      </xdr:spPr>
    </xdr:pic>
    <xdr:clientData/>
  </xdr:twoCellAnchor>
  <xdr:oneCellAnchor>
    <xdr:from>
      <xdr:col>8</xdr:col>
      <xdr:colOff>981075</xdr:colOff>
      <xdr:row>43</xdr:row>
      <xdr:rowOff>0</xdr:rowOff>
    </xdr:from>
    <xdr:ext cx="0" cy="469900"/>
    <xdr:pic>
      <xdr:nvPicPr>
        <xdr:cNvPr id="5" name="Imagem 4" descr="pmrb_evandro"/>
        <xdr:cNvPicPr/>
      </xdr:nvPicPr>
      <xdr:blipFill>
        <a:blip xmlns:r="http://schemas.openxmlformats.org/officeDocument/2006/relationships" r:embed="rId1" cstate="print"/>
        <a:srcRect/>
        <a:stretch>
          <a:fillRect/>
        </a:stretch>
      </xdr:blipFill>
      <xdr:spPr bwMode="auto">
        <a:xfrm>
          <a:off x="12525375" y="10648950"/>
          <a:ext cx="0" cy="469900"/>
        </a:xfrm>
        <a:prstGeom prst="rect">
          <a:avLst/>
        </a:prstGeom>
        <a:noFill/>
        <a:ln w="9525">
          <a:noFill/>
          <a:miter lim="800000"/>
          <a:headEnd/>
          <a:tailEnd/>
        </a:ln>
      </xdr:spPr>
    </xdr:pic>
    <xdr:clientData/>
  </xdr:oneCellAnchor>
  <xdr:oneCellAnchor>
    <xdr:from>
      <xdr:col>8</xdr:col>
      <xdr:colOff>981075</xdr:colOff>
      <xdr:row>51</xdr:row>
      <xdr:rowOff>0</xdr:rowOff>
    </xdr:from>
    <xdr:ext cx="0" cy="469900"/>
    <xdr:pic>
      <xdr:nvPicPr>
        <xdr:cNvPr id="6" name="Imagem 5" descr="pmrb_evandro"/>
        <xdr:cNvPicPr/>
      </xdr:nvPicPr>
      <xdr:blipFill>
        <a:blip xmlns:r="http://schemas.openxmlformats.org/officeDocument/2006/relationships" r:embed="rId1" cstate="print"/>
        <a:srcRect/>
        <a:stretch>
          <a:fillRect/>
        </a:stretch>
      </xdr:blipFill>
      <xdr:spPr bwMode="auto">
        <a:xfrm>
          <a:off x="12525375" y="13249275"/>
          <a:ext cx="0" cy="469900"/>
        </a:xfrm>
        <a:prstGeom prst="rect">
          <a:avLst/>
        </a:prstGeom>
        <a:noFill/>
        <a:ln w="9525">
          <a:noFill/>
          <a:miter lim="800000"/>
          <a:headEnd/>
          <a:tailEnd/>
        </a:ln>
      </xdr:spPr>
    </xdr:pic>
    <xdr:clientData/>
  </xdr:oneCellAnchor>
  <xdr:oneCellAnchor>
    <xdr:from>
      <xdr:col>8</xdr:col>
      <xdr:colOff>981075</xdr:colOff>
      <xdr:row>65</xdr:row>
      <xdr:rowOff>0</xdr:rowOff>
    </xdr:from>
    <xdr:ext cx="0" cy="469900"/>
    <xdr:pic>
      <xdr:nvPicPr>
        <xdr:cNvPr id="7" name="Imagem 6" descr="pmrb_evandro"/>
        <xdr:cNvPicPr/>
      </xdr:nvPicPr>
      <xdr:blipFill>
        <a:blip xmlns:r="http://schemas.openxmlformats.org/officeDocument/2006/relationships" r:embed="rId1" cstate="print"/>
        <a:srcRect/>
        <a:stretch>
          <a:fillRect/>
        </a:stretch>
      </xdr:blipFill>
      <xdr:spPr bwMode="auto">
        <a:xfrm>
          <a:off x="12525375" y="17945100"/>
          <a:ext cx="0" cy="469900"/>
        </a:xfrm>
        <a:prstGeom prst="rect">
          <a:avLst/>
        </a:prstGeom>
        <a:noFill/>
        <a:ln w="9525">
          <a:noFill/>
          <a:miter lim="800000"/>
          <a:headEnd/>
          <a:tailEnd/>
        </a:ln>
      </xdr:spPr>
    </xdr:pic>
    <xdr:clientData/>
  </xdr:oneCellAnchor>
  <xdr:oneCellAnchor>
    <xdr:from>
      <xdr:col>8</xdr:col>
      <xdr:colOff>981075</xdr:colOff>
      <xdr:row>77</xdr:row>
      <xdr:rowOff>0</xdr:rowOff>
    </xdr:from>
    <xdr:ext cx="0" cy="469900"/>
    <xdr:pic>
      <xdr:nvPicPr>
        <xdr:cNvPr id="8" name="Imagem 7" descr="pmrb_evandro"/>
        <xdr:cNvPicPr/>
      </xdr:nvPicPr>
      <xdr:blipFill>
        <a:blip xmlns:r="http://schemas.openxmlformats.org/officeDocument/2006/relationships" r:embed="rId1" cstate="print"/>
        <a:srcRect/>
        <a:stretch>
          <a:fillRect/>
        </a:stretch>
      </xdr:blipFill>
      <xdr:spPr bwMode="auto">
        <a:xfrm>
          <a:off x="12525375" y="22183725"/>
          <a:ext cx="0" cy="469900"/>
        </a:xfrm>
        <a:prstGeom prst="rect">
          <a:avLst/>
        </a:prstGeom>
        <a:noFill/>
        <a:ln w="9525">
          <a:noFill/>
          <a:miter lim="800000"/>
          <a:headEnd/>
          <a:tailEnd/>
        </a:ln>
      </xdr:spPr>
    </xdr:pic>
    <xdr:clientData/>
  </xdr:oneCellAnchor>
  <xdr:oneCellAnchor>
    <xdr:from>
      <xdr:col>8</xdr:col>
      <xdr:colOff>981075</xdr:colOff>
      <xdr:row>87</xdr:row>
      <xdr:rowOff>0</xdr:rowOff>
    </xdr:from>
    <xdr:ext cx="0" cy="469900"/>
    <xdr:pic>
      <xdr:nvPicPr>
        <xdr:cNvPr id="9" name="Imagem 8" descr="pmrb_evandro"/>
        <xdr:cNvPicPr/>
      </xdr:nvPicPr>
      <xdr:blipFill>
        <a:blip xmlns:r="http://schemas.openxmlformats.org/officeDocument/2006/relationships" r:embed="rId1" cstate="print"/>
        <a:srcRect/>
        <a:stretch>
          <a:fillRect/>
        </a:stretch>
      </xdr:blipFill>
      <xdr:spPr bwMode="auto">
        <a:xfrm>
          <a:off x="12525375" y="26250900"/>
          <a:ext cx="0" cy="469900"/>
        </a:xfrm>
        <a:prstGeom prst="rect">
          <a:avLst/>
        </a:prstGeom>
        <a:noFill/>
        <a:ln w="9525">
          <a:noFill/>
          <a:miter lim="800000"/>
          <a:headEnd/>
          <a:tailEnd/>
        </a:ln>
      </xdr:spPr>
    </xdr:pic>
    <xdr:clientData/>
  </xdr:oneCellAnchor>
  <xdr:oneCellAnchor>
    <xdr:from>
      <xdr:col>8</xdr:col>
      <xdr:colOff>981075</xdr:colOff>
      <xdr:row>99</xdr:row>
      <xdr:rowOff>0</xdr:rowOff>
    </xdr:from>
    <xdr:ext cx="0" cy="469900"/>
    <xdr:pic>
      <xdr:nvPicPr>
        <xdr:cNvPr id="10" name="Imagem 9" descr="pmrb_evandro"/>
        <xdr:cNvPicPr/>
      </xdr:nvPicPr>
      <xdr:blipFill>
        <a:blip xmlns:r="http://schemas.openxmlformats.org/officeDocument/2006/relationships" r:embed="rId1" cstate="print"/>
        <a:srcRect/>
        <a:stretch>
          <a:fillRect/>
        </a:stretch>
      </xdr:blipFill>
      <xdr:spPr bwMode="auto">
        <a:xfrm>
          <a:off x="12525375" y="30994350"/>
          <a:ext cx="0" cy="469900"/>
        </a:xfrm>
        <a:prstGeom prst="rect">
          <a:avLst/>
        </a:prstGeom>
        <a:noFill/>
        <a:ln w="9525">
          <a:noFill/>
          <a:miter lim="800000"/>
          <a:headEnd/>
          <a:tailEnd/>
        </a:ln>
      </xdr:spPr>
    </xdr:pic>
    <xdr:clientData/>
  </xdr:oneCellAnchor>
  <xdr:oneCellAnchor>
    <xdr:from>
      <xdr:col>8</xdr:col>
      <xdr:colOff>981075</xdr:colOff>
      <xdr:row>107</xdr:row>
      <xdr:rowOff>0</xdr:rowOff>
    </xdr:from>
    <xdr:ext cx="0" cy="469900"/>
    <xdr:pic>
      <xdr:nvPicPr>
        <xdr:cNvPr id="11" name="Imagem 10" descr="pmrb_evandro"/>
        <xdr:cNvPicPr/>
      </xdr:nvPicPr>
      <xdr:blipFill>
        <a:blip xmlns:r="http://schemas.openxmlformats.org/officeDocument/2006/relationships" r:embed="rId1" cstate="print"/>
        <a:srcRect/>
        <a:stretch>
          <a:fillRect/>
        </a:stretch>
      </xdr:blipFill>
      <xdr:spPr bwMode="auto">
        <a:xfrm>
          <a:off x="12525375" y="35032950"/>
          <a:ext cx="0" cy="469900"/>
        </a:xfrm>
        <a:prstGeom prst="rect">
          <a:avLst/>
        </a:prstGeom>
        <a:noFill/>
        <a:ln w="9525">
          <a:noFill/>
          <a:miter lim="800000"/>
          <a:headEnd/>
          <a:tailEnd/>
        </a:ln>
      </xdr:spPr>
    </xdr:pic>
    <xdr:clientData/>
  </xdr:oneCellAnchor>
  <xdr:oneCellAnchor>
    <xdr:from>
      <xdr:col>8</xdr:col>
      <xdr:colOff>981075</xdr:colOff>
      <xdr:row>120</xdr:row>
      <xdr:rowOff>0</xdr:rowOff>
    </xdr:from>
    <xdr:ext cx="0" cy="469900"/>
    <xdr:pic>
      <xdr:nvPicPr>
        <xdr:cNvPr id="12" name="Imagem 11" descr="pmrb_evandro"/>
        <xdr:cNvPicPr/>
      </xdr:nvPicPr>
      <xdr:blipFill>
        <a:blip xmlns:r="http://schemas.openxmlformats.org/officeDocument/2006/relationships" r:embed="rId1" cstate="print"/>
        <a:srcRect/>
        <a:stretch>
          <a:fillRect/>
        </a:stretch>
      </xdr:blipFill>
      <xdr:spPr bwMode="auto">
        <a:xfrm>
          <a:off x="12525375" y="39719250"/>
          <a:ext cx="0" cy="469900"/>
        </a:xfrm>
        <a:prstGeom prst="rect">
          <a:avLst/>
        </a:prstGeom>
        <a:noFill/>
        <a:ln w="9525">
          <a:noFill/>
          <a:miter lim="800000"/>
          <a:headEnd/>
          <a:tailEnd/>
        </a:ln>
      </xdr:spPr>
    </xdr:pic>
    <xdr:clientData/>
  </xdr:oneCellAnchor>
  <xdr:oneCellAnchor>
    <xdr:from>
      <xdr:col>8</xdr:col>
      <xdr:colOff>981075</xdr:colOff>
      <xdr:row>134</xdr:row>
      <xdr:rowOff>0</xdr:rowOff>
    </xdr:from>
    <xdr:ext cx="0" cy="469900"/>
    <xdr:pic>
      <xdr:nvPicPr>
        <xdr:cNvPr id="13" name="Imagem 12" descr="pmrb_evandro"/>
        <xdr:cNvPicPr/>
      </xdr:nvPicPr>
      <xdr:blipFill>
        <a:blip xmlns:r="http://schemas.openxmlformats.org/officeDocument/2006/relationships" r:embed="rId1" cstate="print"/>
        <a:srcRect/>
        <a:stretch>
          <a:fillRect/>
        </a:stretch>
      </xdr:blipFill>
      <xdr:spPr bwMode="auto">
        <a:xfrm>
          <a:off x="12525375" y="45453300"/>
          <a:ext cx="0" cy="469900"/>
        </a:xfrm>
        <a:prstGeom prst="rect">
          <a:avLst/>
        </a:prstGeom>
        <a:noFill/>
        <a:ln w="9525">
          <a:noFill/>
          <a:miter lim="800000"/>
          <a:headEnd/>
          <a:tailEnd/>
        </a:ln>
      </xdr:spPr>
    </xdr:pic>
    <xdr:clientData/>
  </xdr:oneCellAnchor>
  <xdr:oneCellAnchor>
    <xdr:from>
      <xdr:col>8</xdr:col>
      <xdr:colOff>981075</xdr:colOff>
      <xdr:row>143</xdr:row>
      <xdr:rowOff>0</xdr:rowOff>
    </xdr:from>
    <xdr:ext cx="0" cy="469900"/>
    <xdr:pic>
      <xdr:nvPicPr>
        <xdr:cNvPr id="14" name="Imagem 13" descr="pmrb_evandro"/>
        <xdr:cNvPicPr/>
      </xdr:nvPicPr>
      <xdr:blipFill>
        <a:blip xmlns:r="http://schemas.openxmlformats.org/officeDocument/2006/relationships" r:embed="rId1" cstate="print"/>
        <a:srcRect/>
        <a:stretch>
          <a:fillRect/>
        </a:stretch>
      </xdr:blipFill>
      <xdr:spPr bwMode="auto">
        <a:xfrm>
          <a:off x="12525375" y="48948975"/>
          <a:ext cx="0" cy="469900"/>
        </a:xfrm>
        <a:prstGeom prst="rect">
          <a:avLst/>
        </a:prstGeom>
        <a:noFill/>
        <a:ln w="9525">
          <a:noFill/>
          <a:miter lim="800000"/>
          <a:headEnd/>
          <a:tailEnd/>
        </a:ln>
      </xdr:spPr>
    </xdr:pic>
    <xdr:clientData/>
  </xdr:oneCellAnchor>
  <xdr:oneCellAnchor>
    <xdr:from>
      <xdr:col>8</xdr:col>
      <xdr:colOff>981075</xdr:colOff>
      <xdr:row>151</xdr:row>
      <xdr:rowOff>0</xdr:rowOff>
    </xdr:from>
    <xdr:ext cx="0" cy="469900"/>
    <xdr:pic>
      <xdr:nvPicPr>
        <xdr:cNvPr id="15" name="Imagem 14" descr="pmrb_evandro"/>
        <xdr:cNvPicPr/>
      </xdr:nvPicPr>
      <xdr:blipFill>
        <a:blip xmlns:r="http://schemas.openxmlformats.org/officeDocument/2006/relationships" r:embed="rId1" cstate="print"/>
        <a:srcRect/>
        <a:stretch>
          <a:fillRect/>
        </a:stretch>
      </xdr:blipFill>
      <xdr:spPr bwMode="auto">
        <a:xfrm>
          <a:off x="12525375" y="51863625"/>
          <a:ext cx="0" cy="469900"/>
        </a:xfrm>
        <a:prstGeom prst="rect">
          <a:avLst/>
        </a:prstGeom>
        <a:noFill/>
        <a:ln w="9525">
          <a:noFill/>
          <a:miter lim="800000"/>
          <a:headEnd/>
          <a:tailEnd/>
        </a:ln>
      </xdr:spPr>
    </xdr:pic>
    <xdr:clientData/>
  </xdr:oneCellAnchor>
  <xdr:oneCellAnchor>
    <xdr:from>
      <xdr:col>8</xdr:col>
      <xdr:colOff>981075</xdr:colOff>
      <xdr:row>160</xdr:row>
      <xdr:rowOff>0</xdr:rowOff>
    </xdr:from>
    <xdr:ext cx="0" cy="469900"/>
    <xdr:pic>
      <xdr:nvPicPr>
        <xdr:cNvPr id="16" name="Imagem 15" descr="pmrb_evandro"/>
        <xdr:cNvPicPr/>
      </xdr:nvPicPr>
      <xdr:blipFill>
        <a:blip xmlns:r="http://schemas.openxmlformats.org/officeDocument/2006/relationships" r:embed="rId1" cstate="print"/>
        <a:srcRect/>
        <a:stretch>
          <a:fillRect/>
        </a:stretch>
      </xdr:blipFill>
      <xdr:spPr bwMode="auto">
        <a:xfrm>
          <a:off x="12525375" y="55302150"/>
          <a:ext cx="0" cy="469900"/>
        </a:xfrm>
        <a:prstGeom prst="rect">
          <a:avLst/>
        </a:prstGeom>
        <a:noFill/>
        <a:ln w="9525">
          <a:noFill/>
          <a:miter lim="800000"/>
          <a:headEnd/>
          <a:tailEnd/>
        </a:ln>
      </xdr:spPr>
    </xdr:pic>
    <xdr:clientData/>
  </xdr:oneCellAnchor>
  <xdr:oneCellAnchor>
    <xdr:from>
      <xdr:col>8</xdr:col>
      <xdr:colOff>981075</xdr:colOff>
      <xdr:row>169</xdr:row>
      <xdr:rowOff>0</xdr:rowOff>
    </xdr:from>
    <xdr:ext cx="0" cy="469900"/>
    <xdr:pic>
      <xdr:nvPicPr>
        <xdr:cNvPr id="17" name="Imagem 16" descr="pmrb_evandro"/>
        <xdr:cNvPicPr/>
      </xdr:nvPicPr>
      <xdr:blipFill>
        <a:blip xmlns:r="http://schemas.openxmlformats.org/officeDocument/2006/relationships" r:embed="rId1" cstate="print"/>
        <a:srcRect/>
        <a:stretch>
          <a:fillRect/>
        </a:stretch>
      </xdr:blipFill>
      <xdr:spPr bwMode="auto">
        <a:xfrm>
          <a:off x="12525375" y="59188350"/>
          <a:ext cx="0" cy="469900"/>
        </a:xfrm>
        <a:prstGeom prst="rect">
          <a:avLst/>
        </a:prstGeom>
        <a:noFill/>
        <a:ln w="9525">
          <a:noFill/>
          <a:miter lim="800000"/>
          <a:headEnd/>
          <a:tailEnd/>
        </a:ln>
      </xdr:spPr>
    </xdr:pic>
    <xdr:clientData/>
  </xdr:oneCellAnchor>
  <xdr:oneCellAnchor>
    <xdr:from>
      <xdr:col>8</xdr:col>
      <xdr:colOff>981075</xdr:colOff>
      <xdr:row>178</xdr:row>
      <xdr:rowOff>0</xdr:rowOff>
    </xdr:from>
    <xdr:ext cx="0" cy="469900"/>
    <xdr:pic>
      <xdr:nvPicPr>
        <xdr:cNvPr id="18" name="Imagem 17" descr="pmrb_evandro"/>
        <xdr:cNvPicPr/>
      </xdr:nvPicPr>
      <xdr:blipFill>
        <a:blip xmlns:r="http://schemas.openxmlformats.org/officeDocument/2006/relationships" r:embed="rId1" cstate="print"/>
        <a:srcRect/>
        <a:stretch>
          <a:fillRect/>
        </a:stretch>
      </xdr:blipFill>
      <xdr:spPr bwMode="auto">
        <a:xfrm>
          <a:off x="12525375" y="62426850"/>
          <a:ext cx="0" cy="469900"/>
        </a:xfrm>
        <a:prstGeom prst="rect">
          <a:avLst/>
        </a:prstGeom>
        <a:noFill/>
        <a:ln w="9525">
          <a:noFill/>
          <a:miter lim="800000"/>
          <a:headEnd/>
          <a:tailEnd/>
        </a:ln>
      </xdr:spPr>
    </xdr:pic>
    <xdr:clientData/>
  </xdr:oneCellAnchor>
  <xdr:oneCellAnchor>
    <xdr:from>
      <xdr:col>8</xdr:col>
      <xdr:colOff>981075</xdr:colOff>
      <xdr:row>186</xdr:row>
      <xdr:rowOff>0</xdr:rowOff>
    </xdr:from>
    <xdr:ext cx="0" cy="469900"/>
    <xdr:pic>
      <xdr:nvPicPr>
        <xdr:cNvPr id="19" name="Imagem 18" descr="pmrb_evandro"/>
        <xdr:cNvPicPr/>
      </xdr:nvPicPr>
      <xdr:blipFill>
        <a:blip xmlns:r="http://schemas.openxmlformats.org/officeDocument/2006/relationships" r:embed="rId1" cstate="print"/>
        <a:srcRect/>
        <a:stretch>
          <a:fillRect/>
        </a:stretch>
      </xdr:blipFill>
      <xdr:spPr bwMode="auto">
        <a:xfrm>
          <a:off x="12525375" y="66236850"/>
          <a:ext cx="0" cy="469900"/>
        </a:xfrm>
        <a:prstGeom prst="rect">
          <a:avLst/>
        </a:prstGeom>
        <a:noFill/>
        <a:ln w="9525">
          <a:noFill/>
          <a:miter lim="800000"/>
          <a:headEnd/>
          <a:tailEnd/>
        </a:ln>
      </xdr:spPr>
    </xdr:pic>
    <xdr:clientData/>
  </xdr:oneCellAnchor>
  <xdr:oneCellAnchor>
    <xdr:from>
      <xdr:col>8</xdr:col>
      <xdr:colOff>981075</xdr:colOff>
      <xdr:row>196</xdr:row>
      <xdr:rowOff>0</xdr:rowOff>
    </xdr:from>
    <xdr:ext cx="0" cy="469900"/>
    <xdr:pic>
      <xdr:nvPicPr>
        <xdr:cNvPr id="20" name="Imagem 19" descr="pmrb_evandro"/>
        <xdr:cNvPicPr/>
      </xdr:nvPicPr>
      <xdr:blipFill>
        <a:blip xmlns:r="http://schemas.openxmlformats.org/officeDocument/2006/relationships" r:embed="rId1" cstate="print"/>
        <a:srcRect/>
        <a:stretch>
          <a:fillRect/>
        </a:stretch>
      </xdr:blipFill>
      <xdr:spPr bwMode="auto">
        <a:xfrm>
          <a:off x="12525375" y="70123050"/>
          <a:ext cx="0" cy="469900"/>
        </a:xfrm>
        <a:prstGeom prst="rect">
          <a:avLst/>
        </a:prstGeom>
        <a:noFill/>
        <a:ln w="9525">
          <a:noFill/>
          <a:miter lim="800000"/>
          <a:headEnd/>
          <a:tailEnd/>
        </a:ln>
      </xdr:spPr>
    </xdr:pic>
    <xdr:clientData/>
  </xdr:oneCellAnchor>
  <xdr:oneCellAnchor>
    <xdr:from>
      <xdr:col>8</xdr:col>
      <xdr:colOff>981075</xdr:colOff>
      <xdr:row>205</xdr:row>
      <xdr:rowOff>0</xdr:rowOff>
    </xdr:from>
    <xdr:ext cx="0" cy="469900"/>
    <xdr:pic>
      <xdr:nvPicPr>
        <xdr:cNvPr id="21" name="Imagem 20" descr="pmrb_evandro"/>
        <xdr:cNvPicPr/>
      </xdr:nvPicPr>
      <xdr:blipFill>
        <a:blip xmlns:r="http://schemas.openxmlformats.org/officeDocument/2006/relationships" r:embed="rId1" cstate="print"/>
        <a:srcRect/>
        <a:stretch>
          <a:fillRect/>
        </a:stretch>
      </xdr:blipFill>
      <xdr:spPr bwMode="auto">
        <a:xfrm>
          <a:off x="12525375" y="73685400"/>
          <a:ext cx="0" cy="469900"/>
        </a:xfrm>
        <a:prstGeom prst="rect">
          <a:avLst/>
        </a:prstGeom>
        <a:noFill/>
        <a:ln w="9525">
          <a:noFill/>
          <a:miter lim="800000"/>
          <a:headEnd/>
          <a:tailEnd/>
        </a:ln>
      </xdr:spPr>
    </xdr:pic>
    <xdr:clientData/>
  </xdr:oneCellAnchor>
  <xdr:oneCellAnchor>
    <xdr:from>
      <xdr:col>8</xdr:col>
      <xdr:colOff>981075</xdr:colOff>
      <xdr:row>213</xdr:row>
      <xdr:rowOff>0</xdr:rowOff>
    </xdr:from>
    <xdr:ext cx="0" cy="469900"/>
    <xdr:pic>
      <xdr:nvPicPr>
        <xdr:cNvPr id="22" name="Imagem 21" descr="pmrb_evandro"/>
        <xdr:cNvPicPr/>
      </xdr:nvPicPr>
      <xdr:blipFill>
        <a:blip xmlns:r="http://schemas.openxmlformats.org/officeDocument/2006/relationships" r:embed="rId1" cstate="print"/>
        <a:srcRect/>
        <a:stretch>
          <a:fillRect/>
        </a:stretch>
      </xdr:blipFill>
      <xdr:spPr bwMode="auto">
        <a:xfrm>
          <a:off x="12525375" y="77066775"/>
          <a:ext cx="0" cy="469900"/>
        </a:xfrm>
        <a:prstGeom prst="rect">
          <a:avLst/>
        </a:prstGeom>
        <a:noFill/>
        <a:ln w="9525">
          <a:noFill/>
          <a:miter lim="800000"/>
          <a:headEnd/>
          <a:tailEnd/>
        </a:ln>
      </xdr:spPr>
    </xdr:pic>
    <xdr:clientData/>
  </xdr:oneCellAnchor>
  <xdr:oneCellAnchor>
    <xdr:from>
      <xdr:col>8</xdr:col>
      <xdr:colOff>981075</xdr:colOff>
      <xdr:row>223</xdr:row>
      <xdr:rowOff>0</xdr:rowOff>
    </xdr:from>
    <xdr:ext cx="0" cy="469900"/>
    <xdr:pic>
      <xdr:nvPicPr>
        <xdr:cNvPr id="23" name="Imagem 22" descr="pmrb_evandro"/>
        <xdr:cNvPicPr/>
      </xdr:nvPicPr>
      <xdr:blipFill>
        <a:blip xmlns:r="http://schemas.openxmlformats.org/officeDocument/2006/relationships" r:embed="rId1" cstate="print"/>
        <a:srcRect/>
        <a:stretch>
          <a:fillRect/>
        </a:stretch>
      </xdr:blipFill>
      <xdr:spPr bwMode="auto">
        <a:xfrm>
          <a:off x="12525375" y="81924525"/>
          <a:ext cx="0" cy="469900"/>
        </a:xfrm>
        <a:prstGeom prst="rect">
          <a:avLst/>
        </a:prstGeom>
        <a:noFill/>
        <a:ln w="9525">
          <a:noFill/>
          <a:miter lim="800000"/>
          <a:headEnd/>
          <a:tailEnd/>
        </a:ln>
      </xdr:spPr>
    </xdr:pic>
    <xdr:clientData/>
  </xdr:oneCellAnchor>
  <xdr:oneCellAnchor>
    <xdr:from>
      <xdr:col>8</xdr:col>
      <xdr:colOff>981075</xdr:colOff>
      <xdr:row>233</xdr:row>
      <xdr:rowOff>0</xdr:rowOff>
    </xdr:from>
    <xdr:ext cx="0" cy="469900"/>
    <xdr:pic>
      <xdr:nvPicPr>
        <xdr:cNvPr id="24" name="Imagem 23" descr="pmrb_evandro"/>
        <xdr:cNvPicPr/>
      </xdr:nvPicPr>
      <xdr:blipFill>
        <a:blip xmlns:r="http://schemas.openxmlformats.org/officeDocument/2006/relationships" r:embed="rId1" cstate="print"/>
        <a:srcRect/>
        <a:stretch>
          <a:fillRect/>
        </a:stretch>
      </xdr:blipFill>
      <xdr:spPr bwMode="auto">
        <a:xfrm>
          <a:off x="12525375" y="86391750"/>
          <a:ext cx="0" cy="469900"/>
        </a:xfrm>
        <a:prstGeom prst="rect">
          <a:avLst/>
        </a:prstGeom>
        <a:noFill/>
        <a:ln w="9525">
          <a:noFill/>
          <a:miter lim="800000"/>
          <a:headEnd/>
          <a:tailEnd/>
        </a:ln>
      </xdr:spPr>
    </xdr:pic>
    <xdr:clientData/>
  </xdr:oneCellAnchor>
  <xdr:oneCellAnchor>
    <xdr:from>
      <xdr:col>8</xdr:col>
      <xdr:colOff>981075</xdr:colOff>
      <xdr:row>244</xdr:row>
      <xdr:rowOff>0</xdr:rowOff>
    </xdr:from>
    <xdr:ext cx="0" cy="469900"/>
    <xdr:pic>
      <xdr:nvPicPr>
        <xdr:cNvPr id="25" name="Imagem 24" descr="pmrb_evandro"/>
        <xdr:cNvPicPr/>
      </xdr:nvPicPr>
      <xdr:blipFill>
        <a:blip xmlns:r="http://schemas.openxmlformats.org/officeDocument/2006/relationships" r:embed="rId1" cstate="print"/>
        <a:srcRect/>
        <a:stretch>
          <a:fillRect/>
        </a:stretch>
      </xdr:blipFill>
      <xdr:spPr bwMode="auto">
        <a:xfrm>
          <a:off x="12525375" y="90125550"/>
          <a:ext cx="0" cy="469900"/>
        </a:xfrm>
        <a:prstGeom prst="rect">
          <a:avLst/>
        </a:prstGeom>
        <a:noFill/>
        <a:ln w="9525">
          <a:noFill/>
          <a:miter lim="800000"/>
          <a:headEnd/>
          <a:tailEnd/>
        </a:ln>
      </xdr:spPr>
    </xdr:pic>
    <xdr:clientData/>
  </xdr:oneCellAnchor>
  <xdr:oneCellAnchor>
    <xdr:from>
      <xdr:col>8</xdr:col>
      <xdr:colOff>981075</xdr:colOff>
      <xdr:row>254</xdr:row>
      <xdr:rowOff>0</xdr:rowOff>
    </xdr:from>
    <xdr:ext cx="0" cy="469900"/>
    <xdr:pic>
      <xdr:nvPicPr>
        <xdr:cNvPr id="26" name="Imagem 25" descr="pmrb_evandro"/>
        <xdr:cNvPicPr/>
      </xdr:nvPicPr>
      <xdr:blipFill>
        <a:blip xmlns:r="http://schemas.openxmlformats.org/officeDocument/2006/relationships" r:embed="rId1" cstate="print"/>
        <a:srcRect/>
        <a:stretch>
          <a:fillRect/>
        </a:stretch>
      </xdr:blipFill>
      <xdr:spPr bwMode="auto">
        <a:xfrm>
          <a:off x="12525375" y="93868875"/>
          <a:ext cx="0" cy="469900"/>
        </a:xfrm>
        <a:prstGeom prst="rect">
          <a:avLst/>
        </a:prstGeom>
        <a:noFill/>
        <a:ln w="9525">
          <a:noFill/>
          <a:miter lim="800000"/>
          <a:headEnd/>
          <a:tailEnd/>
        </a:ln>
      </xdr:spPr>
    </xdr:pic>
    <xdr:clientData/>
  </xdr:oneCellAnchor>
  <xdr:oneCellAnchor>
    <xdr:from>
      <xdr:col>8</xdr:col>
      <xdr:colOff>981075</xdr:colOff>
      <xdr:row>265</xdr:row>
      <xdr:rowOff>0</xdr:rowOff>
    </xdr:from>
    <xdr:ext cx="0" cy="469900"/>
    <xdr:pic>
      <xdr:nvPicPr>
        <xdr:cNvPr id="27" name="Imagem 26" descr="pmrb_evandro"/>
        <xdr:cNvPicPr/>
      </xdr:nvPicPr>
      <xdr:blipFill>
        <a:blip xmlns:r="http://schemas.openxmlformats.org/officeDocument/2006/relationships" r:embed="rId1" cstate="print"/>
        <a:srcRect/>
        <a:stretch>
          <a:fillRect/>
        </a:stretch>
      </xdr:blipFill>
      <xdr:spPr bwMode="auto">
        <a:xfrm>
          <a:off x="12525375" y="97602675"/>
          <a:ext cx="0" cy="469900"/>
        </a:xfrm>
        <a:prstGeom prst="rect">
          <a:avLst/>
        </a:prstGeom>
        <a:noFill/>
        <a:ln w="9525">
          <a:noFill/>
          <a:miter lim="800000"/>
          <a:headEnd/>
          <a:tailEnd/>
        </a:ln>
      </xdr:spPr>
    </xdr:pic>
    <xdr:clientData/>
  </xdr:oneCellAnchor>
  <xdr:oneCellAnchor>
    <xdr:from>
      <xdr:col>8</xdr:col>
      <xdr:colOff>981075</xdr:colOff>
      <xdr:row>275</xdr:row>
      <xdr:rowOff>0</xdr:rowOff>
    </xdr:from>
    <xdr:ext cx="0" cy="469900"/>
    <xdr:pic>
      <xdr:nvPicPr>
        <xdr:cNvPr id="28" name="Imagem 27" descr="pmrb_evandro"/>
        <xdr:cNvPicPr/>
      </xdr:nvPicPr>
      <xdr:blipFill>
        <a:blip xmlns:r="http://schemas.openxmlformats.org/officeDocument/2006/relationships" r:embed="rId1" cstate="print"/>
        <a:srcRect/>
        <a:stretch>
          <a:fillRect/>
        </a:stretch>
      </xdr:blipFill>
      <xdr:spPr bwMode="auto">
        <a:xfrm>
          <a:off x="12525375" y="101288850"/>
          <a:ext cx="0" cy="469900"/>
        </a:xfrm>
        <a:prstGeom prst="rect">
          <a:avLst/>
        </a:prstGeom>
        <a:noFill/>
        <a:ln w="9525">
          <a:noFill/>
          <a:miter lim="800000"/>
          <a:headEnd/>
          <a:tailEnd/>
        </a:ln>
      </xdr:spPr>
    </xdr:pic>
    <xdr:clientData/>
  </xdr:oneCellAnchor>
  <xdr:oneCellAnchor>
    <xdr:from>
      <xdr:col>8</xdr:col>
      <xdr:colOff>981075</xdr:colOff>
      <xdr:row>286</xdr:row>
      <xdr:rowOff>0</xdr:rowOff>
    </xdr:from>
    <xdr:ext cx="0" cy="469900"/>
    <xdr:pic>
      <xdr:nvPicPr>
        <xdr:cNvPr id="29" name="Imagem 28" descr="pmrb_evandro"/>
        <xdr:cNvPicPr/>
      </xdr:nvPicPr>
      <xdr:blipFill>
        <a:blip xmlns:r="http://schemas.openxmlformats.org/officeDocument/2006/relationships" r:embed="rId1" cstate="print"/>
        <a:srcRect/>
        <a:stretch>
          <a:fillRect/>
        </a:stretch>
      </xdr:blipFill>
      <xdr:spPr bwMode="auto">
        <a:xfrm>
          <a:off x="12525375" y="105175050"/>
          <a:ext cx="0" cy="469900"/>
        </a:xfrm>
        <a:prstGeom prst="rect">
          <a:avLst/>
        </a:prstGeom>
        <a:noFill/>
        <a:ln w="9525">
          <a:noFill/>
          <a:miter lim="800000"/>
          <a:headEnd/>
          <a:tailEnd/>
        </a:ln>
      </xdr:spPr>
    </xdr:pic>
    <xdr:clientData/>
  </xdr:oneCellAnchor>
  <xdr:oneCellAnchor>
    <xdr:from>
      <xdr:col>8</xdr:col>
      <xdr:colOff>981075</xdr:colOff>
      <xdr:row>41</xdr:row>
      <xdr:rowOff>0</xdr:rowOff>
    </xdr:from>
    <xdr:ext cx="0" cy="469900"/>
    <xdr:pic>
      <xdr:nvPicPr>
        <xdr:cNvPr id="30" name="Imagem 29" descr="pmrb_evandro"/>
        <xdr:cNvPicPr/>
      </xdr:nvPicPr>
      <xdr:blipFill>
        <a:blip xmlns:r="http://schemas.openxmlformats.org/officeDocument/2006/relationships" r:embed="rId1" cstate="print"/>
        <a:srcRect/>
        <a:stretch>
          <a:fillRect/>
        </a:stretch>
      </xdr:blipFill>
      <xdr:spPr bwMode="auto">
        <a:xfrm>
          <a:off x="12525375" y="9344025"/>
          <a:ext cx="0" cy="469900"/>
        </a:xfrm>
        <a:prstGeom prst="rect">
          <a:avLst/>
        </a:prstGeom>
        <a:noFill/>
        <a:ln w="9525">
          <a:noFill/>
          <a:miter lim="800000"/>
          <a:headEnd/>
          <a:tailEnd/>
        </a:ln>
      </xdr:spPr>
    </xdr:pic>
    <xdr:clientData/>
  </xdr:oneCellAnchor>
  <xdr:oneCellAnchor>
    <xdr:from>
      <xdr:col>8</xdr:col>
      <xdr:colOff>981075</xdr:colOff>
      <xdr:row>27</xdr:row>
      <xdr:rowOff>0</xdr:rowOff>
    </xdr:from>
    <xdr:ext cx="0" cy="469900"/>
    <xdr:pic>
      <xdr:nvPicPr>
        <xdr:cNvPr id="31" name="Imagem 30" descr="pmrb_evandro"/>
        <xdr:cNvPicPr/>
      </xdr:nvPicPr>
      <xdr:blipFill>
        <a:blip xmlns:r="http://schemas.openxmlformats.org/officeDocument/2006/relationships" r:embed="rId1" cstate="print"/>
        <a:srcRect/>
        <a:stretch>
          <a:fillRect/>
        </a:stretch>
      </xdr:blipFill>
      <xdr:spPr bwMode="auto">
        <a:xfrm>
          <a:off x="12525375" y="4762500"/>
          <a:ext cx="0" cy="469900"/>
        </a:xfrm>
        <a:prstGeom prst="rect">
          <a:avLst/>
        </a:prstGeom>
        <a:noFill/>
        <a:ln w="9525">
          <a:noFill/>
          <a:miter lim="800000"/>
          <a:headEnd/>
          <a:tailEnd/>
        </a:ln>
      </xdr:spPr>
    </xdr:pic>
    <xdr:clientData/>
  </xdr:oneCellAnchor>
  <xdr:twoCellAnchor editAs="oneCell">
    <xdr:from>
      <xdr:col>8</xdr:col>
      <xdr:colOff>981075</xdr:colOff>
      <xdr:row>8</xdr:row>
      <xdr:rowOff>85725</xdr:rowOff>
    </xdr:from>
    <xdr:to>
      <xdr:col>8</xdr:col>
      <xdr:colOff>981075</xdr:colOff>
      <xdr:row>10</xdr:row>
      <xdr:rowOff>180975</xdr:rowOff>
    </xdr:to>
    <xdr:pic>
      <xdr:nvPicPr>
        <xdr:cNvPr id="32" name="Imagem 31" descr="pmrb_evandro"/>
        <xdr:cNvPicPr/>
      </xdr:nvPicPr>
      <xdr:blipFill>
        <a:blip xmlns:r="http://schemas.openxmlformats.org/officeDocument/2006/relationships" r:embed="rId1" cstate="print"/>
        <a:srcRect/>
        <a:stretch>
          <a:fillRect/>
        </a:stretch>
      </xdr:blipFill>
      <xdr:spPr bwMode="auto">
        <a:xfrm>
          <a:off x="985837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34" name="Imagem 33"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38097</xdr:colOff>
      <xdr:row>1</xdr:row>
      <xdr:rowOff>47624</xdr:rowOff>
    </xdr:from>
    <xdr:to>
      <xdr:col>2</xdr:col>
      <xdr:colOff>9524</xdr:colOff>
      <xdr:row>7</xdr:row>
      <xdr:rowOff>76199</xdr:rowOff>
    </xdr:to>
    <xdr:pic>
      <xdr:nvPicPr>
        <xdr:cNvPr id="35" name="Imagem 34"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7" y="209549"/>
          <a:ext cx="90487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981075</xdr:colOff>
      <xdr:row>12</xdr:row>
      <xdr:rowOff>0</xdr:rowOff>
    </xdr:from>
    <xdr:to>
      <xdr:col>8</xdr:col>
      <xdr:colOff>981075</xdr:colOff>
      <xdr:row>14</xdr:row>
      <xdr:rowOff>76200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0772775" y="85725"/>
          <a:ext cx="0" cy="457200"/>
        </a:xfrm>
        <a:prstGeom prst="rect">
          <a:avLst/>
        </a:prstGeom>
        <a:noFill/>
        <a:ln w="9525">
          <a:noFill/>
          <a:miter lim="800000"/>
          <a:headEnd/>
          <a:tailEnd/>
        </a:ln>
      </xdr:spPr>
    </xdr:pic>
    <xdr:clientData/>
  </xdr:twoCellAnchor>
  <xdr:twoCellAnchor editAs="oneCell">
    <xdr:from>
      <xdr:col>0</xdr:col>
      <xdr:colOff>428624</xdr:colOff>
      <xdr:row>0</xdr:row>
      <xdr:rowOff>133349</xdr:rowOff>
    </xdr:from>
    <xdr:to>
      <xdr:col>2</xdr:col>
      <xdr:colOff>36059</xdr:colOff>
      <xdr:row>6</xdr:row>
      <xdr:rowOff>161924</xdr:rowOff>
    </xdr:to>
    <xdr:pic>
      <xdr:nvPicPr>
        <xdr:cNvPr id="6" name="Imagem 5"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4" y="133349"/>
          <a:ext cx="96951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981075</xdr:colOff>
      <xdr:row>8</xdr:row>
      <xdr:rowOff>85725</xdr:rowOff>
    </xdr:from>
    <xdr:to>
      <xdr:col>8</xdr:col>
      <xdr:colOff>981075</xdr:colOff>
      <xdr:row>10</xdr:row>
      <xdr:rowOff>180975</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2115800" y="857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11401425" y="1447800"/>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10</xdr:row>
      <xdr:rowOff>180975</xdr:rowOff>
    </xdr:to>
    <xdr:pic>
      <xdr:nvPicPr>
        <xdr:cNvPr id="6" name="Imagem 5" descr="pmrb_evandro"/>
        <xdr:cNvPicPr/>
      </xdr:nvPicPr>
      <xdr:blipFill>
        <a:blip xmlns:r="http://schemas.openxmlformats.org/officeDocument/2006/relationships" r:embed="rId1" cstate="print"/>
        <a:srcRect/>
        <a:stretch>
          <a:fillRect/>
        </a:stretch>
      </xdr:blipFill>
      <xdr:spPr bwMode="auto">
        <a:xfrm>
          <a:off x="9744075" y="1381125"/>
          <a:ext cx="0" cy="457200"/>
        </a:xfrm>
        <a:prstGeom prst="rect">
          <a:avLst/>
        </a:prstGeom>
        <a:noFill/>
        <a:ln w="9525">
          <a:noFill/>
          <a:miter lim="800000"/>
          <a:headEnd/>
          <a:tailEnd/>
        </a:ln>
      </xdr:spPr>
    </xdr:pic>
    <xdr:clientData/>
  </xdr:twoCellAnchor>
  <xdr:twoCellAnchor editAs="oneCell">
    <xdr:from>
      <xdr:col>1</xdr:col>
      <xdr:colOff>38098</xdr:colOff>
      <xdr:row>1</xdr:row>
      <xdr:rowOff>47624</xdr:rowOff>
    </xdr:from>
    <xdr:to>
      <xdr:col>1</xdr:col>
      <xdr:colOff>885825</xdr:colOff>
      <xdr:row>7</xdr:row>
      <xdr:rowOff>76199</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8" y="209549"/>
          <a:ext cx="84772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952500</xdr:colOff>
      <xdr:row>12</xdr:row>
      <xdr:rowOff>0</xdr:rowOff>
    </xdr:from>
    <xdr:to>
      <xdr:col>8</xdr:col>
      <xdr:colOff>952500</xdr:colOff>
      <xdr:row>14</xdr:row>
      <xdr:rowOff>66675</xdr:rowOff>
    </xdr:to>
    <xdr:pic>
      <xdr:nvPicPr>
        <xdr:cNvPr id="2" name="Imagem 1"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4350" y="76200"/>
          <a:ext cx="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981075</xdr:colOff>
      <xdr:row>8</xdr:row>
      <xdr:rowOff>85725</xdr:rowOff>
    </xdr:from>
    <xdr:to>
      <xdr:col>8</xdr:col>
      <xdr:colOff>981075</xdr:colOff>
      <xdr:row>11</xdr:row>
      <xdr:rowOff>0</xdr:rowOff>
    </xdr:to>
    <xdr:pic>
      <xdr:nvPicPr>
        <xdr:cNvPr id="4" name="Imagem 3" descr="pmrb_evandro"/>
        <xdr:cNvPicPr/>
      </xdr:nvPicPr>
      <xdr:blipFill>
        <a:blip xmlns:r="http://schemas.openxmlformats.org/officeDocument/2006/relationships" r:embed="rId1" cstate="print"/>
        <a:srcRect/>
        <a:stretch>
          <a:fillRect/>
        </a:stretch>
      </xdr:blipFill>
      <xdr:spPr bwMode="auto">
        <a:xfrm>
          <a:off x="8334375" y="13811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11</xdr:row>
      <xdr:rowOff>0</xdr:rowOff>
    </xdr:to>
    <xdr:pic>
      <xdr:nvPicPr>
        <xdr:cNvPr id="5" name="Imagem 4" descr="pmrb_evandro"/>
        <xdr:cNvPicPr/>
      </xdr:nvPicPr>
      <xdr:blipFill>
        <a:blip xmlns:r="http://schemas.openxmlformats.org/officeDocument/2006/relationships" r:embed="rId1" cstate="print"/>
        <a:srcRect/>
        <a:stretch>
          <a:fillRect/>
        </a:stretch>
      </xdr:blipFill>
      <xdr:spPr bwMode="auto">
        <a:xfrm>
          <a:off x="8334375" y="1381125"/>
          <a:ext cx="0" cy="457200"/>
        </a:xfrm>
        <a:prstGeom prst="rect">
          <a:avLst/>
        </a:prstGeom>
        <a:noFill/>
        <a:ln w="9525">
          <a:noFill/>
          <a:miter lim="800000"/>
          <a:headEnd/>
          <a:tailEnd/>
        </a:ln>
      </xdr:spPr>
    </xdr:pic>
    <xdr:clientData/>
  </xdr:twoCellAnchor>
  <xdr:twoCellAnchor editAs="oneCell">
    <xdr:from>
      <xdr:col>8</xdr:col>
      <xdr:colOff>981075</xdr:colOff>
      <xdr:row>8</xdr:row>
      <xdr:rowOff>85725</xdr:rowOff>
    </xdr:from>
    <xdr:to>
      <xdr:col>8</xdr:col>
      <xdr:colOff>981075</xdr:colOff>
      <xdr:row>11</xdr:row>
      <xdr:rowOff>0</xdr:rowOff>
    </xdr:to>
    <xdr:pic>
      <xdr:nvPicPr>
        <xdr:cNvPr id="6" name="Imagem 5" descr="pmrb_evandro"/>
        <xdr:cNvPicPr/>
      </xdr:nvPicPr>
      <xdr:blipFill>
        <a:blip xmlns:r="http://schemas.openxmlformats.org/officeDocument/2006/relationships" r:embed="rId1" cstate="print"/>
        <a:srcRect/>
        <a:stretch>
          <a:fillRect/>
        </a:stretch>
      </xdr:blipFill>
      <xdr:spPr bwMode="auto">
        <a:xfrm>
          <a:off x="8334375" y="1381125"/>
          <a:ext cx="0" cy="457200"/>
        </a:xfrm>
        <a:prstGeom prst="rect">
          <a:avLst/>
        </a:prstGeom>
        <a:noFill/>
        <a:ln w="9525">
          <a:noFill/>
          <a:miter lim="800000"/>
          <a:headEnd/>
          <a:tailEnd/>
        </a:ln>
      </xdr:spPr>
    </xdr:pic>
    <xdr:clientData/>
  </xdr:twoCellAnchor>
  <xdr:twoCellAnchor editAs="oneCell">
    <xdr:from>
      <xdr:col>1</xdr:col>
      <xdr:colOff>38097</xdr:colOff>
      <xdr:row>1</xdr:row>
      <xdr:rowOff>47624</xdr:rowOff>
    </xdr:from>
    <xdr:to>
      <xdr:col>1</xdr:col>
      <xdr:colOff>923924</xdr:colOff>
      <xdr:row>7</xdr:row>
      <xdr:rowOff>76199</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697" y="209549"/>
          <a:ext cx="88582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981075</xdr:colOff>
      <xdr:row>11</xdr:row>
      <xdr:rowOff>85725</xdr:rowOff>
    </xdr:from>
    <xdr:to>
      <xdr:col>8</xdr:col>
      <xdr:colOff>981075</xdr:colOff>
      <xdr:row>14</xdr:row>
      <xdr:rowOff>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1639550" y="85725"/>
          <a:ext cx="0" cy="457200"/>
        </a:xfrm>
        <a:prstGeom prst="rect">
          <a:avLst/>
        </a:prstGeom>
        <a:noFill/>
        <a:ln w="9525">
          <a:noFill/>
          <a:miter lim="800000"/>
          <a:headEnd/>
          <a:tailEnd/>
        </a:ln>
      </xdr:spPr>
    </xdr:pic>
    <xdr:clientData/>
  </xdr:twoCellAnchor>
  <xdr:twoCellAnchor editAs="oneCell">
    <xdr:from>
      <xdr:col>0</xdr:col>
      <xdr:colOff>428624</xdr:colOff>
      <xdr:row>0</xdr:row>
      <xdr:rowOff>133349</xdr:rowOff>
    </xdr:from>
    <xdr:to>
      <xdr:col>2</xdr:col>
      <xdr:colOff>36059</xdr:colOff>
      <xdr:row>6</xdr:row>
      <xdr:rowOff>161924</xdr:rowOff>
    </xdr:to>
    <xdr:pic>
      <xdr:nvPicPr>
        <xdr:cNvPr id="5" name="Imagem 4"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4" y="133349"/>
          <a:ext cx="96951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981075</xdr:colOff>
      <xdr:row>12</xdr:row>
      <xdr:rowOff>0</xdr:rowOff>
    </xdr:from>
    <xdr:to>
      <xdr:col>8</xdr:col>
      <xdr:colOff>981075</xdr:colOff>
      <xdr:row>14</xdr:row>
      <xdr:rowOff>76200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2792075" y="85725"/>
          <a:ext cx="0" cy="457200"/>
        </a:xfrm>
        <a:prstGeom prst="rect">
          <a:avLst/>
        </a:prstGeom>
        <a:noFill/>
        <a:ln w="9525">
          <a:noFill/>
          <a:miter lim="800000"/>
          <a:headEnd/>
          <a:tailEnd/>
        </a:ln>
      </xdr:spPr>
    </xdr:pic>
    <xdr:clientData/>
  </xdr:twoCellAnchor>
  <xdr:twoCellAnchor editAs="oneCell">
    <xdr:from>
      <xdr:col>1</xdr:col>
      <xdr:colOff>76199</xdr:colOff>
      <xdr:row>1</xdr:row>
      <xdr:rowOff>19049</xdr:rowOff>
    </xdr:from>
    <xdr:to>
      <xdr:col>1</xdr:col>
      <xdr:colOff>971550</xdr:colOff>
      <xdr:row>7</xdr:row>
      <xdr:rowOff>47624</xdr:rowOff>
    </xdr:to>
    <xdr:pic>
      <xdr:nvPicPr>
        <xdr:cNvPr id="5" name="Imagem 4"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4" y="180974"/>
          <a:ext cx="895351"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981075</xdr:colOff>
      <xdr:row>12</xdr:row>
      <xdr:rowOff>0</xdr:rowOff>
    </xdr:from>
    <xdr:to>
      <xdr:col>8</xdr:col>
      <xdr:colOff>981075</xdr:colOff>
      <xdr:row>14</xdr:row>
      <xdr:rowOff>76200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2344400" y="85725"/>
          <a:ext cx="0" cy="457200"/>
        </a:xfrm>
        <a:prstGeom prst="rect">
          <a:avLst/>
        </a:prstGeom>
        <a:noFill/>
        <a:ln w="9525">
          <a:noFill/>
          <a:miter lim="800000"/>
          <a:headEnd/>
          <a:tailEnd/>
        </a:ln>
      </xdr:spPr>
    </xdr:pic>
    <xdr:clientData/>
  </xdr:twoCellAnchor>
  <xdr:twoCellAnchor editAs="oneCell">
    <xdr:from>
      <xdr:col>1</xdr:col>
      <xdr:colOff>76199</xdr:colOff>
      <xdr:row>1</xdr:row>
      <xdr:rowOff>19049</xdr:rowOff>
    </xdr:from>
    <xdr:to>
      <xdr:col>2</xdr:col>
      <xdr:colOff>133350</xdr:colOff>
      <xdr:row>7</xdr:row>
      <xdr:rowOff>47624</xdr:rowOff>
    </xdr:to>
    <xdr:pic>
      <xdr:nvPicPr>
        <xdr:cNvPr id="5" name="Imagem 4"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399" y="180974"/>
          <a:ext cx="962026"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981075</xdr:colOff>
      <xdr:row>12</xdr:row>
      <xdr:rowOff>0</xdr:rowOff>
    </xdr:from>
    <xdr:to>
      <xdr:col>8</xdr:col>
      <xdr:colOff>981075</xdr:colOff>
      <xdr:row>14</xdr:row>
      <xdr:rowOff>57150</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7867650" y="85725"/>
          <a:ext cx="0" cy="457200"/>
        </a:xfrm>
        <a:prstGeom prst="rect">
          <a:avLst/>
        </a:prstGeom>
        <a:noFill/>
        <a:ln w="9525">
          <a:noFill/>
          <a:miter lim="800000"/>
          <a:headEnd/>
          <a:tailEnd/>
        </a:ln>
      </xdr:spPr>
    </xdr:pic>
    <xdr:clientData/>
  </xdr:twoCellAnchor>
  <xdr:twoCellAnchor editAs="oneCell">
    <xdr:from>
      <xdr:col>1</xdr:col>
      <xdr:colOff>76199</xdr:colOff>
      <xdr:row>1</xdr:row>
      <xdr:rowOff>19049</xdr:rowOff>
    </xdr:from>
    <xdr:to>
      <xdr:col>1</xdr:col>
      <xdr:colOff>971550</xdr:colOff>
      <xdr:row>7</xdr:row>
      <xdr:rowOff>47624</xdr:rowOff>
    </xdr:to>
    <xdr:pic>
      <xdr:nvPicPr>
        <xdr:cNvPr id="5" name="Imagem 4"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4" y="180974"/>
          <a:ext cx="895351"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981075</xdr:colOff>
      <xdr:row>68</xdr:row>
      <xdr:rowOff>0</xdr:rowOff>
    </xdr:from>
    <xdr:to>
      <xdr:col>6</xdr:col>
      <xdr:colOff>981075</xdr:colOff>
      <xdr:row>70</xdr:row>
      <xdr:rowOff>76200</xdr:rowOff>
    </xdr:to>
    <xdr:pic>
      <xdr:nvPicPr>
        <xdr:cNvPr id="3" name="Imagem 2" descr="pmrb_evandro"/>
        <xdr:cNvPicPr/>
      </xdr:nvPicPr>
      <xdr:blipFill>
        <a:blip xmlns:r="http://schemas.openxmlformats.org/officeDocument/2006/relationships" r:embed="rId1" cstate="print"/>
        <a:srcRect/>
        <a:stretch>
          <a:fillRect/>
        </a:stretch>
      </xdr:blipFill>
      <xdr:spPr bwMode="auto">
        <a:xfrm>
          <a:off x="8362950" y="0"/>
          <a:ext cx="0" cy="457200"/>
        </a:xfrm>
        <a:prstGeom prst="rect">
          <a:avLst/>
        </a:prstGeom>
        <a:noFill/>
        <a:ln w="9525">
          <a:noFill/>
          <a:miter lim="800000"/>
          <a:headEnd/>
          <a:tailEnd/>
        </a:ln>
      </xdr:spPr>
    </xdr:pic>
    <xdr:clientData/>
  </xdr:twoCellAnchor>
  <xdr:twoCellAnchor editAs="oneCell">
    <xdr:from>
      <xdr:col>8</xdr:col>
      <xdr:colOff>981075</xdr:colOff>
      <xdr:row>4</xdr:row>
      <xdr:rowOff>0</xdr:rowOff>
    </xdr:from>
    <xdr:to>
      <xdr:col>9</xdr:col>
      <xdr:colOff>0</xdr:colOff>
      <xdr:row>6</xdr:row>
      <xdr:rowOff>133350</xdr:rowOff>
    </xdr:to>
    <xdr:pic>
      <xdr:nvPicPr>
        <xdr:cNvPr id="5" name="Imagem 4" descr="pmrb_evandro"/>
        <xdr:cNvPicPr/>
      </xdr:nvPicPr>
      <xdr:blipFill>
        <a:blip xmlns:r="http://schemas.openxmlformats.org/officeDocument/2006/relationships" r:embed="rId1" cstate="print"/>
        <a:srcRect/>
        <a:stretch>
          <a:fillRect/>
        </a:stretch>
      </xdr:blipFill>
      <xdr:spPr bwMode="auto">
        <a:xfrm>
          <a:off x="12344400" y="2076450"/>
          <a:ext cx="0" cy="457200"/>
        </a:xfrm>
        <a:prstGeom prst="rect">
          <a:avLst/>
        </a:prstGeom>
        <a:noFill/>
        <a:ln w="9525">
          <a:noFill/>
          <a:miter lim="800000"/>
          <a:headEnd/>
          <a:tailEnd/>
        </a:ln>
      </xdr:spPr>
    </xdr:pic>
    <xdr:clientData/>
  </xdr:twoCellAnchor>
  <xdr:oneCellAnchor>
    <xdr:from>
      <xdr:col>8</xdr:col>
      <xdr:colOff>981075</xdr:colOff>
      <xdr:row>12</xdr:row>
      <xdr:rowOff>0</xdr:rowOff>
    </xdr:from>
    <xdr:ext cx="0" cy="457200"/>
    <xdr:pic>
      <xdr:nvPicPr>
        <xdr:cNvPr id="6" name="Imagem 5" descr="pmrb_evandro"/>
        <xdr:cNvPicPr/>
      </xdr:nvPicPr>
      <xdr:blipFill>
        <a:blip xmlns:r="http://schemas.openxmlformats.org/officeDocument/2006/relationships" r:embed="rId1" cstate="print"/>
        <a:srcRect/>
        <a:stretch>
          <a:fillRect/>
        </a:stretch>
      </xdr:blipFill>
      <xdr:spPr bwMode="auto">
        <a:xfrm>
          <a:off x="10696575" y="952500"/>
          <a:ext cx="0" cy="457200"/>
        </a:xfrm>
        <a:prstGeom prst="rect">
          <a:avLst/>
        </a:prstGeom>
        <a:noFill/>
        <a:ln w="9525">
          <a:noFill/>
          <a:miter lim="800000"/>
          <a:headEnd/>
          <a:tailEnd/>
        </a:ln>
      </xdr:spPr>
    </xdr:pic>
    <xdr:clientData/>
  </xdr:oneCellAnchor>
  <xdr:oneCellAnchor>
    <xdr:from>
      <xdr:col>6</xdr:col>
      <xdr:colOff>981075</xdr:colOff>
      <xdr:row>66</xdr:row>
      <xdr:rowOff>0</xdr:rowOff>
    </xdr:from>
    <xdr:ext cx="0" cy="457200"/>
    <xdr:pic>
      <xdr:nvPicPr>
        <xdr:cNvPr id="9" name="Imagem 8" descr="pmrb_evandro"/>
        <xdr:cNvPicPr/>
      </xdr:nvPicPr>
      <xdr:blipFill>
        <a:blip xmlns:r="http://schemas.openxmlformats.org/officeDocument/2006/relationships" r:embed="rId1" cstate="print"/>
        <a:srcRect/>
        <a:stretch>
          <a:fillRect/>
        </a:stretch>
      </xdr:blipFill>
      <xdr:spPr bwMode="auto">
        <a:xfrm>
          <a:off x="8705850" y="22126575"/>
          <a:ext cx="0" cy="457200"/>
        </a:xfrm>
        <a:prstGeom prst="rect">
          <a:avLst/>
        </a:prstGeom>
        <a:noFill/>
        <a:ln w="9525">
          <a:noFill/>
          <a:miter lim="800000"/>
          <a:headEnd/>
          <a:tailEnd/>
        </a:ln>
      </xdr:spPr>
    </xdr:pic>
    <xdr:clientData/>
  </xdr:oneCellAnchor>
  <xdr:twoCellAnchor editAs="oneCell">
    <xdr:from>
      <xdr:col>0</xdr:col>
      <xdr:colOff>542924</xdr:colOff>
      <xdr:row>1</xdr:row>
      <xdr:rowOff>47624</xdr:rowOff>
    </xdr:from>
    <xdr:to>
      <xdr:col>1</xdr:col>
      <xdr:colOff>809625</xdr:colOff>
      <xdr:row>7</xdr:row>
      <xdr:rowOff>76199</xdr:rowOff>
    </xdr:to>
    <xdr:pic>
      <xdr:nvPicPr>
        <xdr:cNvPr id="7" name="Imagem 6"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4" y="209549"/>
          <a:ext cx="914401"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981075</xdr:colOff>
      <xdr:row>11</xdr:row>
      <xdr:rowOff>0</xdr:rowOff>
    </xdr:from>
    <xdr:to>
      <xdr:col>8</xdr:col>
      <xdr:colOff>981075</xdr:colOff>
      <xdr:row>13</xdr:row>
      <xdr:rowOff>77881</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0668000" y="85725"/>
          <a:ext cx="0" cy="468406"/>
        </a:xfrm>
        <a:prstGeom prst="rect">
          <a:avLst/>
        </a:prstGeom>
        <a:noFill/>
        <a:ln w="9525">
          <a:noFill/>
          <a:miter lim="800000"/>
          <a:headEnd/>
          <a:tailEnd/>
        </a:ln>
      </xdr:spPr>
    </xdr:pic>
    <xdr:clientData/>
  </xdr:twoCellAnchor>
  <xdr:twoCellAnchor editAs="oneCell">
    <xdr:from>
      <xdr:col>0</xdr:col>
      <xdr:colOff>542924</xdr:colOff>
      <xdr:row>1</xdr:row>
      <xdr:rowOff>47624</xdr:rowOff>
    </xdr:from>
    <xdr:to>
      <xdr:col>1</xdr:col>
      <xdr:colOff>809625</xdr:colOff>
      <xdr:row>7</xdr:row>
      <xdr:rowOff>76199</xdr:rowOff>
    </xdr:to>
    <xdr:pic>
      <xdr:nvPicPr>
        <xdr:cNvPr id="6" name="Imagem 5"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4" y="209549"/>
          <a:ext cx="914401"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981075</xdr:colOff>
      <xdr:row>8</xdr:row>
      <xdr:rowOff>85725</xdr:rowOff>
    </xdr:from>
    <xdr:to>
      <xdr:col>8</xdr:col>
      <xdr:colOff>981075</xdr:colOff>
      <xdr:row>10</xdr:row>
      <xdr:rowOff>180975</xdr:rowOff>
    </xdr:to>
    <xdr:pic>
      <xdr:nvPicPr>
        <xdr:cNvPr id="2" name="Imagem 1" descr="pmrb_evandro"/>
        <xdr:cNvPicPr/>
      </xdr:nvPicPr>
      <xdr:blipFill>
        <a:blip xmlns:r="http://schemas.openxmlformats.org/officeDocument/2006/relationships" r:embed="rId1" cstate="print"/>
        <a:srcRect/>
        <a:stretch>
          <a:fillRect/>
        </a:stretch>
      </xdr:blipFill>
      <xdr:spPr bwMode="auto">
        <a:xfrm>
          <a:off x="10944225" y="85725"/>
          <a:ext cx="0" cy="457200"/>
        </a:xfrm>
        <a:prstGeom prst="rect">
          <a:avLst/>
        </a:prstGeom>
        <a:noFill/>
        <a:ln w="9525">
          <a:noFill/>
          <a:miter lim="800000"/>
          <a:headEnd/>
          <a:tailEnd/>
        </a:ln>
      </xdr:spPr>
    </xdr:pic>
    <xdr:clientData/>
  </xdr:twoCellAnchor>
  <xdr:twoCellAnchor editAs="oneCell">
    <xdr:from>
      <xdr:col>1</xdr:col>
      <xdr:colOff>38098</xdr:colOff>
      <xdr:row>1</xdr:row>
      <xdr:rowOff>47624</xdr:rowOff>
    </xdr:from>
    <xdr:to>
      <xdr:col>2</xdr:col>
      <xdr:colOff>85724</xdr:colOff>
      <xdr:row>7</xdr:row>
      <xdr:rowOff>76199</xdr:rowOff>
    </xdr:to>
    <xdr:pic>
      <xdr:nvPicPr>
        <xdr:cNvPr id="6" name="Imagem 5" descr="pmrb_evandr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398" y="209549"/>
          <a:ext cx="952501"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TGABSEFIN/Downloads/9%20RG%20SEFIN%20-%202013%20-%20%20CONTRATOS%20POR%20FILTRO%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roladoria_03/AppData/Local/Microsoft/Windows/Temporary%20Internet%20Files/Content.Outlook/EXHQ6T83/Demonstrativos%20SEMEIA%20-%20RP%20(DEZ)/QUADRO%20LICITA&#199;&#213;ES%20E%20CONTRA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BTRA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row r="38">
          <cell r="N38">
            <v>78335.87000000001</v>
          </cell>
        </row>
        <row r="65">
          <cell r="N65">
            <v>755229.9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ho"/>
      <sheetName val="Agosto"/>
      <sheetName val="setembro"/>
      <sheetName val="Outubro"/>
      <sheetName val="Novembro"/>
      <sheetName val="dezembro"/>
      <sheetName val="dezembro (2)"/>
    </sheetNames>
    <sheetDataSet>
      <sheetData sheetId="0">
        <row r="33">
          <cell r="AG33">
            <v>95400</v>
          </cell>
        </row>
        <row r="36">
          <cell r="AG36">
            <v>30000</v>
          </cell>
        </row>
        <row r="38">
          <cell r="AG38">
            <v>39631</v>
          </cell>
        </row>
        <row r="41">
          <cell r="AG41">
            <v>35481.599999999999</v>
          </cell>
        </row>
        <row r="42">
          <cell r="AG42">
            <v>28916.880000000001</v>
          </cell>
        </row>
        <row r="43">
          <cell r="AG43">
            <v>6000</v>
          </cell>
        </row>
        <row r="44">
          <cell r="AG44">
            <v>14000</v>
          </cell>
        </row>
        <row r="47">
          <cell r="AG47">
            <v>15000</v>
          </cell>
        </row>
        <row r="49">
          <cell r="AG49">
            <v>9465.84</v>
          </cell>
        </row>
        <row r="50">
          <cell r="AG50">
            <v>14649</v>
          </cell>
        </row>
        <row r="55">
          <cell r="AG55">
            <v>4475</v>
          </cell>
        </row>
        <row r="56">
          <cell r="AG56">
            <v>2400</v>
          </cell>
        </row>
        <row r="57">
          <cell r="AG57">
            <v>7522</v>
          </cell>
        </row>
        <row r="58">
          <cell r="AG58">
            <v>2100</v>
          </cell>
        </row>
        <row r="59">
          <cell r="AG59">
            <v>7890</v>
          </cell>
        </row>
        <row r="60">
          <cell r="AG60">
            <v>390.5</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2"/>
      <sheetName val="2014"/>
      <sheetName val="2014 (2)"/>
    </sheetNames>
    <sheetDataSet>
      <sheetData sheetId="0" refreshError="1"/>
      <sheetData sheetId="1">
        <row r="46">
          <cell r="AF46">
            <v>320532.94</v>
          </cell>
        </row>
        <row r="47">
          <cell r="AF47">
            <v>370784.98</v>
          </cell>
        </row>
        <row r="48">
          <cell r="AF48">
            <v>634021.19999999995</v>
          </cell>
        </row>
        <row r="49">
          <cell r="AF49">
            <v>369845.7</v>
          </cell>
        </row>
        <row r="50">
          <cell r="AF50">
            <v>49866</v>
          </cell>
        </row>
        <row r="51">
          <cell r="AF51">
            <v>69812.399999999994</v>
          </cell>
        </row>
        <row r="52">
          <cell r="AF52">
            <v>119678.39999999999</v>
          </cell>
        </row>
        <row r="53">
          <cell r="AF53">
            <v>69812.399999999994</v>
          </cell>
        </row>
        <row r="54">
          <cell r="AE54">
            <v>128106</v>
          </cell>
        </row>
        <row r="55">
          <cell r="AF55">
            <v>430436.16</v>
          </cell>
        </row>
        <row r="56">
          <cell r="AD56">
            <v>69177.240000000005</v>
          </cell>
        </row>
        <row r="57">
          <cell r="AF57">
            <v>304892.28000000003</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mp.ac.gov.b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29"/>
  <sheetViews>
    <sheetView workbookViewId="0">
      <selection sqref="A1:XFD11"/>
    </sheetView>
  </sheetViews>
  <sheetFormatPr defaultRowHeight="12.75" x14ac:dyDescent="0.25"/>
  <cols>
    <col min="1" max="1" width="16.85546875" style="2" customWidth="1"/>
    <col min="2" max="2" width="13.5703125" style="1" customWidth="1"/>
    <col min="3" max="3" width="11.5703125" style="1" customWidth="1"/>
    <col min="4" max="4" width="28.85546875" style="1" bestFit="1" customWidth="1"/>
    <col min="5" max="5" width="13.7109375" style="1" customWidth="1"/>
    <col min="6" max="6" width="48.85546875" style="1" customWidth="1"/>
    <col min="7" max="7" width="11" style="1" customWidth="1"/>
    <col min="8" max="8" width="12.7109375" style="1" customWidth="1"/>
    <col min="9" max="9" width="35.28515625" style="1" customWidth="1"/>
    <col min="10" max="10" width="21.5703125" style="1" customWidth="1"/>
    <col min="11" max="11" width="10.5703125" style="1" customWidth="1"/>
    <col min="12" max="12" width="16" style="1" bestFit="1" customWidth="1"/>
    <col min="13" max="13" width="10.5703125" style="1" customWidth="1"/>
    <col min="14" max="14" width="11.5703125" style="1" customWidth="1"/>
    <col min="15" max="15" width="10.5703125" style="1" customWidth="1"/>
    <col min="16" max="16" width="12.5703125" style="1" customWidth="1"/>
    <col min="17" max="17" width="16.28515625" style="1" customWidth="1"/>
    <col min="18" max="18" width="10.5703125" style="1" customWidth="1"/>
    <col min="19" max="19" width="13.140625" style="1" customWidth="1"/>
    <col min="20" max="20" width="13" style="1" customWidth="1"/>
    <col min="21" max="21" width="12.140625" style="1" customWidth="1"/>
    <col min="22" max="22" width="10.5703125" style="1" customWidth="1"/>
    <col min="23" max="23" width="14.7109375" style="1" customWidth="1"/>
    <col min="24" max="24" width="42.42578125" style="1" customWidth="1"/>
    <col min="25" max="25" width="13.7109375" style="1" customWidth="1"/>
    <col min="26" max="30" width="10.5703125" style="1" customWidth="1"/>
    <col min="31" max="31" width="21" style="1" customWidth="1"/>
    <col min="32" max="32" width="18.7109375" style="1" customWidth="1"/>
    <col min="33" max="33" width="16.140625" style="1" customWidth="1"/>
    <col min="34" max="34" width="20.85546875" style="1" customWidth="1"/>
    <col min="35" max="35" width="11.5703125" style="1" customWidth="1"/>
    <col min="36" max="36" width="13.85546875" style="1" customWidth="1"/>
    <col min="37" max="37" width="33.140625" style="1" customWidth="1"/>
    <col min="38" max="38" width="13.140625" style="1" customWidth="1"/>
    <col min="39" max="39" width="14.5703125" style="1" customWidth="1"/>
    <col min="40" max="40" width="21" style="1" customWidth="1"/>
    <col min="41" max="41" width="13.85546875" style="1" customWidth="1"/>
    <col min="42" max="42" width="13.7109375" style="1" customWidth="1"/>
    <col min="43" max="43" width="13.28515625" style="1" customWidth="1"/>
    <col min="44" max="44" width="12.28515625" style="1" customWidth="1"/>
    <col min="45" max="52" width="9.140625" style="1"/>
    <col min="53" max="53" width="10.140625" style="1" customWidth="1"/>
    <col min="54" max="55" width="9.140625" style="1"/>
    <col min="56" max="56" width="55.28515625" style="1" customWidth="1"/>
    <col min="57" max="256" width="9.140625" style="1"/>
    <col min="257" max="257" width="16.85546875" style="1" customWidth="1"/>
    <col min="258" max="258" width="13.5703125" style="1" customWidth="1"/>
    <col min="259" max="259" width="11.5703125" style="1" customWidth="1"/>
    <col min="260" max="260" width="28.85546875" style="1" bestFit="1" customWidth="1"/>
    <col min="261" max="261" width="13.7109375" style="1" customWidth="1"/>
    <col min="262" max="262" width="48.85546875" style="1" customWidth="1"/>
    <col min="263" max="263" width="11" style="1" customWidth="1"/>
    <col min="264" max="264" width="12.7109375" style="1" customWidth="1"/>
    <col min="265" max="265" width="35.28515625" style="1" customWidth="1"/>
    <col min="266" max="266" width="21.5703125" style="1" customWidth="1"/>
    <col min="267" max="267" width="10.5703125" style="1" customWidth="1"/>
    <col min="268" max="268" width="16" style="1" bestFit="1" customWidth="1"/>
    <col min="269" max="269" width="10.5703125" style="1" customWidth="1"/>
    <col min="270" max="270" width="11.5703125" style="1" customWidth="1"/>
    <col min="271" max="271" width="10.5703125" style="1" customWidth="1"/>
    <col min="272" max="272" width="12.5703125" style="1" customWidth="1"/>
    <col min="273" max="273" width="16.28515625" style="1" customWidth="1"/>
    <col min="274" max="274" width="10.5703125" style="1" customWidth="1"/>
    <col min="275" max="275" width="13.140625" style="1" customWidth="1"/>
    <col min="276" max="276" width="13" style="1" customWidth="1"/>
    <col min="277" max="277" width="12.140625" style="1" customWidth="1"/>
    <col min="278" max="278" width="10.5703125" style="1" customWidth="1"/>
    <col min="279" max="279" width="14.7109375" style="1" customWidth="1"/>
    <col min="280" max="280" width="42.42578125" style="1" customWidth="1"/>
    <col min="281" max="281" width="13.7109375" style="1" customWidth="1"/>
    <col min="282" max="286" width="10.5703125" style="1" customWidth="1"/>
    <col min="287" max="287" width="21" style="1" customWidth="1"/>
    <col min="288" max="288" width="18.7109375" style="1" customWidth="1"/>
    <col min="289" max="289" width="16.140625" style="1" customWidth="1"/>
    <col min="290" max="290" width="20.85546875" style="1" customWidth="1"/>
    <col min="291" max="291" width="11.5703125" style="1" customWidth="1"/>
    <col min="292" max="292" width="13.85546875" style="1" customWidth="1"/>
    <col min="293" max="293" width="33.140625" style="1" customWidth="1"/>
    <col min="294" max="294" width="13.140625" style="1" customWidth="1"/>
    <col min="295" max="295" width="14.5703125" style="1" customWidth="1"/>
    <col min="296" max="296" width="21" style="1" customWidth="1"/>
    <col min="297" max="297" width="13.85546875" style="1" customWidth="1"/>
    <col min="298" max="298" width="13.7109375" style="1" customWidth="1"/>
    <col min="299" max="299" width="13.28515625" style="1" customWidth="1"/>
    <col min="300" max="300" width="12.28515625" style="1" customWidth="1"/>
    <col min="301" max="308" width="9.140625" style="1"/>
    <col min="309" max="309" width="10.140625" style="1" customWidth="1"/>
    <col min="310" max="311" width="9.140625" style="1"/>
    <col min="312" max="312" width="55.28515625" style="1" customWidth="1"/>
    <col min="313" max="512" width="9.140625" style="1"/>
    <col min="513" max="513" width="16.85546875" style="1" customWidth="1"/>
    <col min="514" max="514" width="13.5703125" style="1" customWidth="1"/>
    <col min="515" max="515" width="11.5703125" style="1" customWidth="1"/>
    <col min="516" max="516" width="28.85546875" style="1" bestFit="1" customWidth="1"/>
    <col min="517" max="517" width="13.7109375" style="1" customWidth="1"/>
    <col min="518" max="518" width="48.85546875" style="1" customWidth="1"/>
    <col min="519" max="519" width="11" style="1" customWidth="1"/>
    <col min="520" max="520" width="12.7109375" style="1" customWidth="1"/>
    <col min="521" max="521" width="35.28515625" style="1" customWidth="1"/>
    <col min="522" max="522" width="21.5703125" style="1" customWidth="1"/>
    <col min="523" max="523" width="10.5703125" style="1" customWidth="1"/>
    <col min="524" max="524" width="16" style="1" bestFit="1" customWidth="1"/>
    <col min="525" max="525" width="10.5703125" style="1" customWidth="1"/>
    <col min="526" max="526" width="11.5703125" style="1" customWidth="1"/>
    <col min="527" max="527" width="10.5703125" style="1" customWidth="1"/>
    <col min="528" max="528" width="12.5703125" style="1" customWidth="1"/>
    <col min="529" max="529" width="16.28515625" style="1" customWidth="1"/>
    <col min="530" max="530" width="10.5703125" style="1" customWidth="1"/>
    <col min="531" max="531" width="13.140625" style="1" customWidth="1"/>
    <col min="532" max="532" width="13" style="1" customWidth="1"/>
    <col min="533" max="533" width="12.140625" style="1" customWidth="1"/>
    <col min="534" max="534" width="10.5703125" style="1" customWidth="1"/>
    <col min="535" max="535" width="14.7109375" style="1" customWidth="1"/>
    <col min="536" max="536" width="42.42578125" style="1" customWidth="1"/>
    <col min="537" max="537" width="13.7109375" style="1" customWidth="1"/>
    <col min="538" max="542" width="10.5703125" style="1" customWidth="1"/>
    <col min="543" max="543" width="21" style="1" customWidth="1"/>
    <col min="544" max="544" width="18.7109375" style="1" customWidth="1"/>
    <col min="545" max="545" width="16.140625" style="1" customWidth="1"/>
    <col min="546" max="546" width="20.85546875" style="1" customWidth="1"/>
    <col min="547" max="547" width="11.5703125" style="1" customWidth="1"/>
    <col min="548" max="548" width="13.85546875" style="1" customWidth="1"/>
    <col min="549" max="549" width="33.140625" style="1" customWidth="1"/>
    <col min="550" max="550" width="13.140625" style="1" customWidth="1"/>
    <col min="551" max="551" width="14.5703125" style="1" customWidth="1"/>
    <col min="552" max="552" width="21" style="1" customWidth="1"/>
    <col min="553" max="553" width="13.85546875" style="1" customWidth="1"/>
    <col min="554" max="554" width="13.7109375" style="1" customWidth="1"/>
    <col min="555" max="555" width="13.28515625" style="1" customWidth="1"/>
    <col min="556" max="556" width="12.28515625" style="1" customWidth="1"/>
    <col min="557" max="564" width="9.140625" style="1"/>
    <col min="565" max="565" width="10.140625" style="1" customWidth="1"/>
    <col min="566" max="567" width="9.140625" style="1"/>
    <col min="568" max="568" width="55.28515625" style="1" customWidth="1"/>
    <col min="569" max="768" width="9.140625" style="1"/>
    <col min="769" max="769" width="16.85546875" style="1" customWidth="1"/>
    <col min="770" max="770" width="13.5703125" style="1" customWidth="1"/>
    <col min="771" max="771" width="11.5703125" style="1" customWidth="1"/>
    <col min="772" max="772" width="28.85546875" style="1" bestFit="1" customWidth="1"/>
    <col min="773" max="773" width="13.7109375" style="1" customWidth="1"/>
    <col min="774" max="774" width="48.85546875" style="1" customWidth="1"/>
    <col min="775" max="775" width="11" style="1" customWidth="1"/>
    <col min="776" max="776" width="12.7109375" style="1" customWidth="1"/>
    <col min="777" max="777" width="35.28515625" style="1" customWidth="1"/>
    <col min="778" max="778" width="21.5703125" style="1" customWidth="1"/>
    <col min="779" max="779" width="10.5703125" style="1" customWidth="1"/>
    <col min="780" max="780" width="16" style="1" bestFit="1" customWidth="1"/>
    <col min="781" max="781" width="10.5703125" style="1" customWidth="1"/>
    <col min="782" max="782" width="11.5703125" style="1" customWidth="1"/>
    <col min="783" max="783" width="10.5703125" style="1" customWidth="1"/>
    <col min="784" max="784" width="12.5703125" style="1" customWidth="1"/>
    <col min="785" max="785" width="16.28515625" style="1" customWidth="1"/>
    <col min="786" max="786" width="10.5703125" style="1" customWidth="1"/>
    <col min="787" max="787" width="13.140625" style="1" customWidth="1"/>
    <col min="788" max="788" width="13" style="1" customWidth="1"/>
    <col min="789" max="789" width="12.140625" style="1" customWidth="1"/>
    <col min="790" max="790" width="10.5703125" style="1" customWidth="1"/>
    <col min="791" max="791" width="14.7109375" style="1" customWidth="1"/>
    <col min="792" max="792" width="42.42578125" style="1" customWidth="1"/>
    <col min="793" max="793" width="13.7109375" style="1" customWidth="1"/>
    <col min="794" max="798" width="10.5703125" style="1" customWidth="1"/>
    <col min="799" max="799" width="21" style="1" customWidth="1"/>
    <col min="800" max="800" width="18.7109375" style="1" customWidth="1"/>
    <col min="801" max="801" width="16.140625" style="1" customWidth="1"/>
    <col min="802" max="802" width="20.85546875" style="1" customWidth="1"/>
    <col min="803" max="803" width="11.5703125" style="1" customWidth="1"/>
    <col min="804" max="804" width="13.85546875" style="1" customWidth="1"/>
    <col min="805" max="805" width="33.140625" style="1" customWidth="1"/>
    <col min="806" max="806" width="13.140625" style="1" customWidth="1"/>
    <col min="807" max="807" width="14.5703125" style="1" customWidth="1"/>
    <col min="808" max="808" width="21" style="1" customWidth="1"/>
    <col min="809" max="809" width="13.85546875" style="1" customWidth="1"/>
    <col min="810" max="810" width="13.7109375" style="1" customWidth="1"/>
    <col min="811" max="811" width="13.28515625" style="1" customWidth="1"/>
    <col min="812" max="812" width="12.28515625" style="1" customWidth="1"/>
    <col min="813" max="820" width="9.140625" style="1"/>
    <col min="821" max="821" width="10.140625" style="1" customWidth="1"/>
    <col min="822" max="823" width="9.140625" style="1"/>
    <col min="824" max="824" width="55.28515625" style="1" customWidth="1"/>
    <col min="825" max="1024" width="9.140625" style="1"/>
    <col min="1025" max="1025" width="16.85546875" style="1" customWidth="1"/>
    <col min="1026" max="1026" width="13.5703125" style="1" customWidth="1"/>
    <col min="1027" max="1027" width="11.5703125" style="1" customWidth="1"/>
    <col min="1028" max="1028" width="28.85546875" style="1" bestFit="1" customWidth="1"/>
    <col min="1029" max="1029" width="13.7109375" style="1" customWidth="1"/>
    <col min="1030" max="1030" width="48.85546875" style="1" customWidth="1"/>
    <col min="1031" max="1031" width="11" style="1" customWidth="1"/>
    <col min="1032" max="1032" width="12.7109375" style="1" customWidth="1"/>
    <col min="1033" max="1033" width="35.28515625" style="1" customWidth="1"/>
    <col min="1034" max="1034" width="21.5703125" style="1" customWidth="1"/>
    <col min="1035" max="1035" width="10.5703125" style="1" customWidth="1"/>
    <col min="1036" max="1036" width="16" style="1" bestFit="1" customWidth="1"/>
    <col min="1037" max="1037" width="10.5703125" style="1" customWidth="1"/>
    <col min="1038" max="1038" width="11.5703125" style="1" customWidth="1"/>
    <col min="1039" max="1039" width="10.5703125" style="1" customWidth="1"/>
    <col min="1040" max="1040" width="12.5703125" style="1" customWidth="1"/>
    <col min="1041" max="1041" width="16.28515625" style="1" customWidth="1"/>
    <col min="1042" max="1042" width="10.5703125" style="1" customWidth="1"/>
    <col min="1043" max="1043" width="13.140625" style="1" customWidth="1"/>
    <col min="1044" max="1044" width="13" style="1" customWidth="1"/>
    <col min="1045" max="1045" width="12.140625" style="1" customWidth="1"/>
    <col min="1046" max="1046" width="10.5703125" style="1" customWidth="1"/>
    <col min="1047" max="1047" width="14.7109375" style="1" customWidth="1"/>
    <col min="1048" max="1048" width="42.42578125" style="1" customWidth="1"/>
    <col min="1049" max="1049" width="13.7109375" style="1" customWidth="1"/>
    <col min="1050" max="1054" width="10.5703125" style="1" customWidth="1"/>
    <col min="1055" max="1055" width="21" style="1" customWidth="1"/>
    <col min="1056" max="1056" width="18.7109375" style="1" customWidth="1"/>
    <col min="1057" max="1057" width="16.140625" style="1" customWidth="1"/>
    <col min="1058" max="1058" width="20.85546875" style="1" customWidth="1"/>
    <col min="1059" max="1059" width="11.5703125" style="1" customWidth="1"/>
    <col min="1060" max="1060" width="13.85546875" style="1" customWidth="1"/>
    <col min="1061" max="1061" width="33.140625" style="1" customWidth="1"/>
    <col min="1062" max="1062" width="13.140625" style="1" customWidth="1"/>
    <col min="1063" max="1063" width="14.5703125" style="1" customWidth="1"/>
    <col min="1064" max="1064" width="21" style="1" customWidth="1"/>
    <col min="1065" max="1065" width="13.85546875" style="1" customWidth="1"/>
    <col min="1066" max="1066" width="13.7109375" style="1" customWidth="1"/>
    <col min="1067" max="1067" width="13.28515625" style="1" customWidth="1"/>
    <col min="1068" max="1068" width="12.28515625" style="1" customWidth="1"/>
    <col min="1069" max="1076" width="9.140625" style="1"/>
    <col min="1077" max="1077" width="10.140625" style="1" customWidth="1"/>
    <col min="1078" max="1079" width="9.140625" style="1"/>
    <col min="1080" max="1080" width="55.28515625" style="1" customWidth="1"/>
    <col min="1081" max="1280" width="9.140625" style="1"/>
    <col min="1281" max="1281" width="16.85546875" style="1" customWidth="1"/>
    <col min="1282" max="1282" width="13.5703125" style="1" customWidth="1"/>
    <col min="1283" max="1283" width="11.5703125" style="1" customWidth="1"/>
    <col min="1284" max="1284" width="28.85546875" style="1" bestFit="1" customWidth="1"/>
    <col min="1285" max="1285" width="13.7109375" style="1" customWidth="1"/>
    <col min="1286" max="1286" width="48.85546875" style="1" customWidth="1"/>
    <col min="1287" max="1287" width="11" style="1" customWidth="1"/>
    <col min="1288" max="1288" width="12.7109375" style="1" customWidth="1"/>
    <col min="1289" max="1289" width="35.28515625" style="1" customWidth="1"/>
    <col min="1290" max="1290" width="21.5703125" style="1" customWidth="1"/>
    <col min="1291" max="1291" width="10.5703125" style="1" customWidth="1"/>
    <col min="1292" max="1292" width="16" style="1" bestFit="1" customWidth="1"/>
    <col min="1293" max="1293" width="10.5703125" style="1" customWidth="1"/>
    <col min="1294" max="1294" width="11.5703125" style="1" customWidth="1"/>
    <col min="1295" max="1295" width="10.5703125" style="1" customWidth="1"/>
    <col min="1296" max="1296" width="12.5703125" style="1" customWidth="1"/>
    <col min="1297" max="1297" width="16.28515625" style="1" customWidth="1"/>
    <col min="1298" max="1298" width="10.5703125" style="1" customWidth="1"/>
    <col min="1299" max="1299" width="13.140625" style="1" customWidth="1"/>
    <col min="1300" max="1300" width="13" style="1" customWidth="1"/>
    <col min="1301" max="1301" width="12.140625" style="1" customWidth="1"/>
    <col min="1302" max="1302" width="10.5703125" style="1" customWidth="1"/>
    <col min="1303" max="1303" width="14.7109375" style="1" customWidth="1"/>
    <col min="1304" max="1304" width="42.42578125" style="1" customWidth="1"/>
    <col min="1305" max="1305" width="13.7109375" style="1" customWidth="1"/>
    <col min="1306" max="1310" width="10.5703125" style="1" customWidth="1"/>
    <col min="1311" max="1311" width="21" style="1" customWidth="1"/>
    <col min="1312" max="1312" width="18.7109375" style="1" customWidth="1"/>
    <col min="1313" max="1313" width="16.140625" style="1" customWidth="1"/>
    <col min="1314" max="1314" width="20.85546875" style="1" customWidth="1"/>
    <col min="1315" max="1315" width="11.5703125" style="1" customWidth="1"/>
    <col min="1316" max="1316" width="13.85546875" style="1" customWidth="1"/>
    <col min="1317" max="1317" width="33.140625" style="1" customWidth="1"/>
    <col min="1318" max="1318" width="13.140625" style="1" customWidth="1"/>
    <col min="1319" max="1319" width="14.5703125" style="1" customWidth="1"/>
    <col min="1320" max="1320" width="21" style="1" customWidth="1"/>
    <col min="1321" max="1321" width="13.85546875" style="1" customWidth="1"/>
    <col min="1322" max="1322" width="13.7109375" style="1" customWidth="1"/>
    <col min="1323" max="1323" width="13.28515625" style="1" customWidth="1"/>
    <col min="1324" max="1324" width="12.28515625" style="1" customWidth="1"/>
    <col min="1325" max="1332" width="9.140625" style="1"/>
    <col min="1333" max="1333" width="10.140625" style="1" customWidth="1"/>
    <col min="1334" max="1335" width="9.140625" style="1"/>
    <col min="1336" max="1336" width="55.28515625" style="1" customWidth="1"/>
    <col min="1337" max="1536" width="9.140625" style="1"/>
    <col min="1537" max="1537" width="16.85546875" style="1" customWidth="1"/>
    <col min="1538" max="1538" width="13.5703125" style="1" customWidth="1"/>
    <col min="1539" max="1539" width="11.5703125" style="1" customWidth="1"/>
    <col min="1540" max="1540" width="28.85546875" style="1" bestFit="1" customWidth="1"/>
    <col min="1541" max="1541" width="13.7109375" style="1" customWidth="1"/>
    <col min="1542" max="1542" width="48.85546875" style="1" customWidth="1"/>
    <col min="1543" max="1543" width="11" style="1" customWidth="1"/>
    <col min="1544" max="1544" width="12.7109375" style="1" customWidth="1"/>
    <col min="1545" max="1545" width="35.28515625" style="1" customWidth="1"/>
    <col min="1546" max="1546" width="21.5703125" style="1" customWidth="1"/>
    <col min="1547" max="1547" width="10.5703125" style="1" customWidth="1"/>
    <col min="1548" max="1548" width="16" style="1" bestFit="1" customWidth="1"/>
    <col min="1549" max="1549" width="10.5703125" style="1" customWidth="1"/>
    <col min="1550" max="1550" width="11.5703125" style="1" customWidth="1"/>
    <col min="1551" max="1551" width="10.5703125" style="1" customWidth="1"/>
    <col min="1552" max="1552" width="12.5703125" style="1" customWidth="1"/>
    <col min="1553" max="1553" width="16.28515625" style="1" customWidth="1"/>
    <col min="1554" max="1554" width="10.5703125" style="1" customWidth="1"/>
    <col min="1555" max="1555" width="13.140625" style="1" customWidth="1"/>
    <col min="1556" max="1556" width="13" style="1" customWidth="1"/>
    <col min="1557" max="1557" width="12.140625" style="1" customWidth="1"/>
    <col min="1558" max="1558" width="10.5703125" style="1" customWidth="1"/>
    <col min="1559" max="1559" width="14.7109375" style="1" customWidth="1"/>
    <col min="1560" max="1560" width="42.42578125" style="1" customWidth="1"/>
    <col min="1561" max="1561" width="13.7109375" style="1" customWidth="1"/>
    <col min="1562" max="1566" width="10.5703125" style="1" customWidth="1"/>
    <col min="1567" max="1567" width="21" style="1" customWidth="1"/>
    <col min="1568" max="1568" width="18.7109375" style="1" customWidth="1"/>
    <col min="1569" max="1569" width="16.140625" style="1" customWidth="1"/>
    <col min="1570" max="1570" width="20.85546875" style="1" customWidth="1"/>
    <col min="1571" max="1571" width="11.5703125" style="1" customWidth="1"/>
    <col min="1572" max="1572" width="13.85546875" style="1" customWidth="1"/>
    <col min="1573" max="1573" width="33.140625" style="1" customWidth="1"/>
    <col min="1574" max="1574" width="13.140625" style="1" customWidth="1"/>
    <col min="1575" max="1575" width="14.5703125" style="1" customWidth="1"/>
    <col min="1576" max="1576" width="21" style="1" customWidth="1"/>
    <col min="1577" max="1577" width="13.85546875" style="1" customWidth="1"/>
    <col min="1578" max="1578" width="13.7109375" style="1" customWidth="1"/>
    <col min="1579" max="1579" width="13.28515625" style="1" customWidth="1"/>
    <col min="1580" max="1580" width="12.28515625" style="1" customWidth="1"/>
    <col min="1581" max="1588" width="9.140625" style="1"/>
    <col min="1589" max="1589" width="10.140625" style="1" customWidth="1"/>
    <col min="1590" max="1591" width="9.140625" style="1"/>
    <col min="1592" max="1592" width="55.28515625" style="1" customWidth="1"/>
    <col min="1593" max="1792" width="9.140625" style="1"/>
    <col min="1793" max="1793" width="16.85546875" style="1" customWidth="1"/>
    <col min="1794" max="1794" width="13.5703125" style="1" customWidth="1"/>
    <col min="1795" max="1795" width="11.5703125" style="1" customWidth="1"/>
    <col min="1796" max="1796" width="28.85546875" style="1" bestFit="1" customWidth="1"/>
    <col min="1797" max="1797" width="13.7109375" style="1" customWidth="1"/>
    <col min="1798" max="1798" width="48.85546875" style="1" customWidth="1"/>
    <col min="1799" max="1799" width="11" style="1" customWidth="1"/>
    <col min="1800" max="1800" width="12.7109375" style="1" customWidth="1"/>
    <col min="1801" max="1801" width="35.28515625" style="1" customWidth="1"/>
    <col min="1802" max="1802" width="21.5703125" style="1" customWidth="1"/>
    <col min="1803" max="1803" width="10.5703125" style="1" customWidth="1"/>
    <col min="1804" max="1804" width="16" style="1" bestFit="1" customWidth="1"/>
    <col min="1805" max="1805" width="10.5703125" style="1" customWidth="1"/>
    <col min="1806" max="1806" width="11.5703125" style="1" customWidth="1"/>
    <col min="1807" max="1807" width="10.5703125" style="1" customWidth="1"/>
    <col min="1808" max="1808" width="12.5703125" style="1" customWidth="1"/>
    <col min="1809" max="1809" width="16.28515625" style="1" customWidth="1"/>
    <col min="1810" max="1810" width="10.5703125" style="1" customWidth="1"/>
    <col min="1811" max="1811" width="13.140625" style="1" customWidth="1"/>
    <col min="1812" max="1812" width="13" style="1" customWidth="1"/>
    <col min="1813" max="1813" width="12.140625" style="1" customWidth="1"/>
    <col min="1814" max="1814" width="10.5703125" style="1" customWidth="1"/>
    <col min="1815" max="1815" width="14.7109375" style="1" customWidth="1"/>
    <col min="1816" max="1816" width="42.42578125" style="1" customWidth="1"/>
    <col min="1817" max="1817" width="13.7109375" style="1" customWidth="1"/>
    <col min="1818" max="1822" width="10.5703125" style="1" customWidth="1"/>
    <col min="1823" max="1823" width="21" style="1" customWidth="1"/>
    <col min="1824" max="1824" width="18.7109375" style="1" customWidth="1"/>
    <col min="1825" max="1825" width="16.140625" style="1" customWidth="1"/>
    <col min="1826" max="1826" width="20.85546875" style="1" customWidth="1"/>
    <col min="1827" max="1827" width="11.5703125" style="1" customWidth="1"/>
    <col min="1828" max="1828" width="13.85546875" style="1" customWidth="1"/>
    <col min="1829" max="1829" width="33.140625" style="1" customWidth="1"/>
    <col min="1830" max="1830" width="13.140625" style="1" customWidth="1"/>
    <col min="1831" max="1831" width="14.5703125" style="1" customWidth="1"/>
    <col min="1832" max="1832" width="21" style="1" customWidth="1"/>
    <col min="1833" max="1833" width="13.85546875" style="1" customWidth="1"/>
    <col min="1834" max="1834" width="13.7109375" style="1" customWidth="1"/>
    <col min="1835" max="1835" width="13.28515625" style="1" customWidth="1"/>
    <col min="1836" max="1836" width="12.28515625" style="1" customWidth="1"/>
    <col min="1837" max="1844" width="9.140625" style="1"/>
    <col min="1845" max="1845" width="10.140625" style="1" customWidth="1"/>
    <col min="1846" max="1847" width="9.140625" style="1"/>
    <col min="1848" max="1848" width="55.28515625" style="1" customWidth="1"/>
    <col min="1849" max="2048" width="9.140625" style="1"/>
    <col min="2049" max="2049" width="16.85546875" style="1" customWidth="1"/>
    <col min="2050" max="2050" width="13.5703125" style="1" customWidth="1"/>
    <col min="2051" max="2051" width="11.5703125" style="1" customWidth="1"/>
    <col min="2052" max="2052" width="28.85546875" style="1" bestFit="1" customWidth="1"/>
    <col min="2053" max="2053" width="13.7109375" style="1" customWidth="1"/>
    <col min="2054" max="2054" width="48.85546875" style="1" customWidth="1"/>
    <col min="2055" max="2055" width="11" style="1" customWidth="1"/>
    <col min="2056" max="2056" width="12.7109375" style="1" customWidth="1"/>
    <col min="2057" max="2057" width="35.28515625" style="1" customWidth="1"/>
    <col min="2058" max="2058" width="21.5703125" style="1" customWidth="1"/>
    <col min="2059" max="2059" width="10.5703125" style="1" customWidth="1"/>
    <col min="2060" max="2060" width="16" style="1" bestFit="1" customWidth="1"/>
    <col min="2061" max="2061" width="10.5703125" style="1" customWidth="1"/>
    <col min="2062" max="2062" width="11.5703125" style="1" customWidth="1"/>
    <col min="2063" max="2063" width="10.5703125" style="1" customWidth="1"/>
    <col min="2064" max="2064" width="12.5703125" style="1" customWidth="1"/>
    <col min="2065" max="2065" width="16.28515625" style="1" customWidth="1"/>
    <col min="2066" max="2066" width="10.5703125" style="1" customWidth="1"/>
    <col min="2067" max="2067" width="13.140625" style="1" customWidth="1"/>
    <col min="2068" max="2068" width="13" style="1" customWidth="1"/>
    <col min="2069" max="2069" width="12.140625" style="1" customWidth="1"/>
    <col min="2070" max="2070" width="10.5703125" style="1" customWidth="1"/>
    <col min="2071" max="2071" width="14.7109375" style="1" customWidth="1"/>
    <col min="2072" max="2072" width="42.42578125" style="1" customWidth="1"/>
    <col min="2073" max="2073" width="13.7109375" style="1" customWidth="1"/>
    <col min="2074" max="2078" width="10.5703125" style="1" customWidth="1"/>
    <col min="2079" max="2079" width="21" style="1" customWidth="1"/>
    <col min="2080" max="2080" width="18.7109375" style="1" customWidth="1"/>
    <col min="2081" max="2081" width="16.140625" style="1" customWidth="1"/>
    <col min="2082" max="2082" width="20.85546875" style="1" customWidth="1"/>
    <col min="2083" max="2083" width="11.5703125" style="1" customWidth="1"/>
    <col min="2084" max="2084" width="13.85546875" style="1" customWidth="1"/>
    <col min="2085" max="2085" width="33.140625" style="1" customWidth="1"/>
    <col min="2086" max="2086" width="13.140625" style="1" customWidth="1"/>
    <col min="2087" max="2087" width="14.5703125" style="1" customWidth="1"/>
    <col min="2088" max="2088" width="21" style="1" customWidth="1"/>
    <col min="2089" max="2089" width="13.85546875" style="1" customWidth="1"/>
    <col min="2090" max="2090" width="13.7109375" style="1" customWidth="1"/>
    <col min="2091" max="2091" width="13.28515625" style="1" customWidth="1"/>
    <col min="2092" max="2092" width="12.28515625" style="1" customWidth="1"/>
    <col min="2093" max="2100" width="9.140625" style="1"/>
    <col min="2101" max="2101" width="10.140625" style="1" customWidth="1"/>
    <col min="2102" max="2103" width="9.140625" style="1"/>
    <col min="2104" max="2104" width="55.28515625" style="1" customWidth="1"/>
    <col min="2105" max="2304" width="9.140625" style="1"/>
    <col min="2305" max="2305" width="16.85546875" style="1" customWidth="1"/>
    <col min="2306" max="2306" width="13.5703125" style="1" customWidth="1"/>
    <col min="2307" max="2307" width="11.5703125" style="1" customWidth="1"/>
    <col min="2308" max="2308" width="28.85546875" style="1" bestFit="1" customWidth="1"/>
    <col min="2309" max="2309" width="13.7109375" style="1" customWidth="1"/>
    <col min="2310" max="2310" width="48.85546875" style="1" customWidth="1"/>
    <col min="2311" max="2311" width="11" style="1" customWidth="1"/>
    <col min="2312" max="2312" width="12.7109375" style="1" customWidth="1"/>
    <col min="2313" max="2313" width="35.28515625" style="1" customWidth="1"/>
    <col min="2314" max="2314" width="21.5703125" style="1" customWidth="1"/>
    <col min="2315" max="2315" width="10.5703125" style="1" customWidth="1"/>
    <col min="2316" max="2316" width="16" style="1" bestFit="1" customWidth="1"/>
    <col min="2317" max="2317" width="10.5703125" style="1" customWidth="1"/>
    <col min="2318" max="2318" width="11.5703125" style="1" customWidth="1"/>
    <col min="2319" max="2319" width="10.5703125" style="1" customWidth="1"/>
    <col min="2320" max="2320" width="12.5703125" style="1" customWidth="1"/>
    <col min="2321" max="2321" width="16.28515625" style="1" customWidth="1"/>
    <col min="2322" max="2322" width="10.5703125" style="1" customWidth="1"/>
    <col min="2323" max="2323" width="13.140625" style="1" customWidth="1"/>
    <col min="2324" max="2324" width="13" style="1" customWidth="1"/>
    <col min="2325" max="2325" width="12.140625" style="1" customWidth="1"/>
    <col min="2326" max="2326" width="10.5703125" style="1" customWidth="1"/>
    <col min="2327" max="2327" width="14.7109375" style="1" customWidth="1"/>
    <col min="2328" max="2328" width="42.42578125" style="1" customWidth="1"/>
    <col min="2329" max="2329" width="13.7109375" style="1" customWidth="1"/>
    <col min="2330" max="2334" width="10.5703125" style="1" customWidth="1"/>
    <col min="2335" max="2335" width="21" style="1" customWidth="1"/>
    <col min="2336" max="2336" width="18.7109375" style="1" customWidth="1"/>
    <col min="2337" max="2337" width="16.140625" style="1" customWidth="1"/>
    <col min="2338" max="2338" width="20.85546875" style="1" customWidth="1"/>
    <col min="2339" max="2339" width="11.5703125" style="1" customWidth="1"/>
    <col min="2340" max="2340" width="13.85546875" style="1" customWidth="1"/>
    <col min="2341" max="2341" width="33.140625" style="1" customWidth="1"/>
    <col min="2342" max="2342" width="13.140625" style="1" customWidth="1"/>
    <col min="2343" max="2343" width="14.5703125" style="1" customWidth="1"/>
    <col min="2344" max="2344" width="21" style="1" customWidth="1"/>
    <col min="2345" max="2345" width="13.85546875" style="1" customWidth="1"/>
    <col min="2346" max="2346" width="13.7109375" style="1" customWidth="1"/>
    <col min="2347" max="2347" width="13.28515625" style="1" customWidth="1"/>
    <col min="2348" max="2348" width="12.28515625" style="1" customWidth="1"/>
    <col min="2349" max="2356" width="9.140625" style="1"/>
    <col min="2357" max="2357" width="10.140625" style="1" customWidth="1"/>
    <col min="2358" max="2359" width="9.140625" style="1"/>
    <col min="2360" max="2360" width="55.28515625" style="1" customWidth="1"/>
    <col min="2361" max="2560" width="9.140625" style="1"/>
    <col min="2561" max="2561" width="16.85546875" style="1" customWidth="1"/>
    <col min="2562" max="2562" width="13.5703125" style="1" customWidth="1"/>
    <col min="2563" max="2563" width="11.5703125" style="1" customWidth="1"/>
    <col min="2564" max="2564" width="28.85546875" style="1" bestFit="1" customWidth="1"/>
    <col min="2565" max="2565" width="13.7109375" style="1" customWidth="1"/>
    <col min="2566" max="2566" width="48.85546875" style="1" customWidth="1"/>
    <col min="2567" max="2567" width="11" style="1" customWidth="1"/>
    <col min="2568" max="2568" width="12.7109375" style="1" customWidth="1"/>
    <col min="2569" max="2569" width="35.28515625" style="1" customWidth="1"/>
    <col min="2570" max="2570" width="21.5703125" style="1" customWidth="1"/>
    <col min="2571" max="2571" width="10.5703125" style="1" customWidth="1"/>
    <col min="2572" max="2572" width="16" style="1" bestFit="1" customWidth="1"/>
    <col min="2573" max="2573" width="10.5703125" style="1" customWidth="1"/>
    <col min="2574" max="2574" width="11.5703125" style="1" customWidth="1"/>
    <col min="2575" max="2575" width="10.5703125" style="1" customWidth="1"/>
    <col min="2576" max="2576" width="12.5703125" style="1" customWidth="1"/>
    <col min="2577" max="2577" width="16.28515625" style="1" customWidth="1"/>
    <col min="2578" max="2578" width="10.5703125" style="1" customWidth="1"/>
    <col min="2579" max="2579" width="13.140625" style="1" customWidth="1"/>
    <col min="2580" max="2580" width="13" style="1" customWidth="1"/>
    <col min="2581" max="2581" width="12.140625" style="1" customWidth="1"/>
    <col min="2582" max="2582" width="10.5703125" style="1" customWidth="1"/>
    <col min="2583" max="2583" width="14.7109375" style="1" customWidth="1"/>
    <col min="2584" max="2584" width="42.42578125" style="1" customWidth="1"/>
    <col min="2585" max="2585" width="13.7109375" style="1" customWidth="1"/>
    <col min="2586" max="2590" width="10.5703125" style="1" customWidth="1"/>
    <col min="2591" max="2591" width="21" style="1" customWidth="1"/>
    <col min="2592" max="2592" width="18.7109375" style="1" customWidth="1"/>
    <col min="2593" max="2593" width="16.140625" style="1" customWidth="1"/>
    <col min="2594" max="2594" width="20.85546875" style="1" customWidth="1"/>
    <col min="2595" max="2595" width="11.5703125" style="1" customWidth="1"/>
    <col min="2596" max="2596" width="13.85546875" style="1" customWidth="1"/>
    <col min="2597" max="2597" width="33.140625" style="1" customWidth="1"/>
    <col min="2598" max="2598" width="13.140625" style="1" customWidth="1"/>
    <col min="2599" max="2599" width="14.5703125" style="1" customWidth="1"/>
    <col min="2600" max="2600" width="21" style="1" customWidth="1"/>
    <col min="2601" max="2601" width="13.85546875" style="1" customWidth="1"/>
    <col min="2602" max="2602" width="13.7109375" style="1" customWidth="1"/>
    <col min="2603" max="2603" width="13.28515625" style="1" customWidth="1"/>
    <col min="2604" max="2604" width="12.28515625" style="1" customWidth="1"/>
    <col min="2605" max="2612" width="9.140625" style="1"/>
    <col min="2613" max="2613" width="10.140625" style="1" customWidth="1"/>
    <col min="2614" max="2615" width="9.140625" style="1"/>
    <col min="2616" max="2616" width="55.28515625" style="1" customWidth="1"/>
    <col min="2617" max="2816" width="9.140625" style="1"/>
    <col min="2817" max="2817" width="16.85546875" style="1" customWidth="1"/>
    <col min="2818" max="2818" width="13.5703125" style="1" customWidth="1"/>
    <col min="2819" max="2819" width="11.5703125" style="1" customWidth="1"/>
    <col min="2820" max="2820" width="28.85546875" style="1" bestFit="1" customWidth="1"/>
    <col min="2821" max="2821" width="13.7109375" style="1" customWidth="1"/>
    <col min="2822" max="2822" width="48.85546875" style="1" customWidth="1"/>
    <col min="2823" max="2823" width="11" style="1" customWidth="1"/>
    <col min="2824" max="2824" width="12.7109375" style="1" customWidth="1"/>
    <col min="2825" max="2825" width="35.28515625" style="1" customWidth="1"/>
    <col min="2826" max="2826" width="21.5703125" style="1" customWidth="1"/>
    <col min="2827" max="2827" width="10.5703125" style="1" customWidth="1"/>
    <col min="2828" max="2828" width="16" style="1" bestFit="1" customWidth="1"/>
    <col min="2829" max="2829" width="10.5703125" style="1" customWidth="1"/>
    <col min="2830" max="2830" width="11.5703125" style="1" customWidth="1"/>
    <col min="2831" max="2831" width="10.5703125" style="1" customWidth="1"/>
    <col min="2832" max="2832" width="12.5703125" style="1" customWidth="1"/>
    <col min="2833" max="2833" width="16.28515625" style="1" customWidth="1"/>
    <col min="2834" max="2834" width="10.5703125" style="1" customWidth="1"/>
    <col min="2835" max="2835" width="13.140625" style="1" customWidth="1"/>
    <col min="2836" max="2836" width="13" style="1" customWidth="1"/>
    <col min="2837" max="2837" width="12.140625" style="1" customWidth="1"/>
    <col min="2838" max="2838" width="10.5703125" style="1" customWidth="1"/>
    <col min="2839" max="2839" width="14.7109375" style="1" customWidth="1"/>
    <col min="2840" max="2840" width="42.42578125" style="1" customWidth="1"/>
    <col min="2841" max="2841" width="13.7109375" style="1" customWidth="1"/>
    <col min="2842" max="2846" width="10.5703125" style="1" customWidth="1"/>
    <col min="2847" max="2847" width="21" style="1" customWidth="1"/>
    <col min="2848" max="2848" width="18.7109375" style="1" customWidth="1"/>
    <col min="2849" max="2849" width="16.140625" style="1" customWidth="1"/>
    <col min="2850" max="2850" width="20.85546875" style="1" customWidth="1"/>
    <col min="2851" max="2851" width="11.5703125" style="1" customWidth="1"/>
    <col min="2852" max="2852" width="13.85546875" style="1" customWidth="1"/>
    <col min="2853" max="2853" width="33.140625" style="1" customWidth="1"/>
    <col min="2854" max="2854" width="13.140625" style="1" customWidth="1"/>
    <col min="2855" max="2855" width="14.5703125" style="1" customWidth="1"/>
    <col min="2856" max="2856" width="21" style="1" customWidth="1"/>
    <col min="2857" max="2857" width="13.85546875" style="1" customWidth="1"/>
    <col min="2858" max="2858" width="13.7109375" style="1" customWidth="1"/>
    <col min="2859" max="2859" width="13.28515625" style="1" customWidth="1"/>
    <col min="2860" max="2860" width="12.28515625" style="1" customWidth="1"/>
    <col min="2861" max="2868" width="9.140625" style="1"/>
    <col min="2869" max="2869" width="10.140625" style="1" customWidth="1"/>
    <col min="2870" max="2871" width="9.140625" style="1"/>
    <col min="2872" max="2872" width="55.28515625" style="1" customWidth="1"/>
    <col min="2873" max="3072" width="9.140625" style="1"/>
    <col min="3073" max="3073" width="16.85546875" style="1" customWidth="1"/>
    <col min="3074" max="3074" width="13.5703125" style="1" customWidth="1"/>
    <col min="3075" max="3075" width="11.5703125" style="1" customWidth="1"/>
    <col min="3076" max="3076" width="28.85546875" style="1" bestFit="1" customWidth="1"/>
    <col min="3077" max="3077" width="13.7109375" style="1" customWidth="1"/>
    <col min="3078" max="3078" width="48.85546875" style="1" customWidth="1"/>
    <col min="3079" max="3079" width="11" style="1" customWidth="1"/>
    <col min="3080" max="3080" width="12.7109375" style="1" customWidth="1"/>
    <col min="3081" max="3081" width="35.28515625" style="1" customWidth="1"/>
    <col min="3082" max="3082" width="21.5703125" style="1" customWidth="1"/>
    <col min="3083" max="3083" width="10.5703125" style="1" customWidth="1"/>
    <col min="3084" max="3084" width="16" style="1" bestFit="1" customWidth="1"/>
    <col min="3085" max="3085" width="10.5703125" style="1" customWidth="1"/>
    <col min="3086" max="3086" width="11.5703125" style="1" customWidth="1"/>
    <col min="3087" max="3087" width="10.5703125" style="1" customWidth="1"/>
    <col min="3088" max="3088" width="12.5703125" style="1" customWidth="1"/>
    <col min="3089" max="3089" width="16.28515625" style="1" customWidth="1"/>
    <col min="3090" max="3090" width="10.5703125" style="1" customWidth="1"/>
    <col min="3091" max="3091" width="13.140625" style="1" customWidth="1"/>
    <col min="3092" max="3092" width="13" style="1" customWidth="1"/>
    <col min="3093" max="3093" width="12.140625" style="1" customWidth="1"/>
    <col min="3094" max="3094" width="10.5703125" style="1" customWidth="1"/>
    <col min="3095" max="3095" width="14.7109375" style="1" customWidth="1"/>
    <col min="3096" max="3096" width="42.42578125" style="1" customWidth="1"/>
    <col min="3097" max="3097" width="13.7109375" style="1" customWidth="1"/>
    <col min="3098" max="3102" width="10.5703125" style="1" customWidth="1"/>
    <col min="3103" max="3103" width="21" style="1" customWidth="1"/>
    <col min="3104" max="3104" width="18.7109375" style="1" customWidth="1"/>
    <col min="3105" max="3105" width="16.140625" style="1" customWidth="1"/>
    <col min="3106" max="3106" width="20.85546875" style="1" customWidth="1"/>
    <col min="3107" max="3107" width="11.5703125" style="1" customWidth="1"/>
    <col min="3108" max="3108" width="13.85546875" style="1" customWidth="1"/>
    <col min="3109" max="3109" width="33.140625" style="1" customWidth="1"/>
    <col min="3110" max="3110" width="13.140625" style="1" customWidth="1"/>
    <col min="3111" max="3111" width="14.5703125" style="1" customWidth="1"/>
    <col min="3112" max="3112" width="21" style="1" customWidth="1"/>
    <col min="3113" max="3113" width="13.85546875" style="1" customWidth="1"/>
    <col min="3114" max="3114" width="13.7109375" style="1" customWidth="1"/>
    <col min="3115" max="3115" width="13.28515625" style="1" customWidth="1"/>
    <col min="3116" max="3116" width="12.28515625" style="1" customWidth="1"/>
    <col min="3117" max="3124" width="9.140625" style="1"/>
    <col min="3125" max="3125" width="10.140625" style="1" customWidth="1"/>
    <col min="3126" max="3127" width="9.140625" style="1"/>
    <col min="3128" max="3128" width="55.28515625" style="1" customWidth="1"/>
    <col min="3129" max="3328" width="9.140625" style="1"/>
    <col min="3329" max="3329" width="16.85546875" style="1" customWidth="1"/>
    <col min="3330" max="3330" width="13.5703125" style="1" customWidth="1"/>
    <col min="3331" max="3331" width="11.5703125" style="1" customWidth="1"/>
    <col min="3332" max="3332" width="28.85546875" style="1" bestFit="1" customWidth="1"/>
    <col min="3333" max="3333" width="13.7109375" style="1" customWidth="1"/>
    <col min="3334" max="3334" width="48.85546875" style="1" customWidth="1"/>
    <col min="3335" max="3335" width="11" style="1" customWidth="1"/>
    <col min="3336" max="3336" width="12.7109375" style="1" customWidth="1"/>
    <col min="3337" max="3337" width="35.28515625" style="1" customWidth="1"/>
    <col min="3338" max="3338" width="21.5703125" style="1" customWidth="1"/>
    <col min="3339" max="3339" width="10.5703125" style="1" customWidth="1"/>
    <col min="3340" max="3340" width="16" style="1" bestFit="1" customWidth="1"/>
    <col min="3341" max="3341" width="10.5703125" style="1" customWidth="1"/>
    <col min="3342" max="3342" width="11.5703125" style="1" customWidth="1"/>
    <col min="3343" max="3343" width="10.5703125" style="1" customWidth="1"/>
    <col min="3344" max="3344" width="12.5703125" style="1" customWidth="1"/>
    <col min="3345" max="3345" width="16.28515625" style="1" customWidth="1"/>
    <col min="3346" max="3346" width="10.5703125" style="1" customWidth="1"/>
    <col min="3347" max="3347" width="13.140625" style="1" customWidth="1"/>
    <col min="3348" max="3348" width="13" style="1" customWidth="1"/>
    <col min="3349" max="3349" width="12.140625" style="1" customWidth="1"/>
    <col min="3350" max="3350" width="10.5703125" style="1" customWidth="1"/>
    <col min="3351" max="3351" width="14.7109375" style="1" customWidth="1"/>
    <col min="3352" max="3352" width="42.42578125" style="1" customWidth="1"/>
    <col min="3353" max="3353" width="13.7109375" style="1" customWidth="1"/>
    <col min="3354" max="3358" width="10.5703125" style="1" customWidth="1"/>
    <col min="3359" max="3359" width="21" style="1" customWidth="1"/>
    <col min="3360" max="3360" width="18.7109375" style="1" customWidth="1"/>
    <col min="3361" max="3361" width="16.140625" style="1" customWidth="1"/>
    <col min="3362" max="3362" width="20.85546875" style="1" customWidth="1"/>
    <col min="3363" max="3363" width="11.5703125" style="1" customWidth="1"/>
    <col min="3364" max="3364" width="13.85546875" style="1" customWidth="1"/>
    <col min="3365" max="3365" width="33.140625" style="1" customWidth="1"/>
    <col min="3366" max="3366" width="13.140625" style="1" customWidth="1"/>
    <col min="3367" max="3367" width="14.5703125" style="1" customWidth="1"/>
    <col min="3368" max="3368" width="21" style="1" customWidth="1"/>
    <col min="3369" max="3369" width="13.85546875" style="1" customWidth="1"/>
    <col min="3370" max="3370" width="13.7109375" style="1" customWidth="1"/>
    <col min="3371" max="3371" width="13.28515625" style="1" customWidth="1"/>
    <col min="3372" max="3372" width="12.28515625" style="1" customWidth="1"/>
    <col min="3373" max="3380" width="9.140625" style="1"/>
    <col min="3381" max="3381" width="10.140625" style="1" customWidth="1"/>
    <col min="3382" max="3383" width="9.140625" style="1"/>
    <col min="3384" max="3384" width="55.28515625" style="1" customWidth="1"/>
    <col min="3385" max="3584" width="9.140625" style="1"/>
    <col min="3585" max="3585" width="16.85546875" style="1" customWidth="1"/>
    <col min="3586" max="3586" width="13.5703125" style="1" customWidth="1"/>
    <col min="3587" max="3587" width="11.5703125" style="1" customWidth="1"/>
    <col min="3588" max="3588" width="28.85546875" style="1" bestFit="1" customWidth="1"/>
    <col min="3589" max="3589" width="13.7109375" style="1" customWidth="1"/>
    <col min="3590" max="3590" width="48.85546875" style="1" customWidth="1"/>
    <col min="3591" max="3591" width="11" style="1" customWidth="1"/>
    <col min="3592" max="3592" width="12.7109375" style="1" customWidth="1"/>
    <col min="3593" max="3593" width="35.28515625" style="1" customWidth="1"/>
    <col min="3594" max="3594" width="21.5703125" style="1" customWidth="1"/>
    <col min="3595" max="3595" width="10.5703125" style="1" customWidth="1"/>
    <col min="3596" max="3596" width="16" style="1" bestFit="1" customWidth="1"/>
    <col min="3597" max="3597" width="10.5703125" style="1" customWidth="1"/>
    <col min="3598" max="3598" width="11.5703125" style="1" customWidth="1"/>
    <col min="3599" max="3599" width="10.5703125" style="1" customWidth="1"/>
    <col min="3600" max="3600" width="12.5703125" style="1" customWidth="1"/>
    <col min="3601" max="3601" width="16.28515625" style="1" customWidth="1"/>
    <col min="3602" max="3602" width="10.5703125" style="1" customWidth="1"/>
    <col min="3603" max="3603" width="13.140625" style="1" customWidth="1"/>
    <col min="3604" max="3604" width="13" style="1" customWidth="1"/>
    <col min="3605" max="3605" width="12.140625" style="1" customWidth="1"/>
    <col min="3606" max="3606" width="10.5703125" style="1" customWidth="1"/>
    <col min="3607" max="3607" width="14.7109375" style="1" customWidth="1"/>
    <col min="3608" max="3608" width="42.42578125" style="1" customWidth="1"/>
    <col min="3609" max="3609" width="13.7109375" style="1" customWidth="1"/>
    <col min="3610" max="3614" width="10.5703125" style="1" customWidth="1"/>
    <col min="3615" max="3615" width="21" style="1" customWidth="1"/>
    <col min="3616" max="3616" width="18.7109375" style="1" customWidth="1"/>
    <col min="3617" max="3617" width="16.140625" style="1" customWidth="1"/>
    <col min="3618" max="3618" width="20.85546875" style="1" customWidth="1"/>
    <col min="3619" max="3619" width="11.5703125" style="1" customWidth="1"/>
    <col min="3620" max="3620" width="13.85546875" style="1" customWidth="1"/>
    <col min="3621" max="3621" width="33.140625" style="1" customWidth="1"/>
    <col min="3622" max="3622" width="13.140625" style="1" customWidth="1"/>
    <col min="3623" max="3623" width="14.5703125" style="1" customWidth="1"/>
    <col min="3624" max="3624" width="21" style="1" customWidth="1"/>
    <col min="3625" max="3625" width="13.85546875" style="1" customWidth="1"/>
    <col min="3626" max="3626" width="13.7109375" style="1" customWidth="1"/>
    <col min="3627" max="3627" width="13.28515625" style="1" customWidth="1"/>
    <col min="3628" max="3628" width="12.28515625" style="1" customWidth="1"/>
    <col min="3629" max="3636" width="9.140625" style="1"/>
    <col min="3637" max="3637" width="10.140625" style="1" customWidth="1"/>
    <col min="3638" max="3639" width="9.140625" style="1"/>
    <col min="3640" max="3640" width="55.28515625" style="1" customWidth="1"/>
    <col min="3641" max="3840" width="9.140625" style="1"/>
    <col min="3841" max="3841" width="16.85546875" style="1" customWidth="1"/>
    <col min="3842" max="3842" width="13.5703125" style="1" customWidth="1"/>
    <col min="3843" max="3843" width="11.5703125" style="1" customWidth="1"/>
    <col min="3844" max="3844" width="28.85546875" style="1" bestFit="1" customWidth="1"/>
    <col min="3845" max="3845" width="13.7109375" style="1" customWidth="1"/>
    <col min="3846" max="3846" width="48.85546875" style="1" customWidth="1"/>
    <col min="3847" max="3847" width="11" style="1" customWidth="1"/>
    <col min="3848" max="3848" width="12.7109375" style="1" customWidth="1"/>
    <col min="3849" max="3849" width="35.28515625" style="1" customWidth="1"/>
    <col min="3850" max="3850" width="21.5703125" style="1" customWidth="1"/>
    <col min="3851" max="3851" width="10.5703125" style="1" customWidth="1"/>
    <col min="3852" max="3852" width="16" style="1" bestFit="1" customWidth="1"/>
    <col min="3853" max="3853" width="10.5703125" style="1" customWidth="1"/>
    <col min="3854" max="3854" width="11.5703125" style="1" customWidth="1"/>
    <col min="3855" max="3855" width="10.5703125" style="1" customWidth="1"/>
    <col min="3856" max="3856" width="12.5703125" style="1" customWidth="1"/>
    <col min="3857" max="3857" width="16.28515625" style="1" customWidth="1"/>
    <col min="3858" max="3858" width="10.5703125" style="1" customWidth="1"/>
    <col min="3859" max="3859" width="13.140625" style="1" customWidth="1"/>
    <col min="3860" max="3860" width="13" style="1" customWidth="1"/>
    <col min="3861" max="3861" width="12.140625" style="1" customWidth="1"/>
    <col min="3862" max="3862" width="10.5703125" style="1" customWidth="1"/>
    <col min="3863" max="3863" width="14.7109375" style="1" customWidth="1"/>
    <col min="3864" max="3864" width="42.42578125" style="1" customWidth="1"/>
    <col min="3865" max="3865" width="13.7109375" style="1" customWidth="1"/>
    <col min="3866" max="3870" width="10.5703125" style="1" customWidth="1"/>
    <col min="3871" max="3871" width="21" style="1" customWidth="1"/>
    <col min="3872" max="3872" width="18.7109375" style="1" customWidth="1"/>
    <col min="3873" max="3873" width="16.140625" style="1" customWidth="1"/>
    <col min="3874" max="3874" width="20.85546875" style="1" customWidth="1"/>
    <col min="3875" max="3875" width="11.5703125" style="1" customWidth="1"/>
    <col min="3876" max="3876" width="13.85546875" style="1" customWidth="1"/>
    <col min="3877" max="3877" width="33.140625" style="1" customWidth="1"/>
    <col min="3878" max="3878" width="13.140625" style="1" customWidth="1"/>
    <col min="3879" max="3879" width="14.5703125" style="1" customWidth="1"/>
    <col min="3880" max="3880" width="21" style="1" customWidth="1"/>
    <col min="3881" max="3881" width="13.85546875" style="1" customWidth="1"/>
    <col min="3882" max="3882" width="13.7109375" style="1" customWidth="1"/>
    <col min="3883" max="3883" width="13.28515625" style="1" customWidth="1"/>
    <col min="3884" max="3884" width="12.28515625" style="1" customWidth="1"/>
    <col min="3885" max="3892" width="9.140625" style="1"/>
    <col min="3893" max="3893" width="10.140625" style="1" customWidth="1"/>
    <col min="3894" max="3895" width="9.140625" style="1"/>
    <col min="3896" max="3896" width="55.28515625" style="1" customWidth="1"/>
    <col min="3897" max="4096" width="9.140625" style="1"/>
    <col min="4097" max="4097" width="16.85546875" style="1" customWidth="1"/>
    <col min="4098" max="4098" width="13.5703125" style="1" customWidth="1"/>
    <col min="4099" max="4099" width="11.5703125" style="1" customWidth="1"/>
    <col min="4100" max="4100" width="28.85546875" style="1" bestFit="1" customWidth="1"/>
    <col min="4101" max="4101" width="13.7109375" style="1" customWidth="1"/>
    <col min="4102" max="4102" width="48.85546875" style="1" customWidth="1"/>
    <col min="4103" max="4103" width="11" style="1" customWidth="1"/>
    <col min="4104" max="4104" width="12.7109375" style="1" customWidth="1"/>
    <col min="4105" max="4105" width="35.28515625" style="1" customWidth="1"/>
    <col min="4106" max="4106" width="21.5703125" style="1" customWidth="1"/>
    <col min="4107" max="4107" width="10.5703125" style="1" customWidth="1"/>
    <col min="4108" max="4108" width="16" style="1" bestFit="1" customWidth="1"/>
    <col min="4109" max="4109" width="10.5703125" style="1" customWidth="1"/>
    <col min="4110" max="4110" width="11.5703125" style="1" customWidth="1"/>
    <col min="4111" max="4111" width="10.5703125" style="1" customWidth="1"/>
    <col min="4112" max="4112" width="12.5703125" style="1" customWidth="1"/>
    <col min="4113" max="4113" width="16.28515625" style="1" customWidth="1"/>
    <col min="4114" max="4114" width="10.5703125" style="1" customWidth="1"/>
    <col min="4115" max="4115" width="13.140625" style="1" customWidth="1"/>
    <col min="4116" max="4116" width="13" style="1" customWidth="1"/>
    <col min="4117" max="4117" width="12.140625" style="1" customWidth="1"/>
    <col min="4118" max="4118" width="10.5703125" style="1" customWidth="1"/>
    <col min="4119" max="4119" width="14.7109375" style="1" customWidth="1"/>
    <col min="4120" max="4120" width="42.42578125" style="1" customWidth="1"/>
    <col min="4121" max="4121" width="13.7109375" style="1" customWidth="1"/>
    <col min="4122" max="4126" width="10.5703125" style="1" customWidth="1"/>
    <col min="4127" max="4127" width="21" style="1" customWidth="1"/>
    <col min="4128" max="4128" width="18.7109375" style="1" customWidth="1"/>
    <col min="4129" max="4129" width="16.140625" style="1" customWidth="1"/>
    <col min="4130" max="4130" width="20.85546875" style="1" customWidth="1"/>
    <col min="4131" max="4131" width="11.5703125" style="1" customWidth="1"/>
    <col min="4132" max="4132" width="13.85546875" style="1" customWidth="1"/>
    <col min="4133" max="4133" width="33.140625" style="1" customWidth="1"/>
    <col min="4134" max="4134" width="13.140625" style="1" customWidth="1"/>
    <col min="4135" max="4135" width="14.5703125" style="1" customWidth="1"/>
    <col min="4136" max="4136" width="21" style="1" customWidth="1"/>
    <col min="4137" max="4137" width="13.85546875" style="1" customWidth="1"/>
    <col min="4138" max="4138" width="13.7109375" style="1" customWidth="1"/>
    <col min="4139" max="4139" width="13.28515625" style="1" customWidth="1"/>
    <col min="4140" max="4140" width="12.28515625" style="1" customWidth="1"/>
    <col min="4141" max="4148" width="9.140625" style="1"/>
    <col min="4149" max="4149" width="10.140625" style="1" customWidth="1"/>
    <col min="4150" max="4151" width="9.140625" style="1"/>
    <col min="4152" max="4152" width="55.28515625" style="1" customWidth="1"/>
    <col min="4153" max="4352" width="9.140625" style="1"/>
    <col min="4353" max="4353" width="16.85546875" style="1" customWidth="1"/>
    <col min="4354" max="4354" width="13.5703125" style="1" customWidth="1"/>
    <col min="4355" max="4355" width="11.5703125" style="1" customWidth="1"/>
    <col min="4356" max="4356" width="28.85546875" style="1" bestFit="1" customWidth="1"/>
    <col min="4357" max="4357" width="13.7109375" style="1" customWidth="1"/>
    <col min="4358" max="4358" width="48.85546875" style="1" customWidth="1"/>
    <col min="4359" max="4359" width="11" style="1" customWidth="1"/>
    <col min="4360" max="4360" width="12.7109375" style="1" customWidth="1"/>
    <col min="4361" max="4361" width="35.28515625" style="1" customWidth="1"/>
    <col min="4362" max="4362" width="21.5703125" style="1" customWidth="1"/>
    <col min="4363" max="4363" width="10.5703125" style="1" customWidth="1"/>
    <col min="4364" max="4364" width="16" style="1" bestFit="1" customWidth="1"/>
    <col min="4365" max="4365" width="10.5703125" style="1" customWidth="1"/>
    <col min="4366" max="4366" width="11.5703125" style="1" customWidth="1"/>
    <col min="4367" max="4367" width="10.5703125" style="1" customWidth="1"/>
    <col min="4368" max="4368" width="12.5703125" style="1" customWidth="1"/>
    <col min="4369" max="4369" width="16.28515625" style="1" customWidth="1"/>
    <col min="4370" max="4370" width="10.5703125" style="1" customWidth="1"/>
    <col min="4371" max="4371" width="13.140625" style="1" customWidth="1"/>
    <col min="4372" max="4372" width="13" style="1" customWidth="1"/>
    <col min="4373" max="4373" width="12.140625" style="1" customWidth="1"/>
    <col min="4374" max="4374" width="10.5703125" style="1" customWidth="1"/>
    <col min="4375" max="4375" width="14.7109375" style="1" customWidth="1"/>
    <col min="4376" max="4376" width="42.42578125" style="1" customWidth="1"/>
    <col min="4377" max="4377" width="13.7109375" style="1" customWidth="1"/>
    <col min="4378" max="4382" width="10.5703125" style="1" customWidth="1"/>
    <col min="4383" max="4383" width="21" style="1" customWidth="1"/>
    <col min="4384" max="4384" width="18.7109375" style="1" customWidth="1"/>
    <col min="4385" max="4385" width="16.140625" style="1" customWidth="1"/>
    <col min="4386" max="4386" width="20.85546875" style="1" customWidth="1"/>
    <col min="4387" max="4387" width="11.5703125" style="1" customWidth="1"/>
    <col min="4388" max="4388" width="13.85546875" style="1" customWidth="1"/>
    <col min="4389" max="4389" width="33.140625" style="1" customWidth="1"/>
    <col min="4390" max="4390" width="13.140625" style="1" customWidth="1"/>
    <col min="4391" max="4391" width="14.5703125" style="1" customWidth="1"/>
    <col min="4392" max="4392" width="21" style="1" customWidth="1"/>
    <col min="4393" max="4393" width="13.85546875" style="1" customWidth="1"/>
    <col min="4394" max="4394" width="13.7109375" style="1" customWidth="1"/>
    <col min="4395" max="4395" width="13.28515625" style="1" customWidth="1"/>
    <col min="4396" max="4396" width="12.28515625" style="1" customWidth="1"/>
    <col min="4397" max="4404" width="9.140625" style="1"/>
    <col min="4405" max="4405" width="10.140625" style="1" customWidth="1"/>
    <col min="4406" max="4407" width="9.140625" style="1"/>
    <col min="4408" max="4408" width="55.28515625" style="1" customWidth="1"/>
    <col min="4409" max="4608" width="9.140625" style="1"/>
    <col min="4609" max="4609" width="16.85546875" style="1" customWidth="1"/>
    <col min="4610" max="4610" width="13.5703125" style="1" customWidth="1"/>
    <col min="4611" max="4611" width="11.5703125" style="1" customWidth="1"/>
    <col min="4612" max="4612" width="28.85546875" style="1" bestFit="1" customWidth="1"/>
    <col min="4613" max="4613" width="13.7109375" style="1" customWidth="1"/>
    <col min="4614" max="4614" width="48.85546875" style="1" customWidth="1"/>
    <col min="4615" max="4615" width="11" style="1" customWidth="1"/>
    <col min="4616" max="4616" width="12.7109375" style="1" customWidth="1"/>
    <col min="4617" max="4617" width="35.28515625" style="1" customWidth="1"/>
    <col min="4618" max="4618" width="21.5703125" style="1" customWidth="1"/>
    <col min="4619" max="4619" width="10.5703125" style="1" customWidth="1"/>
    <col min="4620" max="4620" width="16" style="1" bestFit="1" customWidth="1"/>
    <col min="4621" max="4621" width="10.5703125" style="1" customWidth="1"/>
    <col min="4622" max="4622" width="11.5703125" style="1" customWidth="1"/>
    <col min="4623" max="4623" width="10.5703125" style="1" customWidth="1"/>
    <col min="4624" max="4624" width="12.5703125" style="1" customWidth="1"/>
    <col min="4625" max="4625" width="16.28515625" style="1" customWidth="1"/>
    <col min="4626" max="4626" width="10.5703125" style="1" customWidth="1"/>
    <col min="4627" max="4627" width="13.140625" style="1" customWidth="1"/>
    <col min="4628" max="4628" width="13" style="1" customWidth="1"/>
    <col min="4629" max="4629" width="12.140625" style="1" customWidth="1"/>
    <col min="4630" max="4630" width="10.5703125" style="1" customWidth="1"/>
    <col min="4631" max="4631" width="14.7109375" style="1" customWidth="1"/>
    <col min="4632" max="4632" width="42.42578125" style="1" customWidth="1"/>
    <col min="4633" max="4633" width="13.7109375" style="1" customWidth="1"/>
    <col min="4634" max="4638" width="10.5703125" style="1" customWidth="1"/>
    <col min="4639" max="4639" width="21" style="1" customWidth="1"/>
    <col min="4640" max="4640" width="18.7109375" style="1" customWidth="1"/>
    <col min="4641" max="4641" width="16.140625" style="1" customWidth="1"/>
    <col min="4642" max="4642" width="20.85546875" style="1" customWidth="1"/>
    <col min="4643" max="4643" width="11.5703125" style="1" customWidth="1"/>
    <col min="4644" max="4644" width="13.85546875" style="1" customWidth="1"/>
    <col min="4645" max="4645" width="33.140625" style="1" customWidth="1"/>
    <col min="4646" max="4646" width="13.140625" style="1" customWidth="1"/>
    <col min="4647" max="4647" width="14.5703125" style="1" customWidth="1"/>
    <col min="4648" max="4648" width="21" style="1" customWidth="1"/>
    <col min="4649" max="4649" width="13.85546875" style="1" customWidth="1"/>
    <col min="4650" max="4650" width="13.7109375" style="1" customWidth="1"/>
    <col min="4651" max="4651" width="13.28515625" style="1" customWidth="1"/>
    <col min="4652" max="4652" width="12.28515625" style="1" customWidth="1"/>
    <col min="4653" max="4660" width="9.140625" style="1"/>
    <col min="4661" max="4661" width="10.140625" style="1" customWidth="1"/>
    <col min="4662" max="4663" width="9.140625" style="1"/>
    <col min="4664" max="4664" width="55.28515625" style="1" customWidth="1"/>
    <col min="4665" max="4864" width="9.140625" style="1"/>
    <col min="4865" max="4865" width="16.85546875" style="1" customWidth="1"/>
    <col min="4866" max="4866" width="13.5703125" style="1" customWidth="1"/>
    <col min="4867" max="4867" width="11.5703125" style="1" customWidth="1"/>
    <col min="4868" max="4868" width="28.85546875" style="1" bestFit="1" customWidth="1"/>
    <col min="4869" max="4869" width="13.7109375" style="1" customWidth="1"/>
    <col min="4870" max="4870" width="48.85546875" style="1" customWidth="1"/>
    <col min="4871" max="4871" width="11" style="1" customWidth="1"/>
    <col min="4872" max="4872" width="12.7109375" style="1" customWidth="1"/>
    <col min="4873" max="4873" width="35.28515625" style="1" customWidth="1"/>
    <col min="4874" max="4874" width="21.5703125" style="1" customWidth="1"/>
    <col min="4875" max="4875" width="10.5703125" style="1" customWidth="1"/>
    <col min="4876" max="4876" width="16" style="1" bestFit="1" customWidth="1"/>
    <col min="4877" max="4877" width="10.5703125" style="1" customWidth="1"/>
    <col min="4878" max="4878" width="11.5703125" style="1" customWidth="1"/>
    <col min="4879" max="4879" width="10.5703125" style="1" customWidth="1"/>
    <col min="4880" max="4880" width="12.5703125" style="1" customWidth="1"/>
    <col min="4881" max="4881" width="16.28515625" style="1" customWidth="1"/>
    <col min="4882" max="4882" width="10.5703125" style="1" customWidth="1"/>
    <col min="4883" max="4883" width="13.140625" style="1" customWidth="1"/>
    <col min="4884" max="4884" width="13" style="1" customWidth="1"/>
    <col min="4885" max="4885" width="12.140625" style="1" customWidth="1"/>
    <col min="4886" max="4886" width="10.5703125" style="1" customWidth="1"/>
    <col min="4887" max="4887" width="14.7109375" style="1" customWidth="1"/>
    <col min="4888" max="4888" width="42.42578125" style="1" customWidth="1"/>
    <col min="4889" max="4889" width="13.7109375" style="1" customWidth="1"/>
    <col min="4890" max="4894" width="10.5703125" style="1" customWidth="1"/>
    <col min="4895" max="4895" width="21" style="1" customWidth="1"/>
    <col min="4896" max="4896" width="18.7109375" style="1" customWidth="1"/>
    <col min="4897" max="4897" width="16.140625" style="1" customWidth="1"/>
    <col min="4898" max="4898" width="20.85546875" style="1" customWidth="1"/>
    <col min="4899" max="4899" width="11.5703125" style="1" customWidth="1"/>
    <col min="4900" max="4900" width="13.85546875" style="1" customWidth="1"/>
    <col min="4901" max="4901" width="33.140625" style="1" customWidth="1"/>
    <col min="4902" max="4902" width="13.140625" style="1" customWidth="1"/>
    <col min="4903" max="4903" width="14.5703125" style="1" customWidth="1"/>
    <col min="4904" max="4904" width="21" style="1" customWidth="1"/>
    <col min="4905" max="4905" width="13.85546875" style="1" customWidth="1"/>
    <col min="4906" max="4906" width="13.7109375" style="1" customWidth="1"/>
    <col min="4907" max="4907" width="13.28515625" style="1" customWidth="1"/>
    <col min="4908" max="4908" width="12.28515625" style="1" customWidth="1"/>
    <col min="4909" max="4916" width="9.140625" style="1"/>
    <col min="4917" max="4917" width="10.140625" style="1" customWidth="1"/>
    <col min="4918" max="4919" width="9.140625" style="1"/>
    <col min="4920" max="4920" width="55.28515625" style="1" customWidth="1"/>
    <col min="4921" max="5120" width="9.140625" style="1"/>
    <col min="5121" max="5121" width="16.85546875" style="1" customWidth="1"/>
    <col min="5122" max="5122" width="13.5703125" style="1" customWidth="1"/>
    <col min="5123" max="5123" width="11.5703125" style="1" customWidth="1"/>
    <col min="5124" max="5124" width="28.85546875" style="1" bestFit="1" customWidth="1"/>
    <col min="5125" max="5125" width="13.7109375" style="1" customWidth="1"/>
    <col min="5126" max="5126" width="48.85546875" style="1" customWidth="1"/>
    <col min="5127" max="5127" width="11" style="1" customWidth="1"/>
    <col min="5128" max="5128" width="12.7109375" style="1" customWidth="1"/>
    <col min="5129" max="5129" width="35.28515625" style="1" customWidth="1"/>
    <col min="5130" max="5130" width="21.5703125" style="1" customWidth="1"/>
    <col min="5131" max="5131" width="10.5703125" style="1" customWidth="1"/>
    <col min="5132" max="5132" width="16" style="1" bestFit="1" customWidth="1"/>
    <col min="5133" max="5133" width="10.5703125" style="1" customWidth="1"/>
    <col min="5134" max="5134" width="11.5703125" style="1" customWidth="1"/>
    <col min="5135" max="5135" width="10.5703125" style="1" customWidth="1"/>
    <col min="5136" max="5136" width="12.5703125" style="1" customWidth="1"/>
    <col min="5137" max="5137" width="16.28515625" style="1" customWidth="1"/>
    <col min="5138" max="5138" width="10.5703125" style="1" customWidth="1"/>
    <col min="5139" max="5139" width="13.140625" style="1" customWidth="1"/>
    <col min="5140" max="5140" width="13" style="1" customWidth="1"/>
    <col min="5141" max="5141" width="12.140625" style="1" customWidth="1"/>
    <col min="5142" max="5142" width="10.5703125" style="1" customWidth="1"/>
    <col min="5143" max="5143" width="14.7109375" style="1" customWidth="1"/>
    <col min="5144" max="5144" width="42.42578125" style="1" customWidth="1"/>
    <col min="5145" max="5145" width="13.7109375" style="1" customWidth="1"/>
    <col min="5146" max="5150" width="10.5703125" style="1" customWidth="1"/>
    <col min="5151" max="5151" width="21" style="1" customWidth="1"/>
    <col min="5152" max="5152" width="18.7109375" style="1" customWidth="1"/>
    <col min="5153" max="5153" width="16.140625" style="1" customWidth="1"/>
    <col min="5154" max="5154" width="20.85546875" style="1" customWidth="1"/>
    <col min="5155" max="5155" width="11.5703125" style="1" customWidth="1"/>
    <col min="5156" max="5156" width="13.85546875" style="1" customWidth="1"/>
    <col min="5157" max="5157" width="33.140625" style="1" customWidth="1"/>
    <col min="5158" max="5158" width="13.140625" style="1" customWidth="1"/>
    <col min="5159" max="5159" width="14.5703125" style="1" customWidth="1"/>
    <col min="5160" max="5160" width="21" style="1" customWidth="1"/>
    <col min="5161" max="5161" width="13.85546875" style="1" customWidth="1"/>
    <col min="5162" max="5162" width="13.7109375" style="1" customWidth="1"/>
    <col min="5163" max="5163" width="13.28515625" style="1" customWidth="1"/>
    <col min="5164" max="5164" width="12.28515625" style="1" customWidth="1"/>
    <col min="5165" max="5172" width="9.140625" style="1"/>
    <col min="5173" max="5173" width="10.140625" style="1" customWidth="1"/>
    <col min="5174" max="5175" width="9.140625" style="1"/>
    <col min="5176" max="5176" width="55.28515625" style="1" customWidth="1"/>
    <col min="5177" max="5376" width="9.140625" style="1"/>
    <col min="5377" max="5377" width="16.85546875" style="1" customWidth="1"/>
    <col min="5378" max="5378" width="13.5703125" style="1" customWidth="1"/>
    <col min="5379" max="5379" width="11.5703125" style="1" customWidth="1"/>
    <col min="5380" max="5380" width="28.85546875" style="1" bestFit="1" customWidth="1"/>
    <col min="5381" max="5381" width="13.7109375" style="1" customWidth="1"/>
    <col min="5382" max="5382" width="48.85546875" style="1" customWidth="1"/>
    <col min="5383" max="5383" width="11" style="1" customWidth="1"/>
    <col min="5384" max="5384" width="12.7109375" style="1" customWidth="1"/>
    <col min="5385" max="5385" width="35.28515625" style="1" customWidth="1"/>
    <col min="5386" max="5386" width="21.5703125" style="1" customWidth="1"/>
    <col min="5387" max="5387" width="10.5703125" style="1" customWidth="1"/>
    <col min="5388" max="5388" width="16" style="1" bestFit="1" customWidth="1"/>
    <col min="5389" max="5389" width="10.5703125" style="1" customWidth="1"/>
    <col min="5390" max="5390" width="11.5703125" style="1" customWidth="1"/>
    <col min="5391" max="5391" width="10.5703125" style="1" customWidth="1"/>
    <col min="5392" max="5392" width="12.5703125" style="1" customWidth="1"/>
    <col min="5393" max="5393" width="16.28515625" style="1" customWidth="1"/>
    <col min="5394" max="5394" width="10.5703125" style="1" customWidth="1"/>
    <col min="5395" max="5395" width="13.140625" style="1" customWidth="1"/>
    <col min="5396" max="5396" width="13" style="1" customWidth="1"/>
    <col min="5397" max="5397" width="12.140625" style="1" customWidth="1"/>
    <col min="5398" max="5398" width="10.5703125" style="1" customWidth="1"/>
    <col min="5399" max="5399" width="14.7109375" style="1" customWidth="1"/>
    <col min="5400" max="5400" width="42.42578125" style="1" customWidth="1"/>
    <col min="5401" max="5401" width="13.7109375" style="1" customWidth="1"/>
    <col min="5402" max="5406" width="10.5703125" style="1" customWidth="1"/>
    <col min="5407" max="5407" width="21" style="1" customWidth="1"/>
    <col min="5408" max="5408" width="18.7109375" style="1" customWidth="1"/>
    <col min="5409" max="5409" width="16.140625" style="1" customWidth="1"/>
    <col min="5410" max="5410" width="20.85546875" style="1" customWidth="1"/>
    <col min="5411" max="5411" width="11.5703125" style="1" customWidth="1"/>
    <col min="5412" max="5412" width="13.85546875" style="1" customWidth="1"/>
    <col min="5413" max="5413" width="33.140625" style="1" customWidth="1"/>
    <col min="5414" max="5414" width="13.140625" style="1" customWidth="1"/>
    <col min="5415" max="5415" width="14.5703125" style="1" customWidth="1"/>
    <col min="5416" max="5416" width="21" style="1" customWidth="1"/>
    <col min="5417" max="5417" width="13.85546875" style="1" customWidth="1"/>
    <col min="5418" max="5418" width="13.7109375" style="1" customWidth="1"/>
    <col min="5419" max="5419" width="13.28515625" style="1" customWidth="1"/>
    <col min="5420" max="5420" width="12.28515625" style="1" customWidth="1"/>
    <col min="5421" max="5428" width="9.140625" style="1"/>
    <col min="5429" max="5429" width="10.140625" style="1" customWidth="1"/>
    <col min="5430" max="5431" width="9.140625" style="1"/>
    <col min="5432" max="5432" width="55.28515625" style="1" customWidth="1"/>
    <col min="5433" max="5632" width="9.140625" style="1"/>
    <col min="5633" max="5633" width="16.85546875" style="1" customWidth="1"/>
    <col min="5634" max="5634" width="13.5703125" style="1" customWidth="1"/>
    <col min="5635" max="5635" width="11.5703125" style="1" customWidth="1"/>
    <col min="5636" max="5636" width="28.85546875" style="1" bestFit="1" customWidth="1"/>
    <col min="5637" max="5637" width="13.7109375" style="1" customWidth="1"/>
    <col min="5638" max="5638" width="48.85546875" style="1" customWidth="1"/>
    <col min="5639" max="5639" width="11" style="1" customWidth="1"/>
    <col min="5640" max="5640" width="12.7109375" style="1" customWidth="1"/>
    <col min="5641" max="5641" width="35.28515625" style="1" customWidth="1"/>
    <col min="5642" max="5642" width="21.5703125" style="1" customWidth="1"/>
    <col min="5643" max="5643" width="10.5703125" style="1" customWidth="1"/>
    <col min="5644" max="5644" width="16" style="1" bestFit="1" customWidth="1"/>
    <col min="5645" max="5645" width="10.5703125" style="1" customWidth="1"/>
    <col min="5646" max="5646" width="11.5703125" style="1" customWidth="1"/>
    <col min="5647" max="5647" width="10.5703125" style="1" customWidth="1"/>
    <col min="5648" max="5648" width="12.5703125" style="1" customWidth="1"/>
    <col min="5649" max="5649" width="16.28515625" style="1" customWidth="1"/>
    <col min="5650" max="5650" width="10.5703125" style="1" customWidth="1"/>
    <col min="5651" max="5651" width="13.140625" style="1" customWidth="1"/>
    <col min="5652" max="5652" width="13" style="1" customWidth="1"/>
    <col min="5653" max="5653" width="12.140625" style="1" customWidth="1"/>
    <col min="5654" max="5654" width="10.5703125" style="1" customWidth="1"/>
    <col min="5655" max="5655" width="14.7109375" style="1" customWidth="1"/>
    <col min="5656" max="5656" width="42.42578125" style="1" customWidth="1"/>
    <col min="5657" max="5657" width="13.7109375" style="1" customWidth="1"/>
    <col min="5658" max="5662" width="10.5703125" style="1" customWidth="1"/>
    <col min="5663" max="5663" width="21" style="1" customWidth="1"/>
    <col min="5664" max="5664" width="18.7109375" style="1" customWidth="1"/>
    <col min="5665" max="5665" width="16.140625" style="1" customWidth="1"/>
    <col min="5666" max="5666" width="20.85546875" style="1" customWidth="1"/>
    <col min="5667" max="5667" width="11.5703125" style="1" customWidth="1"/>
    <col min="5668" max="5668" width="13.85546875" style="1" customWidth="1"/>
    <col min="5669" max="5669" width="33.140625" style="1" customWidth="1"/>
    <col min="5670" max="5670" width="13.140625" style="1" customWidth="1"/>
    <col min="5671" max="5671" width="14.5703125" style="1" customWidth="1"/>
    <col min="5672" max="5672" width="21" style="1" customWidth="1"/>
    <col min="5673" max="5673" width="13.85546875" style="1" customWidth="1"/>
    <col min="5674" max="5674" width="13.7109375" style="1" customWidth="1"/>
    <col min="5675" max="5675" width="13.28515625" style="1" customWidth="1"/>
    <col min="5676" max="5676" width="12.28515625" style="1" customWidth="1"/>
    <col min="5677" max="5684" width="9.140625" style="1"/>
    <col min="5685" max="5685" width="10.140625" style="1" customWidth="1"/>
    <col min="5686" max="5687" width="9.140625" style="1"/>
    <col min="5688" max="5688" width="55.28515625" style="1" customWidth="1"/>
    <col min="5689" max="5888" width="9.140625" style="1"/>
    <col min="5889" max="5889" width="16.85546875" style="1" customWidth="1"/>
    <col min="5890" max="5890" width="13.5703125" style="1" customWidth="1"/>
    <col min="5891" max="5891" width="11.5703125" style="1" customWidth="1"/>
    <col min="5892" max="5892" width="28.85546875" style="1" bestFit="1" customWidth="1"/>
    <col min="5893" max="5893" width="13.7109375" style="1" customWidth="1"/>
    <col min="5894" max="5894" width="48.85546875" style="1" customWidth="1"/>
    <col min="5895" max="5895" width="11" style="1" customWidth="1"/>
    <col min="5896" max="5896" width="12.7109375" style="1" customWidth="1"/>
    <col min="5897" max="5897" width="35.28515625" style="1" customWidth="1"/>
    <col min="5898" max="5898" width="21.5703125" style="1" customWidth="1"/>
    <col min="5899" max="5899" width="10.5703125" style="1" customWidth="1"/>
    <col min="5900" max="5900" width="16" style="1" bestFit="1" customWidth="1"/>
    <col min="5901" max="5901" width="10.5703125" style="1" customWidth="1"/>
    <col min="5902" max="5902" width="11.5703125" style="1" customWidth="1"/>
    <col min="5903" max="5903" width="10.5703125" style="1" customWidth="1"/>
    <col min="5904" max="5904" width="12.5703125" style="1" customWidth="1"/>
    <col min="5905" max="5905" width="16.28515625" style="1" customWidth="1"/>
    <col min="5906" max="5906" width="10.5703125" style="1" customWidth="1"/>
    <col min="5907" max="5907" width="13.140625" style="1" customWidth="1"/>
    <col min="5908" max="5908" width="13" style="1" customWidth="1"/>
    <col min="5909" max="5909" width="12.140625" style="1" customWidth="1"/>
    <col min="5910" max="5910" width="10.5703125" style="1" customWidth="1"/>
    <col min="5911" max="5911" width="14.7109375" style="1" customWidth="1"/>
    <col min="5912" max="5912" width="42.42578125" style="1" customWidth="1"/>
    <col min="5913" max="5913" width="13.7109375" style="1" customWidth="1"/>
    <col min="5914" max="5918" width="10.5703125" style="1" customWidth="1"/>
    <col min="5919" max="5919" width="21" style="1" customWidth="1"/>
    <col min="5920" max="5920" width="18.7109375" style="1" customWidth="1"/>
    <col min="5921" max="5921" width="16.140625" style="1" customWidth="1"/>
    <col min="5922" max="5922" width="20.85546875" style="1" customWidth="1"/>
    <col min="5923" max="5923" width="11.5703125" style="1" customWidth="1"/>
    <col min="5924" max="5924" width="13.85546875" style="1" customWidth="1"/>
    <col min="5925" max="5925" width="33.140625" style="1" customWidth="1"/>
    <col min="5926" max="5926" width="13.140625" style="1" customWidth="1"/>
    <col min="5927" max="5927" width="14.5703125" style="1" customWidth="1"/>
    <col min="5928" max="5928" width="21" style="1" customWidth="1"/>
    <col min="5929" max="5929" width="13.85546875" style="1" customWidth="1"/>
    <col min="5930" max="5930" width="13.7109375" style="1" customWidth="1"/>
    <col min="5931" max="5931" width="13.28515625" style="1" customWidth="1"/>
    <col min="5932" max="5932" width="12.28515625" style="1" customWidth="1"/>
    <col min="5933" max="5940" width="9.140625" style="1"/>
    <col min="5941" max="5941" width="10.140625" style="1" customWidth="1"/>
    <col min="5942" max="5943" width="9.140625" style="1"/>
    <col min="5944" max="5944" width="55.28515625" style="1" customWidth="1"/>
    <col min="5945" max="6144" width="9.140625" style="1"/>
    <col min="6145" max="6145" width="16.85546875" style="1" customWidth="1"/>
    <col min="6146" max="6146" width="13.5703125" style="1" customWidth="1"/>
    <col min="6147" max="6147" width="11.5703125" style="1" customWidth="1"/>
    <col min="6148" max="6148" width="28.85546875" style="1" bestFit="1" customWidth="1"/>
    <col min="6149" max="6149" width="13.7109375" style="1" customWidth="1"/>
    <col min="6150" max="6150" width="48.85546875" style="1" customWidth="1"/>
    <col min="6151" max="6151" width="11" style="1" customWidth="1"/>
    <col min="6152" max="6152" width="12.7109375" style="1" customWidth="1"/>
    <col min="6153" max="6153" width="35.28515625" style="1" customWidth="1"/>
    <col min="6154" max="6154" width="21.5703125" style="1" customWidth="1"/>
    <col min="6155" max="6155" width="10.5703125" style="1" customWidth="1"/>
    <col min="6156" max="6156" width="16" style="1" bestFit="1" customWidth="1"/>
    <col min="6157" max="6157" width="10.5703125" style="1" customWidth="1"/>
    <col min="6158" max="6158" width="11.5703125" style="1" customWidth="1"/>
    <col min="6159" max="6159" width="10.5703125" style="1" customWidth="1"/>
    <col min="6160" max="6160" width="12.5703125" style="1" customWidth="1"/>
    <col min="6161" max="6161" width="16.28515625" style="1" customWidth="1"/>
    <col min="6162" max="6162" width="10.5703125" style="1" customWidth="1"/>
    <col min="6163" max="6163" width="13.140625" style="1" customWidth="1"/>
    <col min="6164" max="6164" width="13" style="1" customWidth="1"/>
    <col min="6165" max="6165" width="12.140625" style="1" customWidth="1"/>
    <col min="6166" max="6166" width="10.5703125" style="1" customWidth="1"/>
    <col min="6167" max="6167" width="14.7109375" style="1" customWidth="1"/>
    <col min="6168" max="6168" width="42.42578125" style="1" customWidth="1"/>
    <col min="6169" max="6169" width="13.7109375" style="1" customWidth="1"/>
    <col min="6170" max="6174" width="10.5703125" style="1" customWidth="1"/>
    <col min="6175" max="6175" width="21" style="1" customWidth="1"/>
    <col min="6176" max="6176" width="18.7109375" style="1" customWidth="1"/>
    <col min="6177" max="6177" width="16.140625" style="1" customWidth="1"/>
    <col min="6178" max="6178" width="20.85546875" style="1" customWidth="1"/>
    <col min="6179" max="6179" width="11.5703125" style="1" customWidth="1"/>
    <col min="6180" max="6180" width="13.85546875" style="1" customWidth="1"/>
    <col min="6181" max="6181" width="33.140625" style="1" customWidth="1"/>
    <col min="6182" max="6182" width="13.140625" style="1" customWidth="1"/>
    <col min="6183" max="6183" width="14.5703125" style="1" customWidth="1"/>
    <col min="6184" max="6184" width="21" style="1" customWidth="1"/>
    <col min="6185" max="6185" width="13.85546875" style="1" customWidth="1"/>
    <col min="6186" max="6186" width="13.7109375" style="1" customWidth="1"/>
    <col min="6187" max="6187" width="13.28515625" style="1" customWidth="1"/>
    <col min="6188" max="6188" width="12.28515625" style="1" customWidth="1"/>
    <col min="6189" max="6196" width="9.140625" style="1"/>
    <col min="6197" max="6197" width="10.140625" style="1" customWidth="1"/>
    <col min="6198" max="6199" width="9.140625" style="1"/>
    <col min="6200" max="6200" width="55.28515625" style="1" customWidth="1"/>
    <col min="6201" max="6400" width="9.140625" style="1"/>
    <col min="6401" max="6401" width="16.85546875" style="1" customWidth="1"/>
    <col min="6402" max="6402" width="13.5703125" style="1" customWidth="1"/>
    <col min="6403" max="6403" width="11.5703125" style="1" customWidth="1"/>
    <col min="6404" max="6404" width="28.85546875" style="1" bestFit="1" customWidth="1"/>
    <col min="6405" max="6405" width="13.7109375" style="1" customWidth="1"/>
    <col min="6406" max="6406" width="48.85546875" style="1" customWidth="1"/>
    <col min="6407" max="6407" width="11" style="1" customWidth="1"/>
    <col min="6408" max="6408" width="12.7109375" style="1" customWidth="1"/>
    <col min="6409" max="6409" width="35.28515625" style="1" customWidth="1"/>
    <col min="6410" max="6410" width="21.5703125" style="1" customWidth="1"/>
    <col min="6411" max="6411" width="10.5703125" style="1" customWidth="1"/>
    <col min="6412" max="6412" width="16" style="1" bestFit="1" customWidth="1"/>
    <col min="6413" max="6413" width="10.5703125" style="1" customWidth="1"/>
    <col min="6414" max="6414" width="11.5703125" style="1" customWidth="1"/>
    <col min="6415" max="6415" width="10.5703125" style="1" customWidth="1"/>
    <col min="6416" max="6416" width="12.5703125" style="1" customWidth="1"/>
    <col min="6417" max="6417" width="16.28515625" style="1" customWidth="1"/>
    <col min="6418" max="6418" width="10.5703125" style="1" customWidth="1"/>
    <col min="6419" max="6419" width="13.140625" style="1" customWidth="1"/>
    <col min="6420" max="6420" width="13" style="1" customWidth="1"/>
    <col min="6421" max="6421" width="12.140625" style="1" customWidth="1"/>
    <col min="6422" max="6422" width="10.5703125" style="1" customWidth="1"/>
    <col min="6423" max="6423" width="14.7109375" style="1" customWidth="1"/>
    <col min="6424" max="6424" width="42.42578125" style="1" customWidth="1"/>
    <col min="6425" max="6425" width="13.7109375" style="1" customWidth="1"/>
    <col min="6426" max="6430" width="10.5703125" style="1" customWidth="1"/>
    <col min="6431" max="6431" width="21" style="1" customWidth="1"/>
    <col min="6432" max="6432" width="18.7109375" style="1" customWidth="1"/>
    <col min="6433" max="6433" width="16.140625" style="1" customWidth="1"/>
    <col min="6434" max="6434" width="20.85546875" style="1" customWidth="1"/>
    <col min="6435" max="6435" width="11.5703125" style="1" customWidth="1"/>
    <col min="6436" max="6436" width="13.85546875" style="1" customWidth="1"/>
    <col min="6437" max="6437" width="33.140625" style="1" customWidth="1"/>
    <col min="6438" max="6438" width="13.140625" style="1" customWidth="1"/>
    <col min="6439" max="6439" width="14.5703125" style="1" customWidth="1"/>
    <col min="6440" max="6440" width="21" style="1" customWidth="1"/>
    <col min="6441" max="6441" width="13.85546875" style="1" customWidth="1"/>
    <col min="6442" max="6442" width="13.7109375" style="1" customWidth="1"/>
    <col min="6443" max="6443" width="13.28515625" style="1" customWidth="1"/>
    <col min="6444" max="6444" width="12.28515625" style="1" customWidth="1"/>
    <col min="6445" max="6452" width="9.140625" style="1"/>
    <col min="6453" max="6453" width="10.140625" style="1" customWidth="1"/>
    <col min="6454" max="6455" width="9.140625" style="1"/>
    <col min="6456" max="6456" width="55.28515625" style="1" customWidth="1"/>
    <col min="6457" max="6656" width="9.140625" style="1"/>
    <col min="6657" max="6657" width="16.85546875" style="1" customWidth="1"/>
    <col min="6658" max="6658" width="13.5703125" style="1" customWidth="1"/>
    <col min="6659" max="6659" width="11.5703125" style="1" customWidth="1"/>
    <col min="6660" max="6660" width="28.85546875" style="1" bestFit="1" customWidth="1"/>
    <col min="6661" max="6661" width="13.7109375" style="1" customWidth="1"/>
    <col min="6662" max="6662" width="48.85546875" style="1" customWidth="1"/>
    <col min="6663" max="6663" width="11" style="1" customWidth="1"/>
    <col min="6664" max="6664" width="12.7109375" style="1" customWidth="1"/>
    <col min="6665" max="6665" width="35.28515625" style="1" customWidth="1"/>
    <col min="6666" max="6666" width="21.5703125" style="1" customWidth="1"/>
    <col min="6667" max="6667" width="10.5703125" style="1" customWidth="1"/>
    <col min="6668" max="6668" width="16" style="1" bestFit="1" customWidth="1"/>
    <col min="6669" max="6669" width="10.5703125" style="1" customWidth="1"/>
    <col min="6670" max="6670" width="11.5703125" style="1" customWidth="1"/>
    <col min="6671" max="6671" width="10.5703125" style="1" customWidth="1"/>
    <col min="6672" max="6672" width="12.5703125" style="1" customWidth="1"/>
    <col min="6673" max="6673" width="16.28515625" style="1" customWidth="1"/>
    <col min="6674" max="6674" width="10.5703125" style="1" customWidth="1"/>
    <col min="6675" max="6675" width="13.140625" style="1" customWidth="1"/>
    <col min="6676" max="6676" width="13" style="1" customWidth="1"/>
    <col min="6677" max="6677" width="12.140625" style="1" customWidth="1"/>
    <col min="6678" max="6678" width="10.5703125" style="1" customWidth="1"/>
    <col min="6679" max="6679" width="14.7109375" style="1" customWidth="1"/>
    <col min="6680" max="6680" width="42.42578125" style="1" customWidth="1"/>
    <col min="6681" max="6681" width="13.7109375" style="1" customWidth="1"/>
    <col min="6682" max="6686" width="10.5703125" style="1" customWidth="1"/>
    <col min="6687" max="6687" width="21" style="1" customWidth="1"/>
    <col min="6688" max="6688" width="18.7109375" style="1" customWidth="1"/>
    <col min="6689" max="6689" width="16.140625" style="1" customWidth="1"/>
    <col min="6690" max="6690" width="20.85546875" style="1" customWidth="1"/>
    <col min="6691" max="6691" width="11.5703125" style="1" customWidth="1"/>
    <col min="6692" max="6692" width="13.85546875" style="1" customWidth="1"/>
    <col min="6693" max="6693" width="33.140625" style="1" customWidth="1"/>
    <col min="6694" max="6694" width="13.140625" style="1" customWidth="1"/>
    <col min="6695" max="6695" width="14.5703125" style="1" customWidth="1"/>
    <col min="6696" max="6696" width="21" style="1" customWidth="1"/>
    <col min="6697" max="6697" width="13.85546875" style="1" customWidth="1"/>
    <col min="6698" max="6698" width="13.7109375" style="1" customWidth="1"/>
    <col min="6699" max="6699" width="13.28515625" style="1" customWidth="1"/>
    <col min="6700" max="6700" width="12.28515625" style="1" customWidth="1"/>
    <col min="6701" max="6708" width="9.140625" style="1"/>
    <col min="6709" max="6709" width="10.140625" style="1" customWidth="1"/>
    <col min="6710" max="6711" width="9.140625" style="1"/>
    <col min="6712" max="6712" width="55.28515625" style="1" customWidth="1"/>
    <col min="6713" max="6912" width="9.140625" style="1"/>
    <col min="6913" max="6913" width="16.85546875" style="1" customWidth="1"/>
    <col min="6914" max="6914" width="13.5703125" style="1" customWidth="1"/>
    <col min="6915" max="6915" width="11.5703125" style="1" customWidth="1"/>
    <col min="6916" max="6916" width="28.85546875" style="1" bestFit="1" customWidth="1"/>
    <col min="6917" max="6917" width="13.7109375" style="1" customWidth="1"/>
    <col min="6918" max="6918" width="48.85546875" style="1" customWidth="1"/>
    <col min="6919" max="6919" width="11" style="1" customWidth="1"/>
    <col min="6920" max="6920" width="12.7109375" style="1" customWidth="1"/>
    <col min="6921" max="6921" width="35.28515625" style="1" customWidth="1"/>
    <col min="6922" max="6922" width="21.5703125" style="1" customWidth="1"/>
    <col min="6923" max="6923" width="10.5703125" style="1" customWidth="1"/>
    <col min="6924" max="6924" width="16" style="1" bestFit="1" customWidth="1"/>
    <col min="6925" max="6925" width="10.5703125" style="1" customWidth="1"/>
    <col min="6926" max="6926" width="11.5703125" style="1" customWidth="1"/>
    <col min="6927" max="6927" width="10.5703125" style="1" customWidth="1"/>
    <col min="6928" max="6928" width="12.5703125" style="1" customWidth="1"/>
    <col min="6929" max="6929" width="16.28515625" style="1" customWidth="1"/>
    <col min="6930" max="6930" width="10.5703125" style="1" customWidth="1"/>
    <col min="6931" max="6931" width="13.140625" style="1" customWidth="1"/>
    <col min="6932" max="6932" width="13" style="1" customWidth="1"/>
    <col min="6933" max="6933" width="12.140625" style="1" customWidth="1"/>
    <col min="6934" max="6934" width="10.5703125" style="1" customWidth="1"/>
    <col min="6935" max="6935" width="14.7109375" style="1" customWidth="1"/>
    <col min="6936" max="6936" width="42.42578125" style="1" customWidth="1"/>
    <col min="6937" max="6937" width="13.7109375" style="1" customWidth="1"/>
    <col min="6938" max="6942" width="10.5703125" style="1" customWidth="1"/>
    <col min="6943" max="6943" width="21" style="1" customWidth="1"/>
    <col min="6944" max="6944" width="18.7109375" style="1" customWidth="1"/>
    <col min="6945" max="6945" width="16.140625" style="1" customWidth="1"/>
    <col min="6946" max="6946" width="20.85546875" style="1" customWidth="1"/>
    <col min="6947" max="6947" width="11.5703125" style="1" customWidth="1"/>
    <col min="6948" max="6948" width="13.85546875" style="1" customWidth="1"/>
    <col min="6949" max="6949" width="33.140625" style="1" customWidth="1"/>
    <col min="6950" max="6950" width="13.140625" style="1" customWidth="1"/>
    <col min="6951" max="6951" width="14.5703125" style="1" customWidth="1"/>
    <col min="6952" max="6952" width="21" style="1" customWidth="1"/>
    <col min="6953" max="6953" width="13.85546875" style="1" customWidth="1"/>
    <col min="6954" max="6954" width="13.7109375" style="1" customWidth="1"/>
    <col min="6955" max="6955" width="13.28515625" style="1" customWidth="1"/>
    <col min="6956" max="6956" width="12.28515625" style="1" customWidth="1"/>
    <col min="6957" max="6964" width="9.140625" style="1"/>
    <col min="6965" max="6965" width="10.140625" style="1" customWidth="1"/>
    <col min="6966" max="6967" width="9.140625" style="1"/>
    <col min="6968" max="6968" width="55.28515625" style="1" customWidth="1"/>
    <col min="6969" max="7168" width="9.140625" style="1"/>
    <col min="7169" max="7169" width="16.85546875" style="1" customWidth="1"/>
    <col min="7170" max="7170" width="13.5703125" style="1" customWidth="1"/>
    <col min="7171" max="7171" width="11.5703125" style="1" customWidth="1"/>
    <col min="7172" max="7172" width="28.85546875" style="1" bestFit="1" customWidth="1"/>
    <col min="7173" max="7173" width="13.7109375" style="1" customWidth="1"/>
    <col min="7174" max="7174" width="48.85546875" style="1" customWidth="1"/>
    <col min="7175" max="7175" width="11" style="1" customWidth="1"/>
    <col min="7176" max="7176" width="12.7109375" style="1" customWidth="1"/>
    <col min="7177" max="7177" width="35.28515625" style="1" customWidth="1"/>
    <col min="7178" max="7178" width="21.5703125" style="1" customWidth="1"/>
    <col min="7179" max="7179" width="10.5703125" style="1" customWidth="1"/>
    <col min="7180" max="7180" width="16" style="1" bestFit="1" customWidth="1"/>
    <col min="7181" max="7181" width="10.5703125" style="1" customWidth="1"/>
    <col min="7182" max="7182" width="11.5703125" style="1" customWidth="1"/>
    <col min="7183" max="7183" width="10.5703125" style="1" customWidth="1"/>
    <col min="7184" max="7184" width="12.5703125" style="1" customWidth="1"/>
    <col min="7185" max="7185" width="16.28515625" style="1" customWidth="1"/>
    <col min="7186" max="7186" width="10.5703125" style="1" customWidth="1"/>
    <col min="7187" max="7187" width="13.140625" style="1" customWidth="1"/>
    <col min="7188" max="7188" width="13" style="1" customWidth="1"/>
    <col min="7189" max="7189" width="12.140625" style="1" customWidth="1"/>
    <col min="7190" max="7190" width="10.5703125" style="1" customWidth="1"/>
    <col min="7191" max="7191" width="14.7109375" style="1" customWidth="1"/>
    <col min="7192" max="7192" width="42.42578125" style="1" customWidth="1"/>
    <col min="7193" max="7193" width="13.7109375" style="1" customWidth="1"/>
    <col min="7194" max="7198" width="10.5703125" style="1" customWidth="1"/>
    <col min="7199" max="7199" width="21" style="1" customWidth="1"/>
    <col min="7200" max="7200" width="18.7109375" style="1" customWidth="1"/>
    <col min="7201" max="7201" width="16.140625" style="1" customWidth="1"/>
    <col min="7202" max="7202" width="20.85546875" style="1" customWidth="1"/>
    <col min="7203" max="7203" width="11.5703125" style="1" customWidth="1"/>
    <col min="7204" max="7204" width="13.85546875" style="1" customWidth="1"/>
    <col min="7205" max="7205" width="33.140625" style="1" customWidth="1"/>
    <col min="7206" max="7206" width="13.140625" style="1" customWidth="1"/>
    <col min="7207" max="7207" width="14.5703125" style="1" customWidth="1"/>
    <col min="7208" max="7208" width="21" style="1" customWidth="1"/>
    <col min="7209" max="7209" width="13.85546875" style="1" customWidth="1"/>
    <col min="7210" max="7210" width="13.7109375" style="1" customWidth="1"/>
    <col min="7211" max="7211" width="13.28515625" style="1" customWidth="1"/>
    <col min="7212" max="7212" width="12.28515625" style="1" customWidth="1"/>
    <col min="7213" max="7220" width="9.140625" style="1"/>
    <col min="7221" max="7221" width="10.140625" style="1" customWidth="1"/>
    <col min="7222" max="7223" width="9.140625" style="1"/>
    <col min="7224" max="7224" width="55.28515625" style="1" customWidth="1"/>
    <col min="7225" max="7424" width="9.140625" style="1"/>
    <col min="7425" max="7425" width="16.85546875" style="1" customWidth="1"/>
    <col min="7426" max="7426" width="13.5703125" style="1" customWidth="1"/>
    <col min="7427" max="7427" width="11.5703125" style="1" customWidth="1"/>
    <col min="7428" max="7428" width="28.85546875" style="1" bestFit="1" customWidth="1"/>
    <col min="7429" max="7429" width="13.7109375" style="1" customWidth="1"/>
    <col min="7430" max="7430" width="48.85546875" style="1" customWidth="1"/>
    <col min="7431" max="7431" width="11" style="1" customWidth="1"/>
    <col min="7432" max="7432" width="12.7109375" style="1" customWidth="1"/>
    <col min="7433" max="7433" width="35.28515625" style="1" customWidth="1"/>
    <col min="7434" max="7434" width="21.5703125" style="1" customWidth="1"/>
    <col min="7435" max="7435" width="10.5703125" style="1" customWidth="1"/>
    <col min="7436" max="7436" width="16" style="1" bestFit="1" customWidth="1"/>
    <col min="7437" max="7437" width="10.5703125" style="1" customWidth="1"/>
    <col min="7438" max="7438" width="11.5703125" style="1" customWidth="1"/>
    <col min="7439" max="7439" width="10.5703125" style="1" customWidth="1"/>
    <col min="7440" max="7440" width="12.5703125" style="1" customWidth="1"/>
    <col min="7441" max="7441" width="16.28515625" style="1" customWidth="1"/>
    <col min="7442" max="7442" width="10.5703125" style="1" customWidth="1"/>
    <col min="7443" max="7443" width="13.140625" style="1" customWidth="1"/>
    <col min="7444" max="7444" width="13" style="1" customWidth="1"/>
    <col min="7445" max="7445" width="12.140625" style="1" customWidth="1"/>
    <col min="7446" max="7446" width="10.5703125" style="1" customWidth="1"/>
    <col min="7447" max="7447" width="14.7109375" style="1" customWidth="1"/>
    <col min="7448" max="7448" width="42.42578125" style="1" customWidth="1"/>
    <col min="7449" max="7449" width="13.7109375" style="1" customWidth="1"/>
    <col min="7450" max="7454" width="10.5703125" style="1" customWidth="1"/>
    <col min="7455" max="7455" width="21" style="1" customWidth="1"/>
    <col min="7456" max="7456" width="18.7109375" style="1" customWidth="1"/>
    <col min="7457" max="7457" width="16.140625" style="1" customWidth="1"/>
    <col min="7458" max="7458" width="20.85546875" style="1" customWidth="1"/>
    <col min="7459" max="7459" width="11.5703125" style="1" customWidth="1"/>
    <col min="7460" max="7460" width="13.85546875" style="1" customWidth="1"/>
    <col min="7461" max="7461" width="33.140625" style="1" customWidth="1"/>
    <col min="7462" max="7462" width="13.140625" style="1" customWidth="1"/>
    <col min="7463" max="7463" width="14.5703125" style="1" customWidth="1"/>
    <col min="7464" max="7464" width="21" style="1" customWidth="1"/>
    <col min="7465" max="7465" width="13.85546875" style="1" customWidth="1"/>
    <col min="7466" max="7466" width="13.7109375" style="1" customWidth="1"/>
    <col min="7467" max="7467" width="13.28515625" style="1" customWidth="1"/>
    <col min="7468" max="7468" width="12.28515625" style="1" customWidth="1"/>
    <col min="7469" max="7476" width="9.140625" style="1"/>
    <col min="7477" max="7477" width="10.140625" style="1" customWidth="1"/>
    <col min="7478" max="7479" width="9.140625" style="1"/>
    <col min="7480" max="7480" width="55.28515625" style="1" customWidth="1"/>
    <col min="7481" max="7680" width="9.140625" style="1"/>
    <col min="7681" max="7681" width="16.85546875" style="1" customWidth="1"/>
    <col min="7682" max="7682" width="13.5703125" style="1" customWidth="1"/>
    <col min="7683" max="7683" width="11.5703125" style="1" customWidth="1"/>
    <col min="7684" max="7684" width="28.85546875" style="1" bestFit="1" customWidth="1"/>
    <col min="7685" max="7685" width="13.7109375" style="1" customWidth="1"/>
    <col min="7686" max="7686" width="48.85546875" style="1" customWidth="1"/>
    <col min="7687" max="7687" width="11" style="1" customWidth="1"/>
    <col min="7688" max="7688" width="12.7109375" style="1" customWidth="1"/>
    <col min="7689" max="7689" width="35.28515625" style="1" customWidth="1"/>
    <col min="7690" max="7690" width="21.5703125" style="1" customWidth="1"/>
    <col min="7691" max="7691" width="10.5703125" style="1" customWidth="1"/>
    <col min="7692" max="7692" width="16" style="1" bestFit="1" customWidth="1"/>
    <col min="7693" max="7693" width="10.5703125" style="1" customWidth="1"/>
    <col min="7694" max="7694" width="11.5703125" style="1" customWidth="1"/>
    <col min="7695" max="7695" width="10.5703125" style="1" customWidth="1"/>
    <col min="7696" max="7696" width="12.5703125" style="1" customWidth="1"/>
    <col min="7697" max="7697" width="16.28515625" style="1" customWidth="1"/>
    <col min="7698" max="7698" width="10.5703125" style="1" customWidth="1"/>
    <col min="7699" max="7699" width="13.140625" style="1" customWidth="1"/>
    <col min="7700" max="7700" width="13" style="1" customWidth="1"/>
    <col min="7701" max="7701" width="12.140625" style="1" customWidth="1"/>
    <col min="7702" max="7702" width="10.5703125" style="1" customWidth="1"/>
    <col min="7703" max="7703" width="14.7109375" style="1" customWidth="1"/>
    <col min="7704" max="7704" width="42.42578125" style="1" customWidth="1"/>
    <col min="7705" max="7705" width="13.7109375" style="1" customWidth="1"/>
    <col min="7706" max="7710" width="10.5703125" style="1" customWidth="1"/>
    <col min="7711" max="7711" width="21" style="1" customWidth="1"/>
    <col min="7712" max="7712" width="18.7109375" style="1" customWidth="1"/>
    <col min="7713" max="7713" width="16.140625" style="1" customWidth="1"/>
    <col min="7714" max="7714" width="20.85546875" style="1" customWidth="1"/>
    <col min="7715" max="7715" width="11.5703125" style="1" customWidth="1"/>
    <col min="7716" max="7716" width="13.85546875" style="1" customWidth="1"/>
    <col min="7717" max="7717" width="33.140625" style="1" customWidth="1"/>
    <col min="7718" max="7718" width="13.140625" style="1" customWidth="1"/>
    <col min="7719" max="7719" width="14.5703125" style="1" customWidth="1"/>
    <col min="7720" max="7720" width="21" style="1" customWidth="1"/>
    <col min="7721" max="7721" width="13.85546875" style="1" customWidth="1"/>
    <col min="7722" max="7722" width="13.7109375" style="1" customWidth="1"/>
    <col min="7723" max="7723" width="13.28515625" style="1" customWidth="1"/>
    <col min="7724" max="7724" width="12.28515625" style="1" customWidth="1"/>
    <col min="7725" max="7732" width="9.140625" style="1"/>
    <col min="7733" max="7733" width="10.140625" style="1" customWidth="1"/>
    <col min="7734" max="7735" width="9.140625" style="1"/>
    <col min="7736" max="7736" width="55.28515625" style="1" customWidth="1"/>
    <col min="7737" max="7936" width="9.140625" style="1"/>
    <col min="7937" max="7937" width="16.85546875" style="1" customWidth="1"/>
    <col min="7938" max="7938" width="13.5703125" style="1" customWidth="1"/>
    <col min="7939" max="7939" width="11.5703125" style="1" customWidth="1"/>
    <col min="7940" max="7940" width="28.85546875" style="1" bestFit="1" customWidth="1"/>
    <col min="7941" max="7941" width="13.7109375" style="1" customWidth="1"/>
    <col min="7942" max="7942" width="48.85546875" style="1" customWidth="1"/>
    <col min="7943" max="7943" width="11" style="1" customWidth="1"/>
    <col min="7944" max="7944" width="12.7109375" style="1" customWidth="1"/>
    <col min="7945" max="7945" width="35.28515625" style="1" customWidth="1"/>
    <col min="7946" max="7946" width="21.5703125" style="1" customWidth="1"/>
    <col min="7947" max="7947" width="10.5703125" style="1" customWidth="1"/>
    <col min="7948" max="7948" width="16" style="1" bestFit="1" customWidth="1"/>
    <col min="7949" max="7949" width="10.5703125" style="1" customWidth="1"/>
    <col min="7950" max="7950" width="11.5703125" style="1" customWidth="1"/>
    <col min="7951" max="7951" width="10.5703125" style="1" customWidth="1"/>
    <col min="7952" max="7952" width="12.5703125" style="1" customWidth="1"/>
    <col min="7953" max="7953" width="16.28515625" style="1" customWidth="1"/>
    <col min="7954" max="7954" width="10.5703125" style="1" customWidth="1"/>
    <col min="7955" max="7955" width="13.140625" style="1" customWidth="1"/>
    <col min="7956" max="7956" width="13" style="1" customWidth="1"/>
    <col min="7957" max="7957" width="12.140625" style="1" customWidth="1"/>
    <col min="7958" max="7958" width="10.5703125" style="1" customWidth="1"/>
    <col min="7959" max="7959" width="14.7109375" style="1" customWidth="1"/>
    <col min="7960" max="7960" width="42.42578125" style="1" customWidth="1"/>
    <col min="7961" max="7961" width="13.7109375" style="1" customWidth="1"/>
    <col min="7962" max="7966" width="10.5703125" style="1" customWidth="1"/>
    <col min="7967" max="7967" width="21" style="1" customWidth="1"/>
    <col min="7968" max="7968" width="18.7109375" style="1" customWidth="1"/>
    <col min="7969" max="7969" width="16.140625" style="1" customWidth="1"/>
    <col min="7970" max="7970" width="20.85546875" style="1" customWidth="1"/>
    <col min="7971" max="7971" width="11.5703125" style="1" customWidth="1"/>
    <col min="7972" max="7972" width="13.85546875" style="1" customWidth="1"/>
    <col min="7973" max="7973" width="33.140625" style="1" customWidth="1"/>
    <col min="7974" max="7974" width="13.140625" style="1" customWidth="1"/>
    <col min="7975" max="7975" width="14.5703125" style="1" customWidth="1"/>
    <col min="7976" max="7976" width="21" style="1" customWidth="1"/>
    <col min="7977" max="7977" width="13.85546875" style="1" customWidth="1"/>
    <col min="7978" max="7978" width="13.7109375" style="1" customWidth="1"/>
    <col min="7979" max="7979" width="13.28515625" style="1" customWidth="1"/>
    <col min="7980" max="7980" width="12.28515625" style="1" customWidth="1"/>
    <col min="7981" max="7988" width="9.140625" style="1"/>
    <col min="7989" max="7989" width="10.140625" style="1" customWidth="1"/>
    <col min="7990" max="7991" width="9.140625" style="1"/>
    <col min="7992" max="7992" width="55.28515625" style="1" customWidth="1"/>
    <col min="7993" max="8192" width="9.140625" style="1"/>
    <col min="8193" max="8193" width="16.85546875" style="1" customWidth="1"/>
    <col min="8194" max="8194" width="13.5703125" style="1" customWidth="1"/>
    <col min="8195" max="8195" width="11.5703125" style="1" customWidth="1"/>
    <col min="8196" max="8196" width="28.85546875" style="1" bestFit="1" customWidth="1"/>
    <col min="8197" max="8197" width="13.7109375" style="1" customWidth="1"/>
    <col min="8198" max="8198" width="48.85546875" style="1" customWidth="1"/>
    <col min="8199" max="8199" width="11" style="1" customWidth="1"/>
    <col min="8200" max="8200" width="12.7109375" style="1" customWidth="1"/>
    <col min="8201" max="8201" width="35.28515625" style="1" customWidth="1"/>
    <col min="8202" max="8202" width="21.5703125" style="1" customWidth="1"/>
    <col min="8203" max="8203" width="10.5703125" style="1" customWidth="1"/>
    <col min="8204" max="8204" width="16" style="1" bestFit="1" customWidth="1"/>
    <col min="8205" max="8205" width="10.5703125" style="1" customWidth="1"/>
    <col min="8206" max="8206" width="11.5703125" style="1" customWidth="1"/>
    <col min="8207" max="8207" width="10.5703125" style="1" customWidth="1"/>
    <col min="8208" max="8208" width="12.5703125" style="1" customWidth="1"/>
    <col min="8209" max="8209" width="16.28515625" style="1" customWidth="1"/>
    <col min="8210" max="8210" width="10.5703125" style="1" customWidth="1"/>
    <col min="8211" max="8211" width="13.140625" style="1" customWidth="1"/>
    <col min="8212" max="8212" width="13" style="1" customWidth="1"/>
    <col min="8213" max="8213" width="12.140625" style="1" customWidth="1"/>
    <col min="8214" max="8214" width="10.5703125" style="1" customWidth="1"/>
    <col min="8215" max="8215" width="14.7109375" style="1" customWidth="1"/>
    <col min="8216" max="8216" width="42.42578125" style="1" customWidth="1"/>
    <col min="8217" max="8217" width="13.7109375" style="1" customWidth="1"/>
    <col min="8218" max="8222" width="10.5703125" style="1" customWidth="1"/>
    <col min="8223" max="8223" width="21" style="1" customWidth="1"/>
    <col min="8224" max="8224" width="18.7109375" style="1" customWidth="1"/>
    <col min="8225" max="8225" width="16.140625" style="1" customWidth="1"/>
    <col min="8226" max="8226" width="20.85546875" style="1" customWidth="1"/>
    <col min="8227" max="8227" width="11.5703125" style="1" customWidth="1"/>
    <col min="8228" max="8228" width="13.85546875" style="1" customWidth="1"/>
    <col min="8229" max="8229" width="33.140625" style="1" customWidth="1"/>
    <col min="8230" max="8230" width="13.140625" style="1" customWidth="1"/>
    <col min="8231" max="8231" width="14.5703125" style="1" customWidth="1"/>
    <col min="8232" max="8232" width="21" style="1" customWidth="1"/>
    <col min="8233" max="8233" width="13.85546875" style="1" customWidth="1"/>
    <col min="8234" max="8234" width="13.7109375" style="1" customWidth="1"/>
    <col min="8235" max="8235" width="13.28515625" style="1" customWidth="1"/>
    <col min="8236" max="8236" width="12.28515625" style="1" customWidth="1"/>
    <col min="8237" max="8244" width="9.140625" style="1"/>
    <col min="8245" max="8245" width="10.140625" style="1" customWidth="1"/>
    <col min="8246" max="8247" width="9.140625" style="1"/>
    <col min="8248" max="8248" width="55.28515625" style="1" customWidth="1"/>
    <col min="8249" max="8448" width="9.140625" style="1"/>
    <col min="8449" max="8449" width="16.85546875" style="1" customWidth="1"/>
    <col min="8450" max="8450" width="13.5703125" style="1" customWidth="1"/>
    <col min="8451" max="8451" width="11.5703125" style="1" customWidth="1"/>
    <col min="8452" max="8452" width="28.85546875" style="1" bestFit="1" customWidth="1"/>
    <col min="8453" max="8453" width="13.7109375" style="1" customWidth="1"/>
    <col min="8454" max="8454" width="48.85546875" style="1" customWidth="1"/>
    <col min="8455" max="8455" width="11" style="1" customWidth="1"/>
    <col min="8456" max="8456" width="12.7109375" style="1" customWidth="1"/>
    <col min="8457" max="8457" width="35.28515625" style="1" customWidth="1"/>
    <col min="8458" max="8458" width="21.5703125" style="1" customWidth="1"/>
    <col min="8459" max="8459" width="10.5703125" style="1" customWidth="1"/>
    <col min="8460" max="8460" width="16" style="1" bestFit="1" customWidth="1"/>
    <col min="8461" max="8461" width="10.5703125" style="1" customWidth="1"/>
    <col min="8462" max="8462" width="11.5703125" style="1" customWidth="1"/>
    <col min="8463" max="8463" width="10.5703125" style="1" customWidth="1"/>
    <col min="8464" max="8464" width="12.5703125" style="1" customWidth="1"/>
    <col min="8465" max="8465" width="16.28515625" style="1" customWidth="1"/>
    <col min="8466" max="8466" width="10.5703125" style="1" customWidth="1"/>
    <col min="8467" max="8467" width="13.140625" style="1" customWidth="1"/>
    <col min="8468" max="8468" width="13" style="1" customWidth="1"/>
    <col min="8469" max="8469" width="12.140625" style="1" customWidth="1"/>
    <col min="8470" max="8470" width="10.5703125" style="1" customWidth="1"/>
    <col min="8471" max="8471" width="14.7109375" style="1" customWidth="1"/>
    <col min="8472" max="8472" width="42.42578125" style="1" customWidth="1"/>
    <col min="8473" max="8473" width="13.7109375" style="1" customWidth="1"/>
    <col min="8474" max="8478" width="10.5703125" style="1" customWidth="1"/>
    <col min="8479" max="8479" width="21" style="1" customWidth="1"/>
    <col min="8480" max="8480" width="18.7109375" style="1" customWidth="1"/>
    <col min="8481" max="8481" width="16.140625" style="1" customWidth="1"/>
    <col min="8482" max="8482" width="20.85546875" style="1" customWidth="1"/>
    <col min="8483" max="8483" width="11.5703125" style="1" customWidth="1"/>
    <col min="8484" max="8484" width="13.85546875" style="1" customWidth="1"/>
    <col min="8485" max="8485" width="33.140625" style="1" customWidth="1"/>
    <col min="8486" max="8486" width="13.140625" style="1" customWidth="1"/>
    <col min="8487" max="8487" width="14.5703125" style="1" customWidth="1"/>
    <col min="8488" max="8488" width="21" style="1" customWidth="1"/>
    <col min="8489" max="8489" width="13.85546875" style="1" customWidth="1"/>
    <col min="8490" max="8490" width="13.7109375" style="1" customWidth="1"/>
    <col min="8491" max="8491" width="13.28515625" style="1" customWidth="1"/>
    <col min="8492" max="8492" width="12.28515625" style="1" customWidth="1"/>
    <col min="8493" max="8500" width="9.140625" style="1"/>
    <col min="8501" max="8501" width="10.140625" style="1" customWidth="1"/>
    <col min="8502" max="8503" width="9.140625" style="1"/>
    <col min="8504" max="8504" width="55.28515625" style="1" customWidth="1"/>
    <col min="8505" max="8704" width="9.140625" style="1"/>
    <col min="8705" max="8705" width="16.85546875" style="1" customWidth="1"/>
    <col min="8706" max="8706" width="13.5703125" style="1" customWidth="1"/>
    <col min="8707" max="8707" width="11.5703125" style="1" customWidth="1"/>
    <col min="8708" max="8708" width="28.85546875" style="1" bestFit="1" customWidth="1"/>
    <col min="8709" max="8709" width="13.7109375" style="1" customWidth="1"/>
    <col min="8710" max="8710" width="48.85546875" style="1" customWidth="1"/>
    <col min="8711" max="8711" width="11" style="1" customWidth="1"/>
    <col min="8712" max="8712" width="12.7109375" style="1" customWidth="1"/>
    <col min="8713" max="8713" width="35.28515625" style="1" customWidth="1"/>
    <col min="8714" max="8714" width="21.5703125" style="1" customWidth="1"/>
    <col min="8715" max="8715" width="10.5703125" style="1" customWidth="1"/>
    <col min="8716" max="8716" width="16" style="1" bestFit="1" customWidth="1"/>
    <col min="8717" max="8717" width="10.5703125" style="1" customWidth="1"/>
    <col min="8718" max="8718" width="11.5703125" style="1" customWidth="1"/>
    <col min="8719" max="8719" width="10.5703125" style="1" customWidth="1"/>
    <col min="8720" max="8720" width="12.5703125" style="1" customWidth="1"/>
    <col min="8721" max="8721" width="16.28515625" style="1" customWidth="1"/>
    <col min="8722" max="8722" width="10.5703125" style="1" customWidth="1"/>
    <col min="8723" max="8723" width="13.140625" style="1" customWidth="1"/>
    <col min="8724" max="8724" width="13" style="1" customWidth="1"/>
    <col min="8725" max="8725" width="12.140625" style="1" customWidth="1"/>
    <col min="8726" max="8726" width="10.5703125" style="1" customWidth="1"/>
    <col min="8727" max="8727" width="14.7109375" style="1" customWidth="1"/>
    <col min="8728" max="8728" width="42.42578125" style="1" customWidth="1"/>
    <col min="8729" max="8729" width="13.7109375" style="1" customWidth="1"/>
    <col min="8730" max="8734" width="10.5703125" style="1" customWidth="1"/>
    <col min="8735" max="8735" width="21" style="1" customWidth="1"/>
    <col min="8736" max="8736" width="18.7109375" style="1" customWidth="1"/>
    <col min="8737" max="8737" width="16.140625" style="1" customWidth="1"/>
    <col min="8738" max="8738" width="20.85546875" style="1" customWidth="1"/>
    <col min="8739" max="8739" width="11.5703125" style="1" customWidth="1"/>
    <col min="8740" max="8740" width="13.85546875" style="1" customWidth="1"/>
    <col min="8741" max="8741" width="33.140625" style="1" customWidth="1"/>
    <col min="8742" max="8742" width="13.140625" style="1" customWidth="1"/>
    <col min="8743" max="8743" width="14.5703125" style="1" customWidth="1"/>
    <col min="8744" max="8744" width="21" style="1" customWidth="1"/>
    <col min="8745" max="8745" width="13.85546875" style="1" customWidth="1"/>
    <col min="8746" max="8746" width="13.7109375" style="1" customWidth="1"/>
    <col min="8747" max="8747" width="13.28515625" style="1" customWidth="1"/>
    <col min="8748" max="8748" width="12.28515625" style="1" customWidth="1"/>
    <col min="8749" max="8756" width="9.140625" style="1"/>
    <col min="8757" max="8757" width="10.140625" style="1" customWidth="1"/>
    <col min="8758" max="8759" width="9.140625" style="1"/>
    <col min="8760" max="8760" width="55.28515625" style="1" customWidth="1"/>
    <col min="8761" max="8960" width="9.140625" style="1"/>
    <col min="8961" max="8961" width="16.85546875" style="1" customWidth="1"/>
    <col min="8962" max="8962" width="13.5703125" style="1" customWidth="1"/>
    <col min="8963" max="8963" width="11.5703125" style="1" customWidth="1"/>
    <col min="8964" max="8964" width="28.85546875" style="1" bestFit="1" customWidth="1"/>
    <col min="8965" max="8965" width="13.7109375" style="1" customWidth="1"/>
    <col min="8966" max="8966" width="48.85546875" style="1" customWidth="1"/>
    <col min="8967" max="8967" width="11" style="1" customWidth="1"/>
    <col min="8968" max="8968" width="12.7109375" style="1" customWidth="1"/>
    <col min="8969" max="8969" width="35.28515625" style="1" customWidth="1"/>
    <col min="8970" max="8970" width="21.5703125" style="1" customWidth="1"/>
    <col min="8971" max="8971" width="10.5703125" style="1" customWidth="1"/>
    <col min="8972" max="8972" width="16" style="1" bestFit="1" customWidth="1"/>
    <col min="8973" max="8973" width="10.5703125" style="1" customWidth="1"/>
    <col min="8974" max="8974" width="11.5703125" style="1" customWidth="1"/>
    <col min="8975" max="8975" width="10.5703125" style="1" customWidth="1"/>
    <col min="8976" max="8976" width="12.5703125" style="1" customWidth="1"/>
    <col min="8977" max="8977" width="16.28515625" style="1" customWidth="1"/>
    <col min="8978" max="8978" width="10.5703125" style="1" customWidth="1"/>
    <col min="8979" max="8979" width="13.140625" style="1" customWidth="1"/>
    <col min="8980" max="8980" width="13" style="1" customWidth="1"/>
    <col min="8981" max="8981" width="12.140625" style="1" customWidth="1"/>
    <col min="8982" max="8982" width="10.5703125" style="1" customWidth="1"/>
    <col min="8983" max="8983" width="14.7109375" style="1" customWidth="1"/>
    <col min="8984" max="8984" width="42.42578125" style="1" customWidth="1"/>
    <col min="8985" max="8985" width="13.7109375" style="1" customWidth="1"/>
    <col min="8986" max="8990" width="10.5703125" style="1" customWidth="1"/>
    <col min="8991" max="8991" width="21" style="1" customWidth="1"/>
    <col min="8992" max="8992" width="18.7109375" style="1" customWidth="1"/>
    <col min="8993" max="8993" width="16.140625" style="1" customWidth="1"/>
    <col min="8994" max="8994" width="20.85546875" style="1" customWidth="1"/>
    <col min="8995" max="8995" width="11.5703125" style="1" customWidth="1"/>
    <col min="8996" max="8996" width="13.85546875" style="1" customWidth="1"/>
    <col min="8997" max="8997" width="33.140625" style="1" customWidth="1"/>
    <col min="8998" max="8998" width="13.140625" style="1" customWidth="1"/>
    <col min="8999" max="8999" width="14.5703125" style="1" customWidth="1"/>
    <col min="9000" max="9000" width="21" style="1" customWidth="1"/>
    <col min="9001" max="9001" width="13.85546875" style="1" customWidth="1"/>
    <col min="9002" max="9002" width="13.7109375" style="1" customWidth="1"/>
    <col min="9003" max="9003" width="13.28515625" style="1" customWidth="1"/>
    <col min="9004" max="9004" width="12.28515625" style="1" customWidth="1"/>
    <col min="9005" max="9012" width="9.140625" style="1"/>
    <col min="9013" max="9013" width="10.140625" style="1" customWidth="1"/>
    <col min="9014" max="9015" width="9.140625" style="1"/>
    <col min="9016" max="9016" width="55.28515625" style="1" customWidth="1"/>
    <col min="9017" max="9216" width="9.140625" style="1"/>
    <col min="9217" max="9217" width="16.85546875" style="1" customWidth="1"/>
    <col min="9218" max="9218" width="13.5703125" style="1" customWidth="1"/>
    <col min="9219" max="9219" width="11.5703125" style="1" customWidth="1"/>
    <col min="9220" max="9220" width="28.85546875" style="1" bestFit="1" customWidth="1"/>
    <col min="9221" max="9221" width="13.7109375" style="1" customWidth="1"/>
    <col min="9222" max="9222" width="48.85546875" style="1" customWidth="1"/>
    <col min="9223" max="9223" width="11" style="1" customWidth="1"/>
    <col min="9224" max="9224" width="12.7109375" style="1" customWidth="1"/>
    <col min="9225" max="9225" width="35.28515625" style="1" customWidth="1"/>
    <col min="9226" max="9226" width="21.5703125" style="1" customWidth="1"/>
    <col min="9227" max="9227" width="10.5703125" style="1" customWidth="1"/>
    <col min="9228" max="9228" width="16" style="1" bestFit="1" customWidth="1"/>
    <col min="9229" max="9229" width="10.5703125" style="1" customWidth="1"/>
    <col min="9230" max="9230" width="11.5703125" style="1" customWidth="1"/>
    <col min="9231" max="9231" width="10.5703125" style="1" customWidth="1"/>
    <col min="9232" max="9232" width="12.5703125" style="1" customWidth="1"/>
    <col min="9233" max="9233" width="16.28515625" style="1" customWidth="1"/>
    <col min="9234" max="9234" width="10.5703125" style="1" customWidth="1"/>
    <col min="9235" max="9235" width="13.140625" style="1" customWidth="1"/>
    <col min="9236" max="9236" width="13" style="1" customWidth="1"/>
    <col min="9237" max="9237" width="12.140625" style="1" customWidth="1"/>
    <col min="9238" max="9238" width="10.5703125" style="1" customWidth="1"/>
    <col min="9239" max="9239" width="14.7109375" style="1" customWidth="1"/>
    <col min="9240" max="9240" width="42.42578125" style="1" customWidth="1"/>
    <col min="9241" max="9241" width="13.7109375" style="1" customWidth="1"/>
    <col min="9242" max="9246" width="10.5703125" style="1" customWidth="1"/>
    <col min="9247" max="9247" width="21" style="1" customWidth="1"/>
    <col min="9248" max="9248" width="18.7109375" style="1" customWidth="1"/>
    <col min="9249" max="9249" width="16.140625" style="1" customWidth="1"/>
    <col min="9250" max="9250" width="20.85546875" style="1" customWidth="1"/>
    <col min="9251" max="9251" width="11.5703125" style="1" customWidth="1"/>
    <col min="9252" max="9252" width="13.85546875" style="1" customWidth="1"/>
    <col min="9253" max="9253" width="33.140625" style="1" customWidth="1"/>
    <col min="9254" max="9254" width="13.140625" style="1" customWidth="1"/>
    <col min="9255" max="9255" width="14.5703125" style="1" customWidth="1"/>
    <col min="9256" max="9256" width="21" style="1" customWidth="1"/>
    <col min="9257" max="9257" width="13.85546875" style="1" customWidth="1"/>
    <col min="9258" max="9258" width="13.7109375" style="1" customWidth="1"/>
    <col min="9259" max="9259" width="13.28515625" style="1" customWidth="1"/>
    <col min="9260" max="9260" width="12.28515625" style="1" customWidth="1"/>
    <col min="9261" max="9268" width="9.140625" style="1"/>
    <col min="9269" max="9269" width="10.140625" style="1" customWidth="1"/>
    <col min="9270" max="9271" width="9.140625" style="1"/>
    <col min="9272" max="9272" width="55.28515625" style="1" customWidth="1"/>
    <col min="9273" max="9472" width="9.140625" style="1"/>
    <col min="9473" max="9473" width="16.85546875" style="1" customWidth="1"/>
    <col min="9474" max="9474" width="13.5703125" style="1" customWidth="1"/>
    <col min="9475" max="9475" width="11.5703125" style="1" customWidth="1"/>
    <col min="9476" max="9476" width="28.85546875" style="1" bestFit="1" customWidth="1"/>
    <col min="9477" max="9477" width="13.7109375" style="1" customWidth="1"/>
    <col min="9478" max="9478" width="48.85546875" style="1" customWidth="1"/>
    <col min="9479" max="9479" width="11" style="1" customWidth="1"/>
    <col min="9480" max="9480" width="12.7109375" style="1" customWidth="1"/>
    <col min="9481" max="9481" width="35.28515625" style="1" customWidth="1"/>
    <col min="9482" max="9482" width="21.5703125" style="1" customWidth="1"/>
    <col min="9483" max="9483" width="10.5703125" style="1" customWidth="1"/>
    <col min="9484" max="9484" width="16" style="1" bestFit="1" customWidth="1"/>
    <col min="9485" max="9485" width="10.5703125" style="1" customWidth="1"/>
    <col min="9486" max="9486" width="11.5703125" style="1" customWidth="1"/>
    <col min="9487" max="9487" width="10.5703125" style="1" customWidth="1"/>
    <col min="9488" max="9488" width="12.5703125" style="1" customWidth="1"/>
    <col min="9489" max="9489" width="16.28515625" style="1" customWidth="1"/>
    <col min="9490" max="9490" width="10.5703125" style="1" customWidth="1"/>
    <col min="9491" max="9491" width="13.140625" style="1" customWidth="1"/>
    <col min="9492" max="9492" width="13" style="1" customWidth="1"/>
    <col min="9493" max="9493" width="12.140625" style="1" customWidth="1"/>
    <col min="9494" max="9494" width="10.5703125" style="1" customWidth="1"/>
    <col min="9495" max="9495" width="14.7109375" style="1" customWidth="1"/>
    <col min="9496" max="9496" width="42.42578125" style="1" customWidth="1"/>
    <col min="9497" max="9497" width="13.7109375" style="1" customWidth="1"/>
    <col min="9498" max="9502" width="10.5703125" style="1" customWidth="1"/>
    <col min="9503" max="9503" width="21" style="1" customWidth="1"/>
    <col min="9504" max="9504" width="18.7109375" style="1" customWidth="1"/>
    <col min="9505" max="9505" width="16.140625" style="1" customWidth="1"/>
    <col min="9506" max="9506" width="20.85546875" style="1" customWidth="1"/>
    <col min="9507" max="9507" width="11.5703125" style="1" customWidth="1"/>
    <col min="9508" max="9508" width="13.85546875" style="1" customWidth="1"/>
    <col min="9509" max="9509" width="33.140625" style="1" customWidth="1"/>
    <col min="9510" max="9510" width="13.140625" style="1" customWidth="1"/>
    <col min="9511" max="9511" width="14.5703125" style="1" customWidth="1"/>
    <col min="9512" max="9512" width="21" style="1" customWidth="1"/>
    <col min="9513" max="9513" width="13.85546875" style="1" customWidth="1"/>
    <col min="9514" max="9514" width="13.7109375" style="1" customWidth="1"/>
    <col min="9515" max="9515" width="13.28515625" style="1" customWidth="1"/>
    <col min="9516" max="9516" width="12.28515625" style="1" customWidth="1"/>
    <col min="9517" max="9524" width="9.140625" style="1"/>
    <col min="9525" max="9525" width="10.140625" style="1" customWidth="1"/>
    <col min="9526" max="9527" width="9.140625" style="1"/>
    <col min="9528" max="9528" width="55.28515625" style="1" customWidth="1"/>
    <col min="9529" max="9728" width="9.140625" style="1"/>
    <col min="9729" max="9729" width="16.85546875" style="1" customWidth="1"/>
    <col min="9730" max="9730" width="13.5703125" style="1" customWidth="1"/>
    <col min="9731" max="9731" width="11.5703125" style="1" customWidth="1"/>
    <col min="9732" max="9732" width="28.85546875" style="1" bestFit="1" customWidth="1"/>
    <col min="9733" max="9733" width="13.7109375" style="1" customWidth="1"/>
    <col min="9734" max="9734" width="48.85546875" style="1" customWidth="1"/>
    <col min="9735" max="9735" width="11" style="1" customWidth="1"/>
    <col min="9736" max="9736" width="12.7109375" style="1" customWidth="1"/>
    <col min="9737" max="9737" width="35.28515625" style="1" customWidth="1"/>
    <col min="9738" max="9738" width="21.5703125" style="1" customWidth="1"/>
    <col min="9739" max="9739" width="10.5703125" style="1" customWidth="1"/>
    <col min="9740" max="9740" width="16" style="1" bestFit="1" customWidth="1"/>
    <col min="9741" max="9741" width="10.5703125" style="1" customWidth="1"/>
    <col min="9742" max="9742" width="11.5703125" style="1" customWidth="1"/>
    <col min="9743" max="9743" width="10.5703125" style="1" customWidth="1"/>
    <col min="9744" max="9744" width="12.5703125" style="1" customWidth="1"/>
    <col min="9745" max="9745" width="16.28515625" style="1" customWidth="1"/>
    <col min="9746" max="9746" width="10.5703125" style="1" customWidth="1"/>
    <col min="9747" max="9747" width="13.140625" style="1" customWidth="1"/>
    <col min="9748" max="9748" width="13" style="1" customWidth="1"/>
    <col min="9749" max="9749" width="12.140625" style="1" customWidth="1"/>
    <col min="9750" max="9750" width="10.5703125" style="1" customWidth="1"/>
    <col min="9751" max="9751" width="14.7109375" style="1" customWidth="1"/>
    <col min="9752" max="9752" width="42.42578125" style="1" customWidth="1"/>
    <col min="9753" max="9753" width="13.7109375" style="1" customWidth="1"/>
    <col min="9754" max="9758" width="10.5703125" style="1" customWidth="1"/>
    <col min="9759" max="9759" width="21" style="1" customWidth="1"/>
    <col min="9760" max="9760" width="18.7109375" style="1" customWidth="1"/>
    <col min="9761" max="9761" width="16.140625" style="1" customWidth="1"/>
    <col min="9762" max="9762" width="20.85546875" style="1" customWidth="1"/>
    <col min="9763" max="9763" width="11.5703125" style="1" customWidth="1"/>
    <col min="9764" max="9764" width="13.85546875" style="1" customWidth="1"/>
    <col min="9765" max="9765" width="33.140625" style="1" customWidth="1"/>
    <col min="9766" max="9766" width="13.140625" style="1" customWidth="1"/>
    <col min="9767" max="9767" width="14.5703125" style="1" customWidth="1"/>
    <col min="9768" max="9768" width="21" style="1" customWidth="1"/>
    <col min="9769" max="9769" width="13.85546875" style="1" customWidth="1"/>
    <col min="9770" max="9770" width="13.7109375" style="1" customWidth="1"/>
    <col min="9771" max="9771" width="13.28515625" style="1" customWidth="1"/>
    <col min="9772" max="9772" width="12.28515625" style="1" customWidth="1"/>
    <col min="9773" max="9780" width="9.140625" style="1"/>
    <col min="9781" max="9781" width="10.140625" style="1" customWidth="1"/>
    <col min="9782" max="9783" width="9.140625" style="1"/>
    <col min="9784" max="9784" width="55.28515625" style="1" customWidth="1"/>
    <col min="9785" max="9984" width="9.140625" style="1"/>
    <col min="9985" max="9985" width="16.85546875" style="1" customWidth="1"/>
    <col min="9986" max="9986" width="13.5703125" style="1" customWidth="1"/>
    <col min="9987" max="9987" width="11.5703125" style="1" customWidth="1"/>
    <col min="9988" max="9988" width="28.85546875" style="1" bestFit="1" customWidth="1"/>
    <col min="9989" max="9989" width="13.7109375" style="1" customWidth="1"/>
    <col min="9990" max="9990" width="48.85546875" style="1" customWidth="1"/>
    <col min="9991" max="9991" width="11" style="1" customWidth="1"/>
    <col min="9992" max="9992" width="12.7109375" style="1" customWidth="1"/>
    <col min="9993" max="9993" width="35.28515625" style="1" customWidth="1"/>
    <col min="9994" max="9994" width="21.5703125" style="1" customWidth="1"/>
    <col min="9995" max="9995" width="10.5703125" style="1" customWidth="1"/>
    <col min="9996" max="9996" width="16" style="1" bestFit="1" customWidth="1"/>
    <col min="9997" max="9997" width="10.5703125" style="1" customWidth="1"/>
    <col min="9998" max="9998" width="11.5703125" style="1" customWidth="1"/>
    <col min="9999" max="9999" width="10.5703125" style="1" customWidth="1"/>
    <col min="10000" max="10000" width="12.5703125" style="1" customWidth="1"/>
    <col min="10001" max="10001" width="16.28515625" style="1" customWidth="1"/>
    <col min="10002" max="10002" width="10.5703125" style="1" customWidth="1"/>
    <col min="10003" max="10003" width="13.140625" style="1" customWidth="1"/>
    <col min="10004" max="10004" width="13" style="1" customWidth="1"/>
    <col min="10005" max="10005" width="12.140625" style="1" customWidth="1"/>
    <col min="10006" max="10006" width="10.5703125" style="1" customWidth="1"/>
    <col min="10007" max="10007" width="14.7109375" style="1" customWidth="1"/>
    <col min="10008" max="10008" width="42.42578125" style="1" customWidth="1"/>
    <col min="10009" max="10009" width="13.7109375" style="1" customWidth="1"/>
    <col min="10010" max="10014" width="10.5703125" style="1" customWidth="1"/>
    <col min="10015" max="10015" width="21" style="1" customWidth="1"/>
    <col min="10016" max="10016" width="18.7109375" style="1" customWidth="1"/>
    <col min="10017" max="10017" width="16.140625" style="1" customWidth="1"/>
    <col min="10018" max="10018" width="20.85546875" style="1" customWidth="1"/>
    <col min="10019" max="10019" width="11.5703125" style="1" customWidth="1"/>
    <col min="10020" max="10020" width="13.85546875" style="1" customWidth="1"/>
    <col min="10021" max="10021" width="33.140625" style="1" customWidth="1"/>
    <col min="10022" max="10022" width="13.140625" style="1" customWidth="1"/>
    <col min="10023" max="10023" width="14.5703125" style="1" customWidth="1"/>
    <col min="10024" max="10024" width="21" style="1" customWidth="1"/>
    <col min="10025" max="10025" width="13.85546875" style="1" customWidth="1"/>
    <col min="10026" max="10026" width="13.7109375" style="1" customWidth="1"/>
    <col min="10027" max="10027" width="13.28515625" style="1" customWidth="1"/>
    <col min="10028" max="10028" width="12.28515625" style="1" customWidth="1"/>
    <col min="10029" max="10036" width="9.140625" style="1"/>
    <col min="10037" max="10037" width="10.140625" style="1" customWidth="1"/>
    <col min="10038" max="10039" width="9.140625" style="1"/>
    <col min="10040" max="10040" width="55.28515625" style="1" customWidth="1"/>
    <col min="10041" max="10240" width="9.140625" style="1"/>
    <col min="10241" max="10241" width="16.85546875" style="1" customWidth="1"/>
    <col min="10242" max="10242" width="13.5703125" style="1" customWidth="1"/>
    <col min="10243" max="10243" width="11.5703125" style="1" customWidth="1"/>
    <col min="10244" max="10244" width="28.85546875" style="1" bestFit="1" customWidth="1"/>
    <col min="10245" max="10245" width="13.7109375" style="1" customWidth="1"/>
    <col min="10246" max="10246" width="48.85546875" style="1" customWidth="1"/>
    <col min="10247" max="10247" width="11" style="1" customWidth="1"/>
    <col min="10248" max="10248" width="12.7109375" style="1" customWidth="1"/>
    <col min="10249" max="10249" width="35.28515625" style="1" customWidth="1"/>
    <col min="10250" max="10250" width="21.5703125" style="1" customWidth="1"/>
    <col min="10251" max="10251" width="10.5703125" style="1" customWidth="1"/>
    <col min="10252" max="10252" width="16" style="1" bestFit="1" customWidth="1"/>
    <col min="10253" max="10253" width="10.5703125" style="1" customWidth="1"/>
    <col min="10254" max="10254" width="11.5703125" style="1" customWidth="1"/>
    <col min="10255" max="10255" width="10.5703125" style="1" customWidth="1"/>
    <col min="10256" max="10256" width="12.5703125" style="1" customWidth="1"/>
    <col min="10257" max="10257" width="16.28515625" style="1" customWidth="1"/>
    <col min="10258" max="10258" width="10.5703125" style="1" customWidth="1"/>
    <col min="10259" max="10259" width="13.140625" style="1" customWidth="1"/>
    <col min="10260" max="10260" width="13" style="1" customWidth="1"/>
    <col min="10261" max="10261" width="12.140625" style="1" customWidth="1"/>
    <col min="10262" max="10262" width="10.5703125" style="1" customWidth="1"/>
    <col min="10263" max="10263" width="14.7109375" style="1" customWidth="1"/>
    <col min="10264" max="10264" width="42.42578125" style="1" customWidth="1"/>
    <col min="10265" max="10265" width="13.7109375" style="1" customWidth="1"/>
    <col min="10266" max="10270" width="10.5703125" style="1" customWidth="1"/>
    <col min="10271" max="10271" width="21" style="1" customWidth="1"/>
    <col min="10272" max="10272" width="18.7109375" style="1" customWidth="1"/>
    <col min="10273" max="10273" width="16.140625" style="1" customWidth="1"/>
    <col min="10274" max="10274" width="20.85546875" style="1" customWidth="1"/>
    <col min="10275" max="10275" width="11.5703125" style="1" customWidth="1"/>
    <col min="10276" max="10276" width="13.85546875" style="1" customWidth="1"/>
    <col min="10277" max="10277" width="33.140625" style="1" customWidth="1"/>
    <col min="10278" max="10278" width="13.140625" style="1" customWidth="1"/>
    <col min="10279" max="10279" width="14.5703125" style="1" customWidth="1"/>
    <col min="10280" max="10280" width="21" style="1" customWidth="1"/>
    <col min="10281" max="10281" width="13.85546875" style="1" customWidth="1"/>
    <col min="10282" max="10282" width="13.7109375" style="1" customWidth="1"/>
    <col min="10283" max="10283" width="13.28515625" style="1" customWidth="1"/>
    <col min="10284" max="10284" width="12.28515625" style="1" customWidth="1"/>
    <col min="10285" max="10292" width="9.140625" style="1"/>
    <col min="10293" max="10293" width="10.140625" style="1" customWidth="1"/>
    <col min="10294" max="10295" width="9.140625" style="1"/>
    <col min="10296" max="10296" width="55.28515625" style="1" customWidth="1"/>
    <col min="10297" max="10496" width="9.140625" style="1"/>
    <col min="10497" max="10497" width="16.85546875" style="1" customWidth="1"/>
    <col min="10498" max="10498" width="13.5703125" style="1" customWidth="1"/>
    <col min="10499" max="10499" width="11.5703125" style="1" customWidth="1"/>
    <col min="10500" max="10500" width="28.85546875" style="1" bestFit="1" customWidth="1"/>
    <col min="10501" max="10501" width="13.7109375" style="1" customWidth="1"/>
    <col min="10502" max="10502" width="48.85546875" style="1" customWidth="1"/>
    <col min="10503" max="10503" width="11" style="1" customWidth="1"/>
    <col min="10504" max="10504" width="12.7109375" style="1" customWidth="1"/>
    <col min="10505" max="10505" width="35.28515625" style="1" customWidth="1"/>
    <col min="10506" max="10506" width="21.5703125" style="1" customWidth="1"/>
    <col min="10507" max="10507" width="10.5703125" style="1" customWidth="1"/>
    <col min="10508" max="10508" width="16" style="1" bestFit="1" customWidth="1"/>
    <col min="10509" max="10509" width="10.5703125" style="1" customWidth="1"/>
    <col min="10510" max="10510" width="11.5703125" style="1" customWidth="1"/>
    <col min="10511" max="10511" width="10.5703125" style="1" customWidth="1"/>
    <col min="10512" max="10512" width="12.5703125" style="1" customWidth="1"/>
    <col min="10513" max="10513" width="16.28515625" style="1" customWidth="1"/>
    <col min="10514" max="10514" width="10.5703125" style="1" customWidth="1"/>
    <col min="10515" max="10515" width="13.140625" style="1" customWidth="1"/>
    <col min="10516" max="10516" width="13" style="1" customWidth="1"/>
    <col min="10517" max="10517" width="12.140625" style="1" customWidth="1"/>
    <col min="10518" max="10518" width="10.5703125" style="1" customWidth="1"/>
    <col min="10519" max="10519" width="14.7109375" style="1" customWidth="1"/>
    <col min="10520" max="10520" width="42.42578125" style="1" customWidth="1"/>
    <col min="10521" max="10521" width="13.7109375" style="1" customWidth="1"/>
    <col min="10522" max="10526" width="10.5703125" style="1" customWidth="1"/>
    <col min="10527" max="10527" width="21" style="1" customWidth="1"/>
    <col min="10528" max="10528" width="18.7109375" style="1" customWidth="1"/>
    <col min="10529" max="10529" width="16.140625" style="1" customWidth="1"/>
    <col min="10530" max="10530" width="20.85546875" style="1" customWidth="1"/>
    <col min="10531" max="10531" width="11.5703125" style="1" customWidth="1"/>
    <col min="10532" max="10532" width="13.85546875" style="1" customWidth="1"/>
    <col min="10533" max="10533" width="33.140625" style="1" customWidth="1"/>
    <col min="10534" max="10534" width="13.140625" style="1" customWidth="1"/>
    <col min="10535" max="10535" width="14.5703125" style="1" customWidth="1"/>
    <col min="10536" max="10536" width="21" style="1" customWidth="1"/>
    <col min="10537" max="10537" width="13.85546875" style="1" customWidth="1"/>
    <col min="10538" max="10538" width="13.7109375" style="1" customWidth="1"/>
    <col min="10539" max="10539" width="13.28515625" style="1" customWidth="1"/>
    <col min="10540" max="10540" width="12.28515625" style="1" customWidth="1"/>
    <col min="10541" max="10548" width="9.140625" style="1"/>
    <col min="10549" max="10549" width="10.140625" style="1" customWidth="1"/>
    <col min="10550" max="10551" width="9.140625" style="1"/>
    <col min="10552" max="10552" width="55.28515625" style="1" customWidth="1"/>
    <col min="10553" max="10752" width="9.140625" style="1"/>
    <col min="10753" max="10753" width="16.85546875" style="1" customWidth="1"/>
    <col min="10754" max="10754" width="13.5703125" style="1" customWidth="1"/>
    <col min="10755" max="10755" width="11.5703125" style="1" customWidth="1"/>
    <col min="10756" max="10756" width="28.85546875" style="1" bestFit="1" customWidth="1"/>
    <col min="10757" max="10757" width="13.7109375" style="1" customWidth="1"/>
    <col min="10758" max="10758" width="48.85546875" style="1" customWidth="1"/>
    <col min="10759" max="10759" width="11" style="1" customWidth="1"/>
    <col min="10760" max="10760" width="12.7109375" style="1" customWidth="1"/>
    <col min="10761" max="10761" width="35.28515625" style="1" customWidth="1"/>
    <col min="10762" max="10762" width="21.5703125" style="1" customWidth="1"/>
    <col min="10763" max="10763" width="10.5703125" style="1" customWidth="1"/>
    <col min="10764" max="10764" width="16" style="1" bestFit="1" customWidth="1"/>
    <col min="10765" max="10765" width="10.5703125" style="1" customWidth="1"/>
    <col min="10766" max="10766" width="11.5703125" style="1" customWidth="1"/>
    <col min="10767" max="10767" width="10.5703125" style="1" customWidth="1"/>
    <col min="10768" max="10768" width="12.5703125" style="1" customWidth="1"/>
    <col min="10769" max="10769" width="16.28515625" style="1" customWidth="1"/>
    <col min="10770" max="10770" width="10.5703125" style="1" customWidth="1"/>
    <col min="10771" max="10771" width="13.140625" style="1" customWidth="1"/>
    <col min="10772" max="10772" width="13" style="1" customWidth="1"/>
    <col min="10773" max="10773" width="12.140625" style="1" customWidth="1"/>
    <col min="10774" max="10774" width="10.5703125" style="1" customWidth="1"/>
    <col min="10775" max="10775" width="14.7109375" style="1" customWidth="1"/>
    <col min="10776" max="10776" width="42.42578125" style="1" customWidth="1"/>
    <col min="10777" max="10777" width="13.7109375" style="1" customWidth="1"/>
    <col min="10778" max="10782" width="10.5703125" style="1" customWidth="1"/>
    <col min="10783" max="10783" width="21" style="1" customWidth="1"/>
    <col min="10784" max="10784" width="18.7109375" style="1" customWidth="1"/>
    <col min="10785" max="10785" width="16.140625" style="1" customWidth="1"/>
    <col min="10786" max="10786" width="20.85546875" style="1" customWidth="1"/>
    <col min="10787" max="10787" width="11.5703125" style="1" customWidth="1"/>
    <col min="10788" max="10788" width="13.85546875" style="1" customWidth="1"/>
    <col min="10789" max="10789" width="33.140625" style="1" customWidth="1"/>
    <col min="10790" max="10790" width="13.140625" style="1" customWidth="1"/>
    <col min="10791" max="10791" width="14.5703125" style="1" customWidth="1"/>
    <col min="10792" max="10792" width="21" style="1" customWidth="1"/>
    <col min="10793" max="10793" width="13.85546875" style="1" customWidth="1"/>
    <col min="10794" max="10794" width="13.7109375" style="1" customWidth="1"/>
    <col min="10795" max="10795" width="13.28515625" style="1" customWidth="1"/>
    <col min="10796" max="10796" width="12.28515625" style="1" customWidth="1"/>
    <col min="10797" max="10804" width="9.140625" style="1"/>
    <col min="10805" max="10805" width="10.140625" style="1" customWidth="1"/>
    <col min="10806" max="10807" width="9.140625" style="1"/>
    <col min="10808" max="10808" width="55.28515625" style="1" customWidth="1"/>
    <col min="10809" max="11008" width="9.140625" style="1"/>
    <col min="11009" max="11009" width="16.85546875" style="1" customWidth="1"/>
    <col min="11010" max="11010" width="13.5703125" style="1" customWidth="1"/>
    <col min="11011" max="11011" width="11.5703125" style="1" customWidth="1"/>
    <col min="11012" max="11012" width="28.85546875" style="1" bestFit="1" customWidth="1"/>
    <col min="11013" max="11013" width="13.7109375" style="1" customWidth="1"/>
    <col min="11014" max="11014" width="48.85546875" style="1" customWidth="1"/>
    <col min="11015" max="11015" width="11" style="1" customWidth="1"/>
    <col min="11016" max="11016" width="12.7109375" style="1" customWidth="1"/>
    <col min="11017" max="11017" width="35.28515625" style="1" customWidth="1"/>
    <col min="11018" max="11018" width="21.5703125" style="1" customWidth="1"/>
    <col min="11019" max="11019" width="10.5703125" style="1" customWidth="1"/>
    <col min="11020" max="11020" width="16" style="1" bestFit="1" customWidth="1"/>
    <col min="11021" max="11021" width="10.5703125" style="1" customWidth="1"/>
    <col min="11022" max="11022" width="11.5703125" style="1" customWidth="1"/>
    <col min="11023" max="11023" width="10.5703125" style="1" customWidth="1"/>
    <col min="11024" max="11024" width="12.5703125" style="1" customWidth="1"/>
    <col min="11025" max="11025" width="16.28515625" style="1" customWidth="1"/>
    <col min="11026" max="11026" width="10.5703125" style="1" customWidth="1"/>
    <col min="11027" max="11027" width="13.140625" style="1" customWidth="1"/>
    <col min="11028" max="11028" width="13" style="1" customWidth="1"/>
    <col min="11029" max="11029" width="12.140625" style="1" customWidth="1"/>
    <col min="11030" max="11030" width="10.5703125" style="1" customWidth="1"/>
    <col min="11031" max="11031" width="14.7109375" style="1" customWidth="1"/>
    <col min="11032" max="11032" width="42.42578125" style="1" customWidth="1"/>
    <col min="11033" max="11033" width="13.7109375" style="1" customWidth="1"/>
    <col min="11034" max="11038" width="10.5703125" style="1" customWidth="1"/>
    <col min="11039" max="11039" width="21" style="1" customWidth="1"/>
    <col min="11040" max="11040" width="18.7109375" style="1" customWidth="1"/>
    <col min="11041" max="11041" width="16.140625" style="1" customWidth="1"/>
    <col min="11042" max="11042" width="20.85546875" style="1" customWidth="1"/>
    <col min="11043" max="11043" width="11.5703125" style="1" customWidth="1"/>
    <col min="11044" max="11044" width="13.85546875" style="1" customWidth="1"/>
    <col min="11045" max="11045" width="33.140625" style="1" customWidth="1"/>
    <col min="11046" max="11046" width="13.140625" style="1" customWidth="1"/>
    <col min="11047" max="11047" width="14.5703125" style="1" customWidth="1"/>
    <col min="11048" max="11048" width="21" style="1" customWidth="1"/>
    <col min="11049" max="11049" width="13.85546875" style="1" customWidth="1"/>
    <col min="11050" max="11050" width="13.7109375" style="1" customWidth="1"/>
    <col min="11051" max="11051" width="13.28515625" style="1" customWidth="1"/>
    <col min="11052" max="11052" width="12.28515625" style="1" customWidth="1"/>
    <col min="11053" max="11060" width="9.140625" style="1"/>
    <col min="11061" max="11061" width="10.140625" style="1" customWidth="1"/>
    <col min="11062" max="11063" width="9.140625" style="1"/>
    <col min="11064" max="11064" width="55.28515625" style="1" customWidth="1"/>
    <col min="11065" max="11264" width="9.140625" style="1"/>
    <col min="11265" max="11265" width="16.85546875" style="1" customWidth="1"/>
    <col min="11266" max="11266" width="13.5703125" style="1" customWidth="1"/>
    <col min="11267" max="11267" width="11.5703125" style="1" customWidth="1"/>
    <col min="11268" max="11268" width="28.85546875" style="1" bestFit="1" customWidth="1"/>
    <col min="11269" max="11269" width="13.7109375" style="1" customWidth="1"/>
    <col min="11270" max="11270" width="48.85546875" style="1" customWidth="1"/>
    <col min="11271" max="11271" width="11" style="1" customWidth="1"/>
    <col min="11272" max="11272" width="12.7109375" style="1" customWidth="1"/>
    <col min="11273" max="11273" width="35.28515625" style="1" customWidth="1"/>
    <col min="11274" max="11274" width="21.5703125" style="1" customWidth="1"/>
    <col min="11275" max="11275" width="10.5703125" style="1" customWidth="1"/>
    <col min="11276" max="11276" width="16" style="1" bestFit="1" customWidth="1"/>
    <col min="11277" max="11277" width="10.5703125" style="1" customWidth="1"/>
    <col min="11278" max="11278" width="11.5703125" style="1" customWidth="1"/>
    <col min="11279" max="11279" width="10.5703125" style="1" customWidth="1"/>
    <col min="11280" max="11280" width="12.5703125" style="1" customWidth="1"/>
    <col min="11281" max="11281" width="16.28515625" style="1" customWidth="1"/>
    <col min="11282" max="11282" width="10.5703125" style="1" customWidth="1"/>
    <col min="11283" max="11283" width="13.140625" style="1" customWidth="1"/>
    <col min="11284" max="11284" width="13" style="1" customWidth="1"/>
    <col min="11285" max="11285" width="12.140625" style="1" customWidth="1"/>
    <col min="11286" max="11286" width="10.5703125" style="1" customWidth="1"/>
    <col min="11287" max="11287" width="14.7109375" style="1" customWidth="1"/>
    <col min="11288" max="11288" width="42.42578125" style="1" customWidth="1"/>
    <col min="11289" max="11289" width="13.7109375" style="1" customWidth="1"/>
    <col min="11290" max="11294" width="10.5703125" style="1" customWidth="1"/>
    <col min="11295" max="11295" width="21" style="1" customWidth="1"/>
    <col min="11296" max="11296" width="18.7109375" style="1" customWidth="1"/>
    <col min="11297" max="11297" width="16.140625" style="1" customWidth="1"/>
    <col min="11298" max="11298" width="20.85546875" style="1" customWidth="1"/>
    <col min="11299" max="11299" width="11.5703125" style="1" customWidth="1"/>
    <col min="11300" max="11300" width="13.85546875" style="1" customWidth="1"/>
    <col min="11301" max="11301" width="33.140625" style="1" customWidth="1"/>
    <col min="11302" max="11302" width="13.140625" style="1" customWidth="1"/>
    <col min="11303" max="11303" width="14.5703125" style="1" customWidth="1"/>
    <col min="11304" max="11304" width="21" style="1" customWidth="1"/>
    <col min="11305" max="11305" width="13.85546875" style="1" customWidth="1"/>
    <col min="11306" max="11306" width="13.7109375" style="1" customWidth="1"/>
    <col min="11307" max="11307" width="13.28515625" style="1" customWidth="1"/>
    <col min="11308" max="11308" width="12.28515625" style="1" customWidth="1"/>
    <col min="11309" max="11316" width="9.140625" style="1"/>
    <col min="11317" max="11317" width="10.140625" style="1" customWidth="1"/>
    <col min="11318" max="11319" width="9.140625" style="1"/>
    <col min="11320" max="11320" width="55.28515625" style="1" customWidth="1"/>
    <col min="11321" max="11520" width="9.140625" style="1"/>
    <col min="11521" max="11521" width="16.85546875" style="1" customWidth="1"/>
    <col min="11522" max="11522" width="13.5703125" style="1" customWidth="1"/>
    <col min="11523" max="11523" width="11.5703125" style="1" customWidth="1"/>
    <col min="11524" max="11524" width="28.85546875" style="1" bestFit="1" customWidth="1"/>
    <col min="11525" max="11525" width="13.7109375" style="1" customWidth="1"/>
    <col min="11526" max="11526" width="48.85546875" style="1" customWidth="1"/>
    <col min="11527" max="11527" width="11" style="1" customWidth="1"/>
    <col min="11528" max="11528" width="12.7109375" style="1" customWidth="1"/>
    <col min="11529" max="11529" width="35.28515625" style="1" customWidth="1"/>
    <col min="11530" max="11530" width="21.5703125" style="1" customWidth="1"/>
    <col min="11531" max="11531" width="10.5703125" style="1" customWidth="1"/>
    <col min="11532" max="11532" width="16" style="1" bestFit="1" customWidth="1"/>
    <col min="11533" max="11533" width="10.5703125" style="1" customWidth="1"/>
    <col min="11534" max="11534" width="11.5703125" style="1" customWidth="1"/>
    <col min="11535" max="11535" width="10.5703125" style="1" customWidth="1"/>
    <col min="11536" max="11536" width="12.5703125" style="1" customWidth="1"/>
    <col min="11537" max="11537" width="16.28515625" style="1" customWidth="1"/>
    <col min="11538" max="11538" width="10.5703125" style="1" customWidth="1"/>
    <col min="11539" max="11539" width="13.140625" style="1" customWidth="1"/>
    <col min="11540" max="11540" width="13" style="1" customWidth="1"/>
    <col min="11541" max="11541" width="12.140625" style="1" customWidth="1"/>
    <col min="11542" max="11542" width="10.5703125" style="1" customWidth="1"/>
    <col min="11543" max="11543" width="14.7109375" style="1" customWidth="1"/>
    <col min="11544" max="11544" width="42.42578125" style="1" customWidth="1"/>
    <col min="11545" max="11545" width="13.7109375" style="1" customWidth="1"/>
    <col min="11546" max="11550" width="10.5703125" style="1" customWidth="1"/>
    <col min="11551" max="11551" width="21" style="1" customWidth="1"/>
    <col min="11552" max="11552" width="18.7109375" style="1" customWidth="1"/>
    <col min="11553" max="11553" width="16.140625" style="1" customWidth="1"/>
    <col min="11554" max="11554" width="20.85546875" style="1" customWidth="1"/>
    <col min="11555" max="11555" width="11.5703125" style="1" customWidth="1"/>
    <col min="11556" max="11556" width="13.85546875" style="1" customWidth="1"/>
    <col min="11557" max="11557" width="33.140625" style="1" customWidth="1"/>
    <col min="11558" max="11558" width="13.140625" style="1" customWidth="1"/>
    <col min="11559" max="11559" width="14.5703125" style="1" customWidth="1"/>
    <col min="11560" max="11560" width="21" style="1" customWidth="1"/>
    <col min="11561" max="11561" width="13.85546875" style="1" customWidth="1"/>
    <col min="11562" max="11562" width="13.7109375" style="1" customWidth="1"/>
    <col min="11563" max="11563" width="13.28515625" style="1" customWidth="1"/>
    <col min="11564" max="11564" width="12.28515625" style="1" customWidth="1"/>
    <col min="11565" max="11572" width="9.140625" style="1"/>
    <col min="11573" max="11573" width="10.140625" style="1" customWidth="1"/>
    <col min="11574" max="11575" width="9.140625" style="1"/>
    <col min="11576" max="11576" width="55.28515625" style="1" customWidth="1"/>
    <col min="11577" max="11776" width="9.140625" style="1"/>
    <col min="11777" max="11777" width="16.85546875" style="1" customWidth="1"/>
    <col min="11778" max="11778" width="13.5703125" style="1" customWidth="1"/>
    <col min="11779" max="11779" width="11.5703125" style="1" customWidth="1"/>
    <col min="11780" max="11780" width="28.85546875" style="1" bestFit="1" customWidth="1"/>
    <col min="11781" max="11781" width="13.7109375" style="1" customWidth="1"/>
    <col min="11782" max="11782" width="48.85546875" style="1" customWidth="1"/>
    <col min="11783" max="11783" width="11" style="1" customWidth="1"/>
    <col min="11784" max="11784" width="12.7109375" style="1" customWidth="1"/>
    <col min="11785" max="11785" width="35.28515625" style="1" customWidth="1"/>
    <col min="11786" max="11786" width="21.5703125" style="1" customWidth="1"/>
    <col min="11787" max="11787" width="10.5703125" style="1" customWidth="1"/>
    <col min="11788" max="11788" width="16" style="1" bestFit="1" customWidth="1"/>
    <col min="11789" max="11789" width="10.5703125" style="1" customWidth="1"/>
    <col min="11790" max="11790" width="11.5703125" style="1" customWidth="1"/>
    <col min="11791" max="11791" width="10.5703125" style="1" customWidth="1"/>
    <col min="11792" max="11792" width="12.5703125" style="1" customWidth="1"/>
    <col min="11793" max="11793" width="16.28515625" style="1" customWidth="1"/>
    <col min="11794" max="11794" width="10.5703125" style="1" customWidth="1"/>
    <col min="11795" max="11795" width="13.140625" style="1" customWidth="1"/>
    <col min="11796" max="11796" width="13" style="1" customWidth="1"/>
    <col min="11797" max="11797" width="12.140625" style="1" customWidth="1"/>
    <col min="11798" max="11798" width="10.5703125" style="1" customWidth="1"/>
    <col min="11799" max="11799" width="14.7109375" style="1" customWidth="1"/>
    <col min="11800" max="11800" width="42.42578125" style="1" customWidth="1"/>
    <col min="11801" max="11801" width="13.7109375" style="1" customWidth="1"/>
    <col min="11802" max="11806" width="10.5703125" style="1" customWidth="1"/>
    <col min="11807" max="11807" width="21" style="1" customWidth="1"/>
    <col min="11808" max="11808" width="18.7109375" style="1" customWidth="1"/>
    <col min="11809" max="11809" width="16.140625" style="1" customWidth="1"/>
    <col min="11810" max="11810" width="20.85546875" style="1" customWidth="1"/>
    <col min="11811" max="11811" width="11.5703125" style="1" customWidth="1"/>
    <col min="11812" max="11812" width="13.85546875" style="1" customWidth="1"/>
    <col min="11813" max="11813" width="33.140625" style="1" customWidth="1"/>
    <col min="11814" max="11814" width="13.140625" style="1" customWidth="1"/>
    <col min="11815" max="11815" width="14.5703125" style="1" customWidth="1"/>
    <col min="11816" max="11816" width="21" style="1" customWidth="1"/>
    <col min="11817" max="11817" width="13.85546875" style="1" customWidth="1"/>
    <col min="11818" max="11818" width="13.7109375" style="1" customWidth="1"/>
    <col min="11819" max="11819" width="13.28515625" style="1" customWidth="1"/>
    <col min="11820" max="11820" width="12.28515625" style="1" customWidth="1"/>
    <col min="11821" max="11828" width="9.140625" style="1"/>
    <col min="11829" max="11829" width="10.140625" style="1" customWidth="1"/>
    <col min="11830" max="11831" width="9.140625" style="1"/>
    <col min="11832" max="11832" width="55.28515625" style="1" customWidth="1"/>
    <col min="11833" max="12032" width="9.140625" style="1"/>
    <col min="12033" max="12033" width="16.85546875" style="1" customWidth="1"/>
    <col min="12034" max="12034" width="13.5703125" style="1" customWidth="1"/>
    <col min="12035" max="12035" width="11.5703125" style="1" customWidth="1"/>
    <col min="12036" max="12036" width="28.85546875" style="1" bestFit="1" customWidth="1"/>
    <col min="12037" max="12037" width="13.7109375" style="1" customWidth="1"/>
    <col min="12038" max="12038" width="48.85546875" style="1" customWidth="1"/>
    <col min="12039" max="12039" width="11" style="1" customWidth="1"/>
    <col min="12040" max="12040" width="12.7109375" style="1" customWidth="1"/>
    <col min="12041" max="12041" width="35.28515625" style="1" customWidth="1"/>
    <col min="12042" max="12042" width="21.5703125" style="1" customWidth="1"/>
    <col min="12043" max="12043" width="10.5703125" style="1" customWidth="1"/>
    <col min="12044" max="12044" width="16" style="1" bestFit="1" customWidth="1"/>
    <col min="12045" max="12045" width="10.5703125" style="1" customWidth="1"/>
    <col min="12046" max="12046" width="11.5703125" style="1" customWidth="1"/>
    <col min="12047" max="12047" width="10.5703125" style="1" customWidth="1"/>
    <col min="12048" max="12048" width="12.5703125" style="1" customWidth="1"/>
    <col min="12049" max="12049" width="16.28515625" style="1" customWidth="1"/>
    <col min="12050" max="12050" width="10.5703125" style="1" customWidth="1"/>
    <col min="12051" max="12051" width="13.140625" style="1" customWidth="1"/>
    <col min="12052" max="12052" width="13" style="1" customWidth="1"/>
    <col min="12053" max="12053" width="12.140625" style="1" customWidth="1"/>
    <col min="12054" max="12054" width="10.5703125" style="1" customWidth="1"/>
    <col min="12055" max="12055" width="14.7109375" style="1" customWidth="1"/>
    <col min="12056" max="12056" width="42.42578125" style="1" customWidth="1"/>
    <col min="12057" max="12057" width="13.7109375" style="1" customWidth="1"/>
    <col min="12058" max="12062" width="10.5703125" style="1" customWidth="1"/>
    <col min="12063" max="12063" width="21" style="1" customWidth="1"/>
    <col min="12064" max="12064" width="18.7109375" style="1" customWidth="1"/>
    <col min="12065" max="12065" width="16.140625" style="1" customWidth="1"/>
    <col min="12066" max="12066" width="20.85546875" style="1" customWidth="1"/>
    <col min="12067" max="12067" width="11.5703125" style="1" customWidth="1"/>
    <col min="12068" max="12068" width="13.85546875" style="1" customWidth="1"/>
    <col min="12069" max="12069" width="33.140625" style="1" customWidth="1"/>
    <col min="12070" max="12070" width="13.140625" style="1" customWidth="1"/>
    <col min="12071" max="12071" width="14.5703125" style="1" customWidth="1"/>
    <col min="12072" max="12072" width="21" style="1" customWidth="1"/>
    <col min="12073" max="12073" width="13.85546875" style="1" customWidth="1"/>
    <col min="12074" max="12074" width="13.7109375" style="1" customWidth="1"/>
    <col min="12075" max="12075" width="13.28515625" style="1" customWidth="1"/>
    <col min="12076" max="12076" width="12.28515625" style="1" customWidth="1"/>
    <col min="12077" max="12084" width="9.140625" style="1"/>
    <col min="12085" max="12085" width="10.140625" style="1" customWidth="1"/>
    <col min="12086" max="12087" width="9.140625" style="1"/>
    <col min="12088" max="12088" width="55.28515625" style="1" customWidth="1"/>
    <col min="12089" max="12288" width="9.140625" style="1"/>
    <col min="12289" max="12289" width="16.85546875" style="1" customWidth="1"/>
    <col min="12290" max="12290" width="13.5703125" style="1" customWidth="1"/>
    <col min="12291" max="12291" width="11.5703125" style="1" customWidth="1"/>
    <col min="12292" max="12292" width="28.85546875" style="1" bestFit="1" customWidth="1"/>
    <col min="12293" max="12293" width="13.7109375" style="1" customWidth="1"/>
    <col min="12294" max="12294" width="48.85546875" style="1" customWidth="1"/>
    <col min="12295" max="12295" width="11" style="1" customWidth="1"/>
    <col min="12296" max="12296" width="12.7109375" style="1" customWidth="1"/>
    <col min="12297" max="12297" width="35.28515625" style="1" customWidth="1"/>
    <col min="12298" max="12298" width="21.5703125" style="1" customWidth="1"/>
    <col min="12299" max="12299" width="10.5703125" style="1" customWidth="1"/>
    <col min="12300" max="12300" width="16" style="1" bestFit="1" customWidth="1"/>
    <col min="12301" max="12301" width="10.5703125" style="1" customWidth="1"/>
    <col min="12302" max="12302" width="11.5703125" style="1" customWidth="1"/>
    <col min="12303" max="12303" width="10.5703125" style="1" customWidth="1"/>
    <col min="12304" max="12304" width="12.5703125" style="1" customWidth="1"/>
    <col min="12305" max="12305" width="16.28515625" style="1" customWidth="1"/>
    <col min="12306" max="12306" width="10.5703125" style="1" customWidth="1"/>
    <col min="12307" max="12307" width="13.140625" style="1" customWidth="1"/>
    <col min="12308" max="12308" width="13" style="1" customWidth="1"/>
    <col min="12309" max="12309" width="12.140625" style="1" customWidth="1"/>
    <col min="12310" max="12310" width="10.5703125" style="1" customWidth="1"/>
    <col min="12311" max="12311" width="14.7109375" style="1" customWidth="1"/>
    <col min="12312" max="12312" width="42.42578125" style="1" customWidth="1"/>
    <col min="12313" max="12313" width="13.7109375" style="1" customWidth="1"/>
    <col min="12314" max="12318" width="10.5703125" style="1" customWidth="1"/>
    <col min="12319" max="12319" width="21" style="1" customWidth="1"/>
    <col min="12320" max="12320" width="18.7109375" style="1" customWidth="1"/>
    <col min="12321" max="12321" width="16.140625" style="1" customWidth="1"/>
    <col min="12322" max="12322" width="20.85546875" style="1" customWidth="1"/>
    <col min="12323" max="12323" width="11.5703125" style="1" customWidth="1"/>
    <col min="12324" max="12324" width="13.85546875" style="1" customWidth="1"/>
    <col min="12325" max="12325" width="33.140625" style="1" customWidth="1"/>
    <col min="12326" max="12326" width="13.140625" style="1" customWidth="1"/>
    <col min="12327" max="12327" width="14.5703125" style="1" customWidth="1"/>
    <col min="12328" max="12328" width="21" style="1" customWidth="1"/>
    <col min="12329" max="12329" width="13.85546875" style="1" customWidth="1"/>
    <col min="12330" max="12330" width="13.7109375" style="1" customWidth="1"/>
    <col min="12331" max="12331" width="13.28515625" style="1" customWidth="1"/>
    <col min="12332" max="12332" width="12.28515625" style="1" customWidth="1"/>
    <col min="12333" max="12340" width="9.140625" style="1"/>
    <col min="12341" max="12341" width="10.140625" style="1" customWidth="1"/>
    <col min="12342" max="12343" width="9.140625" style="1"/>
    <col min="12344" max="12344" width="55.28515625" style="1" customWidth="1"/>
    <col min="12345" max="12544" width="9.140625" style="1"/>
    <col min="12545" max="12545" width="16.85546875" style="1" customWidth="1"/>
    <col min="12546" max="12546" width="13.5703125" style="1" customWidth="1"/>
    <col min="12547" max="12547" width="11.5703125" style="1" customWidth="1"/>
    <col min="12548" max="12548" width="28.85546875" style="1" bestFit="1" customWidth="1"/>
    <col min="12549" max="12549" width="13.7109375" style="1" customWidth="1"/>
    <col min="12550" max="12550" width="48.85546875" style="1" customWidth="1"/>
    <col min="12551" max="12551" width="11" style="1" customWidth="1"/>
    <col min="12552" max="12552" width="12.7109375" style="1" customWidth="1"/>
    <col min="12553" max="12553" width="35.28515625" style="1" customWidth="1"/>
    <col min="12554" max="12554" width="21.5703125" style="1" customWidth="1"/>
    <col min="12555" max="12555" width="10.5703125" style="1" customWidth="1"/>
    <col min="12556" max="12556" width="16" style="1" bestFit="1" customWidth="1"/>
    <col min="12557" max="12557" width="10.5703125" style="1" customWidth="1"/>
    <col min="12558" max="12558" width="11.5703125" style="1" customWidth="1"/>
    <col min="12559" max="12559" width="10.5703125" style="1" customWidth="1"/>
    <col min="12560" max="12560" width="12.5703125" style="1" customWidth="1"/>
    <col min="12561" max="12561" width="16.28515625" style="1" customWidth="1"/>
    <col min="12562" max="12562" width="10.5703125" style="1" customWidth="1"/>
    <col min="12563" max="12563" width="13.140625" style="1" customWidth="1"/>
    <col min="12564" max="12564" width="13" style="1" customWidth="1"/>
    <col min="12565" max="12565" width="12.140625" style="1" customWidth="1"/>
    <col min="12566" max="12566" width="10.5703125" style="1" customWidth="1"/>
    <col min="12567" max="12567" width="14.7109375" style="1" customWidth="1"/>
    <col min="12568" max="12568" width="42.42578125" style="1" customWidth="1"/>
    <col min="12569" max="12569" width="13.7109375" style="1" customWidth="1"/>
    <col min="12570" max="12574" width="10.5703125" style="1" customWidth="1"/>
    <col min="12575" max="12575" width="21" style="1" customWidth="1"/>
    <col min="12576" max="12576" width="18.7109375" style="1" customWidth="1"/>
    <col min="12577" max="12577" width="16.140625" style="1" customWidth="1"/>
    <col min="12578" max="12578" width="20.85546875" style="1" customWidth="1"/>
    <col min="12579" max="12579" width="11.5703125" style="1" customWidth="1"/>
    <col min="12580" max="12580" width="13.85546875" style="1" customWidth="1"/>
    <col min="12581" max="12581" width="33.140625" style="1" customWidth="1"/>
    <col min="12582" max="12582" width="13.140625" style="1" customWidth="1"/>
    <col min="12583" max="12583" width="14.5703125" style="1" customWidth="1"/>
    <col min="12584" max="12584" width="21" style="1" customWidth="1"/>
    <col min="12585" max="12585" width="13.85546875" style="1" customWidth="1"/>
    <col min="12586" max="12586" width="13.7109375" style="1" customWidth="1"/>
    <col min="12587" max="12587" width="13.28515625" style="1" customWidth="1"/>
    <col min="12588" max="12588" width="12.28515625" style="1" customWidth="1"/>
    <col min="12589" max="12596" width="9.140625" style="1"/>
    <col min="12597" max="12597" width="10.140625" style="1" customWidth="1"/>
    <col min="12598" max="12599" width="9.140625" style="1"/>
    <col min="12600" max="12600" width="55.28515625" style="1" customWidth="1"/>
    <col min="12601" max="12800" width="9.140625" style="1"/>
    <col min="12801" max="12801" width="16.85546875" style="1" customWidth="1"/>
    <col min="12802" max="12802" width="13.5703125" style="1" customWidth="1"/>
    <col min="12803" max="12803" width="11.5703125" style="1" customWidth="1"/>
    <col min="12804" max="12804" width="28.85546875" style="1" bestFit="1" customWidth="1"/>
    <col min="12805" max="12805" width="13.7109375" style="1" customWidth="1"/>
    <col min="12806" max="12806" width="48.85546875" style="1" customWidth="1"/>
    <col min="12807" max="12807" width="11" style="1" customWidth="1"/>
    <col min="12808" max="12808" width="12.7109375" style="1" customWidth="1"/>
    <col min="12809" max="12809" width="35.28515625" style="1" customWidth="1"/>
    <col min="12810" max="12810" width="21.5703125" style="1" customWidth="1"/>
    <col min="12811" max="12811" width="10.5703125" style="1" customWidth="1"/>
    <col min="12812" max="12812" width="16" style="1" bestFit="1" customWidth="1"/>
    <col min="12813" max="12813" width="10.5703125" style="1" customWidth="1"/>
    <col min="12814" max="12814" width="11.5703125" style="1" customWidth="1"/>
    <col min="12815" max="12815" width="10.5703125" style="1" customWidth="1"/>
    <col min="12816" max="12816" width="12.5703125" style="1" customWidth="1"/>
    <col min="12817" max="12817" width="16.28515625" style="1" customWidth="1"/>
    <col min="12818" max="12818" width="10.5703125" style="1" customWidth="1"/>
    <col min="12819" max="12819" width="13.140625" style="1" customWidth="1"/>
    <col min="12820" max="12820" width="13" style="1" customWidth="1"/>
    <col min="12821" max="12821" width="12.140625" style="1" customWidth="1"/>
    <col min="12822" max="12822" width="10.5703125" style="1" customWidth="1"/>
    <col min="12823" max="12823" width="14.7109375" style="1" customWidth="1"/>
    <col min="12824" max="12824" width="42.42578125" style="1" customWidth="1"/>
    <col min="12825" max="12825" width="13.7109375" style="1" customWidth="1"/>
    <col min="12826" max="12830" width="10.5703125" style="1" customWidth="1"/>
    <col min="12831" max="12831" width="21" style="1" customWidth="1"/>
    <col min="12832" max="12832" width="18.7109375" style="1" customWidth="1"/>
    <col min="12833" max="12833" width="16.140625" style="1" customWidth="1"/>
    <col min="12834" max="12834" width="20.85546875" style="1" customWidth="1"/>
    <col min="12835" max="12835" width="11.5703125" style="1" customWidth="1"/>
    <col min="12836" max="12836" width="13.85546875" style="1" customWidth="1"/>
    <col min="12837" max="12837" width="33.140625" style="1" customWidth="1"/>
    <col min="12838" max="12838" width="13.140625" style="1" customWidth="1"/>
    <col min="12839" max="12839" width="14.5703125" style="1" customWidth="1"/>
    <col min="12840" max="12840" width="21" style="1" customWidth="1"/>
    <col min="12841" max="12841" width="13.85546875" style="1" customWidth="1"/>
    <col min="12842" max="12842" width="13.7109375" style="1" customWidth="1"/>
    <col min="12843" max="12843" width="13.28515625" style="1" customWidth="1"/>
    <col min="12844" max="12844" width="12.28515625" style="1" customWidth="1"/>
    <col min="12845" max="12852" width="9.140625" style="1"/>
    <col min="12853" max="12853" width="10.140625" style="1" customWidth="1"/>
    <col min="12854" max="12855" width="9.140625" style="1"/>
    <col min="12856" max="12856" width="55.28515625" style="1" customWidth="1"/>
    <col min="12857" max="13056" width="9.140625" style="1"/>
    <col min="13057" max="13057" width="16.85546875" style="1" customWidth="1"/>
    <col min="13058" max="13058" width="13.5703125" style="1" customWidth="1"/>
    <col min="13059" max="13059" width="11.5703125" style="1" customWidth="1"/>
    <col min="13060" max="13060" width="28.85546875" style="1" bestFit="1" customWidth="1"/>
    <col min="13061" max="13061" width="13.7109375" style="1" customWidth="1"/>
    <col min="13062" max="13062" width="48.85546875" style="1" customWidth="1"/>
    <col min="13063" max="13063" width="11" style="1" customWidth="1"/>
    <col min="13064" max="13064" width="12.7109375" style="1" customWidth="1"/>
    <col min="13065" max="13065" width="35.28515625" style="1" customWidth="1"/>
    <col min="13066" max="13066" width="21.5703125" style="1" customWidth="1"/>
    <col min="13067" max="13067" width="10.5703125" style="1" customWidth="1"/>
    <col min="13068" max="13068" width="16" style="1" bestFit="1" customWidth="1"/>
    <col min="13069" max="13069" width="10.5703125" style="1" customWidth="1"/>
    <col min="13070" max="13070" width="11.5703125" style="1" customWidth="1"/>
    <col min="13071" max="13071" width="10.5703125" style="1" customWidth="1"/>
    <col min="13072" max="13072" width="12.5703125" style="1" customWidth="1"/>
    <col min="13073" max="13073" width="16.28515625" style="1" customWidth="1"/>
    <col min="13074" max="13074" width="10.5703125" style="1" customWidth="1"/>
    <col min="13075" max="13075" width="13.140625" style="1" customWidth="1"/>
    <col min="13076" max="13076" width="13" style="1" customWidth="1"/>
    <col min="13077" max="13077" width="12.140625" style="1" customWidth="1"/>
    <col min="13078" max="13078" width="10.5703125" style="1" customWidth="1"/>
    <col min="13079" max="13079" width="14.7109375" style="1" customWidth="1"/>
    <col min="13080" max="13080" width="42.42578125" style="1" customWidth="1"/>
    <col min="13081" max="13081" width="13.7109375" style="1" customWidth="1"/>
    <col min="13082" max="13086" width="10.5703125" style="1" customWidth="1"/>
    <col min="13087" max="13087" width="21" style="1" customWidth="1"/>
    <col min="13088" max="13088" width="18.7109375" style="1" customWidth="1"/>
    <col min="13089" max="13089" width="16.140625" style="1" customWidth="1"/>
    <col min="13090" max="13090" width="20.85546875" style="1" customWidth="1"/>
    <col min="13091" max="13091" width="11.5703125" style="1" customWidth="1"/>
    <col min="13092" max="13092" width="13.85546875" style="1" customWidth="1"/>
    <col min="13093" max="13093" width="33.140625" style="1" customWidth="1"/>
    <col min="13094" max="13094" width="13.140625" style="1" customWidth="1"/>
    <col min="13095" max="13095" width="14.5703125" style="1" customWidth="1"/>
    <col min="13096" max="13096" width="21" style="1" customWidth="1"/>
    <col min="13097" max="13097" width="13.85546875" style="1" customWidth="1"/>
    <col min="13098" max="13098" width="13.7109375" style="1" customWidth="1"/>
    <col min="13099" max="13099" width="13.28515625" style="1" customWidth="1"/>
    <col min="13100" max="13100" width="12.28515625" style="1" customWidth="1"/>
    <col min="13101" max="13108" width="9.140625" style="1"/>
    <col min="13109" max="13109" width="10.140625" style="1" customWidth="1"/>
    <col min="13110" max="13111" width="9.140625" style="1"/>
    <col min="13112" max="13112" width="55.28515625" style="1" customWidth="1"/>
    <col min="13113" max="13312" width="9.140625" style="1"/>
    <col min="13313" max="13313" width="16.85546875" style="1" customWidth="1"/>
    <col min="13314" max="13314" width="13.5703125" style="1" customWidth="1"/>
    <col min="13315" max="13315" width="11.5703125" style="1" customWidth="1"/>
    <col min="13316" max="13316" width="28.85546875" style="1" bestFit="1" customWidth="1"/>
    <col min="13317" max="13317" width="13.7109375" style="1" customWidth="1"/>
    <col min="13318" max="13318" width="48.85546875" style="1" customWidth="1"/>
    <col min="13319" max="13319" width="11" style="1" customWidth="1"/>
    <col min="13320" max="13320" width="12.7109375" style="1" customWidth="1"/>
    <col min="13321" max="13321" width="35.28515625" style="1" customWidth="1"/>
    <col min="13322" max="13322" width="21.5703125" style="1" customWidth="1"/>
    <col min="13323" max="13323" width="10.5703125" style="1" customWidth="1"/>
    <col min="13324" max="13324" width="16" style="1" bestFit="1" customWidth="1"/>
    <col min="13325" max="13325" width="10.5703125" style="1" customWidth="1"/>
    <col min="13326" max="13326" width="11.5703125" style="1" customWidth="1"/>
    <col min="13327" max="13327" width="10.5703125" style="1" customWidth="1"/>
    <col min="13328" max="13328" width="12.5703125" style="1" customWidth="1"/>
    <col min="13329" max="13329" width="16.28515625" style="1" customWidth="1"/>
    <col min="13330" max="13330" width="10.5703125" style="1" customWidth="1"/>
    <col min="13331" max="13331" width="13.140625" style="1" customWidth="1"/>
    <col min="13332" max="13332" width="13" style="1" customWidth="1"/>
    <col min="13333" max="13333" width="12.140625" style="1" customWidth="1"/>
    <col min="13334" max="13334" width="10.5703125" style="1" customWidth="1"/>
    <col min="13335" max="13335" width="14.7109375" style="1" customWidth="1"/>
    <col min="13336" max="13336" width="42.42578125" style="1" customWidth="1"/>
    <col min="13337" max="13337" width="13.7109375" style="1" customWidth="1"/>
    <col min="13338" max="13342" width="10.5703125" style="1" customWidth="1"/>
    <col min="13343" max="13343" width="21" style="1" customWidth="1"/>
    <col min="13344" max="13344" width="18.7109375" style="1" customWidth="1"/>
    <col min="13345" max="13345" width="16.140625" style="1" customWidth="1"/>
    <col min="13346" max="13346" width="20.85546875" style="1" customWidth="1"/>
    <col min="13347" max="13347" width="11.5703125" style="1" customWidth="1"/>
    <col min="13348" max="13348" width="13.85546875" style="1" customWidth="1"/>
    <col min="13349" max="13349" width="33.140625" style="1" customWidth="1"/>
    <col min="13350" max="13350" width="13.140625" style="1" customWidth="1"/>
    <col min="13351" max="13351" width="14.5703125" style="1" customWidth="1"/>
    <col min="13352" max="13352" width="21" style="1" customWidth="1"/>
    <col min="13353" max="13353" width="13.85546875" style="1" customWidth="1"/>
    <col min="13354" max="13354" width="13.7109375" style="1" customWidth="1"/>
    <col min="13355" max="13355" width="13.28515625" style="1" customWidth="1"/>
    <col min="13356" max="13356" width="12.28515625" style="1" customWidth="1"/>
    <col min="13357" max="13364" width="9.140625" style="1"/>
    <col min="13365" max="13365" width="10.140625" style="1" customWidth="1"/>
    <col min="13366" max="13367" width="9.140625" style="1"/>
    <col min="13368" max="13368" width="55.28515625" style="1" customWidth="1"/>
    <col min="13369" max="13568" width="9.140625" style="1"/>
    <col min="13569" max="13569" width="16.85546875" style="1" customWidth="1"/>
    <col min="13570" max="13570" width="13.5703125" style="1" customWidth="1"/>
    <col min="13571" max="13571" width="11.5703125" style="1" customWidth="1"/>
    <col min="13572" max="13572" width="28.85546875" style="1" bestFit="1" customWidth="1"/>
    <col min="13573" max="13573" width="13.7109375" style="1" customWidth="1"/>
    <col min="13574" max="13574" width="48.85546875" style="1" customWidth="1"/>
    <col min="13575" max="13575" width="11" style="1" customWidth="1"/>
    <col min="13576" max="13576" width="12.7109375" style="1" customWidth="1"/>
    <col min="13577" max="13577" width="35.28515625" style="1" customWidth="1"/>
    <col min="13578" max="13578" width="21.5703125" style="1" customWidth="1"/>
    <col min="13579" max="13579" width="10.5703125" style="1" customWidth="1"/>
    <col min="13580" max="13580" width="16" style="1" bestFit="1" customWidth="1"/>
    <col min="13581" max="13581" width="10.5703125" style="1" customWidth="1"/>
    <col min="13582" max="13582" width="11.5703125" style="1" customWidth="1"/>
    <col min="13583" max="13583" width="10.5703125" style="1" customWidth="1"/>
    <col min="13584" max="13584" width="12.5703125" style="1" customWidth="1"/>
    <col min="13585" max="13585" width="16.28515625" style="1" customWidth="1"/>
    <col min="13586" max="13586" width="10.5703125" style="1" customWidth="1"/>
    <col min="13587" max="13587" width="13.140625" style="1" customWidth="1"/>
    <col min="13588" max="13588" width="13" style="1" customWidth="1"/>
    <col min="13589" max="13589" width="12.140625" style="1" customWidth="1"/>
    <col min="13590" max="13590" width="10.5703125" style="1" customWidth="1"/>
    <col min="13591" max="13591" width="14.7109375" style="1" customWidth="1"/>
    <col min="13592" max="13592" width="42.42578125" style="1" customWidth="1"/>
    <col min="13593" max="13593" width="13.7109375" style="1" customWidth="1"/>
    <col min="13594" max="13598" width="10.5703125" style="1" customWidth="1"/>
    <col min="13599" max="13599" width="21" style="1" customWidth="1"/>
    <col min="13600" max="13600" width="18.7109375" style="1" customWidth="1"/>
    <col min="13601" max="13601" width="16.140625" style="1" customWidth="1"/>
    <col min="13602" max="13602" width="20.85546875" style="1" customWidth="1"/>
    <col min="13603" max="13603" width="11.5703125" style="1" customWidth="1"/>
    <col min="13604" max="13604" width="13.85546875" style="1" customWidth="1"/>
    <col min="13605" max="13605" width="33.140625" style="1" customWidth="1"/>
    <col min="13606" max="13606" width="13.140625" style="1" customWidth="1"/>
    <col min="13607" max="13607" width="14.5703125" style="1" customWidth="1"/>
    <col min="13608" max="13608" width="21" style="1" customWidth="1"/>
    <col min="13609" max="13609" width="13.85546875" style="1" customWidth="1"/>
    <col min="13610" max="13610" width="13.7109375" style="1" customWidth="1"/>
    <col min="13611" max="13611" width="13.28515625" style="1" customWidth="1"/>
    <col min="13612" max="13612" width="12.28515625" style="1" customWidth="1"/>
    <col min="13613" max="13620" width="9.140625" style="1"/>
    <col min="13621" max="13621" width="10.140625" style="1" customWidth="1"/>
    <col min="13622" max="13623" width="9.140625" style="1"/>
    <col min="13624" max="13624" width="55.28515625" style="1" customWidth="1"/>
    <col min="13625" max="13824" width="9.140625" style="1"/>
    <col min="13825" max="13825" width="16.85546875" style="1" customWidth="1"/>
    <col min="13826" max="13826" width="13.5703125" style="1" customWidth="1"/>
    <col min="13827" max="13827" width="11.5703125" style="1" customWidth="1"/>
    <col min="13828" max="13828" width="28.85546875" style="1" bestFit="1" customWidth="1"/>
    <col min="13829" max="13829" width="13.7109375" style="1" customWidth="1"/>
    <col min="13830" max="13830" width="48.85546875" style="1" customWidth="1"/>
    <col min="13831" max="13831" width="11" style="1" customWidth="1"/>
    <col min="13832" max="13832" width="12.7109375" style="1" customWidth="1"/>
    <col min="13833" max="13833" width="35.28515625" style="1" customWidth="1"/>
    <col min="13834" max="13834" width="21.5703125" style="1" customWidth="1"/>
    <col min="13835" max="13835" width="10.5703125" style="1" customWidth="1"/>
    <col min="13836" max="13836" width="16" style="1" bestFit="1" customWidth="1"/>
    <col min="13837" max="13837" width="10.5703125" style="1" customWidth="1"/>
    <col min="13838" max="13838" width="11.5703125" style="1" customWidth="1"/>
    <col min="13839" max="13839" width="10.5703125" style="1" customWidth="1"/>
    <col min="13840" max="13840" width="12.5703125" style="1" customWidth="1"/>
    <col min="13841" max="13841" width="16.28515625" style="1" customWidth="1"/>
    <col min="13842" max="13842" width="10.5703125" style="1" customWidth="1"/>
    <col min="13843" max="13843" width="13.140625" style="1" customWidth="1"/>
    <col min="13844" max="13844" width="13" style="1" customWidth="1"/>
    <col min="13845" max="13845" width="12.140625" style="1" customWidth="1"/>
    <col min="13846" max="13846" width="10.5703125" style="1" customWidth="1"/>
    <col min="13847" max="13847" width="14.7109375" style="1" customWidth="1"/>
    <col min="13848" max="13848" width="42.42578125" style="1" customWidth="1"/>
    <col min="13849" max="13849" width="13.7109375" style="1" customWidth="1"/>
    <col min="13850" max="13854" width="10.5703125" style="1" customWidth="1"/>
    <col min="13855" max="13855" width="21" style="1" customWidth="1"/>
    <col min="13856" max="13856" width="18.7109375" style="1" customWidth="1"/>
    <col min="13857" max="13857" width="16.140625" style="1" customWidth="1"/>
    <col min="13858" max="13858" width="20.85546875" style="1" customWidth="1"/>
    <col min="13859" max="13859" width="11.5703125" style="1" customWidth="1"/>
    <col min="13860" max="13860" width="13.85546875" style="1" customWidth="1"/>
    <col min="13861" max="13861" width="33.140625" style="1" customWidth="1"/>
    <col min="13862" max="13862" width="13.140625" style="1" customWidth="1"/>
    <col min="13863" max="13863" width="14.5703125" style="1" customWidth="1"/>
    <col min="13864" max="13864" width="21" style="1" customWidth="1"/>
    <col min="13865" max="13865" width="13.85546875" style="1" customWidth="1"/>
    <col min="13866" max="13866" width="13.7109375" style="1" customWidth="1"/>
    <col min="13867" max="13867" width="13.28515625" style="1" customWidth="1"/>
    <col min="13868" max="13868" width="12.28515625" style="1" customWidth="1"/>
    <col min="13869" max="13876" width="9.140625" style="1"/>
    <col min="13877" max="13877" width="10.140625" style="1" customWidth="1"/>
    <col min="13878" max="13879" width="9.140625" style="1"/>
    <col min="13880" max="13880" width="55.28515625" style="1" customWidth="1"/>
    <col min="13881" max="14080" width="9.140625" style="1"/>
    <col min="14081" max="14081" width="16.85546875" style="1" customWidth="1"/>
    <col min="14082" max="14082" width="13.5703125" style="1" customWidth="1"/>
    <col min="14083" max="14083" width="11.5703125" style="1" customWidth="1"/>
    <col min="14084" max="14084" width="28.85546875" style="1" bestFit="1" customWidth="1"/>
    <col min="14085" max="14085" width="13.7109375" style="1" customWidth="1"/>
    <col min="14086" max="14086" width="48.85546875" style="1" customWidth="1"/>
    <col min="14087" max="14087" width="11" style="1" customWidth="1"/>
    <col min="14088" max="14088" width="12.7109375" style="1" customWidth="1"/>
    <col min="14089" max="14089" width="35.28515625" style="1" customWidth="1"/>
    <col min="14090" max="14090" width="21.5703125" style="1" customWidth="1"/>
    <col min="14091" max="14091" width="10.5703125" style="1" customWidth="1"/>
    <col min="14092" max="14092" width="16" style="1" bestFit="1" customWidth="1"/>
    <col min="14093" max="14093" width="10.5703125" style="1" customWidth="1"/>
    <col min="14094" max="14094" width="11.5703125" style="1" customWidth="1"/>
    <col min="14095" max="14095" width="10.5703125" style="1" customWidth="1"/>
    <col min="14096" max="14096" width="12.5703125" style="1" customWidth="1"/>
    <col min="14097" max="14097" width="16.28515625" style="1" customWidth="1"/>
    <col min="14098" max="14098" width="10.5703125" style="1" customWidth="1"/>
    <col min="14099" max="14099" width="13.140625" style="1" customWidth="1"/>
    <col min="14100" max="14100" width="13" style="1" customWidth="1"/>
    <col min="14101" max="14101" width="12.140625" style="1" customWidth="1"/>
    <col min="14102" max="14102" width="10.5703125" style="1" customWidth="1"/>
    <col min="14103" max="14103" width="14.7109375" style="1" customWidth="1"/>
    <col min="14104" max="14104" width="42.42578125" style="1" customWidth="1"/>
    <col min="14105" max="14105" width="13.7109375" style="1" customWidth="1"/>
    <col min="14106" max="14110" width="10.5703125" style="1" customWidth="1"/>
    <col min="14111" max="14111" width="21" style="1" customWidth="1"/>
    <col min="14112" max="14112" width="18.7109375" style="1" customWidth="1"/>
    <col min="14113" max="14113" width="16.140625" style="1" customWidth="1"/>
    <col min="14114" max="14114" width="20.85546875" style="1" customWidth="1"/>
    <col min="14115" max="14115" width="11.5703125" style="1" customWidth="1"/>
    <col min="14116" max="14116" width="13.85546875" style="1" customWidth="1"/>
    <col min="14117" max="14117" width="33.140625" style="1" customWidth="1"/>
    <col min="14118" max="14118" width="13.140625" style="1" customWidth="1"/>
    <col min="14119" max="14119" width="14.5703125" style="1" customWidth="1"/>
    <col min="14120" max="14120" width="21" style="1" customWidth="1"/>
    <col min="14121" max="14121" width="13.85546875" style="1" customWidth="1"/>
    <col min="14122" max="14122" width="13.7109375" style="1" customWidth="1"/>
    <col min="14123" max="14123" width="13.28515625" style="1" customWidth="1"/>
    <col min="14124" max="14124" width="12.28515625" style="1" customWidth="1"/>
    <col min="14125" max="14132" width="9.140625" style="1"/>
    <col min="14133" max="14133" width="10.140625" style="1" customWidth="1"/>
    <col min="14134" max="14135" width="9.140625" style="1"/>
    <col min="14136" max="14136" width="55.28515625" style="1" customWidth="1"/>
    <col min="14137" max="14336" width="9.140625" style="1"/>
    <col min="14337" max="14337" width="16.85546875" style="1" customWidth="1"/>
    <col min="14338" max="14338" width="13.5703125" style="1" customWidth="1"/>
    <col min="14339" max="14339" width="11.5703125" style="1" customWidth="1"/>
    <col min="14340" max="14340" width="28.85546875" style="1" bestFit="1" customWidth="1"/>
    <col min="14341" max="14341" width="13.7109375" style="1" customWidth="1"/>
    <col min="14342" max="14342" width="48.85546875" style="1" customWidth="1"/>
    <col min="14343" max="14343" width="11" style="1" customWidth="1"/>
    <col min="14344" max="14344" width="12.7109375" style="1" customWidth="1"/>
    <col min="14345" max="14345" width="35.28515625" style="1" customWidth="1"/>
    <col min="14346" max="14346" width="21.5703125" style="1" customWidth="1"/>
    <col min="14347" max="14347" width="10.5703125" style="1" customWidth="1"/>
    <col min="14348" max="14348" width="16" style="1" bestFit="1" customWidth="1"/>
    <col min="14349" max="14349" width="10.5703125" style="1" customWidth="1"/>
    <col min="14350" max="14350" width="11.5703125" style="1" customWidth="1"/>
    <col min="14351" max="14351" width="10.5703125" style="1" customWidth="1"/>
    <col min="14352" max="14352" width="12.5703125" style="1" customWidth="1"/>
    <col min="14353" max="14353" width="16.28515625" style="1" customWidth="1"/>
    <col min="14354" max="14354" width="10.5703125" style="1" customWidth="1"/>
    <col min="14355" max="14355" width="13.140625" style="1" customWidth="1"/>
    <col min="14356" max="14356" width="13" style="1" customWidth="1"/>
    <col min="14357" max="14357" width="12.140625" style="1" customWidth="1"/>
    <col min="14358" max="14358" width="10.5703125" style="1" customWidth="1"/>
    <col min="14359" max="14359" width="14.7109375" style="1" customWidth="1"/>
    <col min="14360" max="14360" width="42.42578125" style="1" customWidth="1"/>
    <col min="14361" max="14361" width="13.7109375" style="1" customWidth="1"/>
    <col min="14362" max="14366" width="10.5703125" style="1" customWidth="1"/>
    <col min="14367" max="14367" width="21" style="1" customWidth="1"/>
    <col min="14368" max="14368" width="18.7109375" style="1" customWidth="1"/>
    <col min="14369" max="14369" width="16.140625" style="1" customWidth="1"/>
    <col min="14370" max="14370" width="20.85546875" style="1" customWidth="1"/>
    <col min="14371" max="14371" width="11.5703125" style="1" customWidth="1"/>
    <col min="14372" max="14372" width="13.85546875" style="1" customWidth="1"/>
    <col min="14373" max="14373" width="33.140625" style="1" customWidth="1"/>
    <col min="14374" max="14374" width="13.140625" style="1" customWidth="1"/>
    <col min="14375" max="14375" width="14.5703125" style="1" customWidth="1"/>
    <col min="14376" max="14376" width="21" style="1" customWidth="1"/>
    <col min="14377" max="14377" width="13.85546875" style="1" customWidth="1"/>
    <col min="14378" max="14378" width="13.7109375" style="1" customWidth="1"/>
    <col min="14379" max="14379" width="13.28515625" style="1" customWidth="1"/>
    <col min="14380" max="14380" width="12.28515625" style="1" customWidth="1"/>
    <col min="14381" max="14388" width="9.140625" style="1"/>
    <col min="14389" max="14389" width="10.140625" style="1" customWidth="1"/>
    <col min="14390" max="14391" width="9.140625" style="1"/>
    <col min="14392" max="14392" width="55.28515625" style="1" customWidth="1"/>
    <col min="14393" max="14592" width="9.140625" style="1"/>
    <col min="14593" max="14593" width="16.85546875" style="1" customWidth="1"/>
    <col min="14594" max="14594" width="13.5703125" style="1" customWidth="1"/>
    <col min="14595" max="14595" width="11.5703125" style="1" customWidth="1"/>
    <col min="14596" max="14596" width="28.85546875" style="1" bestFit="1" customWidth="1"/>
    <col min="14597" max="14597" width="13.7109375" style="1" customWidth="1"/>
    <col min="14598" max="14598" width="48.85546875" style="1" customWidth="1"/>
    <col min="14599" max="14599" width="11" style="1" customWidth="1"/>
    <col min="14600" max="14600" width="12.7109375" style="1" customWidth="1"/>
    <col min="14601" max="14601" width="35.28515625" style="1" customWidth="1"/>
    <col min="14602" max="14602" width="21.5703125" style="1" customWidth="1"/>
    <col min="14603" max="14603" width="10.5703125" style="1" customWidth="1"/>
    <col min="14604" max="14604" width="16" style="1" bestFit="1" customWidth="1"/>
    <col min="14605" max="14605" width="10.5703125" style="1" customWidth="1"/>
    <col min="14606" max="14606" width="11.5703125" style="1" customWidth="1"/>
    <col min="14607" max="14607" width="10.5703125" style="1" customWidth="1"/>
    <col min="14608" max="14608" width="12.5703125" style="1" customWidth="1"/>
    <col min="14609" max="14609" width="16.28515625" style="1" customWidth="1"/>
    <col min="14610" max="14610" width="10.5703125" style="1" customWidth="1"/>
    <col min="14611" max="14611" width="13.140625" style="1" customWidth="1"/>
    <col min="14612" max="14612" width="13" style="1" customWidth="1"/>
    <col min="14613" max="14613" width="12.140625" style="1" customWidth="1"/>
    <col min="14614" max="14614" width="10.5703125" style="1" customWidth="1"/>
    <col min="14615" max="14615" width="14.7109375" style="1" customWidth="1"/>
    <col min="14616" max="14616" width="42.42578125" style="1" customWidth="1"/>
    <col min="14617" max="14617" width="13.7109375" style="1" customWidth="1"/>
    <col min="14618" max="14622" width="10.5703125" style="1" customWidth="1"/>
    <col min="14623" max="14623" width="21" style="1" customWidth="1"/>
    <col min="14624" max="14624" width="18.7109375" style="1" customWidth="1"/>
    <col min="14625" max="14625" width="16.140625" style="1" customWidth="1"/>
    <col min="14626" max="14626" width="20.85546875" style="1" customWidth="1"/>
    <col min="14627" max="14627" width="11.5703125" style="1" customWidth="1"/>
    <col min="14628" max="14628" width="13.85546875" style="1" customWidth="1"/>
    <col min="14629" max="14629" width="33.140625" style="1" customWidth="1"/>
    <col min="14630" max="14630" width="13.140625" style="1" customWidth="1"/>
    <col min="14631" max="14631" width="14.5703125" style="1" customWidth="1"/>
    <col min="14632" max="14632" width="21" style="1" customWidth="1"/>
    <col min="14633" max="14633" width="13.85546875" style="1" customWidth="1"/>
    <col min="14634" max="14634" width="13.7109375" style="1" customWidth="1"/>
    <col min="14635" max="14635" width="13.28515625" style="1" customWidth="1"/>
    <col min="14636" max="14636" width="12.28515625" style="1" customWidth="1"/>
    <col min="14637" max="14644" width="9.140625" style="1"/>
    <col min="14645" max="14645" width="10.140625" style="1" customWidth="1"/>
    <col min="14646" max="14647" width="9.140625" style="1"/>
    <col min="14648" max="14648" width="55.28515625" style="1" customWidth="1"/>
    <col min="14649" max="14848" width="9.140625" style="1"/>
    <col min="14849" max="14849" width="16.85546875" style="1" customWidth="1"/>
    <col min="14850" max="14850" width="13.5703125" style="1" customWidth="1"/>
    <col min="14851" max="14851" width="11.5703125" style="1" customWidth="1"/>
    <col min="14852" max="14852" width="28.85546875" style="1" bestFit="1" customWidth="1"/>
    <col min="14853" max="14853" width="13.7109375" style="1" customWidth="1"/>
    <col min="14854" max="14854" width="48.85546875" style="1" customWidth="1"/>
    <col min="14855" max="14855" width="11" style="1" customWidth="1"/>
    <col min="14856" max="14856" width="12.7109375" style="1" customWidth="1"/>
    <col min="14857" max="14857" width="35.28515625" style="1" customWidth="1"/>
    <col min="14858" max="14858" width="21.5703125" style="1" customWidth="1"/>
    <col min="14859" max="14859" width="10.5703125" style="1" customWidth="1"/>
    <col min="14860" max="14860" width="16" style="1" bestFit="1" customWidth="1"/>
    <col min="14861" max="14861" width="10.5703125" style="1" customWidth="1"/>
    <col min="14862" max="14862" width="11.5703125" style="1" customWidth="1"/>
    <col min="14863" max="14863" width="10.5703125" style="1" customWidth="1"/>
    <col min="14864" max="14864" width="12.5703125" style="1" customWidth="1"/>
    <col min="14865" max="14865" width="16.28515625" style="1" customWidth="1"/>
    <col min="14866" max="14866" width="10.5703125" style="1" customWidth="1"/>
    <col min="14867" max="14867" width="13.140625" style="1" customWidth="1"/>
    <col min="14868" max="14868" width="13" style="1" customWidth="1"/>
    <col min="14869" max="14869" width="12.140625" style="1" customWidth="1"/>
    <col min="14870" max="14870" width="10.5703125" style="1" customWidth="1"/>
    <col min="14871" max="14871" width="14.7109375" style="1" customWidth="1"/>
    <col min="14872" max="14872" width="42.42578125" style="1" customWidth="1"/>
    <col min="14873" max="14873" width="13.7109375" style="1" customWidth="1"/>
    <col min="14874" max="14878" width="10.5703125" style="1" customWidth="1"/>
    <col min="14879" max="14879" width="21" style="1" customWidth="1"/>
    <col min="14880" max="14880" width="18.7109375" style="1" customWidth="1"/>
    <col min="14881" max="14881" width="16.140625" style="1" customWidth="1"/>
    <col min="14882" max="14882" width="20.85546875" style="1" customWidth="1"/>
    <col min="14883" max="14883" width="11.5703125" style="1" customWidth="1"/>
    <col min="14884" max="14884" width="13.85546875" style="1" customWidth="1"/>
    <col min="14885" max="14885" width="33.140625" style="1" customWidth="1"/>
    <col min="14886" max="14886" width="13.140625" style="1" customWidth="1"/>
    <col min="14887" max="14887" width="14.5703125" style="1" customWidth="1"/>
    <col min="14888" max="14888" width="21" style="1" customWidth="1"/>
    <col min="14889" max="14889" width="13.85546875" style="1" customWidth="1"/>
    <col min="14890" max="14890" width="13.7109375" style="1" customWidth="1"/>
    <col min="14891" max="14891" width="13.28515625" style="1" customWidth="1"/>
    <col min="14892" max="14892" width="12.28515625" style="1" customWidth="1"/>
    <col min="14893" max="14900" width="9.140625" style="1"/>
    <col min="14901" max="14901" width="10.140625" style="1" customWidth="1"/>
    <col min="14902" max="14903" width="9.140625" style="1"/>
    <col min="14904" max="14904" width="55.28515625" style="1" customWidth="1"/>
    <col min="14905" max="15104" width="9.140625" style="1"/>
    <col min="15105" max="15105" width="16.85546875" style="1" customWidth="1"/>
    <col min="15106" max="15106" width="13.5703125" style="1" customWidth="1"/>
    <col min="15107" max="15107" width="11.5703125" style="1" customWidth="1"/>
    <col min="15108" max="15108" width="28.85546875" style="1" bestFit="1" customWidth="1"/>
    <col min="15109" max="15109" width="13.7109375" style="1" customWidth="1"/>
    <col min="15110" max="15110" width="48.85546875" style="1" customWidth="1"/>
    <col min="15111" max="15111" width="11" style="1" customWidth="1"/>
    <col min="15112" max="15112" width="12.7109375" style="1" customWidth="1"/>
    <col min="15113" max="15113" width="35.28515625" style="1" customWidth="1"/>
    <col min="15114" max="15114" width="21.5703125" style="1" customWidth="1"/>
    <col min="15115" max="15115" width="10.5703125" style="1" customWidth="1"/>
    <col min="15116" max="15116" width="16" style="1" bestFit="1" customWidth="1"/>
    <col min="15117" max="15117" width="10.5703125" style="1" customWidth="1"/>
    <col min="15118" max="15118" width="11.5703125" style="1" customWidth="1"/>
    <col min="15119" max="15119" width="10.5703125" style="1" customWidth="1"/>
    <col min="15120" max="15120" width="12.5703125" style="1" customWidth="1"/>
    <col min="15121" max="15121" width="16.28515625" style="1" customWidth="1"/>
    <col min="15122" max="15122" width="10.5703125" style="1" customWidth="1"/>
    <col min="15123" max="15123" width="13.140625" style="1" customWidth="1"/>
    <col min="15124" max="15124" width="13" style="1" customWidth="1"/>
    <col min="15125" max="15125" width="12.140625" style="1" customWidth="1"/>
    <col min="15126" max="15126" width="10.5703125" style="1" customWidth="1"/>
    <col min="15127" max="15127" width="14.7109375" style="1" customWidth="1"/>
    <col min="15128" max="15128" width="42.42578125" style="1" customWidth="1"/>
    <col min="15129" max="15129" width="13.7109375" style="1" customWidth="1"/>
    <col min="15130" max="15134" width="10.5703125" style="1" customWidth="1"/>
    <col min="15135" max="15135" width="21" style="1" customWidth="1"/>
    <col min="15136" max="15136" width="18.7109375" style="1" customWidth="1"/>
    <col min="15137" max="15137" width="16.140625" style="1" customWidth="1"/>
    <col min="15138" max="15138" width="20.85546875" style="1" customWidth="1"/>
    <col min="15139" max="15139" width="11.5703125" style="1" customWidth="1"/>
    <col min="15140" max="15140" width="13.85546875" style="1" customWidth="1"/>
    <col min="15141" max="15141" width="33.140625" style="1" customWidth="1"/>
    <col min="15142" max="15142" width="13.140625" style="1" customWidth="1"/>
    <col min="15143" max="15143" width="14.5703125" style="1" customWidth="1"/>
    <col min="15144" max="15144" width="21" style="1" customWidth="1"/>
    <col min="15145" max="15145" width="13.85546875" style="1" customWidth="1"/>
    <col min="15146" max="15146" width="13.7109375" style="1" customWidth="1"/>
    <col min="15147" max="15147" width="13.28515625" style="1" customWidth="1"/>
    <col min="15148" max="15148" width="12.28515625" style="1" customWidth="1"/>
    <col min="15149" max="15156" width="9.140625" style="1"/>
    <col min="15157" max="15157" width="10.140625" style="1" customWidth="1"/>
    <col min="15158" max="15159" width="9.140625" style="1"/>
    <col min="15160" max="15160" width="55.28515625" style="1" customWidth="1"/>
    <col min="15161" max="15360" width="9.140625" style="1"/>
    <col min="15361" max="15361" width="16.85546875" style="1" customWidth="1"/>
    <col min="15362" max="15362" width="13.5703125" style="1" customWidth="1"/>
    <col min="15363" max="15363" width="11.5703125" style="1" customWidth="1"/>
    <col min="15364" max="15364" width="28.85546875" style="1" bestFit="1" customWidth="1"/>
    <col min="15365" max="15365" width="13.7109375" style="1" customWidth="1"/>
    <col min="15366" max="15366" width="48.85546875" style="1" customWidth="1"/>
    <col min="15367" max="15367" width="11" style="1" customWidth="1"/>
    <col min="15368" max="15368" width="12.7109375" style="1" customWidth="1"/>
    <col min="15369" max="15369" width="35.28515625" style="1" customWidth="1"/>
    <col min="15370" max="15370" width="21.5703125" style="1" customWidth="1"/>
    <col min="15371" max="15371" width="10.5703125" style="1" customWidth="1"/>
    <col min="15372" max="15372" width="16" style="1" bestFit="1" customWidth="1"/>
    <col min="15373" max="15373" width="10.5703125" style="1" customWidth="1"/>
    <col min="15374" max="15374" width="11.5703125" style="1" customWidth="1"/>
    <col min="15375" max="15375" width="10.5703125" style="1" customWidth="1"/>
    <col min="15376" max="15376" width="12.5703125" style="1" customWidth="1"/>
    <col min="15377" max="15377" width="16.28515625" style="1" customWidth="1"/>
    <col min="15378" max="15378" width="10.5703125" style="1" customWidth="1"/>
    <col min="15379" max="15379" width="13.140625" style="1" customWidth="1"/>
    <col min="15380" max="15380" width="13" style="1" customWidth="1"/>
    <col min="15381" max="15381" width="12.140625" style="1" customWidth="1"/>
    <col min="15382" max="15382" width="10.5703125" style="1" customWidth="1"/>
    <col min="15383" max="15383" width="14.7109375" style="1" customWidth="1"/>
    <col min="15384" max="15384" width="42.42578125" style="1" customWidth="1"/>
    <col min="15385" max="15385" width="13.7109375" style="1" customWidth="1"/>
    <col min="15386" max="15390" width="10.5703125" style="1" customWidth="1"/>
    <col min="15391" max="15391" width="21" style="1" customWidth="1"/>
    <col min="15392" max="15392" width="18.7109375" style="1" customWidth="1"/>
    <col min="15393" max="15393" width="16.140625" style="1" customWidth="1"/>
    <col min="15394" max="15394" width="20.85546875" style="1" customWidth="1"/>
    <col min="15395" max="15395" width="11.5703125" style="1" customWidth="1"/>
    <col min="15396" max="15396" width="13.85546875" style="1" customWidth="1"/>
    <col min="15397" max="15397" width="33.140625" style="1" customWidth="1"/>
    <col min="15398" max="15398" width="13.140625" style="1" customWidth="1"/>
    <col min="15399" max="15399" width="14.5703125" style="1" customWidth="1"/>
    <col min="15400" max="15400" width="21" style="1" customWidth="1"/>
    <col min="15401" max="15401" width="13.85546875" style="1" customWidth="1"/>
    <col min="15402" max="15402" width="13.7109375" style="1" customWidth="1"/>
    <col min="15403" max="15403" width="13.28515625" style="1" customWidth="1"/>
    <col min="15404" max="15404" width="12.28515625" style="1" customWidth="1"/>
    <col min="15405" max="15412" width="9.140625" style="1"/>
    <col min="15413" max="15413" width="10.140625" style="1" customWidth="1"/>
    <col min="15414" max="15415" width="9.140625" style="1"/>
    <col min="15416" max="15416" width="55.28515625" style="1" customWidth="1"/>
    <col min="15417" max="15616" width="9.140625" style="1"/>
    <col min="15617" max="15617" width="16.85546875" style="1" customWidth="1"/>
    <col min="15618" max="15618" width="13.5703125" style="1" customWidth="1"/>
    <col min="15619" max="15619" width="11.5703125" style="1" customWidth="1"/>
    <col min="15620" max="15620" width="28.85546875" style="1" bestFit="1" customWidth="1"/>
    <col min="15621" max="15621" width="13.7109375" style="1" customWidth="1"/>
    <col min="15622" max="15622" width="48.85546875" style="1" customWidth="1"/>
    <col min="15623" max="15623" width="11" style="1" customWidth="1"/>
    <col min="15624" max="15624" width="12.7109375" style="1" customWidth="1"/>
    <col min="15625" max="15625" width="35.28515625" style="1" customWidth="1"/>
    <col min="15626" max="15626" width="21.5703125" style="1" customWidth="1"/>
    <col min="15627" max="15627" width="10.5703125" style="1" customWidth="1"/>
    <col min="15628" max="15628" width="16" style="1" bestFit="1" customWidth="1"/>
    <col min="15629" max="15629" width="10.5703125" style="1" customWidth="1"/>
    <col min="15630" max="15630" width="11.5703125" style="1" customWidth="1"/>
    <col min="15631" max="15631" width="10.5703125" style="1" customWidth="1"/>
    <col min="15632" max="15632" width="12.5703125" style="1" customWidth="1"/>
    <col min="15633" max="15633" width="16.28515625" style="1" customWidth="1"/>
    <col min="15634" max="15634" width="10.5703125" style="1" customWidth="1"/>
    <col min="15635" max="15635" width="13.140625" style="1" customWidth="1"/>
    <col min="15636" max="15636" width="13" style="1" customWidth="1"/>
    <col min="15637" max="15637" width="12.140625" style="1" customWidth="1"/>
    <col min="15638" max="15638" width="10.5703125" style="1" customWidth="1"/>
    <col min="15639" max="15639" width="14.7109375" style="1" customWidth="1"/>
    <col min="15640" max="15640" width="42.42578125" style="1" customWidth="1"/>
    <col min="15641" max="15641" width="13.7109375" style="1" customWidth="1"/>
    <col min="15642" max="15646" width="10.5703125" style="1" customWidth="1"/>
    <col min="15647" max="15647" width="21" style="1" customWidth="1"/>
    <col min="15648" max="15648" width="18.7109375" style="1" customWidth="1"/>
    <col min="15649" max="15649" width="16.140625" style="1" customWidth="1"/>
    <col min="15650" max="15650" width="20.85546875" style="1" customWidth="1"/>
    <col min="15651" max="15651" width="11.5703125" style="1" customWidth="1"/>
    <col min="15652" max="15652" width="13.85546875" style="1" customWidth="1"/>
    <col min="15653" max="15653" width="33.140625" style="1" customWidth="1"/>
    <col min="15654" max="15654" width="13.140625" style="1" customWidth="1"/>
    <col min="15655" max="15655" width="14.5703125" style="1" customWidth="1"/>
    <col min="15656" max="15656" width="21" style="1" customWidth="1"/>
    <col min="15657" max="15657" width="13.85546875" style="1" customWidth="1"/>
    <col min="15658" max="15658" width="13.7109375" style="1" customWidth="1"/>
    <col min="15659" max="15659" width="13.28515625" style="1" customWidth="1"/>
    <col min="15660" max="15660" width="12.28515625" style="1" customWidth="1"/>
    <col min="15661" max="15668" width="9.140625" style="1"/>
    <col min="15669" max="15669" width="10.140625" style="1" customWidth="1"/>
    <col min="15670" max="15671" width="9.140625" style="1"/>
    <col min="15672" max="15672" width="55.28515625" style="1" customWidth="1"/>
    <col min="15673" max="15872" width="9.140625" style="1"/>
    <col min="15873" max="15873" width="16.85546875" style="1" customWidth="1"/>
    <col min="15874" max="15874" width="13.5703125" style="1" customWidth="1"/>
    <col min="15875" max="15875" width="11.5703125" style="1" customWidth="1"/>
    <col min="15876" max="15876" width="28.85546875" style="1" bestFit="1" customWidth="1"/>
    <col min="15877" max="15877" width="13.7109375" style="1" customWidth="1"/>
    <col min="15878" max="15878" width="48.85546875" style="1" customWidth="1"/>
    <col min="15879" max="15879" width="11" style="1" customWidth="1"/>
    <col min="15880" max="15880" width="12.7109375" style="1" customWidth="1"/>
    <col min="15881" max="15881" width="35.28515625" style="1" customWidth="1"/>
    <col min="15882" max="15882" width="21.5703125" style="1" customWidth="1"/>
    <col min="15883" max="15883" width="10.5703125" style="1" customWidth="1"/>
    <col min="15884" max="15884" width="16" style="1" bestFit="1" customWidth="1"/>
    <col min="15885" max="15885" width="10.5703125" style="1" customWidth="1"/>
    <col min="15886" max="15886" width="11.5703125" style="1" customWidth="1"/>
    <col min="15887" max="15887" width="10.5703125" style="1" customWidth="1"/>
    <col min="15888" max="15888" width="12.5703125" style="1" customWidth="1"/>
    <col min="15889" max="15889" width="16.28515625" style="1" customWidth="1"/>
    <col min="15890" max="15890" width="10.5703125" style="1" customWidth="1"/>
    <col min="15891" max="15891" width="13.140625" style="1" customWidth="1"/>
    <col min="15892" max="15892" width="13" style="1" customWidth="1"/>
    <col min="15893" max="15893" width="12.140625" style="1" customWidth="1"/>
    <col min="15894" max="15894" width="10.5703125" style="1" customWidth="1"/>
    <col min="15895" max="15895" width="14.7109375" style="1" customWidth="1"/>
    <col min="15896" max="15896" width="42.42578125" style="1" customWidth="1"/>
    <col min="15897" max="15897" width="13.7109375" style="1" customWidth="1"/>
    <col min="15898" max="15902" width="10.5703125" style="1" customWidth="1"/>
    <col min="15903" max="15903" width="21" style="1" customWidth="1"/>
    <col min="15904" max="15904" width="18.7109375" style="1" customWidth="1"/>
    <col min="15905" max="15905" width="16.140625" style="1" customWidth="1"/>
    <col min="15906" max="15906" width="20.85546875" style="1" customWidth="1"/>
    <col min="15907" max="15907" width="11.5703125" style="1" customWidth="1"/>
    <col min="15908" max="15908" width="13.85546875" style="1" customWidth="1"/>
    <col min="15909" max="15909" width="33.140625" style="1" customWidth="1"/>
    <col min="15910" max="15910" width="13.140625" style="1" customWidth="1"/>
    <col min="15911" max="15911" width="14.5703125" style="1" customWidth="1"/>
    <col min="15912" max="15912" width="21" style="1" customWidth="1"/>
    <col min="15913" max="15913" width="13.85546875" style="1" customWidth="1"/>
    <col min="15914" max="15914" width="13.7109375" style="1" customWidth="1"/>
    <col min="15915" max="15915" width="13.28515625" style="1" customWidth="1"/>
    <col min="15916" max="15916" width="12.28515625" style="1" customWidth="1"/>
    <col min="15917" max="15924" width="9.140625" style="1"/>
    <col min="15925" max="15925" width="10.140625" style="1" customWidth="1"/>
    <col min="15926" max="15927" width="9.140625" style="1"/>
    <col min="15928" max="15928" width="55.28515625" style="1" customWidth="1"/>
    <col min="15929" max="16128" width="9.140625" style="1"/>
    <col min="16129" max="16129" width="16.85546875" style="1" customWidth="1"/>
    <col min="16130" max="16130" width="13.5703125" style="1" customWidth="1"/>
    <col min="16131" max="16131" width="11.5703125" style="1" customWidth="1"/>
    <col min="16132" max="16132" width="28.85546875" style="1" bestFit="1" customWidth="1"/>
    <col min="16133" max="16133" width="13.7109375" style="1" customWidth="1"/>
    <col min="16134" max="16134" width="48.85546875" style="1" customWidth="1"/>
    <col min="16135" max="16135" width="11" style="1" customWidth="1"/>
    <col min="16136" max="16136" width="12.7109375" style="1" customWidth="1"/>
    <col min="16137" max="16137" width="35.28515625" style="1" customWidth="1"/>
    <col min="16138" max="16138" width="21.5703125" style="1" customWidth="1"/>
    <col min="16139" max="16139" width="10.5703125" style="1" customWidth="1"/>
    <col min="16140" max="16140" width="16" style="1" bestFit="1" customWidth="1"/>
    <col min="16141" max="16141" width="10.5703125" style="1" customWidth="1"/>
    <col min="16142" max="16142" width="11.5703125" style="1" customWidth="1"/>
    <col min="16143" max="16143" width="10.5703125" style="1" customWidth="1"/>
    <col min="16144" max="16144" width="12.5703125" style="1" customWidth="1"/>
    <col min="16145" max="16145" width="16.28515625" style="1" customWidth="1"/>
    <col min="16146" max="16146" width="10.5703125" style="1" customWidth="1"/>
    <col min="16147" max="16147" width="13.140625" style="1" customWidth="1"/>
    <col min="16148" max="16148" width="13" style="1" customWidth="1"/>
    <col min="16149" max="16149" width="12.140625" style="1" customWidth="1"/>
    <col min="16150" max="16150" width="10.5703125" style="1" customWidth="1"/>
    <col min="16151" max="16151" width="14.7109375" style="1" customWidth="1"/>
    <col min="16152" max="16152" width="42.42578125" style="1" customWidth="1"/>
    <col min="16153" max="16153" width="13.7109375" style="1" customWidth="1"/>
    <col min="16154" max="16158" width="10.5703125" style="1" customWidth="1"/>
    <col min="16159" max="16159" width="21" style="1" customWidth="1"/>
    <col min="16160" max="16160" width="18.7109375" style="1" customWidth="1"/>
    <col min="16161" max="16161" width="16.140625" style="1" customWidth="1"/>
    <col min="16162" max="16162" width="20.85546875" style="1" customWidth="1"/>
    <col min="16163" max="16163" width="11.5703125" style="1" customWidth="1"/>
    <col min="16164" max="16164" width="13.85546875" style="1" customWidth="1"/>
    <col min="16165" max="16165" width="33.140625" style="1" customWidth="1"/>
    <col min="16166" max="16166" width="13.140625" style="1" customWidth="1"/>
    <col min="16167" max="16167" width="14.5703125" style="1" customWidth="1"/>
    <col min="16168" max="16168" width="21" style="1" customWidth="1"/>
    <col min="16169" max="16169" width="13.85546875" style="1" customWidth="1"/>
    <col min="16170" max="16170" width="13.7109375" style="1" customWidth="1"/>
    <col min="16171" max="16171" width="13.28515625" style="1" customWidth="1"/>
    <col min="16172" max="16172" width="12.28515625" style="1" customWidth="1"/>
    <col min="16173" max="16180" width="9.140625" style="1"/>
    <col min="16181" max="16181" width="10.140625" style="1" customWidth="1"/>
    <col min="16182" max="16183" width="9.140625" style="1"/>
    <col min="16184" max="16184" width="55.28515625" style="1" customWidth="1"/>
    <col min="16185" max="16384" width="9.140625" style="1"/>
  </cols>
  <sheetData>
    <row r="1" spans="1:56" x14ac:dyDescent="0.25">
      <c r="A1" s="1024"/>
    </row>
    <row r="2" spans="1:56" x14ac:dyDescent="0.25">
      <c r="A2" s="1024"/>
    </row>
    <row r="3" spans="1:56" x14ac:dyDescent="0.25">
      <c r="A3" s="1024"/>
    </row>
    <row r="4" spans="1:56" x14ac:dyDescent="0.25">
      <c r="A4" s="1024"/>
    </row>
    <row r="5" spans="1:56" x14ac:dyDescent="0.25">
      <c r="A5" s="1024"/>
    </row>
    <row r="6" spans="1:56" x14ac:dyDescent="0.25">
      <c r="A6" s="1024"/>
    </row>
    <row r="7" spans="1:56" x14ac:dyDescent="0.25">
      <c r="A7" s="1"/>
      <c r="AI7" s="1023"/>
      <c r="AJ7" s="1023"/>
      <c r="AK7" s="1023"/>
      <c r="AL7" s="1023"/>
      <c r="AM7" s="1023"/>
      <c r="AN7" s="1023"/>
      <c r="AO7" s="1023"/>
      <c r="AP7" s="1023"/>
      <c r="AQ7" s="1023"/>
      <c r="AR7" s="1023"/>
    </row>
    <row r="8" spans="1:56" x14ac:dyDescent="0.25">
      <c r="A8" s="1"/>
      <c r="AI8" s="1023"/>
      <c r="AJ8" s="1023"/>
      <c r="AK8" s="1023"/>
      <c r="AL8" s="1023"/>
      <c r="AM8" s="1023"/>
      <c r="AN8" s="1023"/>
      <c r="AO8" s="1023"/>
      <c r="AP8" s="1023"/>
      <c r="AQ8" s="1023"/>
      <c r="AR8" s="102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x14ac:dyDescent="0.25">
      <c r="A10" s="1"/>
    </row>
    <row r="11" spans="1:56" s="1773" customFormat="1" ht="15"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x14ac:dyDescent="0.25">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56" s="1219" customFormat="1" ht="14.25" x14ac:dyDescent="0.25">
      <c r="A13" s="2066" t="s">
        <v>1</v>
      </c>
      <c r="B13" s="2066"/>
      <c r="C13" s="2066"/>
      <c r="D13" s="2066"/>
      <c r="E13" s="2066"/>
      <c r="F13" s="2066"/>
      <c r="G13" s="2066"/>
      <c r="H13" s="2066"/>
      <c r="I13" s="2066"/>
      <c r="J13" s="2066"/>
      <c r="K13" s="2066"/>
      <c r="L13" s="2066"/>
      <c r="M13" s="2066"/>
      <c r="N13" s="2066"/>
      <c r="O13" s="2066"/>
      <c r="P13" s="2066"/>
      <c r="Q13" s="2066"/>
      <c r="R13" s="2066"/>
      <c r="S13" s="2066"/>
      <c r="T13" s="2066"/>
      <c r="U13" s="2066"/>
      <c r="V13" s="2066"/>
      <c r="W13" s="2066"/>
      <c r="X13" s="2066"/>
      <c r="Y13" s="2066"/>
      <c r="Z13" s="2066"/>
      <c r="AA13" s="2066"/>
      <c r="AB13" s="2066"/>
      <c r="AC13" s="2066"/>
      <c r="AD13" s="2066"/>
      <c r="AE13" s="2066"/>
      <c r="AF13" s="2066"/>
      <c r="AG13" s="2066"/>
      <c r="AH13" s="2066"/>
      <c r="AI13" s="2066"/>
      <c r="AJ13" s="2066"/>
      <c r="AK13" s="2066"/>
      <c r="AL13" s="2066"/>
      <c r="AM13" s="2066"/>
      <c r="AN13" s="2066"/>
      <c r="AO13" s="2066"/>
      <c r="AP13" s="2066"/>
      <c r="AQ13" s="2066"/>
      <c r="AR13" s="2066"/>
      <c r="AS13" s="2066"/>
    </row>
    <row r="14" spans="1:56" s="1219" customFormat="1" ht="14.25" x14ac:dyDescent="0.25">
      <c r="A14" s="2066" t="s">
        <v>2</v>
      </c>
      <c r="B14" s="2066"/>
      <c r="C14" s="2066"/>
      <c r="D14" s="2066"/>
      <c r="E14" s="2066"/>
      <c r="F14" s="2066"/>
      <c r="G14" s="2066"/>
      <c r="H14" s="2066"/>
      <c r="I14" s="2066"/>
      <c r="J14" s="2066"/>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row>
    <row r="15" spans="1:56" s="1219" customFormat="1" ht="14.25" x14ac:dyDescent="0.25">
      <c r="A15" s="2066" t="s">
        <v>3</v>
      </c>
      <c r="B15" s="2066"/>
      <c r="C15" s="2066"/>
      <c r="D15" s="2066"/>
      <c r="E15" s="2066"/>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220"/>
      <c r="AM15" s="1220"/>
      <c r="AN15" s="1220"/>
      <c r="AO15" s="1220"/>
      <c r="AP15" s="1220"/>
      <c r="AQ15" s="1220"/>
      <c r="AR15" s="1220"/>
      <c r="AS15" s="1220"/>
    </row>
    <row r="16" spans="1:56" s="1219" customFormat="1" ht="14.25" x14ac:dyDescent="0.25">
      <c r="A16" s="1232"/>
      <c r="B16" s="1232"/>
      <c r="C16" s="1232"/>
      <c r="D16" s="1232"/>
      <c r="E16" s="1232"/>
      <c r="F16" s="1232"/>
      <c r="G16" s="1232"/>
      <c r="H16" s="1232"/>
      <c r="I16" s="1232"/>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row>
    <row r="17" spans="1:56" s="1219" customFormat="1" ht="15" x14ac:dyDescent="0.25">
      <c r="A17" s="2067" t="s">
        <v>7527</v>
      </c>
      <c r="B17" s="2067"/>
      <c r="C17" s="2067"/>
      <c r="D17" s="2067"/>
      <c r="E17" s="2067"/>
      <c r="F17" s="2067"/>
      <c r="G17" s="2067"/>
      <c r="H17" s="2067"/>
      <c r="I17" s="2067"/>
      <c r="J17" s="2067"/>
      <c r="K17" s="2067"/>
      <c r="L17" s="2067"/>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row>
    <row r="18" spans="1:56" s="1219" customFormat="1" ht="15" x14ac:dyDescent="0.25">
      <c r="A18" s="2067" t="s">
        <v>7528</v>
      </c>
      <c r="B18" s="2067"/>
      <c r="C18" s="2067"/>
      <c r="D18" s="2067"/>
      <c r="E18" s="2067"/>
      <c r="F18" s="2067"/>
      <c r="G18" s="2067"/>
      <c r="H18" s="2067"/>
      <c r="I18" s="2067"/>
      <c r="J18" s="2067"/>
      <c r="K18" s="2067"/>
      <c r="L18" s="2067"/>
      <c r="M18" s="2067"/>
      <c r="N18" s="2067"/>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row>
    <row r="19" spans="1:56" s="1219" customFormat="1" ht="15" x14ac:dyDescent="0.25">
      <c r="A19" s="2067" t="s">
        <v>7529</v>
      </c>
      <c r="B19" s="2067"/>
      <c r="C19" s="2067"/>
      <c r="D19" s="2067"/>
      <c r="E19" s="2067"/>
      <c r="F19" s="2067"/>
      <c r="G19" s="2067"/>
      <c r="H19" s="2067"/>
      <c r="I19" s="2067"/>
      <c r="J19" s="2067"/>
      <c r="K19" s="2067"/>
      <c r="L19" s="2067"/>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row>
    <row r="20" spans="1:56" ht="13.5" thickBot="1" x14ac:dyDescent="0.3">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56" ht="13.5" thickBot="1" x14ac:dyDescent="0.3">
      <c r="A21" s="2059" t="s">
        <v>5</v>
      </c>
      <c r="B21" s="2056" t="s">
        <v>6</v>
      </c>
      <c r="C21" s="2049"/>
      <c r="D21" s="2049"/>
      <c r="E21" s="2049"/>
      <c r="F21" s="2049"/>
      <c r="G21" s="2051"/>
      <c r="H21" s="2062" t="s">
        <v>7</v>
      </c>
      <c r="I21" s="2063"/>
      <c r="J21" s="2063"/>
      <c r="K21" s="2063"/>
      <c r="L21" s="2063"/>
      <c r="M21" s="2063"/>
      <c r="N21" s="2063"/>
      <c r="O21" s="2063"/>
      <c r="P21" s="2063"/>
      <c r="Q21" s="2063"/>
      <c r="R21" s="2063"/>
      <c r="S21" s="2063"/>
      <c r="T21" s="2063"/>
      <c r="U21" s="2063"/>
      <c r="V21" s="2063"/>
      <c r="W21" s="2063"/>
      <c r="X21" s="2063"/>
      <c r="Y21" s="2063"/>
      <c r="Z21" s="2063"/>
      <c r="AA21" s="2063"/>
      <c r="AB21" s="2063"/>
      <c r="AC21" s="2063"/>
      <c r="AD21" s="2063"/>
      <c r="AE21" s="2063"/>
      <c r="AF21" s="2063"/>
      <c r="AG21" s="2063"/>
      <c r="AH21" s="2064"/>
      <c r="AI21" s="2065" t="s">
        <v>8</v>
      </c>
      <c r="AJ21" s="2063"/>
      <c r="AK21" s="2063"/>
      <c r="AL21" s="2063"/>
      <c r="AM21" s="2063" t="s">
        <v>9</v>
      </c>
      <c r="AN21" s="2063"/>
      <c r="AO21" s="2063"/>
      <c r="AP21" s="2063"/>
      <c r="AQ21" s="2063"/>
      <c r="AR21" s="2063"/>
      <c r="AS21" s="2063" t="s">
        <v>10</v>
      </c>
      <c r="AT21" s="2063"/>
      <c r="AU21" s="2063"/>
      <c r="AV21" s="2063"/>
      <c r="AW21" s="2063"/>
      <c r="AX21" s="2063"/>
      <c r="AY21" s="2063"/>
      <c r="AZ21" s="2063"/>
      <c r="BA21" s="2063"/>
      <c r="BB21" s="2063"/>
      <c r="BC21" s="2063"/>
      <c r="BD21" s="2064"/>
    </row>
    <row r="22" spans="1:56" x14ac:dyDescent="0.25">
      <c r="A22" s="2060"/>
      <c r="B22" s="2057"/>
      <c r="C22" s="2050"/>
      <c r="D22" s="2050"/>
      <c r="E22" s="2050"/>
      <c r="F22" s="2050"/>
      <c r="G22" s="2052"/>
      <c r="H22" s="2056" t="s">
        <v>11</v>
      </c>
      <c r="I22" s="2049"/>
      <c r="J22" s="2049"/>
      <c r="K22" s="2049"/>
      <c r="L22" s="2049"/>
      <c r="M22" s="2049"/>
      <c r="N22" s="2049"/>
      <c r="O22" s="2049"/>
      <c r="P22" s="2049"/>
      <c r="Q22" s="2049"/>
      <c r="R22" s="2049"/>
      <c r="S22" s="2049"/>
      <c r="T22" s="2051"/>
      <c r="U22" s="2056" t="s">
        <v>12</v>
      </c>
      <c r="V22" s="2049"/>
      <c r="W22" s="2049"/>
      <c r="X22" s="2049"/>
      <c r="Y22" s="2049"/>
      <c r="Z22" s="2049"/>
      <c r="AA22" s="2049"/>
      <c r="AB22" s="2049"/>
      <c r="AC22" s="2049"/>
      <c r="AD22" s="2051"/>
      <c r="AE22" s="2056" t="s">
        <v>13</v>
      </c>
      <c r="AF22" s="2049"/>
      <c r="AG22" s="2049"/>
      <c r="AH22" s="2051"/>
      <c r="AI22" s="2068" t="s">
        <v>14</v>
      </c>
      <c r="AJ22" s="2049" t="s">
        <v>15</v>
      </c>
      <c r="AK22" s="2049" t="s">
        <v>16</v>
      </c>
      <c r="AL22" s="2051" t="s">
        <v>17</v>
      </c>
      <c r="AM22" s="2056" t="s">
        <v>18</v>
      </c>
      <c r="AN22" s="2049" t="s">
        <v>19</v>
      </c>
      <c r="AO22" s="2049" t="s">
        <v>20</v>
      </c>
      <c r="AP22" s="2049" t="s">
        <v>21</v>
      </c>
      <c r="AQ22" s="2049" t="s">
        <v>22</v>
      </c>
      <c r="AR22" s="2051" t="s">
        <v>21</v>
      </c>
      <c r="AS22" s="2056" t="s">
        <v>23</v>
      </c>
      <c r="AT22" s="2049" t="s">
        <v>24</v>
      </c>
      <c r="AU22" s="2054" t="s">
        <v>25</v>
      </c>
      <c r="AV22" s="2054"/>
      <c r="AW22" s="2054"/>
      <c r="AX22" s="2054" t="s">
        <v>26</v>
      </c>
      <c r="AY22" s="2054"/>
      <c r="AZ22" s="2049" t="s">
        <v>27</v>
      </c>
      <c r="BA22" s="2051" t="s">
        <v>28</v>
      </c>
      <c r="BB22" s="2053" t="s">
        <v>29</v>
      </c>
      <c r="BC22" s="2054"/>
      <c r="BD22" s="2055"/>
    </row>
    <row r="23" spans="1:56" ht="51" x14ac:dyDescent="0.25">
      <c r="A23" s="2060"/>
      <c r="B23" s="3" t="s">
        <v>30</v>
      </c>
      <c r="C23" s="4" t="s">
        <v>31</v>
      </c>
      <c r="D23" s="4" t="s">
        <v>32</v>
      </c>
      <c r="E23" s="4" t="s">
        <v>23</v>
      </c>
      <c r="F23" s="4" t="s">
        <v>33</v>
      </c>
      <c r="G23" s="5" t="s">
        <v>34</v>
      </c>
      <c r="H23" s="6" t="s">
        <v>35</v>
      </c>
      <c r="I23" s="4" t="s">
        <v>36</v>
      </c>
      <c r="J23" s="4" t="s">
        <v>37</v>
      </c>
      <c r="K23" s="4" t="s">
        <v>38</v>
      </c>
      <c r="L23" s="4" t="s">
        <v>39</v>
      </c>
      <c r="M23" s="4" t="s">
        <v>40</v>
      </c>
      <c r="N23" s="4" t="s">
        <v>41</v>
      </c>
      <c r="O23" s="4" t="s">
        <v>42</v>
      </c>
      <c r="P23" s="4" t="s">
        <v>43</v>
      </c>
      <c r="Q23" s="4" t="s">
        <v>44</v>
      </c>
      <c r="R23" s="4" t="s">
        <v>45</v>
      </c>
      <c r="S23" s="4" t="s">
        <v>46</v>
      </c>
      <c r="T23" s="5" t="s">
        <v>47</v>
      </c>
      <c r="U23" s="3" t="s">
        <v>48</v>
      </c>
      <c r="V23" s="4" t="s">
        <v>38</v>
      </c>
      <c r="W23" s="4" t="s">
        <v>40</v>
      </c>
      <c r="X23" s="4" t="s">
        <v>49</v>
      </c>
      <c r="Y23" s="4" t="s">
        <v>41</v>
      </c>
      <c r="Z23" s="4" t="s">
        <v>42</v>
      </c>
      <c r="AA23" s="4" t="s">
        <v>50</v>
      </c>
      <c r="AB23" s="4" t="s">
        <v>51</v>
      </c>
      <c r="AC23" s="4" t="s">
        <v>52</v>
      </c>
      <c r="AD23" s="5" t="s">
        <v>53</v>
      </c>
      <c r="AE23" s="3" t="s">
        <v>54</v>
      </c>
      <c r="AF23" s="4" t="s">
        <v>55</v>
      </c>
      <c r="AG23" s="4" t="s">
        <v>56</v>
      </c>
      <c r="AH23" s="5" t="s">
        <v>57</v>
      </c>
      <c r="AI23" s="2069"/>
      <c r="AJ23" s="2050"/>
      <c r="AK23" s="2050"/>
      <c r="AL23" s="2052"/>
      <c r="AM23" s="2057"/>
      <c r="AN23" s="2050"/>
      <c r="AO23" s="2050"/>
      <c r="AP23" s="2050"/>
      <c r="AQ23" s="2050"/>
      <c r="AR23" s="2052"/>
      <c r="AS23" s="2057"/>
      <c r="AT23" s="2050"/>
      <c r="AU23" s="7" t="s">
        <v>58</v>
      </c>
      <c r="AV23" s="7" t="s">
        <v>59</v>
      </c>
      <c r="AW23" s="7" t="s">
        <v>60</v>
      </c>
      <c r="AX23" s="7" t="s">
        <v>61</v>
      </c>
      <c r="AY23" s="4" t="s">
        <v>62</v>
      </c>
      <c r="AZ23" s="2050"/>
      <c r="BA23" s="2052"/>
      <c r="BB23" s="8" t="s">
        <v>58</v>
      </c>
      <c r="BC23" s="7" t="s">
        <v>63</v>
      </c>
      <c r="BD23" s="9" t="s">
        <v>64</v>
      </c>
    </row>
    <row r="24" spans="1:56" ht="13.5" thickBot="1" x14ac:dyDescent="0.3">
      <c r="A24" s="2061"/>
      <c r="B24" s="10" t="s">
        <v>65</v>
      </c>
      <c r="C24" s="11" t="s">
        <v>66</v>
      </c>
      <c r="D24" s="12" t="s">
        <v>67</v>
      </c>
      <c r="E24" s="11" t="s">
        <v>68</v>
      </c>
      <c r="F24" s="11" t="s">
        <v>69</v>
      </c>
      <c r="G24" s="13" t="s">
        <v>70</v>
      </c>
      <c r="H24" s="14" t="s">
        <v>71</v>
      </c>
      <c r="I24" s="11" t="s">
        <v>72</v>
      </c>
      <c r="J24" s="11" t="s">
        <v>73</v>
      </c>
      <c r="K24" s="11" t="s">
        <v>74</v>
      </c>
      <c r="L24" s="15" t="s">
        <v>75</v>
      </c>
      <c r="M24" s="11" t="s">
        <v>76</v>
      </c>
      <c r="N24" s="11" t="s">
        <v>77</v>
      </c>
      <c r="O24" s="11" t="s">
        <v>78</v>
      </c>
      <c r="P24" s="11" t="s">
        <v>79</v>
      </c>
      <c r="Q24" s="11" t="s">
        <v>80</v>
      </c>
      <c r="R24" s="11" t="s">
        <v>81</v>
      </c>
      <c r="S24" s="11" t="s">
        <v>82</v>
      </c>
      <c r="T24" s="13" t="s">
        <v>83</v>
      </c>
      <c r="U24" s="10" t="s">
        <v>84</v>
      </c>
      <c r="V24" s="11" t="s">
        <v>85</v>
      </c>
      <c r="W24" s="11" t="s">
        <v>86</v>
      </c>
      <c r="X24" s="11" t="s">
        <v>87</v>
      </c>
      <c r="Y24" s="11" t="s">
        <v>88</v>
      </c>
      <c r="Z24" s="11" t="s">
        <v>89</v>
      </c>
      <c r="AA24" s="11" t="s">
        <v>90</v>
      </c>
      <c r="AB24" s="11" t="s">
        <v>91</v>
      </c>
      <c r="AC24" s="11" t="s">
        <v>92</v>
      </c>
      <c r="AD24" s="13" t="s">
        <v>93</v>
      </c>
      <c r="AE24" s="10" t="s">
        <v>94</v>
      </c>
      <c r="AF24" s="11" t="s">
        <v>95</v>
      </c>
      <c r="AG24" s="11" t="s">
        <v>96</v>
      </c>
      <c r="AH24" s="13" t="s">
        <v>97</v>
      </c>
      <c r="AI24" s="16" t="s">
        <v>98</v>
      </c>
      <c r="AJ24" s="11" t="s">
        <v>99</v>
      </c>
      <c r="AK24" s="11" t="s">
        <v>100</v>
      </c>
      <c r="AL24" s="13" t="s">
        <v>101</v>
      </c>
      <c r="AM24" s="17" t="s">
        <v>102</v>
      </c>
      <c r="AN24" s="18" t="s">
        <v>103</v>
      </c>
      <c r="AO24" s="18" t="s">
        <v>104</v>
      </c>
      <c r="AP24" s="18" t="s">
        <v>105</v>
      </c>
      <c r="AQ24" s="18" t="s">
        <v>106</v>
      </c>
      <c r="AR24" s="19" t="s">
        <v>107</v>
      </c>
      <c r="AS24" s="17" t="s">
        <v>108</v>
      </c>
      <c r="AT24" s="18" t="s">
        <v>109</v>
      </c>
      <c r="AU24" s="18" t="s">
        <v>110</v>
      </c>
      <c r="AV24" s="18" t="s">
        <v>111</v>
      </c>
      <c r="AW24" s="18" t="s">
        <v>112</v>
      </c>
      <c r="AX24" s="18" t="s">
        <v>113</v>
      </c>
      <c r="AY24" s="18" t="s">
        <v>114</v>
      </c>
      <c r="AZ24" s="18" t="s">
        <v>115</v>
      </c>
      <c r="BA24" s="19" t="s">
        <v>116</v>
      </c>
      <c r="BB24" s="17" t="s">
        <v>117</v>
      </c>
      <c r="BC24" s="18" t="s">
        <v>118</v>
      </c>
      <c r="BD24" s="19" t="s">
        <v>119</v>
      </c>
    </row>
    <row r="25" spans="1:56" x14ac:dyDescent="0.25">
      <c r="A25" s="2047">
        <v>1</v>
      </c>
      <c r="B25" s="2041" t="s">
        <v>120</v>
      </c>
      <c r="C25" s="2044" t="s">
        <v>121</v>
      </c>
      <c r="D25" s="2044" t="s">
        <v>122</v>
      </c>
      <c r="E25" s="2021" t="s">
        <v>123</v>
      </c>
      <c r="F25" s="2021" t="s">
        <v>124</v>
      </c>
      <c r="G25" s="2043" t="s">
        <v>125</v>
      </c>
      <c r="H25" s="2041" t="s">
        <v>126</v>
      </c>
      <c r="I25" s="2044" t="s">
        <v>127</v>
      </c>
      <c r="J25" s="2021" t="s">
        <v>128</v>
      </c>
      <c r="K25" s="2031">
        <v>39538</v>
      </c>
      <c r="L25" s="2046">
        <v>0.03</v>
      </c>
      <c r="M25" s="2031"/>
      <c r="N25" s="2031">
        <v>39691</v>
      </c>
      <c r="O25" s="2031">
        <v>39813</v>
      </c>
      <c r="P25" s="2033" t="s">
        <v>129</v>
      </c>
      <c r="Q25" s="2031"/>
      <c r="R25" s="2031"/>
      <c r="S25" s="2031"/>
      <c r="T25" s="2026" t="s">
        <v>130</v>
      </c>
      <c r="U25" s="20"/>
      <c r="V25" s="21"/>
      <c r="W25" s="21"/>
      <c r="X25" s="21"/>
      <c r="Y25" s="21"/>
      <c r="Z25" s="21"/>
      <c r="AA25" s="21"/>
      <c r="AB25" s="21"/>
      <c r="AC25" s="21"/>
      <c r="AD25" s="22"/>
      <c r="AE25" s="23"/>
      <c r="AF25" s="24">
        <v>166850</v>
      </c>
      <c r="AG25" s="21"/>
      <c r="AH25" s="25">
        <f t="shared" ref="AH25:AH100" si="0">AF25+AG25</f>
        <v>166850</v>
      </c>
      <c r="AI25" s="20"/>
      <c r="AJ25" s="21"/>
      <c r="AK25" s="21"/>
      <c r="AL25" s="21"/>
      <c r="AM25" s="21"/>
      <c r="AN25" s="21"/>
      <c r="AO25" s="21"/>
      <c r="AP25" s="21"/>
      <c r="AQ25" s="21"/>
      <c r="AR25" s="21"/>
      <c r="AS25" s="21"/>
      <c r="AT25" s="21"/>
      <c r="AU25" s="21"/>
      <c r="AV25" s="21"/>
      <c r="AW25" s="21"/>
      <c r="AX25" s="21"/>
      <c r="AY25" s="21"/>
      <c r="AZ25" s="21"/>
      <c r="BA25" s="21"/>
      <c r="BB25" s="21"/>
      <c r="BC25" s="21"/>
      <c r="BD25" s="21"/>
    </row>
    <row r="26" spans="1:56" ht="25.5" x14ac:dyDescent="0.25">
      <c r="A26" s="2047"/>
      <c r="B26" s="2041"/>
      <c r="C26" s="2044"/>
      <c r="D26" s="2044"/>
      <c r="E26" s="2021"/>
      <c r="F26" s="2021"/>
      <c r="G26" s="2043"/>
      <c r="H26" s="2041"/>
      <c r="I26" s="2044"/>
      <c r="J26" s="2021"/>
      <c r="K26" s="2031"/>
      <c r="L26" s="2031"/>
      <c r="M26" s="2031"/>
      <c r="N26" s="2031"/>
      <c r="O26" s="2031"/>
      <c r="P26" s="2033"/>
      <c r="Q26" s="2031"/>
      <c r="R26" s="2031"/>
      <c r="S26" s="2031"/>
      <c r="T26" s="2026"/>
      <c r="U26" s="26" t="s">
        <v>131</v>
      </c>
      <c r="V26" s="27" t="s">
        <v>132</v>
      </c>
      <c r="W26" s="27" t="s">
        <v>133</v>
      </c>
      <c r="X26" s="28" t="s">
        <v>134</v>
      </c>
      <c r="Y26" s="28"/>
      <c r="Z26" s="28"/>
      <c r="AA26" s="29">
        <v>0.25</v>
      </c>
      <c r="AB26" s="28"/>
      <c r="AC26" s="28"/>
      <c r="AD26" s="30"/>
      <c r="AE26" s="31"/>
      <c r="AF26" s="32">
        <v>41712.5</v>
      </c>
      <c r="AG26" s="28"/>
      <c r="AH26" s="33">
        <f t="shared" si="0"/>
        <v>41712.5</v>
      </c>
      <c r="AI26" s="34"/>
      <c r="AJ26" s="28"/>
      <c r="AK26" s="28"/>
      <c r="AL26" s="28"/>
      <c r="AM26" s="28"/>
      <c r="AN26" s="28"/>
      <c r="AO26" s="28"/>
      <c r="AP26" s="28"/>
      <c r="AQ26" s="28"/>
      <c r="AR26" s="28"/>
      <c r="AS26" s="28"/>
      <c r="AT26" s="28"/>
      <c r="AU26" s="28"/>
      <c r="AV26" s="28"/>
      <c r="AW26" s="28"/>
      <c r="AX26" s="28"/>
      <c r="AY26" s="28"/>
      <c r="AZ26" s="28"/>
      <c r="BA26" s="28"/>
      <c r="BB26" s="28"/>
      <c r="BC26" s="28"/>
      <c r="BD26" s="28"/>
    </row>
    <row r="27" spans="1:56" ht="25.5" x14ac:dyDescent="0.25">
      <c r="A27" s="2047"/>
      <c r="B27" s="2041"/>
      <c r="C27" s="2044"/>
      <c r="D27" s="2044"/>
      <c r="E27" s="2021"/>
      <c r="F27" s="2021"/>
      <c r="G27" s="2043"/>
      <c r="H27" s="2041"/>
      <c r="I27" s="2044"/>
      <c r="J27" s="2021"/>
      <c r="K27" s="2031"/>
      <c r="L27" s="2031"/>
      <c r="M27" s="2031"/>
      <c r="N27" s="2031"/>
      <c r="O27" s="2031"/>
      <c r="P27" s="2033"/>
      <c r="Q27" s="2031"/>
      <c r="R27" s="2031"/>
      <c r="S27" s="2031"/>
      <c r="T27" s="2026"/>
      <c r="U27" s="26" t="s">
        <v>135</v>
      </c>
      <c r="V27" s="35">
        <v>40084</v>
      </c>
      <c r="W27" s="36">
        <v>10143</v>
      </c>
      <c r="X27" s="37" t="s">
        <v>136</v>
      </c>
      <c r="Y27" s="38">
        <v>40084</v>
      </c>
      <c r="Z27" s="28" t="s">
        <v>137</v>
      </c>
      <c r="AA27" s="28"/>
      <c r="AB27" s="28"/>
      <c r="AC27" s="28"/>
      <c r="AD27" s="30"/>
      <c r="AE27" s="31"/>
      <c r="AF27" s="32">
        <v>272297.95</v>
      </c>
      <c r="AG27" s="28"/>
      <c r="AH27" s="33">
        <f t="shared" si="0"/>
        <v>272297.95</v>
      </c>
      <c r="AI27" s="34"/>
      <c r="AJ27" s="28"/>
      <c r="AK27" s="28"/>
      <c r="AL27" s="28"/>
      <c r="AM27" s="28"/>
      <c r="AN27" s="28"/>
      <c r="AO27" s="28"/>
      <c r="AP27" s="28"/>
      <c r="AQ27" s="28"/>
      <c r="AR27" s="28"/>
      <c r="AS27" s="28"/>
      <c r="AT27" s="28"/>
      <c r="AU27" s="28"/>
      <c r="AV27" s="28"/>
      <c r="AW27" s="28"/>
      <c r="AX27" s="28"/>
      <c r="AY27" s="28"/>
      <c r="AZ27" s="28"/>
      <c r="BA27" s="28"/>
      <c r="BB27" s="28"/>
      <c r="BC27" s="28"/>
      <c r="BD27" s="28"/>
    </row>
    <row r="28" spans="1:56" ht="25.5" x14ac:dyDescent="0.25">
      <c r="A28" s="2047"/>
      <c r="B28" s="2041"/>
      <c r="C28" s="2044"/>
      <c r="D28" s="2044"/>
      <c r="E28" s="2021"/>
      <c r="F28" s="2021"/>
      <c r="G28" s="2043"/>
      <c r="H28" s="2041"/>
      <c r="I28" s="2044"/>
      <c r="J28" s="2021"/>
      <c r="K28" s="2031"/>
      <c r="L28" s="2031"/>
      <c r="M28" s="2031"/>
      <c r="N28" s="2031"/>
      <c r="O28" s="2031"/>
      <c r="P28" s="2033"/>
      <c r="Q28" s="2031"/>
      <c r="R28" s="2031"/>
      <c r="S28" s="2031"/>
      <c r="T28" s="2026"/>
      <c r="U28" s="26" t="s">
        <v>138</v>
      </c>
      <c r="V28" s="35">
        <v>40081</v>
      </c>
      <c r="W28" s="36">
        <v>10214</v>
      </c>
      <c r="X28" s="37" t="s">
        <v>139</v>
      </c>
      <c r="Y28" s="38">
        <v>40177</v>
      </c>
      <c r="Z28" s="38">
        <v>40543</v>
      </c>
      <c r="AA28" s="28"/>
      <c r="AB28" s="28"/>
      <c r="AC28" s="28"/>
      <c r="AD28" s="30"/>
      <c r="AE28" s="31"/>
      <c r="AF28" s="28">
        <v>0</v>
      </c>
      <c r="AG28" s="28"/>
      <c r="AH28" s="33">
        <f t="shared" si="0"/>
        <v>0</v>
      </c>
      <c r="AI28" s="34"/>
      <c r="AJ28" s="28"/>
      <c r="AK28" s="28"/>
      <c r="AL28" s="28"/>
      <c r="AM28" s="28"/>
      <c r="AN28" s="28"/>
      <c r="AO28" s="28"/>
      <c r="AP28" s="28"/>
      <c r="AQ28" s="28"/>
      <c r="AR28" s="28"/>
      <c r="AS28" s="28"/>
      <c r="AT28" s="28"/>
      <c r="AU28" s="28"/>
      <c r="AV28" s="28"/>
      <c r="AW28" s="28"/>
      <c r="AX28" s="28"/>
      <c r="AY28" s="28"/>
      <c r="AZ28" s="28"/>
      <c r="BA28" s="28"/>
      <c r="BB28" s="28"/>
      <c r="BC28" s="28"/>
      <c r="BD28" s="28"/>
    </row>
    <row r="29" spans="1:56" ht="25.5" x14ac:dyDescent="0.25">
      <c r="A29" s="2047"/>
      <c r="B29" s="2041"/>
      <c r="C29" s="2044"/>
      <c r="D29" s="2044"/>
      <c r="E29" s="2021"/>
      <c r="F29" s="2021"/>
      <c r="G29" s="2043"/>
      <c r="H29" s="2041"/>
      <c r="I29" s="2044"/>
      <c r="J29" s="2021"/>
      <c r="K29" s="2031"/>
      <c r="L29" s="2031"/>
      <c r="M29" s="2031"/>
      <c r="N29" s="2031"/>
      <c r="O29" s="2031"/>
      <c r="P29" s="2033"/>
      <c r="Q29" s="2031"/>
      <c r="R29" s="2031"/>
      <c r="S29" s="2031"/>
      <c r="T29" s="2026"/>
      <c r="U29" s="26" t="s">
        <v>140</v>
      </c>
      <c r="V29" s="39" t="s">
        <v>141</v>
      </c>
      <c r="W29" s="40"/>
      <c r="X29" s="28" t="s">
        <v>142</v>
      </c>
      <c r="Y29" s="40"/>
      <c r="Z29" s="40"/>
      <c r="AA29" s="28"/>
      <c r="AB29" s="28"/>
      <c r="AC29" s="28"/>
      <c r="AD29" s="30"/>
      <c r="AE29" s="31"/>
      <c r="AF29" s="32">
        <v>283021.13</v>
      </c>
      <c r="AG29" s="28"/>
      <c r="AH29" s="33">
        <f t="shared" si="0"/>
        <v>283021.13</v>
      </c>
      <c r="AI29" s="34"/>
      <c r="AJ29" s="28"/>
      <c r="AK29" s="28"/>
      <c r="AL29" s="28"/>
      <c r="AM29" s="28"/>
      <c r="AN29" s="28"/>
      <c r="AO29" s="28"/>
      <c r="AP29" s="28"/>
      <c r="AQ29" s="28"/>
      <c r="AR29" s="28"/>
      <c r="AS29" s="28"/>
      <c r="AT29" s="28"/>
      <c r="AU29" s="28"/>
      <c r="AV29" s="28"/>
      <c r="AW29" s="28"/>
      <c r="AX29" s="28"/>
      <c r="AY29" s="28"/>
      <c r="AZ29" s="28"/>
      <c r="BA29" s="28"/>
      <c r="BB29" s="28"/>
      <c r="BC29" s="28"/>
      <c r="BD29" s="28"/>
    </row>
    <row r="30" spans="1:56" ht="25.5" x14ac:dyDescent="0.25">
      <c r="A30" s="2047"/>
      <c r="B30" s="2041"/>
      <c r="C30" s="2044"/>
      <c r="D30" s="2044"/>
      <c r="E30" s="2021"/>
      <c r="F30" s="2021"/>
      <c r="G30" s="2043"/>
      <c r="H30" s="2041"/>
      <c r="I30" s="2044"/>
      <c r="J30" s="2021"/>
      <c r="K30" s="2031"/>
      <c r="L30" s="2031"/>
      <c r="M30" s="2031"/>
      <c r="N30" s="2031"/>
      <c r="O30" s="2031"/>
      <c r="P30" s="2033"/>
      <c r="Q30" s="2031"/>
      <c r="R30" s="2031"/>
      <c r="S30" s="2031"/>
      <c r="T30" s="2026"/>
      <c r="U30" s="26" t="s">
        <v>143</v>
      </c>
      <c r="V30" s="35">
        <v>40541</v>
      </c>
      <c r="W30" s="41">
        <v>10452</v>
      </c>
      <c r="X30" s="37" t="s">
        <v>139</v>
      </c>
      <c r="Y30" s="42">
        <v>40544</v>
      </c>
      <c r="Z30" s="42">
        <v>40908</v>
      </c>
      <c r="AA30" s="28"/>
      <c r="AB30" s="28"/>
      <c r="AC30" s="28"/>
      <c r="AD30" s="30"/>
      <c r="AE30" s="31"/>
      <c r="AF30" s="32">
        <v>283194.57</v>
      </c>
      <c r="AG30" s="28"/>
      <c r="AH30" s="33">
        <f t="shared" si="0"/>
        <v>283194.57</v>
      </c>
      <c r="AI30" s="34"/>
      <c r="AJ30" s="28"/>
      <c r="AK30" s="28"/>
      <c r="AL30" s="28"/>
      <c r="AM30" s="28"/>
      <c r="AN30" s="28"/>
      <c r="AO30" s="28"/>
      <c r="AP30" s="28"/>
      <c r="AQ30" s="28"/>
      <c r="AR30" s="28"/>
      <c r="AS30" s="28"/>
      <c r="AT30" s="28"/>
      <c r="AU30" s="28"/>
      <c r="AV30" s="28"/>
      <c r="AW30" s="28"/>
      <c r="AX30" s="28"/>
      <c r="AY30" s="28"/>
      <c r="AZ30" s="28"/>
      <c r="BA30" s="28"/>
      <c r="BB30" s="28"/>
      <c r="BC30" s="28"/>
      <c r="BD30" s="28"/>
    </row>
    <row r="31" spans="1:56" ht="25.5" x14ac:dyDescent="0.25">
      <c r="A31" s="2047"/>
      <c r="B31" s="2041"/>
      <c r="C31" s="2044"/>
      <c r="D31" s="2044"/>
      <c r="E31" s="2021"/>
      <c r="F31" s="2021"/>
      <c r="G31" s="2043"/>
      <c r="H31" s="2041"/>
      <c r="I31" s="2044"/>
      <c r="J31" s="2021"/>
      <c r="K31" s="2031"/>
      <c r="L31" s="2031"/>
      <c r="M31" s="2031"/>
      <c r="N31" s="2031"/>
      <c r="O31" s="2031"/>
      <c r="P31" s="2033"/>
      <c r="Q31" s="2031"/>
      <c r="R31" s="2031"/>
      <c r="S31" s="2031"/>
      <c r="T31" s="2026"/>
      <c r="U31" s="26" t="s">
        <v>144</v>
      </c>
      <c r="V31" s="35">
        <v>40906</v>
      </c>
      <c r="W31" s="36">
        <v>10701</v>
      </c>
      <c r="X31" s="37" t="s">
        <v>139</v>
      </c>
      <c r="Y31" s="38">
        <v>40909</v>
      </c>
      <c r="Z31" s="38">
        <v>41274</v>
      </c>
      <c r="AA31" s="28"/>
      <c r="AB31" s="28"/>
      <c r="AC31" s="28"/>
      <c r="AD31" s="30"/>
      <c r="AE31" s="31"/>
      <c r="AF31" s="32">
        <v>272345.2</v>
      </c>
      <c r="AG31" s="28"/>
      <c r="AH31" s="33">
        <f t="shared" si="0"/>
        <v>272345.2</v>
      </c>
      <c r="AI31" s="34"/>
      <c r="AJ31" s="28"/>
      <c r="AK31" s="28"/>
      <c r="AL31" s="28"/>
      <c r="AM31" s="28"/>
      <c r="AN31" s="28"/>
      <c r="AO31" s="28"/>
      <c r="AP31" s="28"/>
      <c r="AQ31" s="28"/>
      <c r="AR31" s="28"/>
      <c r="AS31" s="28"/>
      <c r="AT31" s="28"/>
      <c r="AU31" s="28"/>
      <c r="AV31" s="28"/>
      <c r="AW31" s="28"/>
      <c r="AX31" s="28"/>
      <c r="AY31" s="28"/>
      <c r="AZ31" s="28"/>
      <c r="BA31" s="28"/>
      <c r="BB31" s="28"/>
      <c r="BC31" s="28"/>
      <c r="BD31" s="28"/>
    </row>
    <row r="32" spans="1:56" ht="25.5" x14ac:dyDescent="0.25">
      <c r="A32" s="2047"/>
      <c r="B32" s="2041"/>
      <c r="C32" s="2044"/>
      <c r="D32" s="2044"/>
      <c r="E32" s="2021"/>
      <c r="F32" s="2021"/>
      <c r="G32" s="2043"/>
      <c r="H32" s="2041"/>
      <c r="I32" s="2044"/>
      <c r="J32" s="2021"/>
      <c r="K32" s="2031"/>
      <c r="L32" s="2031"/>
      <c r="M32" s="2031"/>
      <c r="N32" s="2031"/>
      <c r="O32" s="2031"/>
      <c r="P32" s="2033"/>
      <c r="Q32" s="2031"/>
      <c r="R32" s="2031"/>
      <c r="S32" s="2031"/>
      <c r="T32" s="2026"/>
      <c r="U32" s="26" t="s">
        <v>145</v>
      </c>
      <c r="V32" s="35">
        <v>41261</v>
      </c>
      <c r="W32" s="36">
        <v>10954</v>
      </c>
      <c r="X32" s="37" t="s">
        <v>146</v>
      </c>
      <c r="Y32" s="38">
        <v>41275</v>
      </c>
      <c r="Z32" s="38">
        <v>41334</v>
      </c>
      <c r="AA32" s="28"/>
      <c r="AB32" s="28"/>
      <c r="AC32" s="28"/>
      <c r="AD32" s="30"/>
      <c r="AE32" s="31"/>
      <c r="AF32" s="32">
        <v>21716.39</v>
      </c>
      <c r="AG32" s="28"/>
      <c r="AH32" s="33">
        <f t="shared" si="0"/>
        <v>21716.39</v>
      </c>
      <c r="AI32" s="34"/>
      <c r="AJ32" s="28"/>
      <c r="AK32" s="28"/>
      <c r="AL32" s="28"/>
      <c r="AM32" s="28"/>
      <c r="AN32" s="28"/>
      <c r="AO32" s="28"/>
      <c r="AP32" s="28"/>
      <c r="AQ32" s="28"/>
      <c r="AR32" s="28"/>
      <c r="AS32" s="28"/>
      <c r="AT32" s="28"/>
      <c r="AU32" s="28"/>
      <c r="AV32" s="28"/>
      <c r="AW32" s="28"/>
      <c r="AX32" s="28"/>
      <c r="AY32" s="28"/>
      <c r="AZ32" s="28"/>
      <c r="BA32" s="28"/>
      <c r="BB32" s="28"/>
      <c r="BC32" s="28"/>
      <c r="BD32" s="28"/>
    </row>
    <row r="33" spans="1:56" ht="25.5" x14ac:dyDescent="0.25">
      <c r="A33" s="2047"/>
      <c r="B33" s="2041"/>
      <c r="C33" s="2044"/>
      <c r="D33" s="2044"/>
      <c r="E33" s="2021"/>
      <c r="F33" s="2021"/>
      <c r="G33" s="2043"/>
      <c r="H33" s="2041"/>
      <c r="I33" s="2044"/>
      <c r="J33" s="2021"/>
      <c r="K33" s="2031"/>
      <c r="L33" s="2031"/>
      <c r="M33" s="2031"/>
      <c r="N33" s="2031"/>
      <c r="O33" s="2031"/>
      <c r="P33" s="2033"/>
      <c r="Q33" s="2031"/>
      <c r="R33" s="2031"/>
      <c r="S33" s="2031"/>
      <c r="T33" s="2026"/>
      <c r="U33" s="26" t="s">
        <v>147</v>
      </c>
      <c r="V33" s="35">
        <v>41332</v>
      </c>
      <c r="W33" s="36">
        <v>11014</v>
      </c>
      <c r="X33" s="37" t="s">
        <v>148</v>
      </c>
      <c r="Y33" s="38">
        <v>41334</v>
      </c>
      <c r="Z33" s="38">
        <v>41671</v>
      </c>
      <c r="AA33" s="28"/>
      <c r="AB33" s="28"/>
      <c r="AC33" s="28"/>
      <c r="AD33" s="30"/>
      <c r="AE33" s="31"/>
      <c r="AF33" s="32">
        <v>52237.02</v>
      </c>
      <c r="AG33" s="28"/>
      <c r="AH33" s="33">
        <f t="shared" si="0"/>
        <v>52237.02</v>
      </c>
      <c r="AI33" s="34"/>
      <c r="AJ33" s="28"/>
      <c r="AK33" s="28"/>
      <c r="AL33" s="28"/>
      <c r="AM33" s="28"/>
      <c r="AN33" s="28"/>
      <c r="AO33" s="28"/>
      <c r="AP33" s="28"/>
      <c r="AQ33" s="28"/>
      <c r="AR33" s="28"/>
      <c r="AS33" s="28"/>
      <c r="AT33" s="28"/>
      <c r="AU33" s="28"/>
      <c r="AV33" s="28"/>
      <c r="AW33" s="28"/>
      <c r="AX33" s="28"/>
      <c r="AY33" s="28"/>
      <c r="AZ33" s="28"/>
      <c r="BA33" s="28"/>
      <c r="BB33" s="28"/>
      <c r="BC33" s="28"/>
      <c r="BD33" s="28"/>
    </row>
    <row r="34" spans="1:56" ht="25.5" x14ac:dyDescent="0.25">
      <c r="A34" s="2048"/>
      <c r="B34" s="2042"/>
      <c r="C34" s="2045"/>
      <c r="D34" s="2045"/>
      <c r="E34" s="1986"/>
      <c r="F34" s="1986"/>
      <c r="G34" s="1988"/>
      <c r="H34" s="2042"/>
      <c r="I34" s="2045"/>
      <c r="J34" s="1986"/>
      <c r="K34" s="2032"/>
      <c r="L34" s="2032"/>
      <c r="M34" s="2032"/>
      <c r="N34" s="2032"/>
      <c r="O34" s="2032"/>
      <c r="P34" s="1997"/>
      <c r="Q34" s="2032"/>
      <c r="R34" s="2032"/>
      <c r="S34" s="2032"/>
      <c r="T34" s="2027"/>
      <c r="U34" s="26" t="s">
        <v>149</v>
      </c>
      <c r="V34" s="35">
        <v>41634</v>
      </c>
      <c r="W34" s="28"/>
      <c r="X34" s="37" t="s">
        <v>146</v>
      </c>
      <c r="Y34" s="38">
        <v>41640</v>
      </c>
      <c r="Z34" s="38">
        <v>41699</v>
      </c>
      <c r="AA34" s="28"/>
      <c r="AB34" s="28"/>
      <c r="AC34" s="28"/>
      <c r="AD34" s="30"/>
      <c r="AE34" s="31"/>
      <c r="AF34" s="28">
        <v>0</v>
      </c>
      <c r="AG34" s="43">
        <v>21020.33</v>
      </c>
      <c r="AH34" s="33">
        <f t="shared" si="0"/>
        <v>21020.33</v>
      </c>
      <c r="AI34" s="34"/>
      <c r="AJ34" s="28"/>
      <c r="AK34" s="28"/>
      <c r="AL34" s="28"/>
      <c r="AM34" s="28"/>
      <c r="AN34" s="28"/>
      <c r="AO34" s="28"/>
      <c r="AP34" s="28"/>
      <c r="AQ34" s="28"/>
      <c r="AR34" s="28"/>
      <c r="AS34" s="28"/>
      <c r="AT34" s="28"/>
      <c r="AU34" s="28"/>
      <c r="AV34" s="28"/>
      <c r="AW34" s="28"/>
      <c r="AX34" s="28"/>
      <c r="AY34" s="28"/>
      <c r="AZ34" s="28"/>
      <c r="BA34" s="28"/>
      <c r="BB34" s="28"/>
      <c r="BC34" s="28"/>
      <c r="BD34" s="28"/>
    </row>
    <row r="35" spans="1:56" ht="15" customHeight="1" x14ac:dyDescent="0.25">
      <c r="A35" s="2034">
        <v>2</v>
      </c>
      <c r="B35" s="1977" t="s">
        <v>150</v>
      </c>
      <c r="C35" s="1967" t="s">
        <v>151</v>
      </c>
      <c r="D35" s="1978" t="s">
        <v>152</v>
      </c>
      <c r="E35" s="1967" t="s">
        <v>153</v>
      </c>
      <c r="F35" s="1967" t="s">
        <v>154</v>
      </c>
      <c r="G35" s="2037"/>
      <c r="H35" s="2040" t="s">
        <v>155</v>
      </c>
      <c r="I35" s="1985" t="s">
        <v>156</v>
      </c>
      <c r="J35" s="2028" t="s">
        <v>157</v>
      </c>
      <c r="K35" s="1996">
        <v>40301</v>
      </c>
      <c r="L35" s="2002">
        <v>11200</v>
      </c>
      <c r="M35" s="1994">
        <v>10305</v>
      </c>
      <c r="N35" s="1996">
        <v>40301</v>
      </c>
      <c r="O35" s="1996">
        <v>40543</v>
      </c>
      <c r="P35" s="1985" t="s">
        <v>129</v>
      </c>
      <c r="Q35" s="1985"/>
      <c r="R35" s="1985"/>
      <c r="S35" s="1985"/>
      <c r="T35" s="2025" t="s">
        <v>158</v>
      </c>
      <c r="U35" s="26"/>
      <c r="V35" s="35"/>
      <c r="W35" s="28"/>
      <c r="X35" s="37"/>
      <c r="Y35" s="38"/>
      <c r="Z35" s="38"/>
      <c r="AA35" s="28"/>
      <c r="AB35" s="28"/>
      <c r="AC35" s="28"/>
      <c r="AD35" s="30"/>
      <c r="AE35" s="31"/>
      <c r="AF35" s="32">
        <v>11200</v>
      </c>
      <c r="AG35" s="43"/>
      <c r="AH35" s="33">
        <f t="shared" si="0"/>
        <v>11200</v>
      </c>
      <c r="AI35" s="34"/>
      <c r="AJ35" s="28"/>
      <c r="AK35" s="28"/>
      <c r="AL35" s="28"/>
      <c r="AM35" s="28"/>
      <c r="AN35" s="28"/>
      <c r="AO35" s="28"/>
      <c r="AP35" s="28"/>
      <c r="AQ35" s="28"/>
      <c r="AR35" s="28"/>
      <c r="AS35" s="28"/>
      <c r="AT35" s="28"/>
      <c r="AU35" s="28"/>
      <c r="AV35" s="28"/>
      <c r="AW35" s="28"/>
      <c r="AX35" s="28"/>
      <c r="AY35" s="28"/>
      <c r="AZ35" s="28"/>
      <c r="BA35" s="28"/>
      <c r="BB35" s="28"/>
      <c r="BC35" s="28"/>
      <c r="BD35" s="28"/>
    </row>
    <row r="36" spans="1:56" ht="38.25" x14ac:dyDescent="0.25">
      <c r="A36" s="2035"/>
      <c r="B36" s="1977"/>
      <c r="C36" s="1967"/>
      <c r="D36" s="1978"/>
      <c r="E36" s="1967"/>
      <c r="F36" s="1967"/>
      <c r="G36" s="2038"/>
      <c r="H36" s="2041"/>
      <c r="I36" s="2021"/>
      <c r="J36" s="2029"/>
      <c r="K36" s="2021"/>
      <c r="L36" s="2021"/>
      <c r="M36" s="2021"/>
      <c r="N36" s="2021"/>
      <c r="O36" s="2021"/>
      <c r="P36" s="2021"/>
      <c r="Q36" s="2021"/>
      <c r="R36" s="2021"/>
      <c r="S36" s="2021"/>
      <c r="T36" s="2026"/>
      <c r="U36" s="44" t="s">
        <v>159</v>
      </c>
      <c r="V36" s="45">
        <v>40532</v>
      </c>
      <c r="W36" s="46" t="s">
        <v>160</v>
      </c>
      <c r="X36" s="37" t="s">
        <v>139</v>
      </c>
      <c r="Y36" s="45" t="s">
        <v>161</v>
      </c>
      <c r="Z36" s="45">
        <v>40908</v>
      </c>
      <c r="AA36" s="28"/>
      <c r="AB36" s="28"/>
      <c r="AC36" s="28"/>
      <c r="AD36" s="30"/>
      <c r="AE36" s="31"/>
      <c r="AF36" s="32">
        <v>16800</v>
      </c>
      <c r="AG36" s="43"/>
      <c r="AH36" s="33">
        <f t="shared" si="0"/>
        <v>16800</v>
      </c>
      <c r="AI36" s="34"/>
      <c r="AJ36" s="28"/>
      <c r="AK36" s="28"/>
      <c r="AL36" s="28"/>
      <c r="AM36" s="28"/>
      <c r="AN36" s="28"/>
      <c r="AO36" s="28"/>
      <c r="AP36" s="28"/>
      <c r="AQ36" s="28"/>
      <c r="AR36" s="28"/>
      <c r="AS36" s="28"/>
      <c r="AT36" s="28"/>
      <c r="AU36" s="28"/>
      <c r="AV36" s="28"/>
      <c r="AW36" s="28"/>
      <c r="AX36" s="28"/>
      <c r="AY36" s="28"/>
      <c r="AZ36" s="28"/>
      <c r="BA36" s="28"/>
      <c r="BB36" s="28"/>
      <c r="BC36" s="28"/>
      <c r="BD36" s="28"/>
    </row>
    <row r="37" spans="1:56" ht="25.5" x14ac:dyDescent="0.25">
      <c r="A37" s="2035"/>
      <c r="B37" s="1977"/>
      <c r="C37" s="1967"/>
      <c r="D37" s="1978"/>
      <c r="E37" s="1967"/>
      <c r="F37" s="1967"/>
      <c r="G37" s="2038"/>
      <c r="H37" s="2041"/>
      <c r="I37" s="2021"/>
      <c r="J37" s="2029"/>
      <c r="K37" s="2021"/>
      <c r="L37" s="2021"/>
      <c r="M37" s="2021"/>
      <c r="N37" s="2021"/>
      <c r="O37" s="2021"/>
      <c r="P37" s="2021"/>
      <c r="Q37" s="2021"/>
      <c r="R37" s="2021"/>
      <c r="S37" s="2021"/>
      <c r="T37" s="2026"/>
      <c r="U37" s="44" t="s">
        <v>162</v>
      </c>
      <c r="V37" s="45">
        <v>40897</v>
      </c>
      <c r="W37" s="46">
        <v>10694</v>
      </c>
      <c r="X37" s="37" t="s">
        <v>139</v>
      </c>
      <c r="Y37" s="45">
        <v>40863</v>
      </c>
      <c r="Z37" s="45">
        <v>41229</v>
      </c>
      <c r="AA37" s="28"/>
      <c r="AB37" s="28"/>
      <c r="AC37" s="28"/>
      <c r="AD37" s="30"/>
      <c r="AE37" s="31"/>
      <c r="AF37" s="32">
        <v>16800</v>
      </c>
      <c r="AG37" s="43"/>
      <c r="AH37" s="33">
        <f t="shared" si="0"/>
        <v>16800</v>
      </c>
      <c r="AI37" s="34"/>
      <c r="AJ37" s="28"/>
      <c r="AK37" s="28"/>
      <c r="AL37" s="28"/>
      <c r="AM37" s="28"/>
      <c r="AN37" s="28"/>
      <c r="AO37" s="28"/>
      <c r="AP37" s="28"/>
      <c r="AQ37" s="28"/>
      <c r="AR37" s="28"/>
      <c r="AS37" s="28"/>
      <c r="AT37" s="28"/>
      <c r="AU37" s="28"/>
      <c r="AV37" s="28"/>
      <c r="AW37" s="28"/>
      <c r="AX37" s="28"/>
      <c r="AY37" s="28"/>
      <c r="AZ37" s="28"/>
      <c r="BA37" s="28"/>
      <c r="BB37" s="28"/>
      <c r="BC37" s="28"/>
      <c r="BD37" s="28"/>
    </row>
    <row r="38" spans="1:56" ht="25.5" x14ac:dyDescent="0.25">
      <c r="A38" s="2035"/>
      <c r="B38" s="1977"/>
      <c r="C38" s="1967"/>
      <c r="D38" s="1978"/>
      <c r="E38" s="1967"/>
      <c r="F38" s="1967"/>
      <c r="G38" s="2038"/>
      <c r="H38" s="2041"/>
      <c r="I38" s="2021"/>
      <c r="J38" s="2029"/>
      <c r="K38" s="2021"/>
      <c r="L38" s="2021"/>
      <c r="M38" s="2021"/>
      <c r="N38" s="2021"/>
      <c r="O38" s="2021"/>
      <c r="P38" s="2021"/>
      <c r="Q38" s="2021"/>
      <c r="R38" s="2021"/>
      <c r="S38" s="2021"/>
      <c r="T38" s="2026"/>
      <c r="U38" s="44" t="s">
        <v>163</v>
      </c>
      <c r="V38" s="45">
        <v>41273</v>
      </c>
      <c r="W38" s="46"/>
      <c r="X38" s="37" t="s">
        <v>139</v>
      </c>
      <c r="Y38" s="45">
        <v>41275</v>
      </c>
      <c r="Z38" s="45">
        <v>41639</v>
      </c>
      <c r="AA38" s="28"/>
      <c r="AB38" s="28"/>
      <c r="AC38" s="28"/>
      <c r="AD38" s="30"/>
      <c r="AE38" s="31"/>
      <c r="AF38" s="32">
        <v>20400</v>
      </c>
      <c r="AG38" s="43"/>
      <c r="AH38" s="33">
        <f t="shared" si="0"/>
        <v>20400</v>
      </c>
      <c r="AI38" s="34"/>
      <c r="AJ38" s="28"/>
      <c r="AK38" s="28"/>
      <c r="AL38" s="28"/>
      <c r="AM38" s="28"/>
      <c r="AN38" s="28"/>
      <c r="AO38" s="28"/>
      <c r="AP38" s="28"/>
      <c r="AQ38" s="28"/>
      <c r="AR38" s="28"/>
      <c r="AS38" s="28"/>
      <c r="AT38" s="28"/>
      <c r="AU38" s="28"/>
      <c r="AV38" s="28"/>
      <c r="AW38" s="28"/>
      <c r="AX38" s="28"/>
      <c r="AY38" s="28"/>
      <c r="AZ38" s="28"/>
      <c r="BA38" s="28"/>
      <c r="BB38" s="28"/>
      <c r="BC38" s="28"/>
      <c r="BD38" s="28"/>
    </row>
    <row r="39" spans="1:56" ht="25.5" x14ac:dyDescent="0.25">
      <c r="A39" s="2036"/>
      <c r="B39" s="1977"/>
      <c r="C39" s="1967"/>
      <c r="D39" s="1978"/>
      <c r="E39" s="1967"/>
      <c r="F39" s="1967"/>
      <c r="G39" s="2039"/>
      <c r="H39" s="2042"/>
      <c r="I39" s="1986"/>
      <c r="J39" s="2030"/>
      <c r="K39" s="1986"/>
      <c r="L39" s="1986"/>
      <c r="M39" s="1986"/>
      <c r="N39" s="1986"/>
      <c r="O39" s="1986"/>
      <c r="P39" s="1986"/>
      <c r="Q39" s="1986"/>
      <c r="R39" s="1986"/>
      <c r="S39" s="1986"/>
      <c r="T39" s="2027"/>
      <c r="U39" s="44" t="s">
        <v>164</v>
      </c>
      <c r="V39" s="45">
        <v>41640</v>
      </c>
      <c r="W39" s="46">
        <v>11237</v>
      </c>
      <c r="X39" s="37" t="s">
        <v>165</v>
      </c>
      <c r="Y39" s="45">
        <v>41640</v>
      </c>
      <c r="Z39" s="45">
        <v>41698</v>
      </c>
      <c r="AA39" s="37"/>
      <c r="AB39" s="37"/>
      <c r="AC39" s="37"/>
      <c r="AD39" s="47"/>
      <c r="AE39" s="44"/>
      <c r="AF39" s="37"/>
      <c r="AG39" s="48">
        <v>3583.6</v>
      </c>
      <c r="AH39" s="33">
        <f t="shared" si="0"/>
        <v>3583.6</v>
      </c>
      <c r="AI39" s="49"/>
      <c r="AJ39" s="37"/>
      <c r="AK39" s="37"/>
      <c r="AL39" s="37"/>
      <c r="AM39" s="50"/>
      <c r="AN39" s="50"/>
      <c r="AO39" s="50"/>
      <c r="AP39" s="50"/>
      <c r="AQ39" s="50"/>
      <c r="AR39" s="50"/>
      <c r="AS39" s="50"/>
      <c r="AT39" s="50"/>
      <c r="AU39" s="50"/>
      <c r="AV39" s="50"/>
      <c r="AW39" s="50"/>
      <c r="AX39" s="50"/>
      <c r="AY39" s="50"/>
      <c r="AZ39" s="50"/>
      <c r="BA39" s="50"/>
      <c r="BB39" s="50"/>
      <c r="BC39" s="50"/>
      <c r="BD39" s="50"/>
    </row>
    <row r="40" spans="1:56" x14ac:dyDescent="0.25">
      <c r="A40" s="1976">
        <v>3</v>
      </c>
      <c r="B40" s="1977" t="s">
        <v>166</v>
      </c>
      <c r="C40" s="2024" t="s">
        <v>167</v>
      </c>
      <c r="D40" s="1978" t="s">
        <v>152</v>
      </c>
      <c r="E40" s="1967" t="s">
        <v>168</v>
      </c>
      <c r="F40" s="1967" t="s">
        <v>169</v>
      </c>
      <c r="G40" s="2022"/>
      <c r="H40" s="1975" t="s">
        <v>170</v>
      </c>
      <c r="I40" s="1967" t="s">
        <v>171</v>
      </c>
      <c r="J40" s="2023" t="s">
        <v>172</v>
      </c>
      <c r="K40" s="1973">
        <v>40301</v>
      </c>
      <c r="L40" s="1971">
        <v>27600</v>
      </c>
      <c r="M40" s="1972">
        <v>10314</v>
      </c>
      <c r="N40" s="1973">
        <v>40301</v>
      </c>
      <c r="O40" s="1973">
        <v>40543</v>
      </c>
      <c r="P40" s="1967" t="s">
        <v>129</v>
      </c>
      <c r="Q40" s="1967"/>
      <c r="R40" s="1967"/>
      <c r="S40" s="1967"/>
      <c r="T40" s="1983" t="s">
        <v>158</v>
      </c>
      <c r="U40" s="44"/>
      <c r="V40" s="37"/>
      <c r="W40" s="37"/>
      <c r="X40" s="37"/>
      <c r="Y40" s="37"/>
      <c r="Z40" s="37"/>
      <c r="AA40" s="37"/>
      <c r="AB40" s="37"/>
      <c r="AC40" s="37"/>
      <c r="AD40" s="47"/>
      <c r="AE40" s="44"/>
      <c r="AF40" s="48">
        <v>27600</v>
      </c>
      <c r="AG40" s="48"/>
      <c r="AH40" s="33">
        <f t="shared" si="0"/>
        <v>27600</v>
      </c>
      <c r="AI40" s="49"/>
      <c r="AJ40" s="37"/>
      <c r="AK40" s="37"/>
      <c r="AL40" s="37"/>
      <c r="AM40" s="50"/>
      <c r="AN40" s="50"/>
      <c r="AO40" s="50"/>
      <c r="AP40" s="50"/>
      <c r="AQ40" s="50"/>
      <c r="AR40" s="51"/>
      <c r="AS40" s="52"/>
      <c r="AT40" s="50"/>
      <c r="AU40" s="50"/>
      <c r="AV40" s="50"/>
      <c r="AW40" s="50"/>
      <c r="AX40" s="50"/>
      <c r="AY40" s="50"/>
      <c r="AZ40" s="50"/>
      <c r="BA40" s="51"/>
      <c r="BB40" s="52"/>
      <c r="BC40" s="50"/>
      <c r="BD40" s="53"/>
    </row>
    <row r="41" spans="1:56" ht="25.5" x14ac:dyDescent="0.25">
      <c r="A41" s="1976"/>
      <c r="B41" s="1977"/>
      <c r="C41" s="2024"/>
      <c r="D41" s="1978"/>
      <c r="E41" s="1967"/>
      <c r="F41" s="1967"/>
      <c r="G41" s="2022"/>
      <c r="H41" s="1975"/>
      <c r="I41" s="1967"/>
      <c r="J41" s="2023"/>
      <c r="K41" s="1973"/>
      <c r="L41" s="1971"/>
      <c r="M41" s="1972"/>
      <c r="N41" s="1973"/>
      <c r="O41" s="1973"/>
      <c r="P41" s="1967"/>
      <c r="Q41" s="1967"/>
      <c r="R41" s="1967"/>
      <c r="S41" s="1967"/>
      <c r="T41" s="1983"/>
      <c r="U41" s="44" t="s">
        <v>159</v>
      </c>
      <c r="V41" s="45">
        <v>40532</v>
      </c>
      <c r="W41" s="54" t="s">
        <v>173</v>
      </c>
      <c r="X41" s="37" t="s">
        <v>174</v>
      </c>
      <c r="Y41" s="45">
        <v>40545</v>
      </c>
      <c r="Z41" s="45">
        <v>40908</v>
      </c>
      <c r="AA41" s="37"/>
      <c r="AB41" s="37"/>
      <c r="AC41" s="37"/>
      <c r="AD41" s="47"/>
      <c r="AE41" s="44"/>
      <c r="AF41" s="48">
        <v>37950</v>
      </c>
      <c r="AG41" s="48"/>
      <c r="AH41" s="33">
        <f t="shared" si="0"/>
        <v>37950</v>
      </c>
      <c r="AI41" s="49"/>
      <c r="AJ41" s="37"/>
      <c r="AK41" s="37"/>
      <c r="AL41" s="37"/>
      <c r="AM41" s="50"/>
      <c r="AN41" s="50"/>
      <c r="AO41" s="50"/>
      <c r="AP41" s="50"/>
      <c r="AQ41" s="50"/>
      <c r="AR41" s="51"/>
      <c r="AS41" s="52"/>
      <c r="AT41" s="50"/>
      <c r="AU41" s="50"/>
      <c r="AV41" s="50"/>
      <c r="AW41" s="50"/>
      <c r="AX41" s="50"/>
      <c r="AY41" s="50"/>
      <c r="AZ41" s="50"/>
      <c r="BA41" s="51"/>
      <c r="BB41" s="52"/>
      <c r="BC41" s="50"/>
      <c r="BD41" s="53"/>
    </row>
    <row r="42" spans="1:56" ht="25.5" x14ac:dyDescent="0.25">
      <c r="A42" s="1976"/>
      <c r="B42" s="1977"/>
      <c r="C42" s="2024"/>
      <c r="D42" s="1978"/>
      <c r="E42" s="1967"/>
      <c r="F42" s="1967"/>
      <c r="G42" s="2022"/>
      <c r="H42" s="1975"/>
      <c r="I42" s="1967"/>
      <c r="J42" s="2023"/>
      <c r="K42" s="1973"/>
      <c r="L42" s="1971"/>
      <c r="M42" s="1972"/>
      <c r="N42" s="1973"/>
      <c r="O42" s="1973"/>
      <c r="P42" s="1967"/>
      <c r="Q42" s="1967"/>
      <c r="R42" s="1967"/>
      <c r="S42" s="1967"/>
      <c r="T42" s="1983"/>
      <c r="U42" s="44" t="s">
        <v>162</v>
      </c>
      <c r="V42" s="45">
        <v>40863</v>
      </c>
      <c r="W42" s="54" t="s">
        <v>175</v>
      </c>
      <c r="X42" s="37" t="s">
        <v>174</v>
      </c>
      <c r="Y42" s="45">
        <v>40909</v>
      </c>
      <c r="Z42" s="45">
        <v>41274</v>
      </c>
      <c r="AA42" s="37"/>
      <c r="AB42" s="37"/>
      <c r="AC42" s="37"/>
      <c r="AD42" s="47"/>
      <c r="AE42" s="44"/>
      <c r="AF42" s="48">
        <v>41400</v>
      </c>
      <c r="AG42" s="48"/>
      <c r="AH42" s="33">
        <f t="shared" si="0"/>
        <v>41400</v>
      </c>
      <c r="AI42" s="49"/>
      <c r="AJ42" s="37"/>
      <c r="AK42" s="37"/>
      <c r="AL42" s="37"/>
      <c r="AM42" s="50"/>
      <c r="AN42" s="50"/>
      <c r="AO42" s="50"/>
      <c r="AP42" s="50"/>
      <c r="AQ42" s="50"/>
      <c r="AR42" s="51"/>
      <c r="AS42" s="52"/>
      <c r="AT42" s="50"/>
      <c r="AU42" s="50"/>
      <c r="AV42" s="50"/>
      <c r="AW42" s="50"/>
      <c r="AX42" s="50"/>
      <c r="AY42" s="50"/>
      <c r="AZ42" s="50"/>
      <c r="BA42" s="51"/>
      <c r="BB42" s="52"/>
      <c r="BC42" s="50"/>
      <c r="BD42" s="53"/>
    </row>
    <row r="43" spans="1:56" ht="25.5" x14ac:dyDescent="0.25">
      <c r="A43" s="1976"/>
      <c r="B43" s="1977"/>
      <c r="C43" s="2024"/>
      <c r="D43" s="1978"/>
      <c r="E43" s="1967"/>
      <c r="F43" s="1967"/>
      <c r="G43" s="2022"/>
      <c r="H43" s="1975"/>
      <c r="I43" s="1967"/>
      <c r="J43" s="2023"/>
      <c r="K43" s="1973"/>
      <c r="L43" s="1971"/>
      <c r="M43" s="1972"/>
      <c r="N43" s="1973"/>
      <c r="O43" s="1973"/>
      <c r="P43" s="1967"/>
      <c r="Q43" s="1967"/>
      <c r="R43" s="1967"/>
      <c r="S43" s="1967"/>
      <c r="T43" s="1983"/>
      <c r="U43" s="44" t="s">
        <v>163</v>
      </c>
      <c r="V43" s="45">
        <v>41273</v>
      </c>
      <c r="W43" s="54" t="s">
        <v>176</v>
      </c>
      <c r="X43" s="37" t="s">
        <v>174</v>
      </c>
      <c r="Y43" s="45">
        <v>41275</v>
      </c>
      <c r="Z43" s="45">
        <v>41639</v>
      </c>
      <c r="AA43" s="37"/>
      <c r="AB43" s="37"/>
      <c r="AC43" s="37"/>
      <c r="AD43" s="47"/>
      <c r="AE43" s="44"/>
      <c r="AF43" s="48">
        <v>41400</v>
      </c>
      <c r="AG43" s="48"/>
      <c r="AH43" s="33">
        <f t="shared" si="0"/>
        <v>41400</v>
      </c>
      <c r="AI43" s="49"/>
      <c r="AJ43" s="37"/>
      <c r="AK43" s="37"/>
      <c r="AL43" s="37"/>
      <c r="AM43" s="50"/>
      <c r="AN43" s="50"/>
      <c r="AO43" s="50"/>
      <c r="AP43" s="50"/>
      <c r="AQ43" s="50"/>
      <c r="AR43" s="51"/>
      <c r="AS43" s="52"/>
      <c r="AT43" s="50"/>
      <c r="AU43" s="50"/>
      <c r="AV43" s="50"/>
      <c r="AW43" s="50"/>
      <c r="AX43" s="50"/>
      <c r="AY43" s="50"/>
      <c r="AZ43" s="50"/>
      <c r="BA43" s="51"/>
      <c r="BB43" s="52"/>
      <c r="BC43" s="50"/>
      <c r="BD43" s="53"/>
    </row>
    <row r="44" spans="1:56" ht="25.5" x14ac:dyDescent="0.25">
      <c r="A44" s="1976"/>
      <c r="B44" s="1977"/>
      <c r="C44" s="2024"/>
      <c r="D44" s="1978"/>
      <c r="E44" s="1967"/>
      <c r="F44" s="1967"/>
      <c r="G44" s="2022"/>
      <c r="H44" s="1975"/>
      <c r="I44" s="1967"/>
      <c r="J44" s="2023"/>
      <c r="K44" s="1973"/>
      <c r="L44" s="1971"/>
      <c r="M44" s="1972"/>
      <c r="N44" s="1973"/>
      <c r="O44" s="1973"/>
      <c r="P44" s="1967"/>
      <c r="Q44" s="1967"/>
      <c r="R44" s="1967"/>
      <c r="S44" s="1967"/>
      <c r="T44" s="1983"/>
      <c r="U44" s="44" t="s">
        <v>164</v>
      </c>
      <c r="V44" s="45">
        <v>41634</v>
      </c>
      <c r="W44" s="54" t="s">
        <v>176</v>
      </c>
      <c r="X44" s="37" t="s">
        <v>174</v>
      </c>
      <c r="Y44" s="45">
        <v>41639</v>
      </c>
      <c r="Z44" s="45">
        <v>42004</v>
      </c>
      <c r="AA44" s="37"/>
      <c r="AB44" s="37"/>
      <c r="AC44" s="37"/>
      <c r="AD44" s="47"/>
      <c r="AE44" s="44"/>
      <c r="AF44" s="48"/>
      <c r="AG44" s="48">
        <v>43635.3</v>
      </c>
      <c r="AH44" s="33">
        <f t="shared" si="0"/>
        <v>43635.3</v>
      </c>
      <c r="AI44" s="49"/>
      <c r="AJ44" s="37"/>
      <c r="AK44" s="37"/>
      <c r="AL44" s="37"/>
      <c r="AM44" s="50"/>
      <c r="AN44" s="50"/>
      <c r="AO44" s="50"/>
      <c r="AP44" s="50"/>
      <c r="AQ44" s="50"/>
      <c r="AR44" s="51"/>
      <c r="AS44" s="52"/>
      <c r="AT44" s="50"/>
      <c r="AU44" s="50"/>
      <c r="AV44" s="50"/>
      <c r="AW44" s="50"/>
      <c r="AX44" s="50"/>
      <c r="AY44" s="50"/>
      <c r="AZ44" s="50"/>
      <c r="BA44" s="51"/>
      <c r="BB44" s="52"/>
      <c r="BC44" s="50"/>
      <c r="BD44" s="53"/>
    </row>
    <row r="45" spans="1:56" x14ac:dyDescent="0.25">
      <c r="A45" s="1976">
        <v>4</v>
      </c>
      <c r="B45" s="1977" t="s">
        <v>150</v>
      </c>
      <c r="C45" s="1967" t="s">
        <v>151</v>
      </c>
      <c r="D45" s="1978" t="s">
        <v>152</v>
      </c>
      <c r="E45" s="1967" t="s">
        <v>153</v>
      </c>
      <c r="F45" s="1967" t="s">
        <v>154</v>
      </c>
      <c r="G45" s="2022"/>
      <c r="H45" s="1975" t="s">
        <v>177</v>
      </c>
      <c r="I45" s="1967" t="s">
        <v>178</v>
      </c>
      <c r="J45" s="1967" t="s">
        <v>179</v>
      </c>
      <c r="K45" s="1973">
        <v>40339</v>
      </c>
      <c r="L45" s="1971">
        <v>10000</v>
      </c>
      <c r="M45" s="1972">
        <v>10317</v>
      </c>
      <c r="N45" s="1973">
        <v>40339</v>
      </c>
      <c r="O45" s="1973">
        <v>40543</v>
      </c>
      <c r="P45" s="1967" t="s">
        <v>129</v>
      </c>
      <c r="Q45" s="1967"/>
      <c r="R45" s="1967"/>
      <c r="S45" s="1967"/>
      <c r="T45" s="47" t="s">
        <v>158</v>
      </c>
      <c r="U45" s="44"/>
      <c r="V45" s="45"/>
      <c r="W45" s="54"/>
      <c r="X45" s="37"/>
      <c r="Y45" s="45"/>
      <c r="Z45" s="45"/>
      <c r="AA45" s="37"/>
      <c r="AB45" s="37"/>
      <c r="AC45" s="37"/>
      <c r="AD45" s="47"/>
      <c r="AE45" s="44"/>
      <c r="AF45" s="48">
        <v>10000</v>
      </c>
      <c r="AG45" s="48"/>
      <c r="AH45" s="33">
        <f t="shared" si="0"/>
        <v>10000</v>
      </c>
      <c r="AI45" s="49"/>
      <c r="AJ45" s="37"/>
      <c r="AK45" s="37"/>
      <c r="AL45" s="37"/>
      <c r="AM45" s="50"/>
      <c r="AN45" s="50"/>
      <c r="AO45" s="50"/>
      <c r="AP45" s="50"/>
      <c r="AQ45" s="50"/>
      <c r="AR45" s="51"/>
      <c r="AS45" s="52"/>
      <c r="AT45" s="50"/>
      <c r="AU45" s="50"/>
      <c r="AV45" s="50"/>
      <c r="AW45" s="50"/>
      <c r="AX45" s="50"/>
      <c r="AY45" s="50"/>
      <c r="AZ45" s="50"/>
      <c r="BA45" s="51"/>
      <c r="BB45" s="52"/>
      <c r="BC45" s="50"/>
      <c r="BD45" s="53"/>
    </row>
    <row r="46" spans="1:56" ht="25.5" x14ac:dyDescent="0.25">
      <c r="A46" s="1976"/>
      <c r="B46" s="1977"/>
      <c r="C46" s="1967"/>
      <c r="D46" s="1978"/>
      <c r="E46" s="1967"/>
      <c r="F46" s="1967"/>
      <c r="G46" s="2022"/>
      <c r="H46" s="1975"/>
      <c r="I46" s="1967"/>
      <c r="J46" s="1967"/>
      <c r="K46" s="1973"/>
      <c r="L46" s="1971"/>
      <c r="M46" s="1972"/>
      <c r="N46" s="1973"/>
      <c r="O46" s="1973"/>
      <c r="P46" s="1967"/>
      <c r="Q46" s="1967"/>
      <c r="R46" s="1967"/>
      <c r="S46" s="1967"/>
      <c r="T46" s="47" t="s">
        <v>158</v>
      </c>
      <c r="U46" s="44" t="s">
        <v>159</v>
      </c>
      <c r="V46" s="45" t="s">
        <v>180</v>
      </c>
      <c r="W46" s="54" t="s">
        <v>181</v>
      </c>
      <c r="X46" s="37" t="s">
        <v>174</v>
      </c>
      <c r="Y46" s="45">
        <v>40545</v>
      </c>
      <c r="Z46" s="45">
        <v>40908</v>
      </c>
      <c r="AA46" s="37"/>
      <c r="AB46" s="37"/>
      <c r="AC46" s="37"/>
      <c r="AD46" s="47"/>
      <c r="AE46" s="44"/>
      <c r="AF46" s="48">
        <v>18000</v>
      </c>
      <c r="AG46" s="48"/>
      <c r="AH46" s="33">
        <f t="shared" si="0"/>
        <v>18000</v>
      </c>
      <c r="AI46" s="49"/>
      <c r="AJ46" s="37"/>
      <c r="AK46" s="37"/>
      <c r="AL46" s="37"/>
      <c r="AM46" s="50"/>
      <c r="AN46" s="50"/>
      <c r="AO46" s="50"/>
      <c r="AP46" s="50"/>
      <c r="AQ46" s="50"/>
      <c r="AR46" s="51"/>
      <c r="AS46" s="52"/>
      <c r="AT46" s="50"/>
      <c r="AU46" s="50"/>
      <c r="AV46" s="50"/>
      <c r="AW46" s="50"/>
      <c r="AX46" s="50"/>
      <c r="AY46" s="50"/>
      <c r="AZ46" s="50"/>
      <c r="BA46" s="51"/>
      <c r="BB46" s="52"/>
      <c r="BC46" s="50"/>
      <c r="BD46" s="53"/>
    </row>
    <row r="47" spans="1:56" ht="25.5" x14ac:dyDescent="0.25">
      <c r="A47" s="1976"/>
      <c r="B47" s="1977"/>
      <c r="C47" s="1967"/>
      <c r="D47" s="1978"/>
      <c r="E47" s="1967"/>
      <c r="F47" s="1967"/>
      <c r="G47" s="2022"/>
      <c r="H47" s="1975"/>
      <c r="I47" s="1967"/>
      <c r="J47" s="1967"/>
      <c r="K47" s="1973"/>
      <c r="L47" s="1971"/>
      <c r="M47" s="1972"/>
      <c r="N47" s="1973"/>
      <c r="O47" s="1973"/>
      <c r="P47" s="1967"/>
      <c r="Q47" s="1967"/>
      <c r="R47" s="1967"/>
      <c r="S47" s="1967"/>
      <c r="T47" s="47" t="s">
        <v>158</v>
      </c>
      <c r="U47" s="44" t="s">
        <v>162</v>
      </c>
      <c r="V47" s="45" t="s">
        <v>182</v>
      </c>
      <c r="W47" s="54" t="s">
        <v>183</v>
      </c>
      <c r="X47" s="37" t="s">
        <v>174</v>
      </c>
      <c r="Y47" s="45">
        <v>40909</v>
      </c>
      <c r="Z47" s="45">
        <v>41274</v>
      </c>
      <c r="AA47" s="37"/>
      <c r="AB47" s="37"/>
      <c r="AC47" s="37"/>
      <c r="AD47" s="47"/>
      <c r="AE47" s="44"/>
      <c r="AF47" s="48">
        <v>18000</v>
      </c>
      <c r="AG47" s="48"/>
      <c r="AH47" s="33">
        <f t="shared" si="0"/>
        <v>18000</v>
      </c>
      <c r="AI47" s="49"/>
      <c r="AJ47" s="37"/>
      <c r="AK47" s="37"/>
      <c r="AL47" s="37"/>
      <c r="AM47" s="50"/>
      <c r="AN47" s="50"/>
      <c r="AO47" s="50"/>
      <c r="AP47" s="50"/>
      <c r="AQ47" s="50"/>
      <c r="AR47" s="51"/>
      <c r="AS47" s="52"/>
      <c r="AT47" s="50"/>
      <c r="AU47" s="50"/>
      <c r="AV47" s="50"/>
      <c r="AW47" s="50"/>
      <c r="AX47" s="50"/>
      <c r="AY47" s="50"/>
      <c r="AZ47" s="50"/>
      <c r="BA47" s="51"/>
      <c r="BB47" s="52"/>
      <c r="BC47" s="50"/>
      <c r="BD47" s="53"/>
    </row>
    <row r="48" spans="1:56" ht="38.25" x14ac:dyDescent="0.25">
      <c r="A48" s="1976"/>
      <c r="B48" s="1977"/>
      <c r="C48" s="1967"/>
      <c r="D48" s="1978"/>
      <c r="E48" s="1967"/>
      <c r="F48" s="1967"/>
      <c r="G48" s="2022"/>
      <c r="H48" s="1975"/>
      <c r="I48" s="1967"/>
      <c r="J48" s="1967"/>
      <c r="K48" s="1973"/>
      <c r="L48" s="1971"/>
      <c r="M48" s="1972"/>
      <c r="N48" s="1973"/>
      <c r="O48" s="1973"/>
      <c r="P48" s="1967"/>
      <c r="Q48" s="1967"/>
      <c r="R48" s="1967"/>
      <c r="S48" s="1967"/>
      <c r="T48" s="55" t="s">
        <v>158</v>
      </c>
      <c r="U48" s="56" t="s">
        <v>163</v>
      </c>
      <c r="V48" s="57">
        <v>41275</v>
      </c>
      <c r="W48" s="58" t="s">
        <v>184</v>
      </c>
      <c r="X48" s="59" t="s">
        <v>185</v>
      </c>
      <c r="Y48" s="57">
        <v>41275</v>
      </c>
      <c r="Z48" s="57">
        <v>41639</v>
      </c>
      <c r="AA48" s="37"/>
      <c r="AB48" s="37"/>
      <c r="AC48" s="37"/>
      <c r="AD48" s="47"/>
      <c r="AE48" s="44"/>
      <c r="AF48" s="48">
        <v>22500</v>
      </c>
      <c r="AG48" s="48"/>
      <c r="AH48" s="33">
        <f t="shared" si="0"/>
        <v>22500</v>
      </c>
      <c r="AI48" s="49"/>
      <c r="AJ48" s="37"/>
      <c r="AK48" s="37"/>
      <c r="AL48" s="37"/>
      <c r="AM48" s="50"/>
      <c r="AN48" s="50"/>
      <c r="AO48" s="50"/>
      <c r="AP48" s="50"/>
      <c r="AQ48" s="50"/>
      <c r="AR48" s="51"/>
      <c r="AS48" s="52"/>
      <c r="AT48" s="50"/>
      <c r="AU48" s="50"/>
      <c r="AV48" s="50"/>
      <c r="AW48" s="50"/>
      <c r="AX48" s="50"/>
      <c r="AY48" s="50"/>
      <c r="AZ48" s="50"/>
      <c r="BA48" s="51"/>
      <c r="BB48" s="52"/>
      <c r="BC48" s="50"/>
      <c r="BD48" s="53"/>
    </row>
    <row r="49" spans="1:56" ht="38.25" x14ac:dyDescent="0.25">
      <c r="A49" s="1976"/>
      <c r="B49" s="1977"/>
      <c r="C49" s="1967"/>
      <c r="D49" s="1978"/>
      <c r="E49" s="1967"/>
      <c r="F49" s="1967"/>
      <c r="G49" s="2022"/>
      <c r="H49" s="1975"/>
      <c r="I49" s="1967"/>
      <c r="J49" s="1967"/>
      <c r="K49" s="1973"/>
      <c r="L49" s="1971"/>
      <c r="M49" s="1972"/>
      <c r="N49" s="1973"/>
      <c r="O49" s="1973"/>
      <c r="P49" s="1967"/>
      <c r="Q49" s="1967"/>
      <c r="R49" s="1967"/>
      <c r="S49" s="1967"/>
      <c r="T49" s="55" t="s">
        <v>158</v>
      </c>
      <c r="U49" s="56" t="s">
        <v>186</v>
      </c>
      <c r="V49" s="57">
        <v>41634</v>
      </c>
      <c r="W49" s="58" t="s">
        <v>187</v>
      </c>
      <c r="X49" s="59" t="s">
        <v>188</v>
      </c>
      <c r="Y49" s="57">
        <v>41640</v>
      </c>
      <c r="Z49" s="57">
        <v>42004</v>
      </c>
      <c r="AA49" s="37"/>
      <c r="AB49" s="37"/>
      <c r="AC49" s="37"/>
      <c r="AD49" s="47"/>
      <c r="AE49" s="44"/>
      <c r="AF49" s="48"/>
      <c r="AG49" s="48">
        <v>23715</v>
      </c>
      <c r="AH49" s="33">
        <f t="shared" si="0"/>
        <v>23715</v>
      </c>
      <c r="AI49" s="49"/>
      <c r="AJ49" s="37"/>
      <c r="AK49" s="37"/>
      <c r="AL49" s="37"/>
      <c r="AM49" s="50"/>
      <c r="AN49" s="50"/>
      <c r="AO49" s="50"/>
      <c r="AP49" s="50"/>
      <c r="AQ49" s="50"/>
      <c r="AR49" s="51"/>
      <c r="AS49" s="52"/>
      <c r="AT49" s="50"/>
      <c r="AU49" s="50"/>
      <c r="AV49" s="50"/>
      <c r="AW49" s="50"/>
      <c r="AX49" s="50"/>
      <c r="AY49" s="50"/>
      <c r="AZ49" s="50"/>
      <c r="BA49" s="51"/>
      <c r="BB49" s="52"/>
      <c r="BC49" s="50"/>
      <c r="BD49" s="53"/>
    </row>
    <row r="50" spans="1:56" x14ac:dyDescent="0.25">
      <c r="A50" s="1976">
        <v>5</v>
      </c>
      <c r="B50" s="1977" t="s">
        <v>150</v>
      </c>
      <c r="C50" s="1967" t="s">
        <v>151</v>
      </c>
      <c r="D50" s="1978" t="s">
        <v>152</v>
      </c>
      <c r="E50" s="1967" t="s">
        <v>153</v>
      </c>
      <c r="F50" s="1967" t="s">
        <v>154</v>
      </c>
      <c r="G50" s="2022"/>
      <c r="H50" s="1975" t="s">
        <v>189</v>
      </c>
      <c r="I50" s="1967" t="s">
        <v>190</v>
      </c>
      <c r="J50" s="1967" t="s">
        <v>191</v>
      </c>
      <c r="K50" s="1973">
        <v>40339</v>
      </c>
      <c r="L50" s="1971">
        <v>10000</v>
      </c>
      <c r="M50" s="1972">
        <v>10317</v>
      </c>
      <c r="N50" s="1973">
        <v>40339</v>
      </c>
      <c r="O50" s="1973">
        <v>40543</v>
      </c>
      <c r="P50" s="1967" t="s">
        <v>129</v>
      </c>
      <c r="Q50" s="1967"/>
      <c r="R50" s="1967"/>
      <c r="S50" s="1967"/>
      <c r="T50" s="1983" t="s">
        <v>158</v>
      </c>
      <c r="U50" s="44"/>
      <c r="V50" s="37"/>
      <c r="W50" s="37"/>
      <c r="X50" s="37"/>
      <c r="Y50" s="37"/>
      <c r="Z50" s="37"/>
      <c r="AA50" s="37"/>
      <c r="AB50" s="37"/>
      <c r="AC50" s="37"/>
      <c r="AD50" s="47"/>
      <c r="AE50" s="44"/>
      <c r="AF50" s="48">
        <v>10000</v>
      </c>
      <c r="AG50" s="48"/>
      <c r="AH50" s="33">
        <f t="shared" si="0"/>
        <v>10000</v>
      </c>
      <c r="AI50" s="49"/>
      <c r="AJ50" s="37"/>
      <c r="AK50" s="37"/>
      <c r="AL50" s="37"/>
      <c r="AM50" s="50"/>
      <c r="AN50" s="50"/>
      <c r="AO50" s="50"/>
      <c r="AP50" s="50"/>
      <c r="AQ50" s="50"/>
      <c r="AR50" s="51"/>
      <c r="AS50" s="52"/>
      <c r="AT50" s="50"/>
      <c r="AU50" s="50"/>
      <c r="AV50" s="50"/>
      <c r="AW50" s="50"/>
      <c r="AX50" s="50"/>
      <c r="AY50" s="50"/>
      <c r="AZ50" s="50"/>
      <c r="BA50" s="51"/>
      <c r="BB50" s="52"/>
      <c r="BC50" s="50"/>
      <c r="BD50" s="53"/>
    </row>
    <row r="51" spans="1:56" ht="25.5" x14ac:dyDescent="0.25">
      <c r="A51" s="1976"/>
      <c r="B51" s="1977"/>
      <c r="C51" s="1967"/>
      <c r="D51" s="1978"/>
      <c r="E51" s="1967"/>
      <c r="F51" s="1967"/>
      <c r="G51" s="2022"/>
      <c r="H51" s="1975"/>
      <c r="I51" s="1967"/>
      <c r="J51" s="1967"/>
      <c r="K51" s="1973"/>
      <c r="L51" s="1971"/>
      <c r="M51" s="1972"/>
      <c r="N51" s="1973"/>
      <c r="O51" s="1973"/>
      <c r="P51" s="1967"/>
      <c r="Q51" s="1967"/>
      <c r="R51" s="1967"/>
      <c r="S51" s="1967"/>
      <c r="T51" s="1983"/>
      <c r="U51" s="44" t="s">
        <v>159</v>
      </c>
      <c r="V51" s="45">
        <v>40532</v>
      </c>
      <c r="W51" s="46">
        <v>10447</v>
      </c>
      <c r="X51" s="37" t="s">
        <v>174</v>
      </c>
      <c r="Y51" s="45">
        <v>40544</v>
      </c>
      <c r="Z51" s="45">
        <v>40908</v>
      </c>
      <c r="AA51" s="37"/>
      <c r="AB51" s="37"/>
      <c r="AC51" s="37"/>
      <c r="AD51" s="47"/>
      <c r="AE51" s="44"/>
      <c r="AF51" s="48">
        <v>18000</v>
      </c>
      <c r="AG51" s="48"/>
      <c r="AH51" s="33">
        <f t="shared" si="0"/>
        <v>18000</v>
      </c>
      <c r="AI51" s="49"/>
      <c r="AJ51" s="37"/>
      <c r="AK51" s="37"/>
      <c r="AL51" s="37"/>
      <c r="AM51" s="50"/>
      <c r="AN51" s="50"/>
      <c r="AO51" s="50"/>
      <c r="AP51" s="50"/>
      <c r="AQ51" s="50"/>
      <c r="AR51" s="51"/>
      <c r="AS51" s="52"/>
      <c r="AT51" s="50"/>
      <c r="AU51" s="50"/>
      <c r="AV51" s="50"/>
      <c r="AW51" s="50"/>
      <c r="AX51" s="50"/>
      <c r="AY51" s="50"/>
      <c r="AZ51" s="50"/>
      <c r="BA51" s="51"/>
      <c r="BB51" s="52"/>
      <c r="BC51" s="50"/>
      <c r="BD51" s="53"/>
    </row>
    <row r="52" spans="1:56" ht="25.5" x14ac:dyDescent="0.25">
      <c r="A52" s="1976"/>
      <c r="B52" s="1977"/>
      <c r="C52" s="1967"/>
      <c r="D52" s="1978"/>
      <c r="E52" s="1967"/>
      <c r="F52" s="1967"/>
      <c r="G52" s="2022"/>
      <c r="H52" s="1975"/>
      <c r="I52" s="1967"/>
      <c r="J52" s="1967"/>
      <c r="K52" s="1973"/>
      <c r="L52" s="1971"/>
      <c r="M52" s="1972"/>
      <c r="N52" s="1973"/>
      <c r="O52" s="1973"/>
      <c r="P52" s="1967"/>
      <c r="Q52" s="1967"/>
      <c r="R52" s="1967"/>
      <c r="S52" s="1967"/>
      <c r="T52" s="1983"/>
      <c r="U52" s="44" t="s">
        <v>162</v>
      </c>
      <c r="V52" s="45">
        <v>40909</v>
      </c>
      <c r="W52" s="46">
        <v>10696</v>
      </c>
      <c r="X52" s="37" t="s">
        <v>174</v>
      </c>
      <c r="Y52" s="45">
        <v>40863</v>
      </c>
      <c r="Z52" s="45">
        <v>41229</v>
      </c>
      <c r="AA52" s="37"/>
      <c r="AB52" s="37"/>
      <c r="AC52" s="37"/>
      <c r="AD52" s="47"/>
      <c r="AE52" s="44"/>
      <c r="AF52" s="48">
        <v>18000</v>
      </c>
      <c r="AG52" s="48"/>
      <c r="AH52" s="33">
        <f t="shared" si="0"/>
        <v>18000</v>
      </c>
      <c r="AI52" s="49"/>
      <c r="AJ52" s="37"/>
      <c r="AK52" s="37"/>
      <c r="AL52" s="37"/>
      <c r="AM52" s="50"/>
      <c r="AN52" s="50"/>
      <c r="AO52" s="50"/>
      <c r="AP52" s="50"/>
      <c r="AQ52" s="50"/>
      <c r="AR52" s="51"/>
      <c r="AS52" s="52"/>
      <c r="AT52" s="50"/>
      <c r="AU52" s="50"/>
      <c r="AV52" s="50"/>
      <c r="AW52" s="50"/>
      <c r="AX52" s="50"/>
      <c r="AY52" s="50"/>
      <c r="AZ52" s="50"/>
      <c r="BA52" s="51"/>
      <c r="BB52" s="52"/>
      <c r="BC52" s="50"/>
      <c r="BD52" s="53"/>
    </row>
    <row r="53" spans="1:56" ht="25.5" x14ac:dyDescent="0.25">
      <c r="A53" s="1976"/>
      <c r="B53" s="1977"/>
      <c r="C53" s="1967"/>
      <c r="D53" s="1978"/>
      <c r="E53" s="1967"/>
      <c r="F53" s="1967"/>
      <c r="G53" s="2022"/>
      <c r="H53" s="1975"/>
      <c r="I53" s="1967"/>
      <c r="J53" s="1967"/>
      <c r="K53" s="1973"/>
      <c r="L53" s="1971"/>
      <c r="M53" s="1972"/>
      <c r="N53" s="1973"/>
      <c r="O53" s="1973"/>
      <c r="P53" s="1967"/>
      <c r="Q53" s="1967"/>
      <c r="R53" s="1967"/>
      <c r="S53" s="1967"/>
      <c r="T53" s="1983"/>
      <c r="U53" s="44" t="s">
        <v>163</v>
      </c>
      <c r="V53" s="45">
        <v>41275</v>
      </c>
      <c r="W53" s="46">
        <v>11262</v>
      </c>
      <c r="X53" s="37" t="s">
        <v>174</v>
      </c>
      <c r="Y53" s="45">
        <v>41275</v>
      </c>
      <c r="Z53" s="45">
        <v>41639</v>
      </c>
      <c r="AA53" s="37"/>
      <c r="AB53" s="37"/>
      <c r="AC53" s="37"/>
      <c r="AD53" s="47"/>
      <c r="AE53" s="44"/>
      <c r="AF53" s="48">
        <v>20400</v>
      </c>
      <c r="AG53" s="48"/>
      <c r="AH53" s="33">
        <f t="shared" si="0"/>
        <v>20400</v>
      </c>
      <c r="AI53" s="49"/>
      <c r="AJ53" s="37"/>
      <c r="AK53" s="37"/>
      <c r="AL53" s="37"/>
      <c r="AM53" s="50"/>
      <c r="AN53" s="50"/>
      <c r="AO53" s="50"/>
      <c r="AP53" s="50"/>
      <c r="AQ53" s="50"/>
      <c r="AR53" s="51"/>
      <c r="AS53" s="52"/>
      <c r="AT53" s="50"/>
      <c r="AU53" s="50"/>
      <c r="AV53" s="50"/>
      <c r="AW53" s="50"/>
      <c r="AX53" s="50"/>
      <c r="AY53" s="50"/>
      <c r="AZ53" s="50"/>
      <c r="BA53" s="51"/>
      <c r="BB53" s="52"/>
      <c r="BC53" s="50"/>
      <c r="BD53" s="53"/>
    </row>
    <row r="54" spans="1:56" ht="25.5" x14ac:dyDescent="0.25">
      <c r="A54" s="1976"/>
      <c r="B54" s="1977"/>
      <c r="C54" s="1967"/>
      <c r="D54" s="1978"/>
      <c r="E54" s="1967"/>
      <c r="F54" s="1967"/>
      <c r="G54" s="2022"/>
      <c r="H54" s="1975"/>
      <c r="I54" s="1967"/>
      <c r="J54" s="1967"/>
      <c r="K54" s="1973"/>
      <c r="L54" s="1971"/>
      <c r="M54" s="1972"/>
      <c r="N54" s="1973"/>
      <c r="O54" s="1973"/>
      <c r="P54" s="1967"/>
      <c r="Q54" s="1967"/>
      <c r="R54" s="1967"/>
      <c r="S54" s="1967"/>
      <c r="T54" s="1983"/>
      <c r="U54" s="44" t="s">
        <v>164</v>
      </c>
      <c r="V54" s="45">
        <v>41640</v>
      </c>
      <c r="W54" s="46">
        <v>11237</v>
      </c>
      <c r="X54" s="37" t="s">
        <v>174</v>
      </c>
      <c r="Y54" s="45">
        <v>41640</v>
      </c>
      <c r="Z54" s="45">
        <v>42004</v>
      </c>
      <c r="AA54" s="37"/>
      <c r="AB54" s="37"/>
      <c r="AC54" s="37"/>
      <c r="AD54" s="47"/>
      <c r="AE54" s="44"/>
      <c r="AF54" s="48"/>
      <c r="AG54" s="48">
        <v>21501.599999999999</v>
      </c>
      <c r="AH54" s="33">
        <f t="shared" si="0"/>
        <v>21501.599999999999</v>
      </c>
      <c r="AI54" s="49"/>
      <c r="AJ54" s="37"/>
      <c r="AK54" s="37"/>
      <c r="AL54" s="37"/>
      <c r="AM54" s="50"/>
      <c r="AN54" s="50"/>
      <c r="AO54" s="50"/>
      <c r="AP54" s="50"/>
      <c r="AQ54" s="50"/>
      <c r="AR54" s="51"/>
      <c r="AS54" s="52"/>
      <c r="AT54" s="50"/>
      <c r="AU54" s="50"/>
      <c r="AV54" s="50"/>
      <c r="AW54" s="50"/>
      <c r="AX54" s="50"/>
      <c r="AY54" s="50"/>
      <c r="AZ54" s="50"/>
      <c r="BA54" s="51"/>
      <c r="BB54" s="52"/>
      <c r="BC54" s="50"/>
      <c r="BD54" s="53"/>
    </row>
    <row r="55" spans="1:56" x14ac:dyDescent="0.25">
      <c r="A55" s="1976">
        <v>6</v>
      </c>
      <c r="B55" s="1977" t="s">
        <v>192</v>
      </c>
      <c r="C55" s="1967" t="s">
        <v>193</v>
      </c>
      <c r="D55" s="1978" t="s">
        <v>122</v>
      </c>
      <c r="E55" s="1985"/>
      <c r="F55" s="1967" t="s">
        <v>194</v>
      </c>
      <c r="G55" s="1974">
        <v>10439</v>
      </c>
      <c r="H55" s="1975" t="s">
        <v>195</v>
      </c>
      <c r="I55" s="1967" t="s">
        <v>196</v>
      </c>
      <c r="J55" s="1967" t="s">
        <v>197</v>
      </c>
      <c r="K55" s="1973">
        <v>40544</v>
      </c>
      <c r="L55" s="1971">
        <v>246542.45</v>
      </c>
      <c r="M55" s="1972">
        <v>10468</v>
      </c>
      <c r="N55" s="1973">
        <v>40544</v>
      </c>
      <c r="O55" s="1973">
        <v>40756</v>
      </c>
      <c r="P55" s="1967" t="s">
        <v>129</v>
      </c>
      <c r="Q55" s="37"/>
      <c r="R55" s="37"/>
      <c r="S55" s="37"/>
      <c r="T55" s="47"/>
      <c r="U55" s="44"/>
      <c r="V55" s="45"/>
      <c r="W55" s="46"/>
      <c r="X55" s="37"/>
      <c r="Y55" s="45"/>
      <c r="Z55" s="45"/>
      <c r="AA55" s="37"/>
      <c r="AB55" s="37"/>
      <c r="AC55" s="37"/>
      <c r="AD55" s="47"/>
      <c r="AE55" s="44"/>
      <c r="AF55" s="48">
        <v>205532.28</v>
      </c>
      <c r="AG55" s="48"/>
      <c r="AH55" s="33">
        <f t="shared" si="0"/>
        <v>205532.28</v>
      </c>
      <c r="AI55" s="49"/>
      <c r="AJ55" s="37"/>
      <c r="AK55" s="37"/>
      <c r="AL55" s="37"/>
      <c r="AM55" s="50"/>
      <c r="AN55" s="50"/>
      <c r="AO55" s="50"/>
      <c r="AP55" s="50"/>
      <c r="AQ55" s="50"/>
      <c r="AR55" s="51"/>
      <c r="AS55" s="52"/>
      <c r="AT55" s="50"/>
      <c r="AU55" s="50"/>
      <c r="AV55" s="50"/>
      <c r="AW55" s="50"/>
      <c r="AX55" s="50"/>
      <c r="AY55" s="50"/>
      <c r="AZ55" s="50"/>
      <c r="BA55" s="51"/>
      <c r="BB55" s="52"/>
      <c r="BC55" s="50"/>
      <c r="BD55" s="53"/>
    </row>
    <row r="56" spans="1:56" ht="25.5" x14ac:dyDescent="0.25">
      <c r="A56" s="1976"/>
      <c r="B56" s="1977"/>
      <c r="C56" s="1967"/>
      <c r="D56" s="1978"/>
      <c r="E56" s="2021"/>
      <c r="F56" s="1967"/>
      <c r="G56" s="1974"/>
      <c r="H56" s="1975"/>
      <c r="I56" s="1967"/>
      <c r="J56" s="1967"/>
      <c r="K56" s="1973"/>
      <c r="L56" s="1971"/>
      <c r="M56" s="1972"/>
      <c r="N56" s="1973"/>
      <c r="O56" s="1973"/>
      <c r="P56" s="1967"/>
      <c r="Q56" s="37"/>
      <c r="R56" s="37"/>
      <c r="S56" s="37"/>
      <c r="T56" s="47"/>
      <c r="U56" s="44" t="s">
        <v>159</v>
      </c>
      <c r="V56" s="60">
        <v>40754</v>
      </c>
      <c r="W56" s="61">
        <v>10633</v>
      </c>
      <c r="X56" s="37" t="s">
        <v>198</v>
      </c>
      <c r="Y56" s="60">
        <v>40756</v>
      </c>
      <c r="Z56" s="60">
        <v>40908</v>
      </c>
      <c r="AA56" s="37"/>
      <c r="AB56" s="37"/>
      <c r="AC56" s="37"/>
      <c r="AD56" s="47"/>
      <c r="AE56" s="44"/>
      <c r="AF56" s="48">
        <v>102766.14</v>
      </c>
      <c r="AG56" s="48"/>
      <c r="AH56" s="33">
        <f t="shared" si="0"/>
        <v>102766.14</v>
      </c>
      <c r="AI56" s="49"/>
      <c r="AJ56" s="37"/>
      <c r="AK56" s="37"/>
      <c r="AL56" s="37"/>
      <c r="AM56" s="50"/>
      <c r="AN56" s="50"/>
      <c r="AO56" s="50"/>
      <c r="AP56" s="50"/>
      <c r="AQ56" s="50"/>
      <c r="AR56" s="51"/>
      <c r="AS56" s="52"/>
      <c r="AT56" s="50"/>
      <c r="AU56" s="50"/>
      <c r="AV56" s="50"/>
      <c r="AW56" s="50"/>
      <c r="AX56" s="50"/>
      <c r="AY56" s="50"/>
      <c r="AZ56" s="50"/>
      <c r="BA56" s="51"/>
      <c r="BB56" s="52"/>
      <c r="BC56" s="50"/>
      <c r="BD56" s="53"/>
    </row>
    <row r="57" spans="1:56" ht="25.5" x14ac:dyDescent="0.25">
      <c r="A57" s="1976"/>
      <c r="B57" s="1977"/>
      <c r="C57" s="1967"/>
      <c r="D57" s="1978"/>
      <c r="E57" s="2021"/>
      <c r="F57" s="1967"/>
      <c r="G57" s="1974"/>
      <c r="H57" s="1975"/>
      <c r="I57" s="1967"/>
      <c r="J57" s="1967"/>
      <c r="K57" s="1973"/>
      <c r="L57" s="1971"/>
      <c r="M57" s="1972"/>
      <c r="N57" s="1973"/>
      <c r="O57" s="1973"/>
      <c r="P57" s="1967"/>
      <c r="Q57" s="37"/>
      <c r="R57" s="37"/>
      <c r="S57" s="37"/>
      <c r="T57" s="47"/>
      <c r="U57" s="44" t="s">
        <v>162</v>
      </c>
      <c r="V57" s="60">
        <v>40893</v>
      </c>
      <c r="W57" s="61"/>
      <c r="X57" s="37" t="s">
        <v>174</v>
      </c>
      <c r="Y57" s="60">
        <v>40909</v>
      </c>
      <c r="Z57" s="60">
        <v>41274</v>
      </c>
      <c r="AA57" s="37"/>
      <c r="AB57" s="37"/>
      <c r="AC57" s="37"/>
      <c r="AD57" s="47"/>
      <c r="AE57" s="44"/>
      <c r="AF57" s="48">
        <v>381681.54</v>
      </c>
      <c r="AG57" s="48"/>
      <c r="AH57" s="33">
        <f t="shared" si="0"/>
        <v>381681.54</v>
      </c>
      <c r="AI57" s="49"/>
      <c r="AJ57" s="37"/>
      <c r="AK57" s="37"/>
      <c r="AL57" s="37"/>
      <c r="AM57" s="50"/>
      <c r="AN57" s="50"/>
      <c r="AO57" s="50"/>
      <c r="AP57" s="50"/>
      <c r="AQ57" s="50"/>
      <c r="AR57" s="51"/>
      <c r="AS57" s="52"/>
      <c r="AT57" s="50"/>
      <c r="AU57" s="50"/>
      <c r="AV57" s="50"/>
      <c r="AW57" s="50"/>
      <c r="AX57" s="50"/>
      <c r="AY57" s="50"/>
      <c r="AZ57" s="50"/>
      <c r="BA57" s="51"/>
      <c r="BB57" s="52"/>
      <c r="BC57" s="50"/>
      <c r="BD57" s="53"/>
    </row>
    <row r="58" spans="1:56" ht="25.5" x14ac:dyDescent="0.25">
      <c r="A58" s="1976"/>
      <c r="B58" s="1977"/>
      <c r="C58" s="1967"/>
      <c r="D58" s="1978"/>
      <c r="E58" s="2021"/>
      <c r="F58" s="1967"/>
      <c r="G58" s="1974"/>
      <c r="H58" s="1975"/>
      <c r="I58" s="1967"/>
      <c r="J58" s="1967"/>
      <c r="K58" s="1973"/>
      <c r="L58" s="1971"/>
      <c r="M58" s="1972"/>
      <c r="N58" s="1973"/>
      <c r="O58" s="1973"/>
      <c r="P58" s="1967"/>
      <c r="Q58" s="37"/>
      <c r="R58" s="37"/>
      <c r="S58" s="37"/>
      <c r="T58" s="47"/>
      <c r="U58" s="44" t="s">
        <v>163</v>
      </c>
      <c r="V58" s="45">
        <v>41269</v>
      </c>
      <c r="W58" s="46">
        <v>11116</v>
      </c>
      <c r="X58" s="37" t="s">
        <v>174</v>
      </c>
      <c r="Y58" s="45">
        <v>41275</v>
      </c>
      <c r="Z58" s="45">
        <v>41639</v>
      </c>
      <c r="AA58" s="37"/>
      <c r="AB58" s="37"/>
      <c r="AC58" s="37"/>
      <c r="AD58" s="47"/>
      <c r="AE58" s="44"/>
      <c r="AF58" s="48">
        <v>411013.52</v>
      </c>
      <c r="AG58" s="48"/>
      <c r="AH58" s="33">
        <f t="shared" si="0"/>
        <v>411013.52</v>
      </c>
      <c r="AI58" s="49"/>
      <c r="AJ58" s="37"/>
      <c r="AK58" s="37"/>
      <c r="AL58" s="37"/>
      <c r="AM58" s="50"/>
      <c r="AN58" s="50"/>
      <c r="AO58" s="50"/>
      <c r="AP58" s="50"/>
      <c r="AQ58" s="50"/>
      <c r="AR58" s="51"/>
      <c r="AS58" s="52"/>
      <c r="AT58" s="50"/>
      <c r="AU58" s="50"/>
      <c r="AV58" s="50"/>
      <c r="AW58" s="50"/>
      <c r="AX58" s="50"/>
      <c r="AY58" s="50"/>
      <c r="AZ58" s="50"/>
      <c r="BA58" s="51"/>
      <c r="BB58" s="52"/>
      <c r="BC58" s="50"/>
      <c r="BD58" s="53"/>
    </row>
    <row r="59" spans="1:56" ht="25.5" x14ac:dyDescent="0.25">
      <c r="A59" s="1976"/>
      <c r="B59" s="1977"/>
      <c r="C59" s="1967"/>
      <c r="D59" s="1978"/>
      <c r="E59" s="2021"/>
      <c r="F59" s="1967"/>
      <c r="G59" s="1974"/>
      <c r="H59" s="1975"/>
      <c r="I59" s="1967"/>
      <c r="J59" s="1967"/>
      <c r="K59" s="1973"/>
      <c r="L59" s="1971"/>
      <c r="M59" s="1972"/>
      <c r="N59" s="1973"/>
      <c r="O59" s="1973"/>
      <c r="P59" s="1967"/>
      <c r="Q59" s="37"/>
      <c r="R59" s="37"/>
      <c r="S59" s="37"/>
      <c r="T59" s="47"/>
      <c r="U59" s="44" t="s">
        <v>164</v>
      </c>
      <c r="V59" s="45">
        <v>41308</v>
      </c>
      <c r="W59" s="46">
        <v>11011</v>
      </c>
      <c r="X59" s="37" t="s">
        <v>199</v>
      </c>
      <c r="Y59" s="45"/>
      <c r="Z59" s="45"/>
      <c r="AA59" s="62">
        <v>0.25</v>
      </c>
      <c r="AB59" s="37"/>
      <c r="AC59" s="37"/>
      <c r="AD59" s="47"/>
      <c r="AE59" s="44"/>
      <c r="AF59" s="48">
        <v>166707.57</v>
      </c>
      <c r="AG59" s="48"/>
      <c r="AH59" s="33">
        <f t="shared" si="0"/>
        <v>166707.57</v>
      </c>
      <c r="AI59" s="49"/>
      <c r="AJ59" s="37"/>
      <c r="AK59" s="37"/>
      <c r="AL59" s="37"/>
      <c r="AM59" s="50"/>
      <c r="AN59" s="50"/>
      <c r="AO59" s="50"/>
      <c r="AP59" s="50"/>
      <c r="AQ59" s="50"/>
      <c r="AR59" s="51"/>
      <c r="AS59" s="52"/>
      <c r="AT59" s="50"/>
      <c r="AU59" s="50"/>
      <c r="AV59" s="50"/>
      <c r="AW59" s="50"/>
      <c r="AX59" s="50"/>
      <c r="AY59" s="50"/>
      <c r="AZ59" s="50"/>
      <c r="BA59" s="51"/>
      <c r="BB59" s="52"/>
      <c r="BC59" s="50"/>
      <c r="BD59" s="53"/>
    </row>
    <row r="60" spans="1:56" x14ac:dyDescent="0.25">
      <c r="A60" s="1976"/>
      <c r="B60" s="1977"/>
      <c r="C60" s="1967"/>
      <c r="D60" s="1978"/>
      <c r="E60" s="1986"/>
      <c r="F60" s="1967"/>
      <c r="G60" s="1974"/>
      <c r="H60" s="1975"/>
      <c r="I60" s="1967"/>
      <c r="J60" s="1967"/>
      <c r="K60" s="1973"/>
      <c r="L60" s="1971"/>
      <c r="M60" s="1972"/>
      <c r="N60" s="1973"/>
      <c r="O60" s="1973"/>
      <c r="P60" s="1967"/>
      <c r="Q60" s="37"/>
      <c r="R60" s="37"/>
      <c r="S60" s="37"/>
      <c r="T60" s="47"/>
      <c r="U60" s="44" t="s">
        <v>200</v>
      </c>
      <c r="V60" s="45">
        <v>41638</v>
      </c>
      <c r="W60" s="46">
        <v>11236</v>
      </c>
      <c r="X60" s="37" t="s">
        <v>174</v>
      </c>
      <c r="Y60" s="45">
        <v>41640</v>
      </c>
      <c r="Z60" s="45">
        <v>42004</v>
      </c>
      <c r="AA60" s="37"/>
      <c r="AB60" s="37"/>
      <c r="AC60" s="37"/>
      <c r="AD60" s="47"/>
      <c r="AE60" s="44"/>
      <c r="AF60" s="48"/>
      <c r="AG60" s="48">
        <v>681236.52</v>
      </c>
      <c r="AH60" s="33">
        <f t="shared" si="0"/>
        <v>681236.52</v>
      </c>
      <c r="AI60" s="49"/>
      <c r="AJ60" s="37"/>
      <c r="AK60" s="37"/>
      <c r="AL60" s="37"/>
      <c r="AM60" s="50"/>
      <c r="AN60" s="50"/>
      <c r="AO60" s="50"/>
      <c r="AP60" s="50"/>
      <c r="AQ60" s="50"/>
      <c r="AR60" s="51"/>
      <c r="AS60" s="52"/>
      <c r="AT60" s="50"/>
      <c r="AU60" s="50"/>
      <c r="AV60" s="50"/>
      <c r="AW60" s="50"/>
      <c r="AX60" s="50"/>
      <c r="AY60" s="50"/>
      <c r="AZ60" s="50"/>
      <c r="BA60" s="51"/>
      <c r="BB60" s="52"/>
      <c r="BC60" s="50"/>
      <c r="BD60" s="53"/>
    </row>
    <row r="61" spans="1:56" ht="62.25" customHeight="1" x14ac:dyDescent="0.25">
      <c r="A61" s="1980">
        <v>7</v>
      </c>
      <c r="B61" s="1977" t="s">
        <v>201</v>
      </c>
      <c r="C61" s="1978" t="s">
        <v>195</v>
      </c>
      <c r="D61" s="1978" t="s">
        <v>202</v>
      </c>
      <c r="E61" s="1967" t="s">
        <v>203</v>
      </c>
      <c r="F61" s="2015" t="s">
        <v>204</v>
      </c>
      <c r="G61" s="1974">
        <v>10458</v>
      </c>
      <c r="H61" s="1975" t="s">
        <v>205</v>
      </c>
      <c r="I61" s="1967" t="s">
        <v>206</v>
      </c>
      <c r="J61" s="1967" t="s">
        <v>207</v>
      </c>
      <c r="K61" s="1973">
        <v>40662</v>
      </c>
      <c r="L61" s="1971">
        <v>2561545.56</v>
      </c>
      <c r="M61" s="1972">
        <v>10547</v>
      </c>
      <c r="N61" s="1973">
        <v>40662</v>
      </c>
      <c r="O61" s="1973">
        <v>41027</v>
      </c>
      <c r="P61" s="1967" t="s">
        <v>129</v>
      </c>
      <c r="Q61" s="1967"/>
      <c r="R61" s="1967"/>
      <c r="S61" s="1967"/>
      <c r="T61" s="47"/>
      <c r="U61" s="44"/>
      <c r="V61" s="45"/>
      <c r="W61" s="46"/>
      <c r="X61" s="37"/>
      <c r="Y61" s="45"/>
      <c r="Z61" s="45"/>
      <c r="AA61" s="37"/>
      <c r="AB61" s="37"/>
      <c r="AC61" s="37"/>
      <c r="AD61" s="47"/>
      <c r="AE61" s="63"/>
      <c r="AF61" s="48">
        <v>2389852.67</v>
      </c>
      <c r="AG61" s="48"/>
      <c r="AH61" s="33">
        <f t="shared" si="0"/>
        <v>2389852.67</v>
      </c>
      <c r="AI61" s="49"/>
      <c r="AJ61" s="37"/>
      <c r="AK61" s="37"/>
      <c r="AL61" s="37"/>
      <c r="AM61" s="50"/>
      <c r="AN61" s="50"/>
      <c r="AO61" s="50"/>
      <c r="AP61" s="50"/>
      <c r="AQ61" s="50"/>
      <c r="AR61" s="51"/>
      <c r="AS61" s="52"/>
      <c r="AT61" s="50"/>
      <c r="AU61" s="50"/>
      <c r="AV61" s="50"/>
      <c r="AW61" s="50"/>
      <c r="AX61" s="50"/>
      <c r="AY61" s="50"/>
      <c r="AZ61" s="50"/>
      <c r="BA61" s="51"/>
      <c r="BB61" s="52"/>
      <c r="BC61" s="50"/>
      <c r="BD61" s="53"/>
    </row>
    <row r="62" spans="1:56" ht="63.75" x14ac:dyDescent="0.25">
      <c r="A62" s="1980"/>
      <c r="B62" s="1977"/>
      <c r="C62" s="1978"/>
      <c r="D62" s="1978"/>
      <c r="E62" s="1967"/>
      <c r="F62" s="2015"/>
      <c r="G62" s="1974"/>
      <c r="H62" s="1975"/>
      <c r="I62" s="1967"/>
      <c r="J62" s="1967"/>
      <c r="K62" s="1973"/>
      <c r="L62" s="1971"/>
      <c r="M62" s="1972"/>
      <c r="N62" s="1973"/>
      <c r="O62" s="1973"/>
      <c r="P62" s="1967"/>
      <c r="Q62" s="1967"/>
      <c r="R62" s="1967"/>
      <c r="S62" s="1967"/>
      <c r="T62" s="30" t="s">
        <v>208</v>
      </c>
      <c r="U62" s="44" t="s">
        <v>159</v>
      </c>
      <c r="V62" s="45">
        <v>40867</v>
      </c>
      <c r="W62" s="46">
        <v>10701</v>
      </c>
      <c r="X62" s="37" t="s">
        <v>209</v>
      </c>
      <c r="Y62" s="45"/>
      <c r="Z62" s="45"/>
      <c r="AA62" s="62">
        <v>0.25</v>
      </c>
      <c r="AB62" s="37"/>
      <c r="AC62" s="48">
        <v>640386.39</v>
      </c>
      <c r="AD62" s="47"/>
      <c r="AE62" s="63">
        <f>L61-AD62+AC62</f>
        <v>3201931.95</v>
      </c>
      <c r="AF62" s="48">
        <v>499134.08</v>
      </c>
      <c r="AG62" s="48"/>
      <c r="AH62" s="33">
        <f t="shared" si="0"/>
        <v>499134.08</v>
      </c>
      <c r="AI62" s="49"/>
      <c r="AJ62" s="37"/>
      <c r="AK62" s="37"/>
      <c r="AL62" s="37"/>
      <c r="AM62" s="50"/>
      <c r="AN62" s="50"/>
      <c r="AO62" s="50"/>
      <c r="AP62" s="50"/>
      <c r="AQ62" s="50"/>
      <c r="AR62" s="51"/>
      <c r="AS62" s="52"/>
      <c r="AT62" s="50"/>
      <c r="AU62" s="50"/>
      <c r="AV62" s="50"/>
      <c r="AW62" s="50"/>
      <c r="AX62" s="50"/>
      <c r="AY62" s="50"/>
      <c r="AZ62" s="50"/>
      <c r="BA62" s="51"/>
      <c r="BB62" s="52"/>
      <c r="BC62" s="50"/>
      <c r="BD62" s="53"/>
    </row>
    <row r="63" spans="1:56" ht="25.5" x14ac:dyDescent="0.25">
      <c r="A63" s="1980"/>
      <c r="B63" s="1977"/>
      <c r="C63" s="1978"/>
      <c r="D63" s="1978"/>
      <c r="E63" s="1967"/>
      <c r="F63" s="2015"/>
      <c r="G63" s="1974"/>
      <c r="H63" s="1975"/>
      <c r="I63" s="1967"/>
      <c r="J63" s="1967"/>
      <c r="K63" s="1973"/>
      <c r="L63" s="1971"/>
      <c r="M63" s="1972"/>
      <c r="N63" s="1973"/>
      <c r="O63" s="1973"/>
      <c r="P63" s="1967"/>
      <c r="Q63" s="1967"/>
      <c r="R63" s="1967"/>
      <c r="S63" s="1967"/>
      <c r="T63" s="30" t="s">
        <v>208</v>
      </c>
      <c r="U63" s="44" t="s">
        <v>162</v>
      </c>
      <c r="V63" s="45">
        <v>41029</v>
      </c>
      <c r="W63" s="46">
        <v>10808</v>
      </c>
      <c r="X63" s="37" t="s">
        <v>210</v>
      </c>
      <c r="Y63" s="45">
        <v>41029</v>
      </c>
      <c r="Z63" s="45">
        <v>41394</v>
      </c>
      <c r="AA63" s="37"/>
      <c r="AB63" s="37"/>
      <c r="AC63" s="37"/>
      <c r="AD63" s="47"/>
      <c r="AE63" s="63">
        <v>3201940.95</v>
      </c>
      <c r="AF63" s="48">
        <v>3126536.23</v>
      </c>
      <c r="AG63" s="48"/>
      <c r="AH63" s="33">
        <f t="shared" si="0"/>
        <v>3126536.23</v>
      </c>
      <c r="AI63" s="49"/>
      <c r="AJ63" s="37"/>
      <c r="AK63" s="37"/>
      <c r="AL63" s="37"/>
      <c r="AM63" s="50"/>
      <c r="AN63" s="50"/>
      <c r="AO63" s="50"/>
      <c r="AP63" s="50"/>
      <c r="AQ63" s="50"/>
      <c r="AR63" s="51"/>
      <c r="AS63" s="52"/>
      <c r="AT63" s="50"/>
      <c r="AU63" s="50"/>
      <c r="AV63" s="50"/>
      <c r="AW63" s="50"/>
      <c r="AX63" s="50"/>
      <c r="AY63" s="50"/>
      <c r="AZ63" s="50"/>
      <c r="BA63" s="51"/>
      <c r="BB63" s="52"/>
      <c r="BC63" s="50"/>
      <c r="BD63" s="53"/>
    </row>
    <row r="64" spans="1:56" ht="25.5" x14ac:dyDescent="0.25">
      <c r="A64" s="1980"/>
      <c r="B64" s="1977"/>
      <c r="C64" s="1978"/>
      <c r="D64" s="1978"/>
      <c r="E64" s="1967"/>
      <c r="F64" s="2015"/>
      <c r="G64" s="1974"/>
      <c r="H64" s="1975"/>
      <c r="I64" s="1967"/>
      <c r="J64" s="1967"/>
      <c r="K64" s="1973"/>
      <c r="L64" s="1971"/>
      <c r="M64" s="1972"/>
      <c r="N64" s="1973"/>
      <c r="O64" s="1973"/>
      <c r="P64" s="1967"/>
      <c r="Q64" s="1967"/>
      <c r="R64" s="1967"/>
      <c r="S64" s="1967"/>
      <c r="T64" s="30" t="s">
        <v>208</v>
      </c>
      <c r="U64" s="44" t="s">
        <v>211</v>
      </c>
      <c r="V64" s="45">
        <v>41394</v>
      </c>
      <c r="W64" s="46">
        <v>11490</v>
      </c>
      <c r="X64" s="37" t="s">
        <v>210</v>
      </c>
      <c r="Y64" s="57">
        <v>41395</v>
      </c>
      <c r="Z64" s="57">
        <v>41760</v>
      </c>
      <c r="AA64" s="37"/>
      <c r="AB64" s="37"/>
      <c r="AC64" s="37"/>
      <c r="AD64" s="47"/>
      <c r="AE64" s="64"/>
      <c r="AF64" s="48">
        <v>3432290.01</v>
      </c>
      <c r="AG64" s="48">
        <v>3038844.65</v>
      </c>
      <c r="AH64" s="33">
        <f t="shared" si="0"/>
        <v>6471134.6600000001</v>
      </c>
      <c r="AI64" s="49"/>
      <c r="AJ64" s="37"/>
      <c r="AK64" s="37"/>
      <c r="AL64" s="37"/>
      <c r="AM64" s="50"/>
      <c r="AN64" s="50"/>
      <c r="AO64" s="50"/>
      <c r="AP64" s="50"/>
      <c r="AQ64" s="50"/>
      <c r="AR64" s="51"/>
      <c r="AS64" s="52"/>
      <c r="AT64" s="50"/>
      <c r="AU64" s="50"/>
      <c r="AV64" s="50"/>
      <c r="AW64" s="50"/>
      <c r="AX64" s="50"/>
      <c r="AY64" s="50"/>
      <c r="AZ64" s="50"/>
      <c r="BA64" s="51"/>
      <c r="BB64" s="52"/>
      <c r="BC64" s="50"/>
      <c r="BD64" s="53"/>
    </row>
    <row r="65" spans="1:56" ht="38.25" customHeight="1" x14ac:dyDescent="0.25">
      <c r="A65" s="1980"/>
      <c r="B65" s="1977"/>
      <c r="C65" s="1978"/>
      <c r="D65" s="1978"/>
      <c r="E65" s="1967"/>
      <c r="F65" s="2015"/>
      <c r="G65" s="1974"/>
      <c r="H65" s="1975"/>
      <c r="I65" s="1967"/>
      <c r="J65" s="1967"/>
      <c r="K65" s="1973"/>
      <c r="L65" s="1971"/>
      <c r="M65" s="1972"/>
      <c r="N65" s="1973"/>
      <c r="O65" s="1973"/>
      <c r="P65" s="1967"/>
      <c r="Q65" s="1967"/>
      <c r="R65" s="1967"/>
      <c r="S65" s="1967"/>
      <c r="T65" s="30"/>
      <c r="U65" s="44" t="s">
        <v>212</v>
      </c>
      <c r="V65" s="45">
        <v>41759</v>
      </c>
      <c r="W65" s="46" t="s">
        <v>213</v>
      </c>
      <c r="X65" s="37" t="s">
        <v>210</v>
      </c>
      <c r="Y65" s="57">
        <v>41760</v>
      </c>
      <c r="Z65" s="57">
        <v>42124</v>
      </c>
      <c r="AA65" s="37"/>
      <c r="AB65" s="37"/>
      <c r="AC65" s="37"/>
      <c r="AD65" s="47"/>
      <c r="AE65" s="64"/>
      <c r="AF65" s="48"/>
      <c r="AG65" s="48"/>
      <c r="AH65" s="33">
        <f t="shared" si="0"/>
        <v>0</v>
      </c>
      <c r="AI65" s="49"/>
      <c r="AJ65" s="37"/>
      <c r="AK65" s="37"/>
      <c r="AL65" s="37"/>
      <c r="AM65" s="50"/>
      <c r="AN65" s="50"/>
      <c r="AO65" s="50"/>
      <c r="AP65" s="50"/>
      <c r="AQ65" s="50"/>
      <c r="AR65" s="51"/>
      <c r="AS65" s="52"/>
      <c r="AT65" s="50"/>
      <c r="AU65" s="50"/>
      <c r="AV65" s="50"/>
      <c r="AW65" s="50"/>
      <c r="AX65" s="50"/>
      <c r="AY65" s="50"/>
      <c r="AZ65" s="50"/>
      <c r="BA65" s="51"/>
      <c r="BB65" s="52"/>
      <c r="BC65" s="50"/>
      <c r="BD65" s="53"/>
    </row>
    <row r="66" spans="1:56" x14ac:dyDescent="0.25">
      <c r="A66" s="1976">
        <v>8</v>
      </c>
      <c r="B66" s="2019" t="s">
        <v>214</v>
      </c>
      <c r="C66" s="2020" t="s">
        <v>215</v>
      </c>
      <c r="D66" s="2020" t="s">
        <v>152</v>
      </c>
      <c r="E66" s="2004" t="s">
        <v>153</v>
      </c>
      <c r="F66" s="2005" t="s">
        <v>216</v>
      </c>
      <c r="G66" s="2016"/>
      <c r="H66" s="2017" t="s">
        <v>195</v>
      </c>
      <c r="I66" s="2004" t="s">
        <v>217</v>
      </c>
      <c r="J66" s="2004" t="s">
        <v>218</v>
      </c>
      <c r="K66" s="2014">
        <v>40680</v>
      </c>
      <c r="L66" s="2018">
        <v>10500</v>
      </c>
      <c r="M66" s="2013">
        <v>10551</v>
      </c>
      <c r="N66" s="2014">
        <v>40680</v>
      </c>
      <c r="O66" s="2014">
        <v>40908</v>
      </c>
      <c r="P66" s="2004" t="s">
        <v>129</v>
      </c>
      <c r="Q66" s="27"/>
      <c r="R66" s="27"/>
      <c r="S66" s="27"/>
      <c r="T66" s="65" t="s">
        <v>158</v>
      </c>
      <c r="U66" s="66"/>
      <c r="V66" s="35"/>
      <c r="W66" s="67"/>
      <c r="X66" s="27" t="s">
        <v>219</v>
      </c>
      <c r="Y66" s="35"/>
      <c r="Z66" s="35"/>
      <c r="AA66" s="27"/>
      <c r="AB66" s="27"/>
      <c r="AC66" s="27"/>
      <c r="AD66" s="65"/>
      <c r="AE66" s="66"/>
      <c r="AF66" s="68">
        <v>10500</v>
      </c>
      <c r="AG66" s="68"/>
      <c r="AH66" s="33">
        <f t="shared" si="0"/>
        <v>10500</v>
      </c>
      <c r="AI66" s="26"/>
      <c r="AJ66" s="27"/>
      <c r="AK66" s="27"/>
      <c r="AL66" s="27"/>
      <c r="AM66" s="28"/>
      <c r="AN66" s="28"/>
      <c r="AO66" s="28"/>
      <c r="AP66" s="28"/>
      <c r="AQ66" s="28"/>
      <c r="AR66" s="69"/>
      <c r="AS66" s="31"/>
      <c r="AT66" s="28"/>
      <c r="AU66" s="28"/>
      <c r="AV66" s="28"/>
      <c r="AW66" s="28"/>
      <c r="AX66" s="28"/>
      <c r="AY66" s="28"/>
      <c r="AZ66" s="28"/>
      <c r="BA66" s="69"/>
      <c r="BB66" s="31"/>
      <c r="BC66" s="28"/>
      <c r="BD66" s="30"/>
    </row>
    <row r="67" spans="1:56" ht="25.5" x14ac:dyDescent="0.25">
      <c r="A67" s="1976"/>
      <c r="B67" s="2019"/>
      <c r="C67" s="2020"/>
      <c r="D67" s="2020"/>
      <c r="E67" s="2004"/>
      <c r="F67" s="2005"/>
      <c r="G67" s="2016"/>
      <c r="H67" s="2017"/>
      <c r="I67" s="2004"/>
      <c r="J67" s="2004"/>
      <c r="K67" s="2014"/>
      <c r="L67" s="2018"/>
      <c r="M67" s="2013"/>
      <c r="N67" s="2014"/>
      <c r="O67" s="2014"/>
      <c r="P67" s="2004"/>
      <c r="Q67" s="27"/>
      <c r="R67" s="27"/>
      <c r="S67" s="27"/>
      <c r="T67" s="65" t="s">
        <v>158</v>
      </c>
      <c r="U67" s="66" t="s">
        <v>159</v>
      </c>
      <c r="V67" s="35">
        <v>40909</v>
      </c>
      <c r="W67" s="67">
        <v>41274</v>
      </c>
      <c r="X67" s="27" t="s">
        <v>210</v>
      </c>
      <c r="Y67" s="35">
        <v>40909</v>
      </c>
      <c r="Z67" s="35">
        <v>41274</v>
      </c>
      <c r="AA67" s="27"/>
      <c r="AB67" s="27"/>
      <c r="AC67" s="27"/>
      <c r="AD67" s="65"/>
      <c r="AE67" s="66"/>
      <c r="AF67" s="68">
        <v>16800</v>
      </c>
      <c r="AG67" s="68"/>
      <c r="AH67" s="33">
        <f t="shared" si="0"/>
        <v>16800</v>
      </c>
      <c r="AI67" s="26"/>
      <c r="AJ67" s="27"/>
      <c r="AK67" s="27"/>
      <c r="AL67" s="27"/>
      <c r="AM67" s="28"/>
      <c r="AN67" s="28"/>
      <c r="AO67" s="28"/>
      <c r="AP67" s="28"/>
      <c r="AQ67" s="28"/>
      <c r="AR67" s="69"/>
      <c r="AS67" s="31"/>
      <c r="AT67" s="28"/>
      <c r="AU67" s="28"/>
      <c r="AV67" s="28"/>
      <c r="AW67" s="28"/>
      <c r="AX67" s="28"/>
      <c r="AY67" s="28"/>
      <c r="AZ67" s="28"/>
      <c r="BA67" s="69"/>
      <c r="BB67" s="31"/>
      <c r="BC67" s="28"/>
      <c r="BD67" s="30"/>
    </row>
    <row r="68" spans="1:56" ht="25.5" x14ac:dyDescent="0.25">
      <c r="A68" s="1976"/>
      <c r="B68" s="2019"/>
      <c r="C68" s="2020"/>
      <c r="D68" s="2020"/>
      <c r="E68" s="2004"/>
      <c r="F68" s="2005"/>
      <c r="G68" s="2016"/>
      <c r="H68" s="2017"/>
      <c r="I68" s="2004"/>
      <c r="J68" s="2004"/>
      <c r="K68" s="2014"/>
      <c r="L68" s="2018"/>
      <c r="M68" s="2013"/>
      <c r="N68" s="2014"/>
      <c r="O68" s="2014"/>
      <c r="P68" s="2004"/>
      <c r="Q68" s="27"/>
      <c r="R68" s="27"/>
      <c r="S68" s="27"/>
      <c r="T68" s="65" t="s">
        <v>158</v>
      </c>
      <c r="U68" s="66" t="s">
        <v>162</v>
      </c>
      <c r="V68" s="35">
        <v>41269</v>
      </c>
      <c r="W68" s="67">
        <v>11419</v>
      </c>
      <c r="X68" s="27" t="s">
        <v>210</v>
      </c>
      <c r="Y68" s="35">
        <v>41275</v>
      </c>
      <c r="Z68" s="35">
        <v>41639</v>
      </c>
      <c r="AA68" s="27"/>
      <c r="AB68" s="27"/>
      <c r="AC68" s="27"/>
      <c r="AD68" s="65"/>
      <c r="AE68" s="66"/>
      <c r="AF68" s="68">
        <v>20400</v>
      </c>
      <c r="AG68" s="68"/>
      <c r="AH68" s="33">
        <f t="shared" si="0"/>
        <v>20400</v>
      </c>
      <c r="AI68" s="26"/>
      <c r="AJ68" s="27"/>
      <c r="AK68" s="27"/>
      <c r="AL68" s="27"/>
      <c r="AM68" s="28"/>
      <c r="AN68" s="28"/>
      <c r="AO68" s="28"/>
      <c r="AP68" s="28"/>
      <c r="AQ68" s="28"/>
      <c r="AR68" s="69"/>
      <c r="AS68" s="31"/>
      <c r="AT68" s="28"/>
      <c r="AU68" s="28"/>
      <c r="AV68" s="28"/>
      <c r="AW68" s="28"/>
      <c r="AX68" s="28"/>
      <c r="AY68" s="28"/>
      <c r="AZ68" s="28"/>
      <c r="BA68" s="69"/>
      <c r="BB68" s="31"/>
      <c r="BC68" s="28"/>
      <c r="BD68" s="30"/>
    </row>
    <row r="69" spans="1:56" ht="25.5" x14ac:dyDescent="0.25">
      <c r="A69" s="1976"/>
      <c r="B69" s="2019"/>
      <c r="C69" s="2020"/>
      <c r="D69" s="2020"/>
      <c r="E69" s="2004"/>
      <c r="F69" s="2005"/>
      <c r="G69" s="2016"/>
      <c r="H69" s="2017"/>
      <c r="I69" s="2004"/>
      <c r="J69" s="2004"/>
      <c r="K69" s="2014"/>
      <c r="L69" s="2018"/>
      <c r="M69" s="2013"/>
      <c r="N69" s="2014"/>
      <c r="O69" s="2014"/>
      <c r="P69" s="2004"/>
      <c r="Q69" s="27"/>
      <c r="R69" s="27"/>
      <c r="S69" s="27"/>
      <c r="T69" s="65" t="s">
        <v>158</v>
      </c>
      <c r="U69" s="66" t="s">
        <v>211</v>
      </c>
      <c r="V69" s="35">
        <v>41634</v>
      </c>
      <c r="W69" s="67">
        <v>11237</v>
      </c>
      <c r="X69" s="27" t="s">
        <v>210</v>
      </c>
      <c r="Y69" s="35">
        <v>41640</v>
      </c>
      <c r="Z69" s="35">
        <v>42004</v>
      </c>
      <c r="AA69" s="27"/>
      <c r="AB69" s="27"/>
      <c r="AC69" s="27"/>
      <c r="AD69" s="65"/>
      <c r="AE69" s="66"/>
      <c r="AF69" s="68"/>
      <c r="AG69" s="48">
        <v>21501.599999999999</v>
      </c>
      <c r="AH69" s="33">
        <f t="shared" si="0"/>
        <v>21501.599999999999</v>
      </c>
      <c r="AI69" s="26"/>
      <c r="AJ69" s="27"/>
      <c r="AK69" s="27"/>
      <c r="AL69" s="27"/>
      <c r="AM69" s="28"/>
      <c r="AN69" s="28"/>
      <c r="AO69" s="28"/>
      <c r="AP69" s="28"/>
      <c r="AQ69" s="28"/>
      <c r="AR69" s="69"/>
      <c r="AS69" s="31"/>
      <c r="AT69" s="28"/>
      <c r="AU69" s="28"/>
      <c r="AV69" s="28"/>
      <c r="AW69" s="28"/>
      <c r="AX69" s="28"/>
      <c r="AY69" s="28"/>
      <c r="AZ69" s="28"/>
      <c r="BA69" s="69"/>
      <c r="BB69" s="31"/>
      <c r="BC69" s="28"/>
      <c r="BD69" s="30"/>
    </row>
    <row r="70" spans="1:56" s="75" customFormat="1" ht="25.5" x14ac:dyDescent="0.25">
      <c r="A70" s="1980">
        <v>9</v>
      </c>
      <c r="B70" s="1977"/>
      <c r="C70" s="1978" t="s">
        <v>220</v>
      </c>
      <c r="D70" s="1978" t="s">
        <v>221</v>
      </c>
      <c r="E70" s="1985"/>
      <c r="F70" s="2015" t="s">
        <v>222</v>
      </c>
      <c r="G70" s="1974">
        <v>10777</v>
      </c>
      <c r="H70" s="1975" t="s">
        <v>223</v>
      </c>
      <c r="I70" s="1967" t="s">
        <v>224</v>
      </c>
      <c r="J70" s="1967" t="s">
        <v>225</v>
      </c>
      <c r="K70" s="1973">
        <v>41398</v>
      </c>
      <c r="L70" s="1971">
        <v>26984.7</v>
      </c>
      <c r="M70" s="2006"/>
      <c r="N70" s="1973">
        <v>41398</v>
      </c>
      <c r="O70" s="1973">
        <v>41855</v>
      </c>
      <c r="P70" s="1967" t="s">
        <v>129</v>
      </c>
      <c r="Q70" s="37"/>
      <c r="R70" s="37"/>
      <c r="S70" s="37"/>
      <c r="T70" s="47"/>
      <c r="U70" s="44"/>
      <c r="V70" s="45"/>
      <c r="W70" s="46"/>
      <c r="X70" s="37"/>
      <c r="Y70" s="45"/>
      <c r="Z70" s="45"/>
      <c r="AA70" s="70"/>
      <c r="AB70" s="37"/>
      <c r="AC70" s="37"/>
      <c r="AD70" s="47"/>
      <c r="AE70" s="64"/>
      <c r="AF70" s="48"/>
      <c r="AG70" s="48">
        <v>238440</v>
      </c>
      <c r="AH70" s="33">
        <f t="shared" si="0"/>
        <v>238440</v>
      </c>
      <c r="AI70" s="71" t="s">
        <v>226</v>
      </c>
      <c r="AJ70" s="54"/>
      <c r="AK70" s="54" t="s">
        <v>227</v>
      </c>
      <c r="AL70" s="46"/>
      <c r="AM70" s="54"/>
      <c r="AN70" s="54"/>
      <c r="AO70" s="54"/>
      <c r="AP70" s="54"/>
      <c r="AQ70" s="54"/>
      <c r="AR70" s="72"/>
      <c r="AS70" s="73"/>
      <c r="AT70" s="37"/>
      <c r="AU70" s="37"/>
      <c r="AV70" s="37"/>
      <c r="AW70" s="37"/>
      <c r="AX70" s="37"/>
      <c r="AY70" s="37"/>
      <c r="AZ70" s="37"/>
      <c r="BA70" s="74"/>
      <c r="BB70" s="44"/>
      <c r="BC70" s="37"/>
      <c r="BD70" s="47"/>
    </row>
    <row r="71" spans="1:56" s="75" customFormat="1" x14ac:dyDescent="0.25">
      <c r="A71" s="1980"/>
      <c r="B71" s="1977"/>
      <c r="C71" s="1978"/>
      <c r="D71" s="1978"/>
      <c r="E71" s="1986"/>
      <c r="F71" s="2015"/>
      <c r="G71" s="1974"/>
      <c r="H71" s="1975"/>
      <c r="I71" s="1967"/>
      <c r="J71" s="1967"/>
      <c r="K71" s="1973"/>
      <c r="L71" s="1971"/>
      <c r="M71" s="2006"/>
      <c r="N71" s="1973"/>
      <c r="O71" s="1973"/>
      <c r="P71" s="1967"/>
      <c r="Q71" s="37"/>
      <c r="R71" s="37"/>
      <c r="S71" s="37"/>
      <c r="T71" s="47"/>
      <c r="U71" s="44"/>
      <c r="V71" s="60"/>
      <c r="W71" s="61"/>
      <c r="X71" s="76"/>
      <c r="Y71" s="60"/>
      <c r="Z71" s="60"/>
      <c r="AA71" s="70"/>
      <c r="AB71" s="37"/>
      <c r="AC71" s="37"/>
      <c r="AD71" s="47"/>
      <c r="AE71" s="64"/>
      <c r="AF71" s="48"/>
      <c r="AG71" s="48"/>
      <c r="AH71" s="33">
        <f t="shared" si="0"/>
        <v>0</v>
      </c>
      <c r="AI71" s="71"/>
      <c r="AJ71" s="54"/>
      <c r="AK71" s="54"/>
      <c r="AL71" s="46"/>
      <c r="AM71" s="54"/>
      <c r="AN71" s="54"/>
      <c r="AO71" s="54"/>
      <c r="AP71" s="54"/>
      <c r="AQ71" s="54"/>
      <c r="AR71" s="72"/>
      <c r="AS71" s="73"/>
      <c r="AT71" s="37"/>
      <c r="AU71" s="37"/>
      <c r="AV71" s="37"/>
      <c r="AW71" s="37"/>
      <c r="AX71" s="37"/>
      <c r="AY71" s="37"/>
      <c r="AZ71" s="37"/>
      <c r="BA71" s="74"/>
      <c r="BB71" s="44"/>
      <c r="BC71" s="37"/>
      <c r="BD71" s="47"/>
    </row>
    <row r="72" spans="1:56" s="75" customFormat="1" x14ac:dyDescent="0.25">
      <c r="A72" s="2007">
        <v>10</v>
      </c>
      <c r="B72" s="2009">
        <v>34421213109</v>
      </c>
      <c r="C72" s="1991" t="s">
        <v>228</v>
      </c>
      <c r="D72" s="1991" t="s">
        <v>221</v>
      </c>
      <c r="E72" s="1985" t="s">
        <v>168</v>
      </c>
      <c r="F72" s="2011" t="s">
        <v>229</v>
      </c>
      <c r="G72" s="1998"/>
      <c r="H72" s="2000" t="s">
        <v>230</v>
      </c>
      <c r="I72" s="1985" t="s">
        <v>231</v>
      </c>
      <c r="J72" s="1985" t="s">
        <v>232</v>
      </c>
      <c r="K72" s="1996">
        <v>41395</v>
      </c>
      <c r="L72" s="2002">
        <v>29440</v>
      </c>
      <c r="M72" s="1994"/>
      <c r="N72" s="1996">
        <v>41395</v>
      </c>
      <c r="O72" s="1996">
        <v>41640</v>
      </c>
      <c r="P72" s="1985" t="s">
        <v>129</v>
      </c>
      <c r="Q72" s="1985"/>
      <c r="R72" s="1985"/>
      <c r="S72" s="1985"/>
      <c r="T72" s="1987" t="s">
        <v>233</v>
      </c>
      <c r="U72" s="44"/>
      <c r="V72" s="45"/>
      <c r="W72" s="46"/>
      <c r="X72" s="37"/>
      <c r="Y72" s="45"/>
      <c r="Z72" s="45"/>
      <c r="AA72" s="70"/>
      <c r="AB72" s="37"/>
      <c r="AC72" s="37"/>
      <c r="AD72" s="47"/>
      <c r="AE72" s="64"/>
      <c r="AF72" s="48"/>
      <c r="AG72" s="48"/>
      <c r="AH72" s="33">
        <f t="shared" si="0"/>
        <v>0</v>
      </c>
      <c r="AI72" s="1989" t="s">
        <v>234</v>
      </c>
      <c r="AJ72" s="1991" t="s">
        <v>235</v>
      </c>
      <c r="AK72" s="1991" t="s">
        <v>236</v>
      </c>
      <c r="AL72" s="1994"/>
      <c r="AM72" s="54"/>
      <c r="AN72" s="54"/>
      <c r="AO72" s="54"/>
      <c r="AP72" s="54"/>
      <c r="AQ72" s="54"/>
      <c r="AR72" s="72"/>
      <c r="AS72" s="73"/>
      <c r="AT72" s="37"/>
      <c r="AU72" s="37"/>
      <c r="AV72" s="37"/>
      <c r="AW72" s="37"/>
      <c r="AX72" s="37"/>
      <c r="AY72" s="37"/>
      <c r="AZ72" s="37"/>
      <c r="BA72" s="74"/>
      <c r="BB72" s="44"/>
      <c r="BC72" s="37"/>
      <c r="BD72" s="47"/>
    </row>
    <row r="73" spans="1:56" s="75" customFormat="1" ht="25.5" x14ac:dyDescent="0.25">
      <c r="A73" s="2008"/>
      <c r="B73" s="2010"/>
      <c r="C73" s="1992"/>
      <c r="D73" s="1992"/>
      <c r="E73" s="1986"/>
      <c r="F73" s="2012"/>
      <c r="G73" s="1999"/>
      <c r="H73" s="2001"/>
      <c r="I73" s="1986"/>
      <c r="J73" s="1986"/>
      <c r="K73" s="1997"/>
      <c r="L73" s="2003"/>
      <c r="M73" s="1995"/>
      <c r="N73" s="1997"/>
      <c r="O73" s="1997"/>
      <c r="P73" s="1986"/>
      <c r="Q73" s="1986"/>
      <c r="R73" s="1986"/>
      <c r="S73" s="1986"/>
      <c r="T73" s="1988"/>
      <c r="U73" s="56" t="s">
        <v>159</v>
      </c>
      <c r="V73" s="45">
        <v>41634</v>
      </c>
      <c r="W73" s="46"/>
      <c r="X73" s="59" t="s">
        <v>237</v>
      </c>
      <c r="Y73" s="45">
        <v>41640</v>
      </c>
      <c r="Z73" s="45">
        <v>41881</v>
      </c>
      <c r="AA73" s="70"/>
      <c r="AB73" s="37"/>
      <c r="AC73" s="37"/>
      <c r="AD73" s="47"/>
      <c r="AE73" s="64"/>
      <c r="AF73" s="48"/>
      <c r="AG73" s="48">
        <v>25760</v>
      </c>
      <c r="AH73" s="33">
        <f t="shared" si="0"/>
        <v>25760</v>
      </c>
      <c r="AI73" s="1990"/>
      <c r="AJ73" s="1992"/>
      <c r="AK73" s="1992"/>
      <c r="AL73" s="1995"/>
      <c r="AM73" s="54"/>
      <c r="AN73" s="54"/>
      <c r="AO73" s="54"/>
      <c r="AP73" s="54"/>
      <c r="AQ73" s="54"/>
      <c r="AR73" s="72"/>
      <c r="AS73" s="73"/>
      <c r="AT73" s="37"/>
      <c r="AU73" s="37"/>
      <c r="AV73" s="37"/>
      <c r="AW73" s="37"/>
      <c r="AX73" s="37"/>
      <c r="AY73" s="37"/>
      <c r="AZ73" s="37"/>
      <c r="BA73" s="74"/>
      <c r="BB73" s="44"/>
      <c r="BC73" s="37"/>
      <c r="BD73" s="47"/>
    </row>
    <row r="74" spans="1:56" x14ac:dyDescent="0.25">
      <c r="A74" s="1980">
        <v>11</v>
      </c>
      <c r="B74" s="1981" t="s">
        <v>238</v>
      </c>
      <c r="C74" s="1984" t="s">
        <v>230</v>
      </c>
      <c r="D74" s="1982" t="s">
        <v>239</v>
      </c>
      <c r="E74" s="1982" t="s">
        <v>168</v>
      </c>
      <c r="F74" s="1967" t="s">
        <v>240</v>
      </c>
      <c r="G74" s="1979"/>
      <c r="H74" s="1975" t="s">
        <v>241</v>
      </c>
      <c r="I74" s="1967" t="s">
        <v>242</v>
      </c>
      <c r="J74" s="1967" t="s">
        <v>243</v>
      </c>
      <c r="K74" s="1973">
        <v>41641</v>
      </c>
      <c r="L74" s="1993">
        <v>340510.17</v>
      </c>
      <c r="M74" s="1972" t="s">
        <v>244</v>
      </c>
      <c r="N74" s="1973">
        <v>41640</v>
      </c>
      <c r="O74" s="1973">
        <v>41820</v>
      </c>
      <c r="P74" s="1967" t="s">
        <v>129</v>
      </c>
      <c r="Q74" s="1967"/>
      <c r="R74" s="1967"/>
      <c r="S74" s="1967"/>
      <c r="T74" s="47" t="s">
        <v>233</v>
      </c>
      <c r="U74" s="44"/>
      <c r="V74" s="37"/>
      <c r="W74" s="37"/>
      <c r="X74" s="37"/>
      <c r="Y74" s="37"/>
      <c r="Z74" s="37"/>
      <c r="AA74" s="37"/>
      <c r="AB74" s="37"/>
      <c r="AC74" s="48"/>
      <c r="AD74" s="47"/>
      <c r="AE74" s="63">
        <f>L74-AD74+AC74</f>
        <v>340510.17</v>
      </c>
      <c r="AF74" s="37"/>
      <c r="AG74" s="48">
        <v>340510.17</v>
      </c>
      <c r="AH74" s="33">
        <f t="shared" si="0"/>
        <v>340510.17</v>
      </c>
      <c r="AI74" s="71" t="s">
        <v>245</v>
      </c>
      <c r="AJ74" s="37" t="s">
        <v>246</v>
      </c>
      <c r="AK74" s="37" t="s">
        <v>247</v>
      </c>
      <c r="AL74" s="46">
        <v>11122</v>
      </c>
      <c r="AM74" s="50"/>
      <c r="AN74" s="50"/>
      <c r="AO74" s="50"/>
      <c r="AP74" s="50"/>
      <c r="AQ74" s="50"/>
      <c r="AR74" s="51"/>
      <c r="AS74" s="52"/>
      <c r="AT74" s="50"/>
      <c r="AU74" s="50"/>
      <c r="AV74" s="50"/>
      <c r="AW74" s="50"/>
      <c r="AX74" s="50"/>
      <c r="AY74" s="50"/>
      <c r="AZ74" s="50"/>
      <c r="BA74" s="51"/>
      <c r="BB74" s="52"/>
      <c r="BC74" s="50"/>
      <c r="BD74" s="53"/>
    </row>
    <row r="75" spans="1:56" s="85" customFormat="1" ht="25.5" x14ac:dyDescent="0.25">
      <c r="A75" s="1980"/>
      <c r="B75" s="1981"/>
      <c r="C75" s="1984"/>
      <c r="D75" s="1982"/>
      <c r="E75" s="1982"/>
      <c r="F75" s="1967"/>
      <c r="G75" s="1979"/>
      <c r="H75" s="1975"/>
      <c r="I75" s="1967"/>
      <c r="J75" s="1967"/>
      <c r="K75" s="1973"/>
      <c r="L75" s="1993"/>
      <c r="M75" s="1972"/>
      <c r="N75" s="1973"/>
      <c r="O75" s="1973"/>
      <c r="P75" s="1967"/>
      <c r="Q75" s="1967"/>
      <c r="R75" s="1967"/>
      <c r="S75" s="1967"/>
      <c r="T75" s="55" t="s">
        <v>233</v>
      </c>
      <c r="U75" s="56" t="s">
        <v>159</v>
      </c>
      <c r="V75" s="57">
        <v>41819</v>
      </c>
      <c r="W75" s="77">
        <v>11420</v>
      </c>
      <c r="X75" s="59" t="s">
        <v>248</v>
      </c>
      <c r="Y75" s="57">
        <v>41819</v>
      </c>
      <c r="Z75" s="57">
        <v>42001</v>
      </c>
      <c r="AA75" s="59"/>
      <c r="AB75" s="59"/>
      <c r="AC75" s="78"/>
      <c r="AD75" s="55"/>
      <c r="AE75" s="79"/>
      <c r="AF75" s="59"/>
      <c r="AG75" s="78">
        <v>317690.90999999997</v>
      </c>
      <c r="AH75" s="33">
        <f t="shared" si="0"/>
        <v>317690.90999999997</v>
      </c>
      <c r="AI75" s="80" t="s">
        <v>245</v>
      </c>
      <c r="AJ75" s="37" t="s">
        <v>246</v>
      </c>
      <c r="AK75" s="59" t="s">
        <v>247</v>
      </c>
      <c r="AL75" s="77">
        <v>11122</v>
      </c>
      <c r="AM75" s="81"/>
      <c r="AN75" s="81"/>
      <c r="AO75" s="81"/>
      <c r="AP75" s="81"/>
      <c r="AQ75" s="81"/>
      <c r="AR75" s="82"/>
      <c r="AS75" s="83"/>
      <c r="AT75" s="81"/>
      <c r="AU75" s="81"/>
      <c r="AV75" s="81"/>
      <c r="AW75" s="81"/>
      <c r="AX75" s="81"/>
      <c r="AY75" s="81"/>
      <c r="AZ75" s="81"/>
      <c r="BA75" s="82"/>
      <c r="BB75" s="83"/>
      <c r="BC75" s="81"/>
      <c r="BD75" s="84"/>
    </row>
    <row r="76" spans="1:56" ht="25.5" x14ac:dyDescent="0.25">
      <c r="A76" s="1980"/>
      <c r="B76" s="1981"/>
      <c r="C76" s="1984"/>
      <c r="D76" s="1982"/>
      <c r="E76" s="1982"/>
      <c r="F76" s="1967"/>
      <c r="G76" s="1979"/>
      <c r="H76" s="1975"/>
      <c r="I76" s="1967"/>
      <c r="J76" s="1967"/>
      <c r="K76" s="1973"/>
      <c r="L76" s="1993"/>
      <c r="M76" s="1972"/>
      <c r="N76" s="1973"/>
      <c r="O76" s="1973"/>
      <c r="P76" s="1967"/>
      <c r="Q76" s="1967"/>
      <c r="R76" s="1967"/>
      <c r="S76" s="1967"/>
      <c r="T76" s="47" t="s">
        <v>233</v>
      </c>
      <c r="U76" s="44" t="s">
        <v>162</v>
      </c>
      <c r="V76" s="45">
        <v>41883</v>
      </c>
      <c r="W76" s="46">
        <v>11451</v>
      </c>
      <c r="X76" s="37" t="s">
        <v>249</v>
      </c>
      <c r="Y76" s="45"/>
      <c r="Z76" s="45"/>
      <c r="AA76" s="37"/>
      <c r="AB76" s="37"/>
      <c r="AC76" s="48"/>
      <c r="AD76" s="47"/>
      <c r="AE76" s="63"/>
      <c r="AF76" s="37"/>
      <c r="AG76" s="48">
        <v>191215.44</v>
      </c>
      <c r="AH76" s="33">
        <f t="shared" si="0"/>
        <v>191215.44</v>
      </c>
      <c r="AI76" s="71" t="s">
        <v>245</v>
      </c>
      <c r="AJ76" s="37" t="s">
        <v>246</v>
      </c>
      <c r="AK76" s="37" t="s">
        <v>247</v>
      </c>
      <c r="AL76" s="46">
        <v>11122</v>
      </c>
      <c r="AM76" s="50"/>
      <c r="AN76" s="50"/>
      <c r="AO76" s="50"/>
      <c r="AP76" s="50"/>
      <c r="AQ76" s="50"/>
      <c r="AR76" s="51"/>
      <c r="AS76" s="52"/>
      <c r="AT76" s="50"/>
      <c r="AU76" s="50"/>
      <c r="AV76" s="50"/>
      <c r="AW76" s="50"/>
      <c r="AX76" s="50"/>
      <c r="AY76" s="50"/>
      <c r="AZ76" s="50"/>
      <c r="BA76" s="51"/>
      <c r="BB76" s="52"/>
      <c r="BC76" s="50"/>
      <c r="BD76" s="53"/>
    </row>
    <row r="77" spans="1:56" ht="38.25" x14ac:dyDescent="0.25">
      <c r="A77" s="1980"/>
      <c r="B77" s="1981"/>
      <c r="C77" s="1984"/>
      <c r="D77" s="1982"/>
      <c r="E77" s="1982"/>
      <c r="F77" s="1967"/>
      <c r="G77" s="1979"/>
      <c r="H77" s="1975"/>
      <c r="I77" s="1967"/>
      <c r="J77" s="1967"/>
      <c r="K77" s="1973"/>
      <c r="L77" s="1993"/>
      <c r="M77" s="1972"/>
      <c r="N77" s="1973"/>
      <c r="O77" s="1973"/>
      <c r="P77" s="1967"/>
      <c r="Q77" s="1967"/>
      <c r="R77" s="1967"/>
      <c r="S77" s="1967"/>
      <c r="T77" s="47" t="s">
        <v>233</v>
      </c>
      <c r="U77" s="44" t="s">
        <v>211</v>
      </c>
      <c r="V77" s="45">
        <v>41999</v>
      </c>
      <c r="W77" s="46" t="s">
        <v>250</v>
      </c>
      <c r="X77" s="37" t="s">
        <v>251</v>
      </c>
      <c r="Y77" s="45">
        <v>41999</v>
      </c>
      <c r="Z77" s="45">
        <v>42364</v>
      </c>
      <c r="AA77" s="37"/>
      <c r="AB77" s="37"/>
      <c r="AC77" s="48"/>
      <c r="AD77" s="47"/>
      <c r="AE77" s="63"/>
      <c r="AF77" s="37"/>
      <c r="AG77" s="48"/>
      <c r="AH77" s="33">
        <f t="shared" si="0"/>
        <v>0</v>
      </c>
      <c r="AI77" s="71" t="s">
        <v>245</v>
      </c>
      <c r="AJ77" s="37" t="s">
        <v>246</v>
      </c>
      <c r="AK77" s="37" t="s">
        <v>247</v>
      </c>
      <c r="AL77" s="46">
        <v>11122</v>
      </c>
      <c r="AM77" s="50"/>
      <c r="AN77" s="50"/>
      <c r="AO77" s="50"/>
      <c r="AP77" s="50"/>
      <c r="AQ77" s="50"/>
      <c r="AR77" s="51"/>
      <c r="AS77" s="52"/>
      <c r="AT77" s="50"/>
      <c r="AU77" s="50"/>
      <c r="AV77" s="50"/>
      <c r="AW77" s="50"/>
      <c r="AX77" s="50"/>
      <c r="AY77" s="50"/>
      <c r="AZ77" s="50"/>
      <c r="BA77" s="51"/>
      <c r="BB77" s="52"/>
      <c r="BC77" s="50"/>
      <c r="BD77" s="53"/>
    </row>
    <row r="78" spans="1:56" ht="38.25" x14ac:dyDescent="0.25">
      <c r="A78" s="86">
        <v>12</v>
      </c>
      <c r="B78" s="44" t="s">
        <v>252</v>
      </c>
      <c r="C78" s="37">
        <v>605</v>
      </c>
      <c r="D78" s="54" t="s">
        <v>221</v>
      </c>
      <c r="E78" s="37" t="s">
        <v>153</v>
      </c>
      <c r="F78" s="37" t="s">
        <v>253</v>
      </c>
      <c r="G78" s="87">
        <v>11053</v>
      </c>
      <c r="H78" s="73" t="s">
        <v>254</v>
      </c>
      <c r="I78" s="37" t="s">
        <v>255</v>
      </c>
      <c r="J78" s="37" t="s">
        <v>256</v>
      </c>
      <c r="K78" s="45">
        <v>41640</v>
      </c>
      <c r="L78" s="48">
        <v>27000</v>
      </c>
      <c r="M78" s="46">
        <v>11238</v>
      </c>
      <c r="N78" s="45">
        <v>41699</v>
      </c>
      <c r="O78" s="45">
        <v>41728</v>
      </c>
      <c r="P78" s="37" t="s">
        <v>129</v>
      </c>
      <c r="Q78" s="37"/>
      <c r="R78" s="37"/>
      <c r="S78" s="37"/>
      <c r="T78" s="47" t="s">
        <v>208</v>
      </c>
      <c r="U78" s="44"/>
      <c r="V78" s="37"/>
      <c r="W78" s="37"/>
      <c r="X78" s="37"/>
      <c r="Y78" s="37"/>
      <c r="Z78" s="37"/>
      <c r="AA78" s="37"/>
      <c r="AB78" s="37"/>
      <c r="AC78" s="48"/>
      <c r="AD78" s="47"/>
      <c r="AE78" s="63">
        <f>L78-AD78+AC78</f>
        <v>27000</v>
      </c>
      <c r="AF78" s="37"/>
      <c r="AG78" s="48">
        <v>34505.64</v>
      </c>
      <c r="AH78" s="33">
        <f t="shared" si="0"/>
        <v>34505.64</v>
      </c>
      <c r="AI78" s="71" t="s">
        <v>257</v>
      </c>
      <c r="AJ78" s="46">
        <v>11125</v>
      </c>
      <c r="AK78" s="37" t="s">
        <v>258</v>
      </c>
      <c r="AL78" s="46">
        <v>11165</v>
      </c>
      <c r="AM78" s="50"/>
      <c r="AN78" s="50"/>
      <c r="AO78" s="50"/>
      <c r="AP78" s="50"/>
      <c r="AQ78" s="50"/>
      <c r="AR78" s="51"/>
      <c r="AS78" s="52"/>
      <c r="AT78" s="50"/>
      <c r="AU78" s="50"/>
      <c r="AV78" s="50"/>
      <c r="AW78" s="50"/>
      <c r="AX78" s="50"/>
      <c r="AY78" s="50"/>
      <c r="AZ78" s="50"/>
      <c r="BA78" s="51"/>
      <c r="BB78" s="52"/>
      <c r="BC78" s="50"/>
      <c r="BD78" s="53"/>
    </row>
    <row r="79" spans="1:56" x14ac:dyDescent="0.25">
      <c r="A79" s="88">
        <v>13</v>
      </c>
      <c r="B79" s="31"/>
      <c r="C79" s="28"/>
      <c r="D79" s="28"/>
      <c r="E79" s="28"/>
      <c r="F79" s="28"/>
      <c r="G79" s="30"/>
      <c r="H79" s="89" t="s">
        <v>259</v>
      </c>
      <c r="I79" s="28" t="s">
        <v>260</v>
      </c>
      <c r="J79" s="28"/>
      <c r="K79" s="28"/>
      <c r="L79" s="28"/>
      <c r="M79" s="28"/>
      <c r="N79" s="28"/>
      <c r="O79" s="28"/>
      <c r="P79" s="28"/>
      <c r="Q79" s="28"/>
      <c r="R79" s="28"/>
      <c r="S79" s="28"/>
      <c r="T79" s="30"/>
      <c r="U79" s="31"/>
      <c r="V79" s="28"/>
      <c r="W79" s="28"/>
      <c r="X79" s="28"/>
      <c r="Y79" s="28"/>
      <c r="Z79" s="28"/>
      <c r="AA79" s="28"/>
      <c r="AB79" s="28"/>
      <c r="AC79" s="28"/>
      <c r="AD79" s="30"/>
      <c r="AE79" s="31"/>
      <c r="AF79" s="28"/>
      <c r="AG79" s="32"/>
      <c r="AH79" s="33">
        <f t="shared" si="0"/>
        <v>0</v>
      </c>
      <c r="AI79" s="34"/>
      <c r="AJ79" s="28"/>
      <c r="AK79" s="28"/>
      <c r="AL79" s="28"/>
      <c r="AM79" s="28"/>
      <c r="AN79" s="28"/>
      <c r="AO79" s="28"/>
      <c r="AP79" s="28"/>
      <c r="AQ79" s="28"/>
      <c r="AR79" s="69"/>
      <c r="AS79" s="31"/>
      <c r="AT79" s="28"/>
      <c r="AU79" s="28"/>
      <c r="AV79" s="28"/>
      <c r="AW79" s="28"/>
      <c r="AX79" s="28"/>
      <c r="AY79" s="28"/>
      <c r="AZ79" s="28"/>
      <c r="BA79" s="69"/>
      <c r="BB79" s="31"/>
      <c r="BC79" s="28"/>
      <c r="BD79" s="30"/>
    </row>
    <row r="80" spans="1:56" x14ac:dyDescent="0.25">
      <c r="A80" s="1980">
        <v>14</v>
      </c>
      <c r="B80" s="1977" t="s">
        <v>261</v>
      </c>
      <c r="C80" s="1978" t="s">
        <v>223</v>
      </c>
      <c r="D80" s="1978" t="s">
        <v>221</v>
      </c>
      <c r="E80" s="1967" t="s">
        <v>153</v>
      </c>
      <c r="F80" s="1967" t="s">
        <v>262</v>
      </c>
      <c r="G80" s="1974">
        <v>10988</v>
      </c>
      <c r="H80" s="1975" t="s">
        <v>263</v>
      </c>
      <c r="I80" s="1982" t="s">
        <v>264</v>
      </c>
      <c r="J80" s="1967" t="s">
        <v>265</v>
      </c>
      <c r="K80" s="1973">
        <v>41645</v>
      </c>
      <c r="L80" s="1971">
        <v>100000</v>
      </c>
      <c r="M80" s="1972">
        <v>11236</v>
      </c>
      <c r="N80" s="1973">
        <v>41645</v>
      </c>
      <c r="O80" s="1973">
        <v>41728</v>
      </c>
      <c r="P80" s="1967" t="s">
        <v>129</v>
      </c>
      <c r="Q80" s="1982"/>
      <c r="R80" s="1982"/>
      <c r="S80" s="1982"/>
      <c r="T80" s="1983" t="s">
        <v>130</v>
      </c>
      <c r="U80" s="31"/>
      <c r="V80" s="28"/>
      <c r="W80" s="28"/>
      <c r="X80" s="28"/>
      <c r="Y80" s="28"/>
      <c r="Z80" s="28"/>
      <c r="AA80" s="28"/>
      <c r="AB80" s="28"/>
      <c r="AC80" s="28"/>
      <c r="AD80" s="30"/>
      <c r="AE80" s="90"/>
      <c r="AF80" s="28"/>
      <c r="AG80" s="43">
        <v>100000</v>
      </c>
      <c r="AH80" s="33">
        <f t="shared" si="0"/>
        <v>100000</v>
      </c>
      <c r="AI80" s="71" t="s">
        <v>228</v>
      </c>
      <c r="AJ80" s="46">
        <v>11022</v>
      </c>
      <c r="AK80" s="37" t="s">
        <v>266</v>
      </c>
      <c r="AL80" s="46">
        <v>11236</v>
      </c>
      <c r="AM80" s="28"/>
      <c r="AN80" s="28"/>
      <c r="AO80" s="28"/>
      <c r="AP80" s="28"/>
      <c r="AQ80" s="28"/>
      <c r="AR80" s="69"/>
      <c r="AS80" s="31"/>
      <c r="AT80" s="28"/>
      <c r="AU80" s="28"/>
      <c r="AV80" s="28"/>
      <c r="AW80" s="28"/>
      <c r="AX80" s="28"/>
      <c r="AY80" s="28"/>
      <c r="AZ80" s="28"/>
      <c r="BA80" s="69"/>
      <c r="BB80" s="31"/>
      <c r="BC80" s="28"/>
      <c r="BD80" s="30"/>
    </row>
    <row r="81" spans="1:56" ht="25.5" x14ac:dyDescent="0.25">
      <c r="A81" s="1980"/>
      <c r="B81" s="1977"/>
      <c r="C81" s="1978"/>
      <c r="D81" s="1978"/>
      <c r="E81" s="1967"/>
      <c r="F81" s="1967"/>
      <c r="G81" s="1974"/>
      <c r="H81" s="1975"/>
      <c r="I81" s="1982"/>
      <c r="J81" s="1967"/>
      <c r="K81" s="1973"/>
      <c r="L81" s="1971"/>
      <c r="M81" s="1972"/>
      <c r="N81" s="1973"/>
      <c r="O81" s="1973"/>
      <c r="P81" s="1967"/>
      <c r="Q81" s="1982"/>
      <c r="R81" s="1982"/>
      <c r="S81" s="1982"/>
      <c r="T81" s="1983"/>
      <c r="U81" s="44" t="s">
        <v>267</v>
      </c>
      <c r="V81" s="45">
        <v>41712</v>
      </c>
      <c r="W81" s="46">
        <v>11267</v>
      </c>
      <c r="X81" s="37" t="s">
        <v>268</v>
      </c>
      <c r="Y81" s="45">
        <v>41730</v>
      </c>
      <c r="Z81" s="45">
        <v>41790</v>
      </c>
      <c r="AA81" s="62">
        <v>0.25</v>
      </c>
      <c r="AB81" s="37"/>
      <c r="AC81" s="48">
        <v>25000</v>
      </c>
      <c r="AD81" s="47"/>
      <c r="AE81" s="63">
        <f>L80-AD81+AC81</f>
        <v>125000</v>
      </c>
      <c r="AF81" s="37"/>
      <c r="AG81" s="48">
        <v>23373.23</v>
      </c>
      <c r="AH81" s="33">
        <f t="shared" si="0"/>
        <v>23373.23</v>
      </c>
      <c r="AI81" s="71" t="s">
        <v>228</v>
      </c>
      <c r="AJ81" s="46">
        <v>11022</v>
      </c>
      <c r="AK81" s="37" t="s">
        <v>266</v>
      </c>
      <c r="AL81" s="46">
        <v>11236</v>
      </c>
      <c r="AM81" s="50"/>
      <c r="AN81" s="50"/>
      <c r="AO81" s="50"/>
      <c r="AP81" s="50"/>
      <c r="AQ81" s="50"/>
      <c r="AR81" s="51"/>
      <c r="AS81" s="52"/>
      <c r="AT81" s="50"/>
      <c r="AU81" s="50"/>
      <c r="AV81" s="50"/>
      <c r="AW81" s="50"/>
      <c r="AX81" s="50"/>
      <c r="AY81" s="50"/>
      <c r="AZ81" s="50"/>
      <c r="BA81" s="51"/>
      <c r="BB81" s="52"/>
      <c r="BC81" s="50"/>
      <c r="BD81" s="53"/>
    </row>
    <row r="82" spans="1:56" x14ac:dyDescent="0.25">
      <c r="A82" s="86">
        <v>15</v>
      </c>
      <c r="B82" s="31"/>
      <c r="C82" s="28"/>
      <c r="D82" s="28"/>
      <c r="E82" s="28"/>
      <c r="F82" s="28"/>
      <c r="G82" s="30"/>
      <c r="H82" s="73" t="s">
        <v>269</v>
      </c>
      <c r="I82" s="37" t="s">
        <v>270</v>
      </c>
      <c r="J82" s="37"/>
      <c r="K82" s="45"/>
      <c r="L82" s="48"/>
      <c r="M82" s="46"/>
      <c r="N82" s="45"/>
      <c r="O82" s="45"/>
      <c r="P82" s="37"/>
      <c r="Q82" s="37"/>
      <c r="R82" s="37"/>
      <c r="S82" s="37"/>
      <c r="T82" s="47"/>
      <c r="U82" s="44"/>
      <c r="V82" s="37"/>
      <c r="W82" s="37"/>
      <c r="X82" s="37"/>
      <c r="Y82" s="37"/>
      <c r="Z82" s="37"/>
      <c r="AA82" s="37"/>
      <c r="AB82" s="37"/>
      <c r="AC82" s="48"/>
      <c r="AD82" s="47"/>
      <c r="AE82" s="63">
        <f t="shared" ref="AE82:AE108" si="1">L82-AD82+AC82</f>
        <v>0</v>
      </c>
      <c r="AF82" s="37"/>
      <c r="AG82" s="48"/>
      <c r="AH82" s="33">
        <f t="shared" si="0"/>
        <v>0</v>
      </c>
      <c r="AI82" s="71"/>
      <c r="AJ82" s="37"/>
      <c r="AK82" s="37"/>
      <c r="AL82" s="46"/>
      <c r="AM82" s="50"/>
      <c r="AN82" s="50"/>
      <c r="AO82" s="50"/>
      <c r="AP82" s="50"/>
      <c r="AQ82" s="50"/>
      <c r="AR82" s="51"/>
      <c r="AS82" s="52"/>
      <c r="AT82" s="50"/>
      <c r="AU82" s="50"/>
      <c r="AV82" s="50"/>
      <c r="AW82" s="50"/>
      <c r="AX82" s="50"/>
      <c r="AY82" s="50"/>
      <c r="AZ82" s="50"/>
      <c r="BA82" s="51"/>
      <c r="BB82" s="52"/>
      <c r="BC82" s="50"/>
      <c r="BD82" s="53"/>
    </row>
    <row r="83" spans="1:56" ht="25.5" x14ac:dyDescent="0.25">
      <c r="A83" s="1980">
        <v>16</v>
      </c>
      <c r="B83" s="1977" t="s">
        <v>271</v>
      </c>
      <c r="C83" s="1967" t="s">
        <v>272</v>
      </c>
      <c r="D83" s="1978" t="s">
        <v>221</v>
      </c>
      <c r="E83" s="1967" t="s">
        <v>153</v>
      </c>
      <c r="F83" s="1967" t="s">
        <v>273</v>
      </c>
      <c r="G83" s="1974">
        <v>11051</v>
      </c>
      <c r="H83" s="1975" t="s">
        <v>274</v>
      </c>
      <c r="I83" s="1982" t="s">
        <v>275</v>
      </c>
      <c r="J83" s="1967" t="s">
        <v>276</v>
      </c>
      <c r="K83" s="1973">
        <v>41640</v>
      </c>
      <c r="L83" s="1971">
        <v>62100</v>
      </c>
      <c r="M83" s="1972">
        <v>11240</v>
      </c>
      <c r="N83" s="1973">
        <v>41640</v>
      </c>
      <c r="O83" s="1973">
        <v>41729</v>
      </c>
      <c r="P83" s="1967" t="s">
        <v>129</v>
      </c>
      <c r="Q83" s="37"/>
      <c r="R83" s="37"/>
      <c r="S83" s="37"/>
      <c r="T83" s="47" t="s">
        <v>208</v>
      </c>
      <c r="U83" s="44"/>
      <c r="V83" s="37"/>
      <c r="W83" s="37"/>
      <c r="X83" s="37"/>
      <c r="Y83" s="37"/>
      <c r="Z83" s="37"/>
      <c r="AA83" s="37"/>
      <c r="AB83" s="37"/>
      <c r="AC83" s="48"/>
      <c r="AD83" s="47"/>
      <c r="AE83" s="63">
        <f t="shared" si="1"/>
        <v>62100</v>
      </c>
      <c r="AF83" s="37"/>
      <c r="AG83" s="48">
        <v>62100</v>
      </c>
      <c r="AH83" s="33">
        <f t="shared" si="0"/>
        <v>62100</v>
      </c>
      <c r="AI83" s="71" t="s">
        <v>234</v>
      </c>
      <c r="AJ83" s="77">
        <v>11098</v>
      </c>
      <c r="AK83" s="37" t="s">
        <v>277</v>
      </c>
      <c r="AL83" s="46">
        <v>11096</v>
      </c>
      <c r="AM83" s="50"/>
      <c r="AN83" s="50"/>
      <c r="AO83" s="50"/>
      <c r="AP83" s="50"/>
      <c r="AQ83" s="50"/>
      <c r="AR83" s="51"/>
      <c r="AS83" s="52"/>
      <c r="AT83" s="50"/>
      <c r="AU83" s="50"/>
      <c r="AV83" s="50"/>
      <c r="AW83" s="50"/>
      <c r="AX83" s="50"/>
      <c r="AY83" s="50"/>
      <c r="AZ83" s="50"/>
      <c r="BA83" s="51"/>
      <c r="BB83" s="52"/>
      <c r="BC83" s="50"/>
      <c r="BD83" s="53"/>
    </row>
    <row r="84" spans="1:56" ht="38.25" x14ac:dyDescent="0.25">
      <c r="A84" s="1980"/>
      <c r="B84" s="1977"/>
      <c r="C84" s="1967"/>
      <c r="D84" s="1978"/>
      <c r="E84" s="1967"/>
      <c r="F84" s="1967"/>
      <c r="G84" s="1974"/>
      <c r="H84" s="1975"/>
      <c r="I84" s="1982"/>
      <c r="J84" s="1967"/>
      <c r="K84" s="1973"/>
      <c r="L84" s="1971"/>
      <c r="M84" s="1972"/>
      <c r="N84" s="1973"/>
      <c r="O84" s="1973"/>
      <c r="P84" s="1967"/>
      <c r="Q84" s="37"/>
      <c r="R84" s="37"/>
      <c r="S84" s="37"/>
      <c r="T84" s="47" t="s">
        <v>208</v>
      </c>
      <c r="U84" s="44" t="s">
        <v>267</v>
      </c>
      <c r="V84" s="45">
        <v>41728</v>
      </c>
      <c r="W84" s="37" t="s">
        <v>278</v>
      </c>
      <c r="X84" s="59" t="s">
        <v>279</v>
      </c>
      <c r="Y84" s="45">
        <v>41730</v>
      </c>
      <c r="Z84" s="45">
        <v>42004</v>
      </c>
      <c r="AA84" s="37"/>
      <c r="AB84" s="37"/>
      <c r="AC84" s="48"/>
      <c r="AD84" s="47"/>
      <c r="AE84" s="63"/>
      <c r="AF84" s="37"/>
      <c r="AG84" s="48"/>
      <c r="AH84" s="33">
        <f t="shared" si="0"/>
        <v>0</v>
      </c>
      <c r="AI84" s="71" t="s">
        <v>234</v>
      </c>
      <c r="AJ84" s="77">
        <v>11098</v>
      </c>
      <c r="AK84" s="37" t="s">
        <v>277</v>
      </c>
      <c r="AL84" s="46">
        <v>11096</v>
      </c>
      <c r="AM84" s="50"/>
      <c r="AN84" s="50"/>
      <c r="AO84" s="50"/>
      <c r="AP84" s="50"/>
      <c r="AQ84" s="50"/>
      <c r="AR84" s="51"/>
      <c r="AS84" s="52"/>
      <c r="AT84" s="50"/>
      <c r="AU84" s="50"/>
      <c r="AV84" s="50"/>
      <c r="AW84" s="50"/>
      <c r="AX84" s="50"/>
      <c r="AY84" s="50"/>
      <c r="AZ84" s="50"/>
      <c r="BA84" s="51"/>
      <c r="BB84" s="52"/>
      <c r="BC84" s="50"/>
      <c r="BD84" s="53"/>
    </row>
    <row r="85" spans="1:56" ht="25.5" x14ac:dyDescent="0.25">
      <c r="A85" s="86">
        <v>17</v>
      </c>
      <c r="B85" s="44" t="s">
        <v>280</v>
      </c>
      <c r="C85" s="37" t="s">
        <v>281</v>
      </c>
      <c r="D85" s="54" t="s">
        <v>221</v>
      </c>
      <c r="E85" s="37" t="s">
        <v>153</v>
      </c>
      <c r="F85" s="37" t="s">
        <v>282</v>
      </c>
      <c r="G85" s="91"/>
      <c r="H85" s="73" t="s">
        <v>283</v>
      </c>
      <c r="I85" s="37" t="s">
        <v>284</v>
      </c>
      <c r="J85" s="37" t="s">
        <v>285</v>
      </c>
      <c r="K85" s="45">
        <v>41641</v>
      </c>
      <c r="L85" s="48">
        <v>105679</v>
      </c>
      <c r="M85" s="46">
        <v>11309</v>
      </c>
      <c r="N85" s="45">
        <v>41641</v>
      </c>
      <c r="O85" s="45">
        <v>41690</v>
      </c>
      <c r="P85" s="37" t="s">
        <v>129</v>
      </c>
      <c r="Q85" s="37"/>
      <c r="R85" s="37"/>
      <c r="S85" s="37"/>
      <c r="T85" s="47" t="s">
        <v>208</v>
      </c>
      <c r="U85" s="44"/>
      <c r="V85" s="37"/>
      <c r="W85" s="37"/>
      <c r="X85" s="37"/>
      <c r="Y85" s="37"/>
      <c r="Z85" s="37"/>
      <c r="AA85" s="37"/>
      <c r="AB85" s="37"/>
      <c r="AC85" s="48"/>
      <c r="AD85" s="47"/>
      <c r="AE85" s="63">
        <f t="shared" si="1"/>
        <v>105679</v>
      </c>
      <c r="AF85" s="37"/>
      <c r="AG85" s="48">
        <v>105679</v>
      </c>
      <c r="AH85" s="33">
        <f t="shared" si="0"/>
        <v>105679</v>
      </c>
      <c r="AI85" s="71" t="s">
        <v>223</v>
      </c>
      <c r="AJ85" s="46">
        <v>11064</v>
      </c>
      <c r="AK85" s="37" t="s">
        <v>286</v>
      </c>
      <c r="AL85" s="46">
        <v>11170</v>
      </c>
      <c r="AM85" s="50"/>
      <c r="AN85" s="50"/>
      <c r="AO85" s="50"/>
      <c r="AP85" s="50"/>
      <c r="AQ85" s="50"/>
      <c r="AR85" s="51"/>
      <c r="AS85" s="52"/>
      <c r="AT85" s="50"/>
      <c r="AU85" s="50"/>
      <c r="AV85" s="50"/>
      <c r="AW85" s="50"/>
      <c r="AX85" s="50"/>
      <c r="AY85" s="50"/>
      <c r="AZ85" s="50"/>
      <c r="BA85" s="51"/>
      <c r="BB85" s="52"/>
      <c r="BC85" s="50"/>
      <c r="BD85" s="53"/>
    </row>
    <row r="86" spans="1:56" ht="38.25" x14ac:dyDescent="0.25">
      <c r="A86" s="86">
        <v>18</v>
      </c>
      <c r="B86" s="44" t="s">
        <v>287</v>
      </c>
      <c r="C86" s="37" t="s">
        <v>288</v>
      </c>
      <c r="D86" s="37" t="s">
        <v>221</v>
      </c>
      <c r="E86" s="37" t="s">
        <v>168</v>
      </c>
      <c r="F86" s="37" t="s">
        <v>289</v>
      </c>
      <c r="G86" s="87">
        <v>11145</v>
      </c>
      <c r="H86" s="73" t="s">
        <v>290</v>
      </c>
      <c r="I86" s="37" t="s">
        <v>291</v>
      </c>
      <c r="J86" s="37" t="s">
        <v>292</v>
      </c>
      <c r="K86" s="45">
        <v>41670</v>
      </c>
      <c r="L86" s="48">
        <v>48358.32</v>
      </c>
      <c r="M86" s="46" t="s">
        <v>293</v>
      </c>
      <c r="N86" s="45">
        <v>41670</v>
      </c>
      <c r="O86" s="45">
        <v>41698</v>
      </c>
      <c r="P86" s="37" t="s">
        <v>129</v>
      </c>
      <c r="Q86" s="37"/>
      <c r="R86" s="37"/>
      <c r="S86" s="37"/>
      <c r="T86" s="47" t="s">
        <v>208</v>
      </c>
      <c r="U86" s="44"/>
      <c r="V86" s="37"/>
      <c r="W86" s="37"/>
      <c r="X86" s="37"/>
      <c r="Y86" s="37"/>
      <c r="Z86" s="37"/>
      <c r="AA86" s="37"/>
      <c r="AB86" s="37"/>
      <c r="AC86" s="48"/>
      <c r="AD86" s="47"/>
      <c r="AE86" s="63">
        <f t="shared" si="1"/>
        <v>48358.32</v>
      </c>
      <c r="AF86" s="37"/>
      <c r="AG86" s="48">
        <v>48358.32</v>
      </c>
      <c r="AH86" s="33">
        <f t="shared" si="0"/>
        <v>48358.32</v>
      </c>
      <c r="AI86" s="71" t="s">
        <v>294</v>
      </c>
      <c r="AJ86" s="46">
        <v>11167</v>
      </c>
      <c r="AK86" s="37" t="s">
        <v>295</v>
      </c>
      <c r="AL86" s="46">
        <v>11355</v>
      </c>
      <c r="AM86" s="50"/>
      <c r="AN86" s="50"/>
      <c r="AO86" s="50"/>
      <c r="AP86" s="50"/>
      <c r="AQ86" s="50"/>
      <c r="AR86" s="51"/>
      <c r="AS86" s="52"/>
      <c r="AT86" s="50"/>
      <c r="AU86" s="50"/>
      <c r="AV86" s="50"/>
      <c r="AW86" s="50"/>
      <c r="AX86" s="50"/>
      <c r="AY86" s="50"/>
      <c r="AZ86" s="50"/>
      <c r="BA86" s="51"/>
      <c r="BB86" s="52"/>
      <c r="BC86" s="50"/>
      <c r="BD86" s="53"/>
    </row>
    <row r="87" spans="1:56" ht="25.5" x14ac:dyDescent="0.25">
      <c r="A87" s="86">
        <v>19</v>
      </c>
      <c r="B87" s="44" t="s">
        <v>280</v>
      </c>
      <c r="C87" s="37" t="s">
        <v>281</v>
      </c>
      <c r="D87" s="54" t="s">
        <v>221</v>
      </c>
      <c r="E87" s="37" t="s">
        <v>153</v>
      </c>
      <c r="F87" s="37" t="s">
        <v>282</v>
      </c>
      <c r="G87" s="91"/>
      <c r="H87" s="73" t="s">
        <v>296</v>
      </c>
      <c r="I87" s="37" t="s">
        <v>284</v>
      </c>
      <c r="J87" s="37" t="s">
        <v>285</v>
      </c>
      <c r="K87" s="45">
        <v>41671</v>
      </c>
      <c r="L87" s="48">
        <v>93125</v>
      </c>
      <c r="M87" s="46">
        <v>11316</v>
      </c>
      <c r="N87" s="45">
        <v>41671</v>
      </c>
      <c r="O87" s="45">
        <v>41680</v>
      </c>
      <c r="P87" s="37" t="s">
        <v>129</v>
      </c>
      <c r="Q87" s="37"/>
      <c r="R87" s="37"/>
      <c r="S87" s="37"/>
      <c r="T87" s="47" t="s">
        <v>208</v>
      </c>
      <c r="U87" s="44"/>
      <c r="V87" s="37"/>
      <c r="W87" s="37"/>
      <c r="X87" s="37"/>
      <c r="Y87" s="37"/>
      <c r="Z87" s="37"/>
      <c r="AA87" s="37"/>
      <c r="AB87" s="37"/>
      <c r="AC87" s="48"/>
      <c r="AD87" s="47"/>
      <c r="AE87" s="63">
        <f>L87-AD87+AC87</f>
        <v>93125</v>
      </c>
      <c r="AF87" s="37"/>
      <c r="AG87" s="48">
        <v>93125</v>
      </c>
      <c r="AH87" s="33">
        <f t="shared" si="0"/>
        <v>93125</v>
      </c>
      <c r="AI87" s="71" t="s">
        <v>223</v>
      </c>
      <c r="AJ87" s="46">
        <v>11064</v>
      </c>
      <c r="AK87" s="37" t="s">
        <v>286</v>
      </c>
      <c r="AL87" s="46">
        <v>11170</v>
      </c>
      <c r="AM87" s="50"/>
      <c r="AN87" s="50"/>
      <c r="AO87" s="50"/>
      <c r="AP87" s="50"/>
      <c r="AQ87" s="50"/>
      <c r="AR87" s="51"/>
      <c r="AS87" s="52"/>
      <c r="AT87" s="50"/>
      <c r="AU87" s="50"/>
      <c r="AV87" s="50"/>
      <c r="AW87" s="50"/>
      <c r="AX87" s="50"/>
      <c r="AY87" s="50"/>
      <c r="AZ87" s="50"/>
      <c r="BA87" s="51"/>
      <c r="BB87" s="52"/>
      <c r="BC87" s="50"/>
      <c r="BD87" s="53"/>
    </row>
    <row r="88" spans="1:56" s="85" customFormat="1" ht="25.5" x14ac:dyDescent="0.25">
      <c r="A88" s="92">
        <v>20</v>
      </c>
      <c r="B88" s="93">
        <v>0</v>
      </c>
      <c r="C88" s="94">
        <v>0</v>
      </c>
      <c r="D88" s="94">
        <v>0</v>
      </c>
      <c r="E88" s="94"/>
      <c r="F88" s="95" t="s">
        <v>297</v>
      </c>
      <c r="G88" s="96"/>
      <c r="H88" s="97" t="s">
        <v>298</v>
      </c>
      <c r="I88" s="59" t="s">
        <v>299</v>
      </c>
      <c r="J88" s="59" t="s">
        <v>300</v>
      </c>
      <c r="K88" s="57">
        <v>41673</v>
      </c>
      <c r="L88" s="78">
        <v>3480</v>
      </c>
      <c r="M88" s="77">
        <v>11323</v>
      </c>
      <c r="N88" s="58" t="s">
        <v>241</v>
      </c>
      <c r="O88" s="58" t="s">
        <v>259</v>
      </c>
      <c r="P88" s="59" t="s">
        <v>129</v>
      </c>
      <c r="Q88" s="59"/>
      <c r="R88" s="59"/>
      <c r="S88" s="59"/>
      <c r="T88" s="55" t="s">
        <v>158</v>
      </c>
      <c r="U88" s="56"/>
      <c r="V88" s="59"/>
      <c r="W88" s="59"/>
      <c r="X88" s="59"/>
      <c r="Y88" s="59"/>
      <c r="Z88" s="59"/>
      <c r="AA88" s="59"/>
      <c r="AB88" s="59"/>
      <c r="AC88" s="78"/>
      <c r="AD88" s="55"/>
      <c r="AE88" s="79">
        <f t="shared" si="1"/>
        <v>3480</v>
      </c>
      <c r="AF88" s="59"/>
      <c r="AG88" s="78">
        <v>3480</v>
      </c>
      <c r="AH88" s="33">
        <f t="shared" si="0"/>
        <v>3480</v>
      </c>
      <c r="AI88" s="80"/>
      <c r="AJ88" s="59"/>
      <c r="AK88" s="59"/>
      <c r="AL88" s="77"/>
      <c r="AM88" s="59" t="s">
        <v>301</v>
      </c>
      <c r="AN88" s="81"/>
      <c r="AO88" s="81"/>
      <c r="AP88" s="81"/>
      <c r="AQ88" s="81"/>
      <c r="AR88" s="82"/>
      <c r="AS88" s="83"/>
      <c r="AT88" s="81"/>
      <c r="AU88" s="81"/>
      <c r="AV88" s="81"/>
      <c r="AW88" s="81"/>
      <c r="AX88" s="81"/>
      <c r="AY88" s="81"/>
      <c r="AZ88" s="81"/>
      <c r="BA88" s="82"/>
      <c r="BB88" s="83"/>
      <c r="BC88" s="81"/>
      <c r="BD88" s="84"/>
    </row>
    <row r="89" spans="1:56" ht="25.5" x14ac:dyDescent="0.25">
      <c r="A89" s="86">
        <v>21</v>
      </c>
      <c r="B89" s="44" t="s">
        <v>280</v>
      </c>
      <c r="C89" s="37" t="s">
        <v>281</v>
      </c>
      <c r="D89" s="54" t="s">
        <v>221</v>
      </c>
      <c r="E89" s="37" t="s">
        <v>153</v>
      </c>
      <c r="F89" s="37" t="s">
        <v>282</v>
      </c>
      <c r="G89" s="91"/>
      <c r="H89" s="73" t="s">
        <v>302</v>
      </c>
      <c r="I89" s="37" t="s">
        <v>284</v>
      </c>
      <c r="J89" s="37" t="s">
        <v>285</v>
      </c>
      <c r="K89" s="45">
        <v>41694</v>
      </c>
      <c r="L89" s="48">
        <v>97730</v>
      </c>
      <c r="M89" s="46">
        <v>11310</v>
      </c>
      <c r="N89" s="45">
        <v>41694</v>
      </c>
      <c r="O89" s="45">
        <v>41722</v>
      </c>
      <c r="P89" s="37" t="s">
        <v>129</v>
      </c>
      <c r="Q89" s="37"/>
      <c r="R89" s="37"/>
      <c r="S89" s="37"/>
      <c r="T89" s="47" t="s">
        <v>208</v>
      </c>
      <c r="U89" s="44"/>
      <c r="V89" s="37"/>
      <c r="W89" s="37"/>
      <c r="X89" s="37"/>
      <c r="Y89" s="37"/>
      <c r="Z89" s="37"/>
      <c r="AA89" s="37"/>
      <c r="AB89" s="37"/>
      <c r="AC89" s="48"/>
      <c r="AD89" s="47"/>
      <c r="AE89" s="63">
        <f>L89-AD89+AC89</f>
        <v>97730</v>
      </c>
      <c r="AF89" s="37"/>
      <c r="AG89" s="48">
        <v>97730</v>
      </c>
      <c r="AH89" s="33">
        <f t="shared" si="0"/>
        <v>97730</v>
      </c>
      <c r="AI89" s="71" t="s">
        <v>223</v>
      </c>
      <c r="AJ89" s="46">
        <v>11064</v>
      </c>
      <c r="AK89" s="37" t="s">
        <v>286</v>
      </c>
      <c r="AL89" s="46">
        <v>11170</v>
      </c>
      <c r="AM89" s="50"/>
      <c r="AN89" s="50"/>
      <c r="AO89" s="50"/>
      <c r="AP89" s="50"/>
      <c r="AQ89" s="50"/>
      <c r="AR89" s="51"/>
      <c r="AS89" s="52"/>
      <c r="AT89" s="50"/>
      <c r="AU89" s="50"/>
      <c r="AV89" s="50"/>
      <c r="AW89" s="50"/>
      <c r="AX89" s="50"/>
      <c r="AY89" s="50"/>
      <c r="AZ89" s="50"/>
      <c r="BA89" s="51"/>
      <c r="BB89" s="52"/>
      <c r="BC89" s="50"/>
      <c r="BD89" s="53"/>
    </row>
    <row r="90" spans="1:56" ht="38.25" x14ac:dyDescent="0.25">
      <c r="A90" s="88">
        <v>22</v>
      </c>
      <c r="B90" s="44" t="s">
        <v>303</v>
      </c>
      <c r="C90" s="37" t="s">
        <v>304</v>
      </c>
      <c r="D90" s="54" t="s">
        <v>221</v>
      </c>
      <c r="E90" s="37" t="s">
        <v>153</v>
      </c>
      <c r="F90" s="37" t="s">
        <v>305</v>
      </c>
      <c r="G90" s="87">
        <v>11193</v>
      </c>
      <c r="H90" s="73" t="s">
        <v>306</v>
      </c>
      <c r="I90" s="37" t="s">
        <v>284</v>
      </c>
      <c r="J90" s="37" t="s">
        <v>285</v>
      </c>
      <c r="K90" s="45">
        <v>41716</v>
      </c>
      <c r="L90" s="48">
        <v>699900</v>
      </c>
      <c r="M90" s="46">
        <v>11277</v>
      </c>
      <c r="N90" s="45">
        <v>41716</v>
      </c>
      <c r="O90" s="45">
        <v>42080</v>
      </c>
      <c r="P90" s="37" t="s">
        <v>129</v>
      </c>
      <c r="Q90" s="37"/>
      <c r="R90" s="37"/>
      <c r="S90" s="37"/>
      <c r="T90" s="47" t="s">
        <v>208</v>
      </c>
      <c r="U90" s="44"/>
      <c r="V90" s="37"/>
      <c r="W90" s="37"/>
      <c r="X90" s="37"/>
      <c r="Y90" s="37"/>
      <c r="Z90" s="37"/>
      <c r="AA90" s="37"/>
      <c r="AB90" s="37"/>
      <c r="AC90" s="48"/>
      <c r="AD90" s="47"/>
      <c r="AE90" s="63">
        <f t="shared" si="1"/>
        <v>699900</v>
      </c>
      <c r="AF90" s="37"/>
      <c r="AG90" s="48">
        <v>509738</v>
      </c>
      <c r="AH90" s="33">
        <f t="shared" si="0"/>
        <v>509738</v>
      </c>
      <c r="AI90" s="80" t="s">
        <v>263</v>
      </c>
      <c r="AJ90" s="46">
        <v>11064</v>
      </c>
      <c r="AK90" s="37" t="s">
        <v>286</v>
      </c>
      <c r="AL90" s="54" t="s">
        <v>307</v>
      </c>
      <c r="AM90" s="50"/>
      <c r="AN90" s="50"/>
      <c r="AO90" s="50"/>
      <c r="AP90" s="50"/>
      <c r="AQ90" s="50"/>
      <c r="AR90" s="51"/>
      <c r="AS90" s="52"/>
      <c r="AT90" s="50"/>
      <c r="AU90" s="50"/>
      <c r="AV90" s="50"/>
      <c r="AW90" s="50"/>
      <c r="AX90" s="50"/>
      <c r="AY90" s="50"/>
      <c r="AZ90" s="50"/>
      <c r="BA90" s="51"/>
      <c r="BB90" s="52"/>
      <c r="BC90" s="50"/>
      <c r="BD90" s="53"/>
    </row>
    <row r="91" spans="1:56" ht="38.25" x14ac:dyDescent="0.25">
      <c r="A91" s="86">
        <v>23</v>
      </c>
      <c r="B91" s="44" t="s">
        <v>271</v>
      </c>
      <c r="C91" s="37" t="s">
        <v>272</v>
      </c>
      <c r="D91" s="54" t="s">
        <v>221</v>
      </c>
      <c r="E91" s="37" t="s">
        <v>153</v>
      </c>
      <c r="F91" s="37" t="s">
        <v>273</v>
      </c>
      <c r="G91" s="87">
        <v>11051</v>
      </c>
      <c r="H91" s="73" t="s">
        <v>308</v>
      </c>
      <c r="I91" s="50" t="s">
        <v>275</v>
      </c>
      <c r="J91" s="37" t="s">
        <v>276</v>
      </c>
      <c r="K91" s="45">
        <v>41671</v>
      </c>
      <c r="L91" s="48">
        <v>27000</v>
      </c>
      <c r="M91" s="46">
        <v>111277</v>
      </c>
      <c r="N91" s="45">
        <v>41671</v>
      </c>
      <c r="O91" s="45">
        <v>41729</v>
      </c>
      <c r="P91" s="37" t="s">
        <v>129</v>
      </c>
      <c r="Q91" s="37"/>
      <c r="R91" s="37"/>
      <c r="S91" s="37"/>
      <c r="T91" s="47" t="s">
        <v>208</v>
      </c>
      <c r="U91" s="44"/>
      <c r="V91" s="37"/>
      <c r="W91" s="37"/>
      <c r="X91" s="37"/>
      <c r="Y91" s="37"/>
      <c r="Z91" s="37"/>
      <c r="AA91" s="37"/>
      <c r="AB91" s="37"/>
      <c r="AC91" s="48"/>
      <c r="AD91" s="47"/>
      <c r="AE91" s="63">
        <f t="shared" si="1"/>
        <v>27000</v>
      </c>
      <c r="AF91" s="37"/>
      <c r="AG91" s="48">
        <v>27000</v>
      </c>
      <c r="AH91" s="33">
        <f t="shared" si="0"/>
        <v>27000</v>
      </c>
      <c r="AI91" s="71" t="s">
        <v>234</v>
      </c>
      <c r="AJ91" s="77">
        <v>11098</v>
      </c>
      <c r="AK91" s="37" t="s">
        <v>277</v>
      </c>
      <c r="AL91" s="46">
        <v>11096</v>
      </c>
      <c r="AM91" s="50"/>
      <c r="AN91" s="50"/>
      <c r="AO91" s="50"/>
      <c r="AP91" s="50"/>
      <c r="AQ91" s="50"/>
      <c r="AR91" s="51"/>
      <c r="AS91" s="52"/>
      <c r="AT91" s="50"/>
      <c r="AU91" s="50"/>
      <c r="AV91" s="50"/>
      <c r="AW91" s="50"/>
      <c r="AX91" s="50"/>
      <c r="AY91" s="50"/>
      <c r="AZ91" s="50"/>
      <c r="BA91" s="51"/>
      <c r="BB91" s="52"/>
      <c r="BC91" s="50"/>
      <c r="BD91" s="53"/>
    </row>
    <row r="92" spans="1:56" ht="25.5" x14ac:dyDescent="0.25">
      <c r="A92" s="86">
        <v>24</v>
      </c>
      <c r="B92" s="44" t="s">
        <v>309</v>
      </c>
      <c r="C92" s="37" t="s">
        <v>310</v>
      </c>
      <c r="D92" s="37" t="s">
        <v>221</v>
      </c>
      <c r="E92" s="37" t="s">
        <v>311</v>
      </c>
      <c r="F92" s="37" t="s">
        <v>312</v>
      </c>
      <c r="G92" s="87">
        <v>11082</v>
      </c>
      <c r="H92" s="73" t="s">
        <v>313</v>
      </c>
      <c r="I92" s="37" t="s">
        <v>314</v>
      </c>
      <c r="J92" s="37" t="s">
        <v>315</v>
      </c>
      <c r="K92" s="45">
        <v>41726</v>
      </c>
      <c r="L92" s="48">
        <v>70775.88</v>
      </c>
      <c r="M92" s="46">
        <v>11277</v>
      </c>
      <c r="N92" s="45">
        <v>41726</v>
      </c>
      <c r="O92" s="45">
        <v>42004</v>
      </c>
      <c r="P92" s="37" t="s">
        <v>129</v>
      </c>
      <c r="Q92" s="37"/>
      <c r="R92" s="37"/>
      <c r="S92" s="37"/>
      <c r="T92" s="47" t="s">
        <v>316</v>
      </c>
      <c r="U92" s="44"/>
      <c r="V92" s="37"/>
      <c r="W92" s="37"/>
      <c r="X92" s="37"/>
      <c r="Y92" s="37"/>
      <c r="Z92" s="37"/>
      <c r="AA92" s="37"/>
      <c r="AB92" s="37"/>
      <c r="AC92" s="48"/>
      <c r="AD92" s="47"/>
      <c r="AE92" s="63">
        <f t="shared" si="1"/>
        <v>70775.88</v>
      </c>
      <c r="AF92" s="37"/>
      <c r="AG92" s="43">
        <v>53286.82</v>
      </c>
      <c r="AH92" s="33">
        <f t="shared" si="0"/>
        <v>53286.82</v>
      </c>
      <c r="AI92" s="71" t="s">
        <v>317</v>
      </c>
      <c r="AJ92" s="46">
        <v>11106</v>
      </c>
      <c r="AK92" s="37" t="s">
        <v>318</v>
      </c>
      <c r="AL92" s="46">
        <v>11277</v>
      </c>
      <c r="AM92" s="50"/>
      <c r="AN92" s="50"/>
      <c r="AO92" s="50"/>
      <c r="AP92" s="50"/>
      <c r="AQ92" s="50"/>
      <c r="AR92" s="51"/>
      <c r="AS92" s="52"/>
      <c r="AT92" s="50"/>
      <c r="AU92" s="50"/>
      <c r="AV92" s="50"/>
      <c r="AW92" s="50"/>
      <c r="AX92" s="50"/>
      <c r="AY92" s="50"/>
      <c r="AZ92" s="50"/>
      <c r="BA92" s="51"/>
      <c r="BB92" s="52"/>
      <c r="BC92" s="50"/>
      <c r="BD92" s="53"/>
    </row>
    <row r="93" spans="1:56" ht="25.5" x14ac:dyDescent="0.25">
      <c r="A93" s="86">
        <v>25</v>
      </c>
      <c r="B93" s="44" t="s">
        <v>280</v>
      </c>
      <c r="C93" s="37" t="s">
        <v>281</v>
      </c>
      <c r="D93" s="54" t="s">
        <v>221</v>
      </c>
      <c r="E93" s="37" t="s">
        <v>153</v>
      </c>
      <c r="F93" s="37" t="s">
        <v>282</v>
      </c>
      <c r="G93" s="91"/>
      <c r="H93" s="73" t="s">
        <v>319</v>
      </c>
      <c r="I93" s="37" t="s">
        <v>284</v>
      </c>
      <c r="J93" s="37" t="s">
        <v>285</v>
      </c>
      <c r="K93" s="45">
        <v>41718</v>
      </c>
      <c r="L93" s="48">
        <v>83132.5</v>
      </c>
      <c r="M93" s="46">
        <v>11311</v>
      </c>
      <c r="N93" s="45">
        <v>41718</v>
      </c>
      <c r="O93" s="45">
        <v>41729</v>
      </c>
      <c r="P93" s="37" t="s">
        <v>129</v>
      </c>
      <c r="Q93" s="37"/>
      <c r="R93" s="37"/>
      <c r="S93" s="37"/>
      <c r="T93" s="47" t="s">
        <v>208</v>
      </c>
      <c r="U93" s="44"/>
      <c r="V93" s="37"/>
      <c r="W93" s="37"/>
      <c r="X93" s="37"/>
      <c r="Y93" s="37"/>
      <c r="Z93" s="37"/>
      <c r="AA93" s="37"/>
      <c r="AB93" s="37"/>
      <c r="AC93" s="48"/>
      <c r="AD93" s="47"/>
      <c r="AE93" s="63">
        <f>L93-AD93+AC93</f>
        <v>83132.5</v>
      </c>
      <c r="AF93" s="37"/>
      <c r="AG93" s="48">
        <v>83132.5</v>
      </c>
      <c r="AH93" s="33">
        <f t="shared" si="0"/>
        <v>83132.5</v>
      </c>
      <c r="AI93" s="71" t="s">
        <v>223</v>
      </c>
      <c r="AJ93" s="46">
        <v>11064</v>
      </c>
      <c r="AK93" s="37" t="s">
        <v>286</v>
      </c>
      <c r="AL93" s="46">
        <v>11170</v>
      </c>
      <c r="AM93" s="50"/>
      <c r="AN93" s="50"/>
      <c r="AO93" s="50"/>
      <c r="AP93" s="50"/>
      <c r="AQ93" s="50"/>
      <c r="AR93" s="51"/>
      <c r="AS93" s="52"/>
      <c r="AT93" s="50"/>
      <c r="AU93" s="50"/>
      <c r="AV93" s="50"/>
      <c r="AW93" s="50"/>
      <c r="AX93" s="50"/>
      <c r="AY93" s="50"/>
      <c r="AZ93" s="50"/>
      <c r="BA93" s="51"/>
      <c r="BB93" s="52"/>
      <c r="BC93" s="50"/>
      <c r="BD93" s="53"/>
    </row>
    <row r="94" spans="1:56" ht="25.5" x14ac:dyDescent="0.25">
      <c r="A94" s="86">
        <v>26</v>
      </c>
      <c r="B94" s="44" t="s">
        <v>320</v>
      </c>
      <c r="C94" s="37" t="s">
        <v>321</v>
      </c>
      <c r="D94" s="37" t="s">
        <v>221</v>
      </c>
      <c r="E94" s="37" t="s">
        <v>311</v>
      </c>
      <c r="F94" s="37" t="s">
        <v>322</v>
      </c>
      <c r="G94" s="87">
        <v>11155</v>
      </c>
      <c r="H94" s="73" t="s">
        <v>323</v>
      </c>
      <c r="I94" s="37" t="s">
        <v>314</v>
      </c>
      <c r="J94" s="37" t="s">
        <v>315</v>
      </c>
      <c r="K94" s="45">
        <v>41730</v>
      </c>
      <c r="L94" s="48">
        <v>453025</v>
      </c>
      <c r="M94" s="46">
        <v>11282</v>
      </c>
      <c r="N94" s="45">
        <v>41730</v>
      </c>
      <c r="O94" s="45">
        <v>42004</v>
      </c>
      <c r="P94" s="37" t="s">
        <v>129</v>
      </c>
      <c r="Q94" s="37"/>
      <c r="R94" s="37"/>
      <c r="S94" s="37"/>
      <c r="T94" s="47" t="s">
        <v>316</v>
      </c>
      <c r="U94" s="44"/>
      <c r="V94" s="37"/>
      <c r="W94" s="37"/>
      <c r="X94" s="37"/>
      <c r="Y94" s="37"/>
      <c r="Z94" s="37"/>
      <c r="AA94" s="37"/>
      <c r="AB94" s="37"/>
      <c r="AC94" s="48"/>
      <c r="AD94" s="47"/>
      <c r="AE94" s="63">
        <f t="shared" si="1"/>
        <v>453025</v>
      </c>
      <c r="AF94" s="37"/>
      <c r="AG94" s="48">
        <v>154710</v>
      </c>
      <c r="AH94" s="33">
        <f t="shared" si="0"/>
        <v>154710</v>
      </c>
      <c r="AI94" s="71" t="s">
        <v>321</v>
      </c>
      <c r="AJ94" s="46">
        <v>11155</v>
      </c>
      <c r="AK94" s="37" t="s">
        <v>324</v>
      </c>
      <c r="AL94" s="46">
        <v>11282</v>
      </c>
      <c r="AM94" s="50"/>
      <c r="AN94" s="50"/>
      <c r="AO94" s="50"/>
      <c r="AP94" s="50"/>
      <c r="AQ94" s="50"/>
      <c r="AR94" s="51"/>
      <c r="AS94" s="52"/>
      <c r="AT94" s="50"/>
      <c r="AU94" s="50"/>
      <c r="AV94" s="50"/>
      <c r="AW94" s="50"/>
      <c r="AX94" s="50"/>
      <c r="AY94" s="50"/>
      <c r="AZ94" s="50"/>
      <c r="BA94" s="51"/>
      <c r="BB94" s="52"/>
      <c r="BC94" s="50"/>
      <c r="BD94" s="53"/>
    </row>
    <row r="95" spans="1:56" s="85" customFormat="1" ht="25.5" x14ac:dyDescent="0.25">
      <c r="A95" s="92">
        <v>27</v>
      </c>
      <c r="B95" s="56" t="s">
        <v>325</v>
      </c>
      <c r="C95" s="59" t="s">
        <v>326</v>
      </c>
      <c r="D95" s="59" t="s">
        <v>221</v>
      </c>
      <c r="E95" s="59" t="s">
        <v>311</v>
      </c>
      <c r="F95" s="59" t="s">
        <v>327</v>
      </c>
      <c r="G95" s="98">
        <v>11151</v>
      </c>
      <c r="H95" s="97" t="s">
        <v>328</v>
      </c>
      <c r="I95" s="59" t="s">
        <v>329</v>
      </c>
      <c r="J95" s="59" t="s">
        <v>330</v>
      </c>
      <c r="K95" s="57">
        <v>41732</v>
      </c>
      <c r="L95" s="78">
        <v>36802.6</v>
      </c>
      <c r="M95" s="77">
        <v>11282</v>
      </c>
      <c r="N95" s="57">
        <v>41730</v>
      </c>
      <c r="O95" s="57">
        <v>42004</v>
      </c>
      <c r="P95" s="59" t="s">
        <v>129</v>
      </c>
      <c r="Q95" s="59"/>
      <c r="R95" s="59"/>
      <c r="S95" s="59"/>
      <c r="T95" s="55" t="s">
        <v>316</v>
      </c>
      <c r="U95" s="56"/>
      <c r="V95" s="59"/>
      <c r="W95" s="59"/>
      <c r="X95" s="59"/>
      <c r="Y95" s="59"/>
      <c r="Z95" s="59"/>
      <c r="AA95" s="59"/>
      <c r="AB95" s="59"/>
      <c r="AC95" s="78"/>
      <c r="AD95" s="55"/>
      <c r="AE95" s="79">
        <f t="shared" si="1"/>
        <v>36802.6</v>
      </c>
      <c r="AF95" s="59"/>
      <c r="AG95" s="78">
        <v>20043.189999999999</v>
      </c>
      <c r="AH95" s="33">
        <f t="shared" si="0"/>
        <v>20043.189999999999</v>
      </c>
      <c r="AI95" s="80" t="s">
        <v>331</v>
      </c>
      <c r="AJ95" s="59"/>
      <c r="AK95" s="59" t="s">
        <v>332</v>
      </c>
      <c r="AL95" s="77">
        <v>11282</v>
      </c>
      <c r="AM95" s="81"/>
      <c r="AN95" s="81"/>
      <c r="AO95" s="81"/>
      <c r="AP95" s="81"/>
      <c r="AQ95" s="81"/>
      <c r="AR95" s="82"/>
      <c r="AS95" s="83"/>
      <c r="AT95" s="81"/>
      <c r="AU95" s="81"/>
      <c r="AV95" s="81"/>
      <c r="AW95" s="81"/>
      <c r="AX95" s="81"/>
      <c r="AY95" s="81"/>
      <c r="AZ95" s="81"/>
      <c r="BA95" s="82"/>
      <c r="BB95" s="83"/>
      <c r="BC95" s="81"/>
      <c r="BD95" s="84"/>
    </row>
    <row r="96" spans="1:56" ht="25.5" x14ac:dyDescent="0.25">
      <c r="A96" s="86">
        <v>28</v>
      </c>
      <c r="B96" s="99"/>
      <c r="C96" s="76"/>
      <c r="D96" s="54" t="s">
        <v>333</v>
      </c>
      <c r="E96" s="76"/>
      <c r="F96" s="76"/>
      <c r="G96" s="91"/>
      <c r="H96" s="73" t="s">
        <v>334</v>
      </c>
      <c r="I96" s="37" t="s">
        <v>264</v>
      </c>
      <c r="J96" s="37" t="s">
        <v>265</v>
      </c>
      <c r="K96" s="45">
        <v>41752</v>
      </c>
      <c r="L96" s="48">
        <v>7950</v>
      </c>
      <c r="M96" s="46">
        <v>11381</v>
      </c>
      <c r="N96" s="45">
        <v>41752</v>
      </c>
      <c r="O96" s="45">
        <v>41782</v>
      </c>
      <c r="P96" s="37" t="s">
        <v>129</v>
      </c>
      <c r="Q96" s="37"/>
      <c r="R96" s="37"/>
      <c r="S96" s="37"/>
      <c r="T96" s="47" t="s">
        <v>335</v>
      </c>
      <c r="U96" s="44"/>
      <c r="V96" s="37"/>
      <c r="W96" s="37"/>
      <c r="X96" s="37"/>
      <c r="Y96" s="37"/>
      <c r="Z96" s="37"/>
      <c r="AA96" s="37"/>
      <c r="AB96" s="37"/>
      <c r="AC96" s="48"/>
      <c r="AD96" s="47"/>
      <c r="AE96" s="63">
        <f t="shared" si="1"/>
        <v>7950</v>
      </c>
      <c r="AF96" s="48"/>
      <c r="AG96" s="48">
        <v>6805.21</v>
      </c>
      <c r="AH96" s="33">
        <f t="shared" si="0"/>
        <v>6805.21</v>
      </c>
      <c r="AI96" s="71"/>
      <c r="AJ96" s="37"/>
      <c r="AK96" s="37"/>
      <c r="AL96" s="46"/>
      <c r="AM96" s="37" t="s">
        <v>301</v>
      </c>
      <c r="AN96" s="50"/>
      <c r="AO96" s="50"/>
      <c r="AP96" s="50"/>
      <c r="AQ96" s="50"/>
      <c r="AR96" s="51"/>
      <c r="AS96" s="52"/>
      <c r="AT96" s="50"/>
      <c r="AU96" s="50"/>
      <c r="AV96" s="50"/>
      <c r="AW96" s="50"/>
      <c r="AX96" s="50"/>
      <c r="AY96" s="50"/>
      <c r="AZ96" s="50"/>
      <c r="BA96" s="51"/>
      <c r="BB96" s="52"/>
      <c r="BC96" s="50"/>
      <c r="BD96" s="53"/>
    </row>
    <row r="97" spans="1:56" ht="51" x14ac:dyDescent="0.25">
      <c r="A97" s="86">
        <v>29</v>
      </c>
      <c r="B97" s="44" t="s">
        <v>336</v>
      </c>
      <c r="C97" s="37" t="s">
        <v>337</v>
      </c>
      <c r="D97" s="37" t="s">
        <v>221</v>
      </c>
      <c r="E97" s="37" t="s">
        <v>338</v>
      </c>
      <c r="F97" s="37" t="s">
        <v>339</v>
      </c>
      <c r="G97" s="87" t="s">
        <v>340</v>
      </c>
      <c r="H97" s="73" t="s">
        <v>341</v>
      </c>
      <c r="I97" s="37" t="s">
        <v>342</v>
      </c>
      <c r="J97" s="37" t="s">
        <v>343</v>
      </c>
      <c r="K97" s="45">
        <v>41730</v>
      </c>
      <c r="L97" s="48">
        <v>391500</v>
      </c>
      <c r="M97" s="46">
        <v>11324</v>
      </c>
      <c r="N97" s="45">
        <v>41730</v>
      </c>
      <c r="O97" s="45">
        <v>42094</v>
      </c>
      <c r="P97" s="37" t="s">
        <v>129</v>
      </c>
      <c r="Q97" s="37"/>
      <c r="R97" s="37"/>
      <c r="S97" s="37"/>
      <c r="T97" s="47" t="s">
        <v>208</v>
      </c>
      <c r="U97" s="44"/>
      <c r="V97" s="37"/>
      <c r="W97" s="37"/>
      <c r="X97" s="37"/>
      <c r="Y97" s="37"/>
      <c r="Z97" s="37"/>
      <c r="AA97" s="37"/>
      <c r="AB97" s="37"/>
      <c r="AC97" s="48"/>
      <c r="AD97" s="47"/>
      <c r="AE97" s="63">
        <f t="shared" si="1"/>
        <v>391500</v>
      </c>
      <c r="AF97" s="37"/>
      <c r="AG97" s="48">
        <v>15974.3</v>
      </c>
      <c r="AH97" s="33">
        <f t="shared" si="0"/>
        <v>15974.3</v>
      </c>
      <c r="AI97" s="71" t="s">
        <v>344</v>
      </c>
      <c r="AJ97" s="46">
        <v>11187</v>
      </c>
      <c r="AK97" s="37" t="s">
        <v>345</v>
      </c>
      <c r="AL97" s="46">
        <v>11322</v>
      </c>
      <c r="AM97" s="50"/>
      <c r="AN97" s="50"/>
      <c r="AO97" s="50"/>
      <c r="AP97" s="50"/>
      <c r="AQ97" s="50"/>
      <c r="AR97" s="51"/>
      <c r="AS97" s="52"/>
      <c r="AT97" s="50"/>
      <c r="AU97" s="50"/>
      <c r="AV97" s="50"/>
      <c r="AW97" s="50"/>
      <c r="AX97" s="50"/>
      <c r="AY97" s="50"/>
      <c r="AZ97" s="50"/>
      <c r="BA97" s="51"/>
      <c r="BB97" s="52"/>
      <c r="BC97" s="50"/>
      <c r="BD97" s="53"/>
    </row>
    <row r="98" spans="1:56" ht="36" customHeight="1" x14ac:dyDescent="0.25">
      <c r="A98" s="1980">
        <v>30</v>
      </c>
      <c r="B98" s="1977" t="s">
        <v>346</v>
      </c>
      <c r="C98" s="1967" t="s">
        <v>347</v>
      </c>
      <c r="D98" s="1967" t="s">
        <v>221</v>
      </c>
      <c r="E98" s="1967" t="s">
        <v>153</v>
      </c>
      <c r="F98" s="1967" t="s">
        <v>348</v>
      </c>
      <c r="G98" s="1979"/>
      <c r="H98" s="1975" t="s">
        <v>349</v>
      </c>
      <c r="I98" s="1967" t="s">
        <v>350</v>
      </c>
      <c r="J98" s="1967" t="s">
        <v>351</v>
      </c>
      <c r="K98" s="1973">
        <v>41761</v>
      </c>
      <c r="L98" s="1971">
        <v>37379</v>
      </c>
      <c r="M98" s="1972">
        <v>11302</v>
      </c>
      <c r="N98" s="1973">
        <v>41761</v>
      </c>
      <c r="O98" s="1973">
        <v>42124</v>
      </c>
      <c r="P98" s="1967" t="s">
        <v>129</v>
      </c>
      <c r="Q98" s="37"/>
      <c r="R98" s="37"/>
      <c r="S98" s="37"/>
      <c r="T98" s="47" t="s">
        <v>208</v>
      </c>
      <c r="U98" s="44"/>
      <c r="V98" s="37"/>
      <c r="W98" s="37"/>
      <c r="X98" s="37"/>
      <c r="Y98" s="37"/>
      <c r="Z98" s="37"/>
      <c r="AA98" s="37"/>
      <c r="AB98" s="37"/>
      <c r="AC98" s="48"/>
      <c r="AD98" s="47"/>
      <c r="AE98" s="63">
        <f t="shared" si="1"/>
        <v>37379</v>
      </c>
      <c r="AF98" s="37"/>
      <c r="AG98" s="48">
        <v>28530.1</v>
      </c>
      <c r="AH98" s="33">
        <f t="shared" si="0"/>
        <v>28530.1</v>
      </c>
      <c r="AI98" s="71" t="s">
        <v>294</v>
      </c>
      <c r="AJ98" s="46">
        <v>11064</v>
      </c>
      <c r="AK98" s="37" t="s">
        <v>352</v>
      </c>
      <c r="AL98" s="46">
        <v>11316</v>
      </c>
      <c r="AM98" s="50"/>
      <c r="AN98" s="50"/>
      <c r="AO98" s="50"/>
      <c r="AP98" s="50"/>
      <c r="AQ98" s="50"/>
      <c r="AR98" s="51"/>
      <c r="AS98" s="52"/>
      <c r="AT98" s="50"/>
      <c r="AU98" s="50"/>
      <c r="AV98" s="50"/>
      <c r="AW98" s="50"/>
      <c r="AX98" s="50"/>
      <c r="AY98" s="50"/>
      <c r="AZ98" s="50"/>
      <c r="BA98" s="51"/>
      <c r="BB98" s="52"/>
      <c r="BC98" s="50"/>
      <c r="BD98" s="53"/>
    </row>
    <row r="99" spans="1:56" ht="57.75" customHeight="1" x14ac:dyDescent="0.25">
      <c r="A99" s="1980"/>
      <c r="B99" s="1977"/>
      <c r="C99" s="1967"/>
      <c r="D99" s="1967"/>
      <c r="E99" s="1967"/>
      <c r="F99" s="1967"/>
      <c r="G99" s="1979"/>
      <c r="H99" s="1975"/>
      <c r="I99" s="1967"/>
      <c r="J99" s="1967"/>
      <c r="K99" s="1973"/>
      <c r="L99" s="1971"/>
      <c r="M99" s="1972"/>
      <c r="N99" s="1973"/>
      <c r="O99" s="1973"/>
      <c r="P99" s="1967"/>
      <c r="Q99" s="37"/>
      <c r="R99" s="37"/>
      <c r="S99" s="37"/>
      <c r="T99" s="47" t="s">
        <v>208</v>
      </c>
      <c r="U99" s="44" t="s">
        <v>353</v>
      </c>
      <c r="V99" s="45">
        <v>41913</v>
      </c>
      <c r="W99" s="46">
        <v>11451</v>
      </c>
      <c r="X99" s="37" t="s">
        <v>268</v>
      </c>
      <c r="Y99" s="37"/>
      <c r="Z99" s="37"/>
      <c r="AA99" s="62">
        <v>0.25</v>
      </c>
      <c r="AB99" s="37"/>
      <c r="AC99" s="48"/>
      <c r="AD99" s="47"/>
      <c r="AE99" s="63">
        <v>46723.75</v>
      </c>
      <c r="AF99" s="37"/>
      <c r="AG99" s="48"/>
      <c r="AH99" s="33">
        <f t="shared" si="0"/>
        <v>0</v>
      </c>
      <c r="AI99" s="71" t="s">
        <v>294</v>
      </c>
      <c r="AJ99" s="46">
        <v>11064</v>
      </c>
      <c r="AK99" s="37" t="s">
        <v>352</v>
      </c>
      <c r="AL99" s="46">
        <v>11316</v>
      </c>
      <c r="AM99" s="50"/>
      <c r="AN99" s="50"/>
      <c r="AO99" s="50"/>
      <c r="AP99" s="50"/>
      <c r="AQ99" s="50"/>
      <c r="AR99" s="51"/>
      <c r="AS99" s="52"/>
      <c r="AT99" s="50"/>
      <c r="AU99" s="50"/>
      <c r="AV99" s="50"/>
      <c r="AW99" s="50"/>
      <c r="AX99" s="50"/>
      <c r="AY99" s="50"/>
      <c r="AZ99" s="50"/>
      <c r="BA99" s="51"/>
      <c r="BB99" s="52"/>
      <c r="BC99" s="50"/>
      <c r="BD99" s="53"/>
    </row>
    <row r="100" spans="1:56" ht="38.25" x14ac:dyDescent="0.25">
      <c r="A100" s="86">
        <v>31</v>
      </c>
      <c r="B100" s="44" t="s">
        <v>271</v>
      </c>
      <c r="C100" s="37" t="s">
        <v>272</v>
      </c>
      <c r="D100" s="54" t="s">
        <v>221</v>
      </c>
      <c r="E100" s="37" t="s">
        <v>153</v>
      </c>
      <c r="F100" s="37" t="s">
        <v>273</v>
      </c>
      <c r="G100" s="87">
        <v>11051</v>
      </c>
      <c r="H100" s="73" t="s">
        <v>354</v>
      </c>
      <c r="I100" s="50" t="s">
        <v>275</v>
      </c>
      <c r="J100" s="37" t="s">
        <v>276</v>
      </c>
      <c r="K100" s="45">
        <v>41730</v>
      </c>
      <c r="L100" s="48">
        <v>13500</v>
      </c>
      <c r="M100" s="46">
        <v>11350</v>
      </c>
      <c r="N100" s="45">
        <v>41730</v>
      </c>
      <c r="O100" s="45">
        <v>41759</v>
      </c>
      <c r="P100" s="37" t="s">
        <v>129</v>
      </c>
      <c r="Q100" s="37"/>
      <c r="R100" s="37"/>
      <c r="S100" s="37"/>
      <c r="T100" s="47" t="s">
        <v>208</v>
      </c>
      <c r="U100" s="44"/>
      <c r="V100" s="37"/>
      <c r="W100" s="37"/>
      <c r="X100" s="37"/>
      <c r="Y100" s="37"/>
      <c r="Z100" s="37"/>
      <c r="AA100" s="37"/>
      <c r="AB100" s="37"/>
      <c r="AC100" s="48"/>
      <c r="AD100" s="47"/>
      <c r="AE100" s="63">
        <f>L100-AD100+AC100</f>
        <v>13500</v>
      </c>
      <c r="AF100" s="37"/>
      <c r="AG100" s="48">
        <v>13500</v>
      </c>
      <c r="AH100" s="33">
        <f t="shared" si="0"/>
        <v>13500</v>
      </c>
      <c r="AI100" s="71" t="s">
        <v>234</v>
      </c>
      <c r="AJ100" s="77">
        <v>11098</v>
      </c>
      <c r="AK100" s="37" t="s">
        <v>277</v>
      </c>
      <c r="AL100" s="46">
        <v>11096</v>
      </c>
      <c r="AM100" s="50"/>
      <c r="AN100" s="50"/>
      <c r="AO100" s="50"/>
      <c r="AP100" s="50"/>
      <c r="AQ100" s="50"/>
      <c r="AR100" s="51"/>
      <c r="AS100" s="52"/>
      <c r="AT100" s="50"/>
      <c r="AU100" s="50"/>
      <c r="AV100" s="50"/>
      <c r="AW100" s="50"/>
      <c r="AX100" s="50"/>
      <c r="AY100" s="50"/>
      <c r="AZ100" s="50"/>
      <c r="BA100" s="51"/>
      <c r="BB100" s="52"/>
      <c r="BC100" s="50"/>
      <c r="BD100" s="53"/>
    </row>
    <row r="101" spans="1:56" ht="25.5" x14ac:dyDescent="0.25">
      <c r="A101" s="86">
        <v>32</v>
      </c>
      <c r="B101" s="44" t="s">
        <v>280</v>
      </c>
      <c r="C101" s="37" t="s">
        <v>281</v>
      </c>
      <c r="D101" s="54" t="s">
        <v>221</v>
      </c>
      <c r="E101" s="37" t="s">
        <v>153</v>
      </c>
      <c r="F101" s="37" t="s">
        <v>282</v>
      </c>
      <c r="G101" s="91"/>
      <c r="H101" s="73" t="s">
        <v>355</v>
      </c>
      <c r="I101" s="37" t="s">
        <v>284</v>
      </c>
      <c r="J101" s="37" t="s">
        <v>285</v>
      </c>
      <c r="K101" s="45">
        <v>41739</v>
      </c>
      <c r="L101" s="48">
        <v>98698</v>
      </c>
      <c r="M101" s="46">
        <v>11324</v>
      </c>
      <c r="N101" s="45">
        <v>41739</v>
      </c>
      <c r="O101" s="45">
        <v>41759</v>
      </c>
      <c r="P101" s="37" t="s">
        <v>129</v>
      </c>
      <c r="Q101" s="37"/>
      <c r="R101" s="37"/>
      <c r="S101" s="37"/>
      <c r="T101" s="47" t="s">
        <v>208</v>
      </c>
      <c r="U101" s="44"/>
      <c r="V101" s="37"/>
      <c r="W101" s="37"/>
      <c r="X101" s="37"/>
      <c r="Y101" s="37"/>
      <c r="Z101" s="37"/>
      <c r="AA101" s="37"/>
      <c r="AB101" s="37"/>
      <c r="AC101" s="48"/>
      <c r="AD101" s="47"/>
      <c r="AE101" s="63">
        <f>L101-AD101+AC101</f>
        <v>98698</v>
      </c>
      <c r="AF101" s="37"/>
      <c r="AG101" s="48">
        <v>98698</v>
      </c>
      <c r="AH101" s="33">
        <f t="shared" ref="AH101:AH157" si="2">AF101+AG101</f>
        <v>98698</v>
      </c>
      <c r="AI101" s="71" t="s">
        <v>223</v>
      </c>
      <c r="AJ101" s="37"/>
      <c r="AK101" s="37" t="s">
        <v>286</v>
      </c>
      <c r="AL101" s="46">
        <v>11170</v>
      </c>
      <c r="AM101" s="50"/>
      <c r="AN101" s="50"/>
      <c r="AO101" s="50"/>
      <c r="AP101" s="50"/>
      <c r="AQ101" s="50"/>
      <c r="AR101" s="51"/>
      <c r="AS101" s="52"/>
      <c r="AT101" s="50"/>
      <c r="AU101" s="50"/>
      <c r="AV101" s="50"/>
      <c r="AW101" s="50"/>
      <c r="AX101" s="50"/>
      <c r="AY101" s="50"/>
      <c r="AZ101" s="50"/>
      <c r="BA101" s="51"/>
      <c r="BB101" s="52"/>
      <c r="BC101" s="50"/>
      <c r="BD101" s="53"/>
    </row>
    <row r="102" spans="1:56" ht="38.25" x14ac:dyDescent="0.25">
      <c r="A102" s="86">
        <v>33</v>
      </c>
      <c r="B102" s="44" t="s">
        <v>252</v>
      </c>
      <c r="C102" s="37">
        <v>605</v>
      </c>
      <c r="D102" s="54" t="s">
        <v>221</v>
      </c>
      <c r="E102" s="37" t="s">
        <v>153</v>
      </c>
      <c r="F102" s="37" t="s">
        <v>253</v>
      </c>
      <c r="G102" s="87">
        <v>11053</v>
      </c>
      <c r="H102" s="73" t="s">
        <v>356</v>
      </c>
      <c r="I102" s="37" t="s">
        <v>255</v>
      </c>
      <c r="J102" s="37" t="s">
        <v>256</v>
      </c>
      <c r="K102" s="45">
        <v>41730</v>
      </c>
      <c r="L102" s="48">
        <v>45000</v>
      </c>
      <c r="M102" s="46">
        <v>11346</v>
      </c>
      <c r="N102" s="45">
        <v>41730</v>
      </c>
      <c r="O102" s="45">
        <v>41790</v>
      </c>
      <c r="P102" s="37" t="s">
        <v>129</v>
      </c>
      <c r="Q102" s="37"/>
      <c r="R102" s="37"/>
      <c r="S102" s="37"/>
      <c r="T102" s="47" t="s">
        <v>208</v>
      </c>
      <c r="U102" s="44"/>
      <c r="V102" s="37"/>
      <c r="W102" s="37"/>
      <c r="X102" s="37"/>
      <c r="Y102" s="37"/>
      <c r="Z102" s="37"/>
      <c r="AA102" s="37"/>
      <c r="AB102" s="37"/>
      <c r="AC102" s="48"/>
      <c r="AD102" s="47"/>
      <c r="AE102" s="63">
        <f t="shared" si="1"/>
        <v>45000</v>
      </c>
      <c r="AF102" s="37"/>
      <c r="AG102" s="48">
        <v>39326.559999999998</v>
      </c>
      <c r="AH102" s="33">
        <f t="shared" si="2"/>
        <v>39326.559999999998</v>
      </c>
      <c r="AI102" s="71" t="s">
        <v>357</v>
      </c>
      <c r="AJ102" s="46">
        <v>11125</v>
      </c>
      <c r="AK102" s="37" t="s">
        <v>258</v>
      </c>
      <c r="AL102" s="46">
        <v>11165</v>
      </c>
      <c r="AM102" s="50"/>
      <c r="AN102" s="37"/>
      <c r="AO102" s="100"/>
      <c r="AP102" s="101"/>
      <c r="AQ102" s="100"/>
      <c r="AR102" s="102"/>
      <c r="AS102" s="52"/>
      <c r="AT102" s="50"/>
      <c r="AU102" s="50"/>
      <c r="AV102" s="50"/>
      <c r="AW102" s="50"/>
      <c r="AX102" s="50"/>
      <c r="AY102" s="50"/>
      <c r="AZ102" s="50"/>
      <c r="BA102" s="51"/>
      <c r="BB102" s="52"/>
      <c r="BC102" s="50"/>
      <c r="BD102" s="53"/>
    </row>
    <row r="103" spans="1:56" ht="51" x14ac:dyDescent="0.25">
      <c r="A103" s="86">
        <v>34</v>
      </c>
      <c r="B103" s="103" t="s">
        <v>358</v>
      </c>
      <c r="C103" s="37"/>
      <c r="D103" s="54" t="s">
        <v>359</v>
      </c>
      <c r="E103" s="37"/>
      <c r="F103" s="37" t="s">
        <v>360</v>
      </c>
      <c r="G103" s="87"/>
      <c r="H103" s="73" t="s">
        <v>361</v>
      </c>
      <c r="I103" s="37" t="s">
        <v>362</v>
      </c>
      <c r="J103" s="37" t="s">
        <v>363</v>
      </c>
      <c r="K103" s="45">
        <v>41761</v>
      </c>
      <c r="L103" s="48">
        <v>16200</v>
      </c>
      <c r="M103" s="46">
        <v>11301</v>
      </c>
      <c r="N103" s="45">
        <v>41761</v>
      </c>
      <c r="O103" s="45">
        <v>42125</v>
      </c>
      <c r="P103" s="37" t="s">
        <v>129</v>
      </c>
      <c r="Q103" s="37"/>
      <c r="R103" s="37"/>
      <c r="S103" s="37"/>
      <c r="T103" s="47" t="s">
        <v>208</v>
      </c>
      <c r="U103" s="44"/>
      <c r="V103" s="37"/>
      <c r="W103" s="37"/>
      <c r="X103" s="37"/>
      <c r="Y103" s="37"/>
      <c r="Z103" s="37"/>
      <c r="AA103" s="37"/>
      <c r="AB103" s="37"/>
      <c r="AC103" s="48"/>
      <c r="AD103" s="47"/>
      <c r="AE103" s="63">
        <f t="shared" si="1"/>
        <v>16200</v>
      </c>
      <c r="AF103" s="37"/>
      <c r="AG103" s="48">
        <v>16200</v>
      </c>
      <c r="AH103" s="33">
        <f t="shared" si="2"/>
        <v>16200</v>
      </c>
      <c r="AI103" s="71"/>
      <c r="AJ103" s="37"/>
      <c r="AK103" s="37"/>
      <c r="AL103" s="46"/>
      <c r="AM103" s="50" t="s">
        <v>364</v>
      </c>
      <c r="AN103" s="37" t="s">
        <v>365</v>
      </c>
      <c r="AO103" s="100">
        <v>11298</v>
      </c>
      <c r="AP103" s="101">
        <v>41767</v>
      </c>
      <c r="AQ103" s="100">
        <v>11298</v>
      </c>
      <c r="AR103" s="102">
        <v>41767</v>
      </c>
      <c r="AS103" s="52"/>
      <c r="AT103" s="50"/>
      <c r="AU103" s="50"/>
      <c r="AV103" s="50"/>
      <c r="AW103" s="50"/>
      <c r="AX103" s="50"/>
      <c r="AY103" s="50"/>
      <c r="AZ103" s="50"/>
      <c r="BA103" s="51"/>
      <c r="BB103" s="52"/>
      <c r="BC103" s="50"/>
      <c r="BD103" s="53"/>
    </row>
    <row r="104" spans="1:56" ht="51" x14ac:dyDescent="0.25">
      <c r="A104" s="86">
        <v>35</v>
      </c>
      <c r="B104" s="103" t="s">
        <v>358</v>
      </c>
      <c r="C104" s="37"/>
      <c r="D104" s="54" t="s">
        <v>359</v>
      </c>
      <c r="E104" s="37"/>
      <c r="F104" s="104" t="s">
        <v>360</v>
      </c>
      <c r="G104" s="87"/>
      <c r="H104" s="73" t="s">
        <v>366</v>
      </c>
      <c r="I104" s="37" t="s">
        <v>367</v>
      </c>
      <c r="J104" s="37" t="s">
        <v>368</v>
      </c>
      <c r="K104" s="45">
        <v>41761</v>
      </c>
      <c r="L104" s="48">
        <v>16200</v>
      </c>
      <c r="M104" s="46">
        <v>11301</v>
      </c>
      <c r="N104" s="45">
        <v>41761</v>
      </c>
      <c r="O104" s="45">
        <v>42125</v>
      </c>
      <c r="P104" s="37" t="s">
        <v>129</v>
      </c>
      <c r="Q104" s="37"/>
      <c r="R104" s="37"/>
      <c r="S104" s="37"/>
      <c r="T104" s="47" t="s">
        <v>208</v>
      </c>
      <c r="U104" s="44"/>
      <c r="V104" s="37"/>
      <c r="W104" s="37"/>
      <c r="X104" s="37"/>
      <c r="Y104" s="37"/>
      <c r="Z104" s="37"/>
      <c r="AA104" s="37"/>
      <c r="AB104" s="37"/>
      <c r="AC104" s="48"/>
      <c r="AD104" s="47"/>
      <c r="AE104" s="63">
        <f>L104-AD104+AC104</f>
        <v>16200</v>
      </c>
      <c r="AF104" s="37"/>
      <c r="AG104" s="48">
        <v>16200</v>
      </c>
      <c r="AH104" s="33">
        <f t="shared" si="2"/>
        <v>16200</v>
      </c>
      <c r="AI104" s="71"/>
      <c r="AJ104" s="37"/>
      <c r="AK104" s="37"/>
      <c r="AL104" s="46"/>
      <c r="AM104" s="50" t="s">
        <v>364</v>
      </c>
      <c r="AN104" s="37" t="s">
        <v>365</v>
      </c>
      <c r="AO104" s="100">
        <v>11298</v>
      </c>
      <c r="AP104" s="101">
        <v>41767</v>
      </c>
      <c r="AQ104" s="100">
        <v>11298</v>
      </c>
      <c r="AR104" s="102">
        <v>41767</v>
      </c>
      <c r="AS104" s="52"/>
      <c r="AT104" s="50"/>
      <c r="AU104" s="50"/>
      <c r="AV104" s="50"/>
      <c r="AW104" s="50"/>
      <c r="AX104" s="50"/>
      <c r="AY104" s="50"/>
      <c r="AZ104" s="50"/>
      <c r="BA104" s="51"/>
      <c r="BB104" s="52"/>
      <c r="BC104" s="50"/>
      <c r="BD104" s="53"/>
    </row>
    <row r="105" spans="1:56" ht="51" x14ac:dyDescent="0.25">
      <c r="A105" s="86">
        <v>36</v>
      </c>
      <c r="B105" s="103" t="s">
        <v>358</v>
      </c>
      <c r="C105" s="37"/>
      <c r="D105" s="54" t="s">
        <v>359</v>
      </c>
      <c r="E105" s="37"/>
      <c r="F105" s="104" t="s">
        <v>360</v>
      </c>
      <c r="G105" s="87"/>
      <c r="H105" s="73" t="s">
        <v>369</v>
      </c>
      <c r="I105" s="37" t="s">
        <v>370</v>
      </c>
      <c r="J105" s="37" t="s">
        <v>371</v>
      </c>
      <c r="K105" s="45">
        <v>41761</v>
      </c>
      <c r="L105" s="48">
        <v>16200</v>
      </c>
      <c r="M105" s="46">
        <v>11301</v>
      </c>
      <c r="N105" s="45">
        <v>41761</v>
      </c>
      <c r="O105" s="45">
        <v>42125</v>
      </c>
      <c r="P105" s="37" t="s">
        <v>129</v>
      </c>
      <c r="Q105" s="37"/>
      <c r="R105" s="37"/>
      <c r="S105" s="37"/>
      <c r="T105" s="47" t="s">
        <v>208</v>
      </c>
      <c r="U105" s="44"/>
      <c r="V105" s="37"/>
      <c r="W105" s="37"/>
      <c r="X105" s="37"/>
      <c r="Y105" s="37"/>
      <c r="Z105" s="37"/>
      <c r="AA105" s="37"/>
      <c r="AB105" s="37"/>
      <c r="AC105" s="48"/>
      <c r="AD105" s="47"/>
      <c r="AE105" s="63">
        <f>L105-AD105+AC105</f>
        <v>16200</v>
      </c>
      <c r="AF105" s="37"/>
      <c r="AG105" s="48">
        <v>16200</v>
      </c>
      <c r="AH105" s="33">
        <f t="shared" si="2"/>
        <v>16200</v>
      </c>
      <c r="AI105" s="71"/>
      <c r="AJ105" s="37"/>
      <c r="AK105" s="37"/>
      <c r="AL105" s="46"/>
      <c r="AM105" s="50" t="s">
        <v>364</v>
      </c>
      <c r="AN105" s="37" t="s">
        <v>365</v>
      </c>
      <c r="AO105" s="100">
        <v>11298</v>
      </c>
      <c r="AP105" s="101">
        <v>41767</v>
      </c>
      <c r="AQ105" s="100">
        <v>11298</v>
      </c>
      <c r="AR105" s="102">
        <v>41767</v>
      </c>
      <c r="AS105" s="52"/>
      <c r="AT105" s="50"/>
      <c r="AU105" s="50"/>
      <c r="AV105" s="50"/>
      <c r="AW105" s="50"/>
      <c r="AX105" s="50"/>
      <c r="AY105" s="50"/>
      <c r="AZ105" s="50"/>
      <c r="BA105" s="51"/>
      <c r="BB105" s="52"/>
      <c r="BC105" s="50"/>
      <c r="BD105" s="53"/>
    </row>
    <row r="106" spans="1:56" ht="51" x14ac:dyDescent="0.25">
      <c r="A106" s="86">
        <v>37</v>
      </c>
      <c r="B106" s="103" t="s">
        <v>358</v>
      </c>
      <c r="C106" s="37"/>
      <c r="D106" s="54" t="s">
        <v>359</v>
      </c>
      <c r="E106" s="37"/>
      <c r="F106" s="104" t="s">
        <v>360</v>
      </c>
      <c r="G106" s="87"/>
      <c r="H106" s="73" t="s">
        <v>372</v>
      </c>
      <c r="I106" s="37" t="s">
        <v>373</v>
      </c>
      <c r="J106" s="37" t="s">
        <v>374</v>
      </c>
      <c r="K106" s="45">
        <v>41761</v>
      </c>
      <c r="L106" s="48">
        <v>16200</v>
      </c>
      <c r="M106" s="46">
        <v>11301</v>
      </c>
      <c r="N106" s="45">
        <v>41761</v>
      </c>
      <c r="O106" s="45">
        <v>42125</v>
      </c>
      <c r="P106" s="37" t="s">
        <v>129</v>
      </c>
      <c r="Q106" s="37"/>
      <c r="R106" s="37"/>
      <c r="S106" s="37"/>
      <c r="T106" s="47" t="s">
        <v>208</v>
      </c>
      <c r="U106" s="44"/>
      <c r="V106" s="37"/>
      <c r="W106" s="37"/>
      <c r="X106" s="37"/>
      <c r="Y106" s="37"/>
      <c r="Z106" s="37"/>
      <c r="AA106" s="37"/>
      <c r="AB106" s="37"/>
      <c r="AC106" s="48"/>
      <c r="AD106" s="47"/>
      <c r="AE106" s="63">
        <f>L106-AD106+AC106</f>
        <v>16200</v>
      </c>
      <c r="AF106" s="37"/>
      <c r="AG106" s="48">
        <v>16200</v>
      </c>
      <c r="AH106" s="33">
        <f t="shared" si="2"/>
        <v>16200</v>
      </c>
      <c r="AI106" s="71"/>
      <c r="AJ106" s="37"/>
      <c r="AK106" s="37"/>
      <c r="AL106" s="46"/>
      <c r="AM106" s="50" t="s">
        <v>364</v>
      </c>
      <c r="AN106" s="37" t="s">
        <v>365</v>
      </c>
      <c r="AO106" s="100">
        <v>11298</v>
      </c>
      <c r="AP106" s="101">
        <v>41767</v>
      </c>
      <c r="AQ106" s="100">
        <v>11298</v>
      </c>
      <c r="AR106" s="102">
        <v>41767</v>
      </c>
      <c r="AS106" s="52"/>
      <c r="AT106" s="50"/>
      <c r="AU106" s="50"/>
      <c r="AV106" s="50"/>
      <c r="AW106" s="50"/>
      <c r="AX106" s="50"/>
      <c r="AY106" s="50"/>
      <c r="AZ106" s="50"/>
      <c r="BA106" s="51"/>
      <c r="BB106" s="52"/>
      <c r="BC106" s="50"/>
      <c r="BD106" s="53"/>
    </row>
    <row r="107" spans="1:56" ht="25.5" x14ac:dyDescent="0.25">
      <c r="A107" s="86">
        <v>38</v>
      </c>
      <c r="B107" s="44" t="s">
        <v>375</v>
      </c>
      <c r="C107" s="37" t="s">
        <v>376</v>
      </c>
      <c r="D107" s="37" t="s">
        <v>221</v>
      </c>
      <c r="E107" s="37" t="s">
        <v>168</v>
      </c>
      <c r="F107" s="37" t="s">
        <v>377</v>
      </c>
      <c r="G107" s="87">
        <v>11187</v>
      </c>
      <c r="H107" s="73" t="s">
        <v>378</v>
      </c>
      <c r="I107" s="37" t="s">
        <v>379</v>
      </c>
      <c r="J107" s="37" t="s">
        <v>380</v>
      </c>
      <c r="K107" s="45">
        <v>41785</v>
      </c>
      <c r="L107" s="48">
        <v>30800</v>
      </c>
      <c r="M107" s="46">
        <v>11347</v>
      </c>
      <c r="N107" s="45">
        <v>41785</v>
      </c>
      <c r="O107" s="45">
        <v>42149</v>
      </c>
      <c r="P107" s="37" t="s">
        <v>129</v>
      </c>
      <c r="Q107" s="37"/>
      <c r="R107" s="37"/>
      <c r="S107" s="37"/>
      <c r="T107" s="47" t="s">
        <v>208</v>
      </c>
      <c r="U107" s="44"/>
      <c r="V107" s="37"/>
      <c r="W107" s="37"/>
      <c r="X107" s="37"/>
      <c r="Y107" s="37"/>
      <c r="Z107" s="37"/>
      <c r="AA107" s="37"/>
      <c r="AB107" s="37"/>
      <c r="AC107" s="48"/>
      <c r="AD107" s="47"/>
      <c r="AE107" s="63">
        <f t="shared" si="1"/>
        <v>30800</v>
      </c>
      <c r="AF107" s="37"/>
      <c r="AG107" s="48">
        <v>30800</v>
      </c>
      <c r="AH107" s="33">
        <f t="shared" si="2"/>
        <v>30800</v>
      </c>
      <c r="AI107" s="71" t="s">
        <v>381</v>
      </c>
      <c r="AJ107" s="46">
        <v>11238</v>
      </c>
      <c r="AK107" s="37" t="s">
        <v>382</v>
      </c>
      <c r="AL107" s="46">
        <v>11322</v>
      </c>
      <c r="AM107" s="50"/>
      <c r="AN107" s="50"/>
      <c r="AO107" s="50"/>
      <c r="AP107" s="50"/>
      <c r="AQ107" s="50"/>
      <c r="AR107" s="51"/>
      <c r="AS107" s="52"/>
      <c r="AT107" s="50"/>
      <c r="AU107" s="50"/>
      <c r="AV107" s="50"/>
      <c r="AW107" s="50"/>
      <c r="AX107" s="50"/>
      <c r="AY107" s="50"/>
      <c r="AZ107" s="50"/>
      <c r="BA107" s="51"/>
      <c r="BB107" s="52"/>
      <c r="BC107" s="50"/>
      <c r="BD107" s="53"/>
    </row>
    <row r="108" spans="1:56" ht="25.5" x14ac:dyDescent="0.25">
      <c r="A108" s="86">
        <v>39</v>
      </c>
      <c r="B108" s="44">
        <v>124</v>
      </c>
      <c r="C108" s="37" t="s">
        <v>383</v>
      </c>
      <c r="D108" s="37" t="s">
        <v>221</v>
      </c>
      <c r="E108" s="37" t="s">
        <v>168</v>
      </c>
      <c r="F108" s="37" t="s">
        <v>384</v>
      </c>
      <c r="G108" s="87">
        <v>11266</v>
      </c>
      <c r="H108" s="73" t="s">
        <v>385</v>
      </c>
      <c r="I108" s="37" t="s">
        <v>386</v>
      </c>
      <c r="J108" s="37" t="s">
        <v>387</v>
      </c>
      <c r="K108" s="45">
        <v>41767</v>
      </c>
      <c r="L108" s="48">
        <v>358680</v>
      </c>
      <c r="M108" s="46">
        <v>11325</v>
      </c>
      <c r="N108" s="45">
        <v>41767</v>
      </c>
      <c r="O108" s="45">
        <v>42131</v>
      </c>
      <c r="P108" s="37" t="s">
        <v>129</v>
      </c>
      <c r="Q108" s="37"/>
      <c r="R108" s="37"/>
      <c r="S108" s="37"/>
      <c r="T108" s="47" t="s">
        <v>208</v>
      </c>
      <c r="U108" s="44"/>
      <c r="V108" s="37"/>
      <c r="W108" s="37"/>
      <c r="X108" s="37"/>
      <c r="Y108" s="37"/>
      <c r="Z108" s="37"/>
      <c r="AA108" s="37"/>
      <c r="AB108" s="37"/>
      <c r="AC108" s="48"/>
      <c r="AD108" s="47"/>
      <c r="AE108" s="63">
        <f t="shared" si="1"/>
        <v>358680</v>
      </c>
      <c r="AF108" s="37"/>
      <c r="AG108" s="48">
        <v>358680</v>
      </c>
      <c r="AH108" s="33">
        <f t="shared" si="2"/>
        <v>358680</v>
      </c>
      <c r="AI108" s="71" t="s">
        <v>388</v>
      </c>
      <c r="AJ108" s="46">
        <v>11287</v>
      </c>
      <c r="AK108" s="37" t="s">
        <v>295</v>
      </c>
      <c r="AL108" s="46">
        <v>11322</v>
      </c>
      <c r="AM108" s="50"/>
      <c r="AN108" s="50"/>
      <c r="AO108" s="50"/>
      <c r="AP108" s="50"/>
      <c r="AQ108" s="50"/>
      <c r="AR108" s="51"/>
      <c r="AS108" s="52"/>
      <c r="AT108" s="50"/>
      <c r="AU108" s="50"/>
      <c r="AV108" s="50"/>
      <c r="AW108" s="50"/>
      <c r="AX108" s="50"/>
      <c r="AY108" s="50"/>
      <c r="AZ108" s="50"/>
      <c r="BA108" s="51"/>
      <c r="BB108" s="52"/>
      <c r="BC108" s="50"/>
      <c r="BD108" s="53"/>
    </row>
    <row r="109" spans="1:56" ht="63.75" x14ac:dyDescent="0.25">
      <c r="A109" s="86">
        <v>40</v>
      </c>
      <c r="B109" s="44" t="s">
        <v>389</v>
      </c>
      <c r="C109" s="37" t="s">
        <v>390</v>
      </c>
      <c r="D109" s="37" t="s">
        <v>221</v>
      </c>
      <c r="E109" s="37" t="s">
        <v>168</v>
      </c>
      <c r="F109" s="37" t="s">
        <v>391</v>
      </c>
      <c r="G109" s="105">
        <v>11289</v>
      </c>
      <c r="H109" s="73" t="s">
        <v>392</v>
      </c>
      <c r="I109" s="37" t="s">
        <v>393</v>
      </c>
      <c r="J109" s="37" t="s">
        <v>394</v>
      </c>
      <c r="K109" s="45">
        <v>41792</v>
      </c>
      <c r="L109" s="48">
        <v>65190</v>
      </c>
      <c r="M109" s="46">
        <v>11325</v>
      </c>
      <c r="N109" s="45">
        <v>41792</v>
      </c>
      <c r="O109" s="45">
        <v>42156</v>
      </c>
      <c r="P109" s="37" t="s">
        <v>129</v>
      </c>
      <c r="Q109" s="37"/>
      <c r="R109" s="37"/>
      <c r="S109" s="37"/>
      <c r="T109" s="47" t="s">
        <v>316</v>
      </c>
      <c r="U109" s="44"/>
      <c r="V109" s="37"/>
      <c r="W109" s="37"/>
      <c r="X109" s="37"/>
      <c r="Y109" s="37"/>
      <c r="Z109" s="37"/>
      <c r="AA109" s="37"/>
      <c r="AB109" s="37"/>
      <c r="AC109" s="48"/>
      <c r="AD109" s="47"/>
      <c r="AE109" s="63">
        <f>L109-AD109+AC109</f>
        <v>65190</v>
      </c>
      <c r="AF109" s="37"/>
      <c r="AG109" s="48">
        <v>22429.3</v>
      </c>
      <c r="AH109" s="33">
        <f t="shared" si="2"/>
        <v>22429.3</v>
      </c>
      <c r="AI109" s="106"/>
      <c r="AJ109" s="107"/>
      <c r="AK109" s="107"/>
      <c r="AL109" s="107"/>
      <c r="AM109" s="107"/>
      <c r="AN109" s="107"/>
      <c r="AO109" s="107"/>
      <c r="AP109" s="107"/>
      <c r="AQ109" s="107"/>
      <c r="AR109" s="108"/>
      <c r="AS109" s="44"/>
      <c r="AT109" s="50"/>
      <c r="AU109" s="50"/>
      <c r="AV109" s="50"/>
      <c r="AW109" s="50"/>
      <c r="AX109" s="50"/>
      <c r="AY109" s="50"/>
      <c r="AZ109" s="50"/>
      <c r="BA109" s="51"/>
      <c r="BB109" s="52"/>
      <c r="BC109" s="50"/>
      <c r="BD109" s="53"/>
    </row>
    <row r="110" spans="1:56" ht="63.75" x14ac:dyDescent="0.25">
      <c r="A110" s="86">
        <v>41</v>
      </c>
      <c r="B110" s="44">
        <v>182</v>
      </c>
      <c r="C110" s="37" t="s">
        <v>395</v>
      </c>
      <c r="D110" s="37" t="s">
        <v>221</v>
      </c>
      <c r="E110" s="37" t="s">
        <v>168</v>
      </c>
      <c r="F110" s="37" t="s">
        <v>396</v>
      </c>
      <c r="G110" s="87">
        <v>11296</v>
      </c>
      <c r="H110" s="73" t="s">
        <v>397</v>
      </c>
      <c r="I110" s="50" t="s">
        <v>264</v>
      </c>
      <c r="J110" s="37" t="s">
        <v>265</v>
      </c>
      <c r="K110" s="45">
        <v>41792</v>
      </c>
      <c r="L110" s="48">
        <v>300000</v>
      </c>
      <c r="M110" s="46">
        <v>11323</v>
      </c>
      <c r="N110" s="45">
        <v>41792</v>
      </c>
      <c r="O110" s="45">
        <v>42156</v>
      </c>
      <c r="P110" s="37" t="s">
        <v>129</v>
      </c>
      <c r="Q110" s="37"/>
      <c r="R110" s="37"/>
      <c r="S110" s="37"/>
      <c r="T110" s="47" t="s">
        <v>130</v>
      </c>
      <c r="U110" s="44"/>
      <c r="V110" s="37"/>
      <c r="W110" s="37"/>
      <c r="X110" s="37"/>
      <c r="Y110" s="37"/>
      <c r="Z110" s="37"/>
      <c r="AA110" s="37"/>
      <c r="AB110" s="37"/>
      <c r="AC110" s="48"/>
      <c r="AD110" s="47"/>
      <c r="AE110" s="63">
        <f>L110-AD110+AC110</f>
        <v>300000</v>
      </c>
      <c r="AF110" s="37"/>
      <c r="AG110" s="48">
        <v>88112.57</v>
      </c>
      <c r="AH110" s="33">
        <f t="shared" si="2"/>
        <v>88112.57</v>
      </c>
      <c r="AI110" s="106"/>
      <c r="AJ110" s="107"/>
      <c r="AK110" s="107"/>
      <c r="AL110" s="107"/>
      <c r="AM110" s="107"/>
      <c r="AN110" s="107"/>
      <c r="AO110" s="107"/>
      <c r="AP110" s="107"/>
      <c r="AQ110" s="107"/>
      <c r="AR110" s="108"/>
      <c r="AS110" s="44"/>
      <c r="AT110" s="50"/>
      <c r="AU110" s="50"/>
      <c r="AV110" s="50"/>
      <c r="AW110" s="50"/>
      <c r="AX110" s="50"/>
      <c r="AY110" s="50"/>
      <c r="AZ110" s="50"/>
      <c r="BA110" s="51"/>
      <c r="BB110" s="52"/>
      <c r="BC110" s="50"/>
      <c r="BD110" s="53"/>
    </row>
    <row r="111" spans="1:56" ht="38.25" x14ac:dyDescent="0.25">
      <c r="A111" s="1976">
        <v>42</v>
      </c>
      <c r="B111" s="1977" t="s">
        <v>252</v>
      </c>
      <c r="C111" s="1967">
        <v>605</v>
      </c>
      <c r="D111" s="1978" t="s">
        <v>221</v>
      </c>
      <c r="E111" s="1967" t="s">
        <v>153</v>
      </c>
      <c r="F111" s="1967" t="s">
        <v>253</v>
      </c>
      <c r="G111" s="1974">
        <v>11053</v>
      </c>
      <c r="H111" s="1975" t="s">
        <v>398</v>
      </c>
      <c r="I111" s="1967" t="s">
        <v>255</v>
      </c>
      <c r="J111" s="1967" t="s">
        <v>256</v>
      </c>
      <c r="K111" s="1973">
        <v>41791</v>
      </c>
      <c r="L111" s="1971">
        <v>45000</v>
      </c>
      <c r="M111" s="1972">
        <v>11396</v>
      </c>
      <c r="N111" s="1973">
        <v>41791</v>
      </c>
      <c r="O111" s="1973">
        <v>41882</v>
      </c>
      <c r="P111" s="1967" t="s">
        <v>129</v>
      </c>
      <c r="Q111" s="1967"/>
      <c r="R111" s="1967"/>
      <c r="S111" s="1967"/>
      <c r="T111" s="47" t="s">
        <v>208</v>
      </c>
      <c r="U111" s="44"/>
      <c r="V111" s="37"/>
      <c r="W111" s="37"/>
      <c r="X111" s="37"/>
      <c r="Y111" s="37"/>
      <c r="Z111" s="37"/>
      <c r="AA111" s="37"/>
      <c r="AB111" s="37"/>
      <c r="AC111" s="37"/>
      <c r="AD111" s="47"/>
      <c r="AE111" s="63">
        <f>L111-AD111+AC111</f>
        <v>45000</v>
      </c>
      <c r="AF111" s="37"/>
      <c r="AG111" s="48">
        <v>37789.18</v>
      </c>
      <c r="AH111" s="33">
        <f t="shared" si="2"/>
        <v>37789.18</v>
      </c>
      <c r="AI111" s="71" t="s">
        <v>357</v>
      </c>
      <c r="AJ111" s="46">
        <v>11125</v>
      </c>
      <c r="AK111" s="37" t="s">
        <v>258</v>
      </c>
      <c r="AL111" s="46">
        <v>11165</v>
      </c>
      <c r="AM111" s="107"/>
      <c r="AN111" s="107"/>
      <c r="AO111" s="107"/>
      <c r="AP111" s="107"/>
      <c r="AQ111" s="107"/>
      <c r="AR111" s="108"/>
      <c r="AS111" s="44"/>
      <c r="AT111" s="50"/>
      <c r="AU111" s="50"/>
      <c r="AV111" s="50"/>
      <c r="AW111" s="50"/>
      <c r="AX111" s="50"/>
      <c r="AY111" s="50"/>
      <c r="AZ111" s="50"/>
      <c r="BA111" s="51"/>
      <c r="BB111" s="52"/>
      <c r="BC111" s="50"/>
      <c r="BD111" s="53"/>
    </row>
    <row r="112" spans="1:56" ht="38.25" x14ac:dyDescent="0.25">
      <c r="A112" s="1976"/>
      <c r="B112" s="1977"/>
      <c r="C112" s="1967"/>
      <c r="D112" s="1978"/>
      <c r="E112" s="1967"/>
      <c r="F112" s="1967"/>
      <c r="G112" s="1974"/>
      <c r="H112" s="1975"/>
      <c r="I112" s="1967"/>
      <c r="J112" s="1967"/>
      <c r="K112" s="1973"/>
      <c r="L112" s="1971"/>
      <c r="M112" s="1972"/>
      <c r="N112" s="1973"/>
      <c r="O112" s="1973"/>
      <c r="P112" s="1967"/>
      <c r="Q112" s="1967"/>
      <c r="R112" s="1967"/>
      <c r="S112" s="1967"/>
      <c r="T112" s="47" t="s">
        <v>208</v>
      </c>
      <c r="U112" s="44" t="s">
        <v>353</v>
      </c>
      <c r="V112" s="45">
        <v>41879</v>
      </c>
      <c r="W112" s="60"/>
      <c r="X112" s="37" t="s">
        <v>399</v>
      </c>
      <c r="Y112" s="45">
        <v>41879</v>
      </c>
      <c r="Z112" s="45">
        <v>41970</v>
      </c>
      <c r="AA112" s="37"/>
      <c r="AB112" s="37"/>
      <c r="AC112" s="37"/>
      <c r="AD112" s="47"/>
      <c r="AE112" s="63"/>
      <c r="AF112" s="37"/>
      <c r="AG112" s="48">
        <v>7781.8</v>
      </c>
      <c r="AH112" s="33">
        <f t="shared" si="2"/>
        <v>7781.8</v>
      </c>
      <c r="AI112" s="71" t="s">
        <v>357</v>
      </c>
      <c r="AJ112" s="46">
        <v>11125</v>
      </c>
      <c r="AK112" s="37" t="s">
        <v>258</v>
      </c>
      <c r="AL112" s="46">
        <v>11165</v>
      </c>
      <c r="AM112" s="107"/>
      <c r="AN112" s="107"/>
      <c r="AO112" s="107"/>
      <c r="AP112" s="107"/>
      <c r="AQ112" s="107"/>
      <c r="AR112" s="108"/>
      <c r="AS112" s="44"/>
      <c r="AT112" s="50"/>
      <c r="AU112" s="50"/>
      <c r="AV112" s="50"/>
      <c r="AW112" s="50"/>
      <c r="AX112" s="50"/>
      <c r="AY112" s="50"/>
      <c r="AZ112" s="50"/>
      <c r="BA112" s="51"/>
      <c r="BB112" s="52"/>
      <c r="BC112" s="50"/>
      <c r="BD112" s="53"/>
    </row>
    <row r="113" spans="1:56" ht="38.25" x14ac:dyDescent="0.25">
      <c r="A113" s="1976"/>
      <c r="B113" s="1977"/>
      <c r="C113" s="1967"/>
      <c r="D113" s="1978"/>
      <c r="E113" s="1967"/>
      <c r="F113" s="1967"/>
      <c r="G113" s="1974"/>
      <c r="H113" s="1975"/>
      <c r="I113" s="1967"/>
      <c r="J113" s="1967"/>
      <c r="K113" s="1973"/>
      <c r="L113" s="1971"/>
      <c r="M113" s="1972"/>
      <c r="N113" s="1973"/>
      <c r="O113" s="1973"/>
      <c r="P113" s="1967"/>
      <c r="Q113" s="1967"/>
      <c r="R113" s="1967"/>
      <c r="S113" s="1967"/>
      <c r="T113" s="47" t="s">
        <v>208</v>
      </c>
      <c r="U113" s="44" t="s">
        <v>400</v>
      </c>
      <c r="V113" s="45">
        <v>41969</v>
      </c>
      <c r="W113" s="60"/>
      <c r="X113" s="37" t="s">
        <v>399</v>
      </c>
      <c r="Y113" s="45">
        <v>41971</v>
      </c>
      <c r="Z113" s="45">
        <v>42004</v>
      </c>
      <c r="AA113" s="37"/>
      <c r="AB113" s="37"/>
      <c r="AC113" s="37"/>
      <c r="AD113" s="47"/>
      <c r="AE113" s="63"/>
      <c r="AF113" s="37"/>
      <c r="AG113" s="48"/>
      <c r="AH113" s="33">
        <f t="shared" si="2"/>
        <v>0</v>
      </c>
      <c r="AI113" s="71" t="s">
        <v>357</v>
      </c>
      <c r="AJ113" s="46">
        <v>11125</v>
      </c>
      <c r="AK113" s="37" t="s">
        <v>258</v>
      </c>
      <c r="AL113" s="46">
        <v>11165</v>
      </c>
      <c r="AM113" s="107"/>
      <c r="AN113" s="107"/>
      <c r="AO113" s="107"/>
      <c r="AP113" s="107"/>
      <c r="AQ113" s="107"/>
      <c r="AR113" s="108"/>
      <c r="AS113" s="44"/>
      <c r="AT113" s="50"/>
      <c r="AU113" s="50"/>
      <c r="AV113" s="50"/>
      <c r="AW113" s="50"/>
      <c r="AX113" s="50"/>
      <c r="AY113" s="50"/>
      <c r="AZ113" s="50"/>
      <c r="BA113" s="51"/>
      <c r="BB113" s="52"/>
      <c r="BC113" s="50"/>
      <c r="BD113" s="53"/>
    </row>
    <row r="114" spans="1:56" ht="38.25" x14ac:dyDescent="0.25">
      <c r="A114" s="1976"/>
      <c r="B114" s="1977"/>
      <c r="C114" s="1967"/>
      <c r="D114" s="1978"/>
      <c r="E114" s="1967"/>
      <c r="F114" s="1967"/>
      <c r="G114" s="1974"/>
      <c r="H114" s="1975"/>
      <c r="I114" s="1967"/>
      <c r="J114" s="1967"/>
      <c r="K114" s="1973"/>
      <c r="L114" s="1971"/>
      <c r="M114" s="1972"/>
      <c r="N114" s="1973"/>
      <c r="O114" s="1973"/>
      <c r="P114" s="1967"/>
      <c r="Q114" s="1967"/>
      <c r="R114" s="1967"/>
      <c r="S114" s="1967"/>
      <c r="T114" s="47" t="s">
        <v>208</v>
      </c>
      <c r="U114" s="44" t="s">
        <v>401</v>
      </c>
      <c r="V114" s="45">
        <v>42002</v>
      </c>
      <c r="W114" s="60"/>
      <c r="X114" s="37" t="s">
        <v>399</v>
      </c>
      <c r="Y114" s="45">
        <v>42002</v>
      </c>
      <c r="Z114" s="45">
        <v>42037</v>
      </c>
      <c r="AA114" s="37"/>
      <c r="AB114" s="37"/>
      <c r="AC114" s="37"/>
      <c r="AD114" s="47"/>
      <c r="AE114" s="63"/>
      <c r="AF114" s="37"/>
      <c r="AG114" s="48"/>
      <c r="AH114" s="33">
        <f t="shared" si="2"/>
        <v>0</v>
      </c>
      <c r="AI114" s="71" t="s">
        <v>357</v>
      </c>
      <c r="AJ114" s="46">
        <v>11125</v>
      </c>
      <c r="AK114" s="37" t="s">
        <v>258</v>
      </c>
      <c r="AL114" s="46">
        <v>11165</v>
      </c>
      <c r="AM114" s="107"/>
      <c r="AN114" s="107"/>
      <c r="AO114" s="107"/>
      <c r="AP114" s="107"/>
      <c r="AQ114" s="107"/>
      <c r="AR114" s="108"/>
      <c r="AS114" s="44"/>
      <c r="AT114" s="50"/>
      <c r="AU114" s="50"/>
      <c r="AV114" s="50"/>
      <c r="AW114" s="50"/>
      <c r="AX114" s="50"/>
      <c r="AY114" s="50"/>
      <c r="AZ114" s="50"/>
      <c r="BA114" s="51"/>
      <c r="BB114" s="52"/>
      <c r="BC114" s="50"/>
      <c r="BD114" s="53"/>
    </row>
    <row r="115" spans="1:56" ht="38.25" x14ac:dyDescent="0.25">
      <c r="A115" s="86">
        <v>43</v>
      </c>
      <c r="B115" s="44" t="s">
        <v>271</v>
      </c>
      <c r="C115" s="37" t="s">
        <v>272</v>
      </c>
      <c r="D115" s="54" t="s">
        <v>221</v>
      </c>
      <c r="E115" s="37" t="s">
        <v>153</v>
      </c>
      <c r="F115" s="37" t="s">
        <v>273</v>
      </c>
      <c r="G115" s="87">
        <v>11051</v>
      </c>
      <c r="H115" s="73" t="s">
        <v>402</v>
      </c>
      <c r="I115" s="50" t="s">
        <v>275</v>
      </c>
      <c r="J115" s="37" t="s">
        <v>276</v>
      </c>
      <c r="K115" s="45">
        <v>480020</v>
      </c>
      <c r="L115" s="48">
        <v>165600</v>
      </c>
      <c r="M115" s="46">
        <v>11392</v>
      </c>
      <c r="N115" s="45">
        <v>41730</v>
      </c>
      <c r="O115" s="45">
        <v>42004</v>
      </c>
      <c r="P115" s="37" t="s">
        <v>129</v>
      </c>
      <c r="Q115" s="37"/>
      <c r="R115" s="37"/>
      <c r="S115" s="37"/>
      <c r="T115" s="47" t="s">
        <v>208</v>
      </c>
      <c r="U115" s="44"/>
      <c r="V115" s="37"/>
      <c r="W115" s="37"/>
      <c r="X115" s="37"/>
      <c r="Y115" s="37"/>
      <c r="Z115" s="37"/>
      <c r="AA115" s="37"/>
      <c r="AB115" s="37"/>
      <c r="AC115" s="48"/>
      <c r="AD115" s="47"/>
      <c r="AE115" s="63">
        <f>L115-AD115+AC115</f>
        <v>165600</v>
      </c>
      <c r="AF115" s="37"/>
      <c r="AG115" s="78">
        <v>152100</v>
      </c>
      <c r="AH115" s="33">
        <f t="shared" si="2"/>
        <v>152100</v>
      </c>
      <c r="AI115" s="71" t="s">
        <v>234</v>
      </c>
      <c r="AJ115" s="77">
        <v>11098</v>
      </c>
      <c r="AK115" s="37" t="s">
        <v>277</v>
      </c>
      <c r="AL115" s="46">
        <v>11096</v>
      </c>
      <c r="AM115" s="50"/>
      <c r="AN115" s="50"/>
      <c r="AO115" s="50"/>
      <c r="AP115" s="50"/>
      <c r="AQ115" s="50"/>
      <c r="AR115" s="51"/>
      <c r="AS115" s="52"/>
      <c r="AT115" s="50"/>
      <c r="AU115" s="50"/>
      <c r="AV115" s="50"/>
      <c r="AW115" s="50"/>
      <c r="AX115" s="50"/>
      <c r="AY115" s="50"/>
      <c r="AZ115" s="50"/>
      <c r="BA115" s="51"/>
      <c r="BB115" s="52"/>
      <c r="BC115" s="50"/>
      <c r="BD115" s="53"/>
    </row>
    <row r="116" spans="1:56" ht="25.5" x14ac:dyDescent="0.25">
      <c r="A116" s="86">
        <v>44</v>
      </c>
      <c r="B116" s="44">
        <v>19</v>
      </c>
      <c r="C116" s="37" t="s">
        <v>403</v>
      </c>
      <c r="D116" s="54" t="s">
        <v>221</v>
      </c>
      <c r="E116" s="37" t="s">
        <v>153</v>
      </c>
      <c r="F116" s="37" t="s">
        <v>404</v>
      </c>
      <c r="G116" s="109"/>
      <c r="H116" s="73" t="s">
        <v>405</v>
      </c>
      <c r="I116" s="50" t="s">
        <v>406</v>
      </c>
      <c r="J116" s="37" t="s">
        <v>407</v>
      </c>
      <c r="K116" s="45">
        <v>41807</v>
      </c>
      <c r="L116" s="48">
        <v>30377</v>
      </c>
      <c r="M116" s="46">
        <v>11348</v>
      </c>
      <c r="N116" s="45">
        <v>41807</v>
      </c>
      <c r="O116" s="45">
        <v>42171</v>
      </c>
      <c r="P116" s="37" t="s">
        <v>129</v>
      </c>
      <c r="Q116" s="37"/>
      <c r="R116" s="37"/>
      <c r="S116" s="37"/>
      <c r="T116" s="47" t="s">
        <v>408</v>
      </c>
      <c r="U116" s="44"/>
      <c r="V116" s="37"/>
      <c r="W116" s="37"/>
      <c r="X116" s="37"/>
      <c r="Y116" s="37"/>
      <c r="Z116" s="37"/>
      <c r="AA116" s="37"/>
      <c r="AB116" s="37"/>
      <c r="AC116" s="37"/>
      <c r="AD116" s="47"/>
      <c r="AE116" s="63">
        <f>L116-AD116+AC116</f>
        <v>30377</v>
      </c>
      <c r="AF116" s="37"/>
      <c r="AG116" s="48">
        <v>30377</v>
      </c>
      <c r="AH116" s="33">
        <f t="shared" si="2"/>
        <v>30377</v>
      </c>
      <c r="AI116" s="106" t="s">
        <v>409</v>
      </c>
      <c r="AJ116" s="54" t="s">
        <v>410</v>
      </c>
      <c r="AK116" s="107" t="s">
        <v>411</v>
      </c>
      <c r="AL116" s="46">
        <v>11348</v>
      </c>
      <c r="AM116" s="107"/>
      <c r="AN116" s="107"/>
      <c r="AO116" s="107"/>
      <c r="AP116" s="107"/>
      <c r="AQ116" s="107"/>
      <c r="AR116" s="108"/>
      <c r="AS116" s="44"/>
      <c r="AT116" s="50"/>
      <c r="AU116" s="50"/>
      <c r="AV116" s="50"/>
      <c r="AW116" s="50"/>
      <c r="AX116" s="50"/>
      <c r="AY116" s="50"/>
      <c r="AZ116" s="50"/>
      <c r="BA116" s="51"/>
      <c r="BB116" s="52"/>
      <c r="BC116" s="50"/>
      <c r="BD116" s="53"/>
    </row>
    <row r="117" spans="1:56" ht="63.75" x14ac:dyDescent="0.25">
      <c r="A117" s="86">
        <v>45</v>
      </c>
      <c r="B117" s="110"/>
      <c r="C117" s="111"/>
      <c r="D117" s="27" t="s">
        <v>333</v>
      </c>
      <c r="E117" s="39"/>
      <c r="F117" s="27" t="s">
        <v>412</v>
      </c>
      <c r="G117" s="109"/>
      <c r="H117" s="73" t="s">
        <v>413</v>
      </c>
      <c r="I117" s="37" t="s">
        <v>414</v>
      </c>
      <c r="J117" s="37" t="s">
        <v>415</v>
      </c>
      <c r="K117" s="45">
        <v>41842</v>
      </c>
      <c r="L117" s="48">
        <v>7300</v>
      </c>
      <c r="M117" s="46">
        <v>11376</v>
      </c>
      <c r="N117" s="45">
        <v>41842</v>
      </c>
      <c r="O117" s="45">
        <v>41995</v>
      </c>
      <c r="P117" s="37" t="s">
        <v>416</v>
      </c>
      <c r="Q117" s="37"/>
      <c r="R117" s="37"/>
      <c r="S117" s="37"/>
      <c r="T117" s="47" t="s">
        <v>233</v>
      </c>
      <c r="U117" s="44"/>
      <c r="V117" s="37"/>
      <c r="W117" s="37"/>
      <c r="X117" s="37"/>
      <c r="Y117" s="37"/>
      <c r="Z117" s="37"/>
      <c r="AA117" s="37"/>
      <c r="AB117" s="37"/>
      <c r="AC117" s="37"/>
      <c r="AD117" s="47"/>
      <c r="AE117" s="63">
        <f>L117-AD117+AC117</f>
        <v>7300</v>
      </c>
      <c r="AF117" s="37"/>
      <c r="AG117" s="48">
        <v>7300</v>
      </c>
      <c r="AH117" s="33">
        <f t="shared" si="2"/>
        <v>7300</v>
      </c>
      <c r="AI117" s="106"/>
      <c r="AJ117" s="107"/>
      <c r="AK117" s="107"/>
      <c r="AL117" s="107"/>
      <c r="AM117" s="107" t="s">
        <v>301</v>
      </c>
      <c r="AN117" s="107"/>
      <c r="AO117" s="107"/>
      <c r="AP117" s="107"/>
      <c r="AQ117" s="107"/>
      <c r="AR117" s="108"/>
      <c r="AS117" s="44"/>
      <c r="AT117" s="50"/>
      <c r="AU117" s="50"/>
      <c r="AV117" s="50"/>
      <c r="AW117" s="50"/>
      <c r="AX117" s="50"/>
      <c r="AY117" s="50"/>
      <c r="AZ117" s="50"/>
      <c r="BA117" s="51"/>
      <c r="BB117" s="52"/>
      <c r="BC117" s="50"/>
      <c r="BD117" s="53"/>
    </row>
    <row r="118" spans="1:56" ht="38.25" x14ac:dyDescent="0.25">
      <c r="A118" s="86">
        <v>46</v>
      </c>
      <c r="B118" s="44" t="s">
        <v>271</v>
      </c>
      <c r="C118" s="37" t="s">
        <v>272</v>
      </c>
      <c r="D118" s="54" t="s">
        <v>221</v>
      </c>
      <c r="E118" s="37" t="s">
        <v>153</v>
      </c>
      <c r="F118" s="37" t="s">
        <v>273</v>
      </c>
      <c r="G118" s="87">
        <v>11051</v>
      </c>
      <c r="H118" s="73" t="s">
        <v>417</v>
      </c>
      <c r="I118" s="50" t="s">
        <v>275</v>
      </c>
      <c r="J118" s="37" t="s">
        <v>276</v>
      </c>
      <c r="K118" s="45">
        <v>41760</v>
      </c>
      <c r="L118" s="48">
        <v>27000</v>
      </c>
      <c r="M118" s="46">
        <v>11392</v>
      </c>
      <c r="N118" s="45">
        <v>41760</v>
      </c>
      <c r="O118" s="45">
        <v>41820</v>
      </c>
      <c r="P118" s="37" t="s">
        <v>129</v>
      </c>
      <c r="Q118" s="37"/>
      <c r="R118" s="37"/>
      <c r="S118" s="37"/>
      <c r="T118" s="47" t="s">
        <v>208</v>
      </c>
      <c r="U118" s="44"/>
      <c r="V118" s="37"/>
      <c r="W118" s="37"/>
      <c r="X118" s="37"/>
      <c r="Y118" s="37"/>
      <c r="Z118" s="37"/>
      <c r="AA118" s="37"/>
      <c r="AB118" s="37"/>
      <c r="AC118" s="48"/>
      <c r="AD118" s="47"/>
      <c r="AE118" s="63">
        <f>L118-AD118+AC118</f>
        <v>27000</v>
      </c>
      <c r="AF118" s="37"/>
      <c r="AG118" s="48">
        <v>27000</v>
      </c>
      <c r="AH118" s="33">
        <f t="shared" si="2"/>
        <v>27000</v>
      </c>
      <c r="AI118" s="71" t="s">
        <v>234</v>
      </c>
      <c r="AJ118" s="77">
        <v>11098</v>
      </c>
      <c r="AK118" s="37" t="s">
        <v>277</v>
      </c>
      <c r="AL118" s="46">
        <v>11096</v>
      </c>
      <c r="AM118" s="50"/>
      <c r="AN118" s="50"/>
      <c r="AO118" s="50"/>
      <c r="AP118" s="50"/>
      <c r="AQ118" s="50"/>
      <c r="AR118" s="51"/>
      <c r="AS118" s="52"/>
      <c r="AT118" s="50"/>
      <c r="AU118" s="50"/>
      <c r="AV118" s="50"/>
      <c r="AW118" s="50"/>
      <c r="AX118" s="50"/>
      <c r="AY118" s="50"/>
      <c r="AZ118" s="50"/>
      <c r="BA118" s="51"/>
      <c r="BB118" s="52"/>
      <c r="BC118" s="50"/>
      <c r="BD118" s="53"/>
    </row>
    <row r="119" spans="1:56" ht="51" x14ac:dyDescent="0.25">
      <c r="A119" s="86">
        <v>47</v>
      </c>
      <c r="B119" s="44" t="s">
        <v>418</v>
      </c>
      <c r="C119" s="37" t="s">
        <v>419</v>
      </c>
      <c r="D119" s="37" t="s">
        <v>221</v>
      </c>
      <c r="E119" s="37" t="s">
        <v>153</v>
      </c>
      <c r="F119" s="37" t="s">
        <v>420</v>
      </c>
      <c r="G119" s="87">
        <v>11242</v>
      </c>
      <c r="H119" s="73" t="s">
        <v>421</v>
      </c>
      <c r="I119" s="37" t="s">
        <v>422</v>
      </c>
      <c r="J119" s="37" t="s">
        <v>423</v>
      </c>
      <c r="K119" s="45">
        <v>41764</v>
      </c>
      <c r="L119" s="48">
        <v>35020</v>
      </c>
      <c r="M119" s="46">
        <v>11347</v>
      </c>
      <c r="N119" s="45">
        <v>41764</v>
      </c>
      <c r="O119" s="45">
        <v>41790</v>
      </c>
      <c r="P119" s="37" t="s">
        <v>129</v>
      </c>
      <c r="Q119" s="37"/>
      <c r="R119" s="37"/>
      <c r="S119" s="37"/>
      <c r="T119" s="47" t="s">
        <v>424</v>
      </c>
      <c r="U119" s="44"/>
      <c r="V119" s="37"/>
      <c r="W119" s="37"/>
      <c r="X119" s="37"/>
      <c r="Y119" s="37"/>
      <c r="Z119" s="37"/>
      <c r="AA119" s="37"/>
      <c r="AB119" s="37"/>
      <c r="AC119" s="37"/>
      <c r="AD119" s="47"/>
      <c r="AE119" s="63">
        <f>L119-AD119+AC119</f>
        <v>35020</v>
      </c>
      <c r="AF119" s="37"/>
      <c r="AG119" s="48">
        <v>35020</v>
      </c>
      <c r="AH119" s="33">
        <f t="shared" si="2"/>
        <v>35020</v>
      </c>
      <c r="AI119" s="106" t="s">
        <v>241</v>
      </c>
      <c r="AJ119" s="107"/>
      <c r="AK119" s="112" t="s">
        <v>277</v>
      </c>
      <c r="AL119" s="46">
        <v>11348</v>
      </c>
      <c r="AM119" s="107"/>
      <c r="AN119" s="107"/>
      <c r="AO119" s="107"/>
      <c r="AP119" s="107"/>
      <c r="AQ119" s="107"/>
      <c r="AR119" s="108"/>
      <c r="AS119" s="44"/>
      <c r="AT119" s="50"/>
      <c r="AU119" s="50"/>
      <c r="AV119" s="50"/>
      <c r="AW119" s="50"/>
      <c r="AX119" s="50"/>
      <c r="AY119" s="50"/>
      <c r="AZ119" s="50"/>
      <c r="BA119" s="51"/>
      <c r="BB119" s="52"/>
      <c r="BC119" s="50"/>
      <c r="BD119" s="53"/>
    </row>
    <row r="120" spans="1:56" ht="38.25" x14ac:dyDescent="0.25">
      <c r="A120" s="86">
        <v>48</v>
      </c>
      <c r="B120" s="44" t="s">
        <v>287</v>
      </c>
      <c r="C120" s="37" t="s">
        <v>288</v>
      </c>
      <c r="D120" s="37" t="s">
        <v>221</v>
      </c>
      <c r="E120" s="37" t="s">
        <v>168</v>
      </c>
      <c r="F120" s="37" t="s">
        <v>289</v>
      </c>
      <c r="G120" s="87">
        <v>11145</v>
      </c>
      <c r="H120" s="73" t="s">
        <v>425</v>
      </c>
      <c r="I120" s="37" t="s">
        <v>291</v>
      </c>
      <c r="J120" s="37" t="s">
        <v>292</v>
      </c>
      <c r="K120" s="45">
        <v>41821</v>
      </c>
      <c r="L120" s="48">
        <v>37550</v>
      </c>
      <c r="M120" s="46" t="s">
        <v>426</v>
      </c>
      <c r="N120" s="45">
        <v>41821</v>
      </c>
      <c r="O120" s="45">
        <v>41830</v>
      </c>
      <c r="P120" s="37" t="s">
        <v>129</v>
      </c>
      <c r="Q120" s="37"/>
      <c r="R120" s="37"/>
      <c r="S120" s="37"/>
      <c r="T120" s="47" t="s">
        <v>208</v>
      </c>
      <c r="U120" s="44"/>
      <c r="V120" s="37"/>
      <c r="W120" s="37"/>
      <c r="X120" s="37"/>
      <c r="Y120" s="37"/>
      <c r="Z120" s="37"/>
      <c r="AA120" s="37"/>
      <c r="AB120" s="37"/>
      <c r="AC120" s="48"/>
      <c r="AD120" s="47"/>
      <c r="AE120" s="63">
        <v>37550</v>
      </c>
      <c r="AF120" s="37"/>
      <c r="AG120" s="48">
        <v>37550</v>
      </c>
      <c r="AH120" s="33">
        <f t="shared" si="2"/>
        <v>37550</v>
      </c>
      <c r="AI120" s="71" t="s">
        <v>294</v>
      </c>
      <c r="AJ120" s="46">
        <v>11167</v>
      </c>
      <c r="AK120" s="37" t="s">
        <v>295</v>
      </c>
      <c r="AL120" s="46">
        <v>11355</v>
      </c>
      <c r="AM120" s="107"/>
      <c r="AN120" s="107"/>
      <c r="AO120" s="107"/>
      <c r="AP120" s="107"/>
      <c r="AQ120" s="107"/>
      <c r="AR120" s="108"/>
      <c r="AS120" s="44"/>
      <c r="AT120" s="50"/>
      <c r="AU120" s="50"/>
      <c r="AV120" s="50"/>
      <c r="AW120" s="50"/>
      <c r="AX120" s="50"/>
      <c r="AY120" s="50"/>
      <c r="AZ120" s="50"/>
      <c r="BA120" s="51"/>
      <c r="BB120" s="52"/>
      <c r="BC120" s="50"/>
      <c r="BD120" s="53"/>
    </row>
    <row r="121" spans="1:56" ht="25.5" x14ac:dyDescent="0.25">
      <c r="A121" s="86">
        <v>49</v>
      </c>
      <c r="B121" s="44" t="s">
        <v>280</v>
      </c>
      <c r="C121" s="37" t="s">
        <v>281</v>
      </c>
      <c r="D121" s="54" t="s">
        <v>221</v>
      </c>
      <c r="E121" s="37" t="s">
        <v>153</v>
      </c>
      <c r="F121" s="37" t="s">
        <v>282</v>
      </c>
      <c r="G121" s="47"/>
      <c r="H121" s="73" t="s">
        <v>427</v>
      </c>
      <c r="I121" s="37" t="s">
        <v>284</v>
      </c>
      <c r="J121" s="37" t="s">
        <v>285</v>
      </c>
      <c r="K121" s="45">
        <v>41791</v>
      </c>
      <c r="L121" s="48">
        <v>42550</v>
      </c>
      <c r="M121" s="46">
        <v>11392</v>
      </c>
      <c r="N121" s="45">
        <v>41791</v>
      </c>
      <c r="O121" s="45">
        <v>41820</v>
      </c>
      <c r="P121" s="37" t="s">
        <v>129</v>
      </c>
      <c r="Q121" s="37"/>
      <c r="R121" s="37"/>
      <c r="S121" s="37"/>
      <c r="T121" s="47" t="s">
        <v>208</v>
      </c>
      <c r="U121" s="44"/>
      <c r="V121" s="37"/>
      <c r="W121" s="37"/>
      <c r="X121" s="37"/>
      <c r="Y121" s="37"/>
      <c r="Z121" s="37"/>
      <c r="AA121" s="37"/>
      <c r="AB121" s="37"/>
      <c r="AC121" s="48"/>
      <c r="AD121" s="47"/>
      <c r="AE121" s="63">
        <f>L121-AD121+AC121</f>
        <v>42550</v>
      </c>
      <c r="AF121" s="37"/>
      <c r="AG121" s="48">
        <v>42550</v>
      </c>
      <c r="AH121" s="33">
        <f t="shared" si="2"/>
        <v>42550</v>
      </c>
      <c r="AI121" s="71" t="s">
        <v>223</v>
      </c>
      <c r="AJ121" s="46">
        <v>11064</v>
      </c>
      <c r="AK121" s="37" t="s">
        <v>286</v>
      </c>
      <c r="AL121" s="46">
        <v>11170</v>
      </c>
      <c r="AM121" s="107"/>
      <c r="AN121" s="107"/>
      <c r="AO121" s="107"/>
      <c r="AP121" s="107"/>
      <c r="AQ121" s="107"/>
      <c r="AR121" s="108"/>
      <c r="AS121" s="44"/>
      <c r="AT121" s="50"/>
      <c r="AU121" s="50"/>
      <c r="AV121" s="50"/>
      <c r="AW121" s="50"/>
      <c r="AX121" s="50"/>
      <c r="AY121" s="50"/>
      <c r="AZ121" s="50"/>
      <c r="BA121" s="51"/>
      <c r="BB121" s="52"/>
      <c r="BC121" s="50"/>
      <c r="BD121" s="53"/>
    </row>
    <row r="122" spans="1:56" ht="25.5" x14ac:dyDescent="0.25">
      <c r="A122" s="86">
        <v>50</v>
      </c>
      <c r="B122" s="44" t="s">
        <v>280</v>
      </c>
      <c r="C122" s="37" t="s">
        <v>281</v>
      </c>
      <c r="D122" s="54" t="s">
        <v>221</v>
      </c>
      <c r="E122" s="37" t="s">
        <v>153</v>
      </c>
      <c r="F122" s="37" t="s">
        <v>282</v>
      </c>
      <c r="G122" s="47"/>
      <c r="H122" s="73" t="s">
        <v>428</v>
      </c>
      <c r="I122" s="37" t="s">
        <v>284</v>
      </c>
      <c r="J122" s="37" t="s">
        <v>285</v>
      </c>
      <c r="K122" s="57">
        <v>41821</v>
      </c>
      <c r="L122" s="48">
        <v>43521</v>
      </c>
      <c r="M122" s="46">
        <v>11385</v>
      </c>
      <c r="N122" s="45">
        <v>41821</v>
      </c>
      <c r="O122" s="45">
        <v>41830</v>
      </c>
      <c r="P122" s="37" t="s">
        <v>129</v>
      </c>
      <c r="Q122" s="37"/>
      <c r="R122" s="37"/>
      <c r="S122" s="37"/>
      <c r="T122" s="47" t="s">
        <v>208</v>
      </c>
      <c r="U122" s="44"/>
      <c r="V122" s="37"/>
      <c r="W122" s="37"/>
      <c r="X122" s="37"/>
      <c r="Y122" s="37"/>
      <c r="Z122" s="37"/>
      <c r="AA122" s="37"/>
      <c r="AB122" s="37"/>
      <c r="AC122" s="48"/>
      <c r="AD122" s="47"/>
      <c r="AE122" s="63">
        <f>L122-AD122+AC122</f>
        <v>43521</v>
      </c>
      <c r="AF122" s="37"/>
      <c r="AG122" s="48">
        <v>43521</v>
      </c>
      <c r="AH122" s="33">
        <f t="shared" si="2"/>
        <v>43521</v>
      </c>
      <c r="AI122" s="71" t="s">
        <v>223</v>
      </c>
      <c r="AJ122" s="46">
        <v>11064</v>
      </c>
      <c r="AK122" s="37" t="s">
        <v>286</v>
      </c>
      <c r="AL122" s="46">
        <v>11170</v>
      </c>
      <c r="AM122" s="107"/>
      <c r="AN122" s="107"/>
      <c r="AO122" s="107"/>
      <c r="AP122" s="107"/>
      <c r="AQ122" s="107"/>
      <c r="AR122" s="108"/>
      <c r="AS122" s="44"/>
      <c r="AT122" s="50"/>
      <c r="AU122" s="50"/>
      <c r="AV122" s="50"/>
      <c r="AW122" s="50"/>
      <c r="AX122" s="50"/>
      <c r="AY122" s="50"/>
      <c r="AZ122" s="50"/>
      <c r="BA122" s="51"/>
      <c r="BB122" s="52"/>
      <c r="BC122" s="50"/>
      <c r="BD122" s="53"/>
    </row>
    <row r="123" spans="1:56" ht="38.25" x14ac:dyDescent="0.25">
      <c r="A123" s="86">
        <v>51</v>
      </c>
      <c r="B123" s="44" t="s">
        <v>287</v>
      </c>
      <c r="C123" s="37" t="s">
        <v>288</v>
      </c>
      <c r="D123" s="37" t="s">
        <v>221</v>
      </c>
      <c r="E123" s="37" t="s">
        <v>168</v>
      </c>
      <c r="F123" s="37" t="s">
        <v>289</v>
      </c>
      <c r="G123" s="87">
        <v>11145</v>
      </c>
      <c r="H123" s="73" t="s">
        <v>429</v>
      </c>
      <c r="I123" s="37" t="s">
        <v>291</v>
      </c>
      <c r="J123" s="37" t="s">
        <v>292</v>
      </c>
      <c r="K123" s="45">
        <v>41831</v>
      </c>
      <c r="L123" s="48">
        <v>38000</v>
      </c>
      <c r="M123" s="46">
        <v>11472</v>
      </c>
      <c r="N123" s="45">
        <v>41831</v>
      </c>
      <c r="O123" s="45">
        <v>42004</v>
      </c>
      <c r="P123" s="37" t="s">
        <v>129</v>
      </c>
      <c r="Q123" s="37"/>
      <c r="R123" s="37"/>
      <c r="S123" s="37"/>
      <c r="T123" s="47" t="s">
        <v>208</v>
      </c>
      <c r="U123" s="44"/>
      <c r="V123" s="37"/>
      <c r="W123" s="37"/>
      <c r="X123" s="37"/>
      <c r="Y123" s="37"/>
      <c r="Z123" s="37"/>
      <c r="AA123" s="37"/>
      <c r="AB123" s="37"/>
      <c r="AC123" s="48"/>
      <c r="AD123" s="47"/>
      <c r="AE123" s="63">
        <f>L123-AD123+AC123</f>
        <v>38000</v>
      </c>
      <c r="AF123" s="37"/>
      <c r="AG123" s="48">
        <v>38000</v>
      </c>
      <c r="AH123" s="33">
        <f t="shared" si="2"/>
        <v>38000</v>
      </c>
      <c r="AI123" s="71" t="s">
        <v>294</v>
      </c>
      <c r="AJ123" s="46">
        <v>11167</v>
      </c>
      <c r="AK123" s="37" t="s">
        <v>295</v>
      </c>
      <c r="AL123" s="46">
        <v>11355</v>
      </c>
      <c r="AM123" s="107"/>
      <c r="AN123" s="107"/>
      <c r="AO123" s="107"/>
      <c r="AP123" s="107"/>
      <c r="AQ123" s="107"/>
      <c r="AR123" s="108"/>
      <c r="AS123" s="44"/>
      <c r="AT123" s="50"/>
      <c r="AU123" s="50"/>
      <c r="AV123" s="50"/>
      <c r="AW123" s="50"/>
      <c r="AX123" s="50"/>
      <c r="AY123" s="50"/>
      <c r="AZ123" s="50"/>
      <c r="BA123" s="51"/>
      <c r="BB123" s="52"/>
      <c r="BC123" s="50"/>
      <c r="BD123" s="53"/>
    </row>
    <row r="124" spans="1:56" x14ac:dyDescent="0.25">
      <c r="A124" s="86">
        <v>52</v>
      </c>
      <c r="B124" s="44"/>
      <c r="C124" s="37"/>
      <c r="D124" s="37"/>
      <c r="E124" s="37"/>
      <c r="F124" s="37"/>
      <c r="G124" s="47"/>
      <c r="H124" s="73" t="s">
        <v>430</v>
      </c>
      <c r="I124" s="37" t="s">
        <v>270</v>
      </c>
      <c r="J124" s="37"/>
      <c r="K124" s="37"/>
      <c r="L124" s="48"/>
      <c r="M124" s="37"/>
      <c r="N124" s="37"/>
      <c r="O124" s="37"/>
      <c r="P124" s="37"/>
      <c r="Q124" s="37"/>
      <c r="R124" s="37"/>
      <c r="S124" s="37"/>
      <c r="T124" s="47"/>
      <c r="U124" s="44"/>
      <c r="V124" s="37"/>
      <c r="W124" s="37"/>
      <c r="X124" s="37"/>
      <c r="Y124" s="37"/>
      <c r="Z124" s="37"/>
      <c r="AA124" s="37"/>
      <c r="AB124" s="37"/>
      <c r="AC124" s="37"/>
      <c r="AD124" s="47"/>
      <c r="AE124" s="63"/>
      <c r="AF124" s="37"/>
      <c r="AG124" s="48"/>
      <c r="AH124" s="33">
        <f t="shared" si="2"/>
        <v>0</v>
      </c>
      <c r="AI124" s="106"/>
      <c r="AJ124" s="107"/>
      <c r="AK124" s="107"/>
      <c r="AL124" s="107"/>
      <c r="AM124" s="107"/>
      <c r="AN124" s="107"/>
      <c r="AO124" s="107"/>
      <c r="AP124" s="107"/>
      <c r="AQ124" s="107"/>
      <c r="AR124" s="108"/>
      <c r="AS124" s="44"/>
      <c r="AT124" s="50"/>
      <c r="AU124" s="50"/>
      <c r="AV124" s="50"/>
      <c r="AW124" s="50"/>
      <c r="AX124" s="50"/>
      <c r="AY124" s="50"/>
      <c r="AZ124" s="50"/>
      <c r="BA124" s="51"/>
      <c r="BB124" s="52"/>
      <c r="BC124" s="50"/>
      <c r="BD124" s="53"/>
    </row>
    <row r="125" spans="1:56" ht="38.25" x14ac:dyDescent="0.25">
      <c r="A125" s="86">
        <v>53</v>
      </c>
      <c r="B125" s="44" t="s">
        <v>271</v>
      </c>
      <c r="C125" s="37" t="s">
        <v>272</v>
      </c>
      <c r="D125" s="54" t="s">
        <v>221</v>
      </c>
      <c r="E125" s="37" t="s">
        <v>153</v>
      </c>
      <c r="F125" s="37" t="s">
        <v>273</v>
      </c>
      <c r="G125" s="87">
        <v>11051</v>
      </c>
      <c r="H125" s="73" t="s">
        <v>431</v>
      </c>
      <c r="I125" s="50" t="s">
        <v>275</v>
      </c>
      <c r="J125" s="37" t="s">
        <v>276</v>
      </c>
      <c r="K125" s="45">
        <v>41821</v>
      </c>
      <c r="L125" s="48">
        <v>13500</v>
      </c>
      <c r="M125" s="46">
        <v>11394</v>
      </c>
      <c r="N125" s="45">
        <v>41821</v>
      </c>
      <c r="O125" s="45">
        <v>41851</v>
      </c>
      <c r="P125" s="37" t="s">
        <v>129</v>
      </c>
      <c r="Q125" s="37"/>
      <c r="R125" s="37"/>
      <c r="S125" s="37"/>
      <c r="T125" s="47" t="s">
        <v>208</v>
      </c>
      <c r="U125" s="44"/>
      <c r="V125" s="37"/>
      <c r="W125" s="37"/>
      <c r="X125" s="37"/>
      <c r="Y125" s="37"/>
      <c r="Z125" s="37"/>
      <c r="AA125" s="37"/>
      <c r="AB125" s="37"/>
      <c r="AC125" s="48"/>
      <c r="AD125" s="47"/>
      <c r="AE125" s="63">
        <f>L125-AD125+AC125</f>
        <v>13500</v>
      </c>
      <c r="AF125" s="37"/>
      <c r="AG125" s="48">
        <v>13500</v>
      </c>
      <c r="AH125" s="33">
        <f t="shared" si="2"/>
        <v>13500</v>
      </c>
      <c r="AI125" s="71" t="s">
        <v>234</v>
      </c>
      <c r="AJ125" s="77">
        <v>11098</v>
      </c>
      <c r="AK125" s="37" t="s">
        <v>277</v>
      </c>
      <c r="AL125" s="46">
        <v>11096</v>
      </c>
      <c r="AM125" s="50"/>
      <c r="AN125" s="50"/>
      <c r="AO125" s="50"/>
      <c r="AP125" s="50"/>
      <c r="AQ125" s="50"/>
      <c r="AR125" s="51"/>
      <c r="AS125" s="52"/>
      <c r="AT125" s="50"/>
      <c r="AU125" s="50"/>
      <c r="AV125" s="50"/>
      <c r="AW125" s="50"/>
      <c r="AX125" s="50"/>
      <c r="AY125" s="50"/>
      <c r="AZ125" s="50"/>
      <c r="BA125" s="51"/>
      <c r="BB125" s="52"/>
      <c r="BC125" s="50"/>
      <c r="BD125" s="53"/>
    </row>
    <row r="126" spans="1:56" ht="38.25" x14ac:dyDescent="0.25">
      <c r="A126" s="86">
        <v>54</v>
      </c>
      <c r="B126" s="44" t="s">
        <v>271</v>
      </c>
      <c r="C126" s="37" t="s">
        <v>272</v>
      </c>
      <c r="D126" s="54" t="s">
        <v>221</v>
      </c>
      <c r="E126" s="37" t="s">
        <v>153</v>
      </c>
      <c r="F126" s="37" t="s">
        <v>273</v>
      </c>
      <c r="G126" s="87">
        <v>11051</v>
      </c>
      <c r="H126" s="73" t="s">
        <v>432</v>
      </c>
      <c r="I126" s="50" t="s">
        <v>275</v>
      </c>
      <c r="J126" s="37" t="s">
        <v>276</v>
      </c>
      <c r="K126" s="45">
        <v>41821</v>
      </c>
      <c r="L126" s="48">
        <v>21600</v>
      </c>
      <c r="M126" s="46">
        <v>11394</v>
      </c>
      <c r="N126" s="45">
        <v>41821</v>
      </c>
      <c r="O126" s="45">
        <v>42004</v>
      </c>
      <c r="P126" s="37" t="s">
        <v>129</v>
      </c>
      <c r="Q126" s="37"/>
      <c r="R126" s="37"/>
      <c r="S126" s="37"/>
      <c r="T126" s="47" t="s">
        <v>208</v>
      </c>
      <c r="U126" s="44"/>
      <c r="V126" s="37"/>
      <c r="W126" s="37"/>
      <c r="X126" s="37"/>
      <c r="Y126" s="37"/>
      <c r="Z126" s="37"/>
      <c r="AA126" s="37"/>
      <c r="AB126" s="37"/>
      <c r="AC126" s="48"/>
      <c r="AD126" s="47"/>
      <c r="AE126" s="63">
        <f>L126-AD126+AC126</f>
        <v>21600</v>
      </c>
      <c r="AF126" s="37"/>
      <c r="AG126" s="48">
        <v>21600</v>
      </c>
      <c r="AH126" s="33">
        <f t="shared" si="2"/>
        <v>21600</v>
      </c>
      <c r="AI126" s="71" t="s">
        <v>234</v>
      </c>
      <c r="AJ126" s="77">
        <v>11098</v>
      </c>
      <c r="AK126" s="37" t="s">
        <v>277</v>
      </c>
      <c r="AL126" s="46">
        <v>11096</v>
      </c>
      <c r="AM126" s="50"/>
      <c r="AN126" s="50"/>
      <c r="AO126" s="50"/>
      <c r="AP126" s="50"/>
      <c r="AQ126" s="50"/>
      <c r="AR126" s="51"/>
      <c r="AS126" s="52"/>
      <c r="AT126" s="50"/>
      <c r="AU126" s="50"/>
      <c r="AV126" s="50"/>
      <c r="AW126" s="50"/>
      <c r="AX126" s="50"/>
      <c r="AY126" s="50"/>
      <c r="AZ126" s="50"/>
      <c r="BA126" s="51"/>
      <c r="BB126" s="52"/>
      <c r="BC126" s="50"/>
      <c r="BD126" s="53"/>
    </row>
    <row r="127" spans="1:56" ht="25.5" x14ac:dyDescent="0.25">
      <c r="A127" s="86">
        <v>55</v>
      </c>
      <c r="B127" s="44" t="s">
        <v>280</v>
      </c>
      <c r="C127" s="37" t="s">
        <v>281</v>
      </c>
      <c r="D127" s="54" t="s">
        <v>221</v>
      </c>
      <c r="E127" s="37" t="s">
        <v>153</v>
      </c>
      <c r="F127" s="37" t="s">
        <v>282</v>
      </c>
      <c r="G127" s="109"/>
      <c r="H127" s="73" t="s">
        <v>433</v>
      </c>
      <c r="I127" s="37" t="s">
        <v>284</v>
      </c>
      <c r="J127" s="37" t="s">
        <v>285</v>
      </c>
      <c r="K127" s="45">
        <v>41835</v>
      </c>
      <c r="L127" s="48">
        <v>69480</v>
      </c>
      <c r="M127" s="46">
        <v>11394</v>
      </c>
      <c r="N127" s="45">
        <v>41835</v>
      </c>
      <c r="O127" s="45">
        <v>41851</v>
      </c>
      <c r="P127" s="37" t="s">
        <v>129</v>
      </c>
      <c r="Q127" s="37"/>
      <c r="R127" s="37"/>
      <c r="S127" s="37"/>
      <c r="T127" s="47" t="s">
        <v>208</v>
      </c>
      <c r="U127" s="44"/>
      <c r="V127" s="37"/>
      <c r="W127" s="37"/>
      <c r="X127" s="37"/>
      <c r="Y127" s="37"/>
      <c r="Z127" s="37"/>
      <c r="AA127" s="37"/>
      <c r="AB127" s="37"/>
      <c r="AC127" s="48"/>
      <c r="AD127" s="47"/>
      <c r="AE127" s="63">
        <f>L127-AD127+AC127</f>
        <v>69480</v>
      </c>
      <c r="AF127" s="37"/>
      <c r="AG127" s="48">
        <v>69480</v>
      </c>
      <c r="AH127" s="33">
        <f t="shared" si="2"/>
        <v>69480</v>
      </c>
      <c r="AI127" s="71" t="s">
        <v>223</v>
      </c>
      <c r="AJ127" s="46">
        <v>11064</v>
      </c>
      <c r="AK127" s="37" t="s">
        <v>286</v>
      </c>
      <c r="AL127" s="46">
        <v>11170</v>
      </c>
      <c r="AM127" s="107"/>
      <c r="AN127" s="107"/>
      <c r="AO127" s="107"/>
      <c r="AP127" s="107"/>
      <c r="AQ127" s="107"/>
      <c r="AR127" s="108"/>
      <c r="AS127" s="44"/>
      <c r="AT127" s="50"/>
      <c r="AU127" s="50"/>
      <c r="AV127" s="50"/>
      <c r="AW127" s="50"/>
      <c r="AX127" s="50"/>
      <c r="AY127" s="50"/>
      <c r="AZ127" s="50"/>
      <c r="BA127" s="51"/>
      <c r="BB127" s="52"/>
      <c r="BC127" s="50"/>
      <c r="BD127" s="53"/>
    </row>
    <row r="128" spans="1:56" ht="63.75" x14ac:dyDescent="0.25">
      <c r="A128" s="86">
        <v>56</v>
      </c>
      <c r="B128" s="99">
        <v>34412213109</v>
      </c>
      <c r="C128" s="54" t="s">
        <v>234</v>
      </c>
      <c r="D128" s="54" t="s">
        <v>221</v>
      </c>
      <c r="E128" s="37" t="s">
        <v>153</v>
      </c>
      <c r="F128" s="37" t="s">
        <v>434</v>
      </c>
      <c r="G128" s="91">
        <v>11013</v>
      </c>
      <c r="H128" s="73" t="s">
        <v>435</v>
      </c>
      <c r="I128" s="37" t="s">
        <v>436</v>
      </c>
      <c r="J128" s="37" t="s">
        <v>437</v>
      </c>
      <c r="K128" s="45">
        <v>41800</v>
      </c>
      <c r="L128" s="48">
        <v>255516.75</v>
      </c>
      <c r="M128" s="46">
        <v>11394</v>
      </c>
      <c r="N128" s="45">
        <v>41800</v>
      </c>
      <c r="O128" s="45">
        <v>42004</v>
      </c>
      <c r="P128" s="37" t="s">
        <v>129</v>
      </c>
      <c r="Q128" s="37"/>
      <c r="R128" s="37"/>
      <c r="S128" s="37"/>
      <c r="T128" s="47" t="s">
        <v>316</v>
      </c>
      <c r="U128" s="44"/>
      <c r="V128" s="37"/>
      <c r="W128" s="37"/>
      <c r="X128" s="37"/>
      <c r="Y128" s="37"/>
      <c r="Z128" s="37"/>
      <c r="AA128" s="37"/>
      <c r="AB128" s="37"/>
      <c r="AC128" s="48"/>
      <c r="AD128" s="47"/>
      <c r="AE128" s="63">
        <f>L128-AD128+AC128</f>
        <v>255516.75</v>
      </c>
      <c r="AF128" s="37"/>
      <c r="AG128" s="48">
        <v>46958.45</v>
      </c>
      <c r="AH128" s="33">
        <f t="shared" si="2"/>
        <v>46958.45</v>
      </c>
      <c r="AI128" s="71" t="s">
        <v>234</v>
      </c>
      <c r="AJ128" s="113"/>
      <c r="AK128" s="37" t="s">
        <v>438</v>
      </c>
      <c r="AL128" s="46">
        <v>11487</v>
      </c>
      <c r="AM128" s="107"/>
      <c r="AN128" s="107"/>
      <c r="AO128" s="107"/>
      <c r="AP128" s="107"/>
      <c r="AQ128" s="107"/>
      <c r="AR128" s="108"/>
      <c r="AS128" s="44"/>
      <c r="AT128" s="50"/>
      <c r="AU128" s="50"/>
      <c r="AV128" s="50"/>
      <c r="AW128" s="50"/>
      <c r="AX128" s="50"/>
      <c r="AY128" s="50"/>
      <c r="AZ128" s="50"/>
      <c r="BA128" s="51"/>
      <c r="BB128" s="52"/>
      <c r="BC128" s="50"/>
      <c r="BD128" s="53"/>
    </row>
    <row r="129" spans="1:56" s="114" customFormat="1" ht="25.5" x14ac:dyDescent="0.25">
      <c r="A129" s="88">
        <v>57</v>
      </c>
      <c r="B129" s="99"/>
      <c r="C129" s="76"/>
      <c r="D129" s="76" t="s">
        <v>333</v>
      </c>
      <c r="E129" s="76"/>
      <c r="F129" s="76"/>
      <c r="G129" s="109"/>
      <c r="H129" s="73" t="s">
        <v>439</v>
      </c>
      <c r="I129" s="37" t="s">
        <v>440</v>
      </c>
      <c r="J129" s="37" t="s">
        <v>441</v>
      </c>
      <c r="K129" s="45">
        <v>41834</v>
      </c>
      <c r="L129" s="48">
        <v>3150</v>
      </c>
      <c r="M129" s="46">
        <v>11394</v>
      </c>
      <c r="N129" s="45">
        <v>41834</v>
      </c>
      <c r="O129" s="45">
        <v>41926</v>
      </c>
      <c r="P129" s="37" t="s">
        <v>129</v>
      </c>
      <c r="Q129" s="37"/>
      <c r="R129" s="37"/>
      <c r="S129" s="37"/>
      <c r="T129" s="47" t="s">
        <v>158</v>
      </c>
      <c r="U129" s="44"/>
      <c r="V129" s="37"/>
      <c r="W129" s="37"/>
      <c r="X129" s="37"/>
      <c r="Y129" s="37"/>
      <c r="Z129" s="37"/>
      <c r="AA129" s="37"/>
      <c r="AB129" s="37"/>
      <c r="AC129" s="37"/>
      <c r="AD129" s="47"/>
      <c r="AE129" s="63">
        <f>L129-AD129+AC129</f>
        <v>3150</v>
      </c>
      <c r="AF129" s="37"/>
      <c r="AG129" s="48">
        <v>3150</v>
      </c>
      <c r="AH129" s="33">
        <f t="shared" si="2"/>
        <v>3150</v>
      </c>
      <c r="AI129" s="106"/>
      <c r="AJ129" s="107"/>
      <c r="AK129" s="107"/>
      <c r="AL129" s="107"/>
      <c r="AM129" s="107" t="s">
        <v>301</v>
      </c>
      <c r="AN129" s="107"/>
      <c r="AO129" s="107"/>
      <c r="AP129" s="107"/>
      <c r="AQ129" s="107"/>
      <c r="AR129" s="108"/>
      <c r="AS129" s="44"/>
      <c r="AT129" s="37"/>
      <c r="AU129" s="37"/>
      <c r="AV129" s="37"/>
      <c r="AW129" s="37"/>
      <c r="AX129" s="37"/>
      <c r="AY129" s="37"/>
      <c r="AZ129" s="37"/>
      <c r="BA129" s="74"/>
      <c r="BB129" s="44"/>
      <c r="BC129" s="37"/>
      <c r="BD129" s="47"/>
    </row>
    <row r="130" spans="1:56" ht="25.5" x14ac:dyDescent="0.25">
      <c r="A130" s="86">
        <v>58</v>
      </c>
      <c r="B130" s="44" t="s">
        <v>442</v>
      </c>
      <c r="C130" s="37" t="s">
        <v>443</v>
      </c>
      <c r="D130" s="37" t="s">
        <v>221</v>
      </c>
      <c r="E130" s="37" t="s">
        <v>168</v>
      </c>
      <c r="F130" s="37" t="s">
        <v>444</v>
      </c>
      <c r="G130" s="87">
        <v>11346</v>
      </c>
      <c r="H130" s="73" t="s">
        <v>445</v>
      </c>
      <c r="I130" s="37" t="s">
        <v>386</v>
      </c>
      <c r="J130" s="37" t="s">
        <v>387</v>
      </c>
      <c r="K130" s="45">
        <v>41866</v>
      </c>
      <c r="L130" s="48">
        <v>26191.56</v>
      </c>
      <c r="M130" s="46">
        <v>11399</v>
      </c>
      <c r="N130" s="45">
        <v>41866</v>
      </c>
      <c r="O130" s="45">
        <v>42004</v>
      </c>
      <c r="P130" s="37" t="s">
        <v>129</v>
      </c>
      <c r="Q130" s="37"/>
      <c r="R130" s="37"/>
      <c r="S130" s="37"/>
      <c r="T130" s="47" t="s">
        <v>316</v>
      </c>
      <c r="U130" s="44"/>
      <c r="V130" s="37"/>
      <c r="W130" s="37"/>
      <c r="X130" s="37"/>
      <c r="Y130" s="37"/>
      <c r="Z130" s="37"/>
      <c r="AA130" s="37"/>
      <c r="AB130" s="37"/>
      <c r="AC130" s="37"/>
      <c r="AD130" s="47"/>
      <c r="AE130" s="63">
        <f t="shared" ref="AE130:AE155" si="3">L130-AD130+AC130</f>
        <v>26191.56</v>
      </c>
      <c r="AF130" s="37"/>
      <c r="AG130" s="48">
        <v>26191.56</v>
      </c>
      <c r="AH130" s="33">
        <f t="shared" si="2"/>
        <v>26191.56</v>
      </c>
      <c r="AI130" s="106"/>
      <c r="AJ130" s="107"/>
      <c r="AK130" s="107"/>
      <c r="AL130" s="107"/>
      <c r="AM130" s="107"/>
      <c r="AN130" s="107"/>
      <c r="AO130" s="107"/>
      <c r="AP130" s="107"/>
      <c r="AQ130" s="107"/>
      <c r="AR130" s="108"/>
      <c r="AS130" s="44"/>
      <c r="AT130" s="50"/>
      <c r="AU130" s="50"/>
      <c r="AV130" s="50"/>
      <c r="AW130" s="50"/>
      <c r="AX130" s="50"/>
      <c r="AY130" s="50"/>
      <c r="AZ130" s="50"/>
      <c r="BA130" s="51"/>
      <c r="BB130" s="52"/>
      <c r="BC130" s="50"/>
      <c r="BD130" s="53"/>
    </row>
    <row r="131" spans="1:56" ht="38.25" x14ac:dyDescent="0.25">
      <c r="A131" s="86">
        <v>59</v>
      </c>
      <c r="B131" s="44" t="s">
        <v>442</v>
      </c>
      <c r="C131" s="37" t="s">
        <v>443</v>
      </c>
      <c r="D131" s="37" t="s">
        <v>221</v>
      </c>
      <c r="E131" s="37" t="s">
        <v>168</v>
      </c>
      <c r="F131" s="37" t="s">
        <v>444</v>
      </c>
      <c r="G131" s="87">
        <v>11346</v>
      </c>
      <c r="H131" s="73" t="s">
        <v>446</v>
      </c>
      <c r="I131" s="37" t="s">
        <v>447</v>
      </c>
      <c r="J131" s="37" t="s">
        <v>448</v>
      </c>
      <c r="K131" s="45">
        <v>41866</v>
      </c>
      <c r="L131" s="48">
        <v>1108.4000000000001</v>
      </c>
      <c r="M131" s="46" t="s">
        <v>449</v>
      </c>
      <c r="N131" s="45">
        <v>41866</v>
      </c>
      <c r="O131" s="45">
        <v>42004</v>
      </c>
      <c r="P131" s="37" t="s">
        <v>129</v>
      </c>
      <c r="Q131" s="37"/>
      <c r="R131" s="37"/>
      <c r="S131" s="37"/>
      <c r="T131" s="47" t="s">
        <v>316</v>
      </c>
      <c r="U131" s="44"/>
      <c r="V131" s="37"/>
      <c r="W131" s="37"/>
      <c r="X131" s="37"/>
      <c r="Y131" s="37"/>
      <c r="Z131" s="37"/>
      <c r="AA131" s="37"/>
      <c r="AB131" s="37"/>
      <c r="AC131" s="37"/>
      <c r="AD131" s="47"/>
      <c r="AE131" s="63">
        <f t="shared" si="3"/>
        <v>1108.4000000000001</v>
      </c>
      <c r="AF131" s="37"/>
      <c r="AG131" s="48"/>
      <c r="AH131" s="33">
        <f t="shared" si="2"/>
        <v>0</v>
      </c>
      <c r="AI131" s="106"/>
      <c r="AJ131" s="107"/>
      <c r="AK131" s="107"/>
      <c r="AL131" s="107"/>
      <c r="AM131" s="107"/>
      <c r="AN131" s="107"/>
      <c r="AO131" s="107"/>
      <c r="AP131" s="107"/>
      <c r="AQ131" s="107"/>
      <c r="AR131" s="108"/>
      <c r="AS131" s="44"/>
      <c r="AT131" s="50"/>
      <c r="AU131" s="50"/>
      <c r="AV131" s="50"/>
      <c r="AW131" s="50"/>
      <c r="AX131" s="50"/>
      <c r="AY131" s="50"/>
      <c r="AZ131" s="50"/>
      <c r="BA131" s="51"/>
      <c r="BB131" s="52"/>
      <c r="BC131" s="50"/>
      <c r="BD131" s="53"/>
    </row>
    <row r="132" spans="1:56" ht="25.5" x14ac:dyDescent="0.25">
      <c r="A132" s="86">
        <v>60</v>
      </c>
      <c r="B132" s="44" t="s">
        <v>442</v>
      </c>
      <c r="C132" s="37" t="s">
        <v>443</v>
      </c>
      <c r="D132" s="37" t="s">
        <v>221</v>
      </c>
      <c r="E132" s="37" t="s">
        <v>168</v>
      </c>
      <c r="F132" s="37" t="s">
        <v>444</v>
      </c>
      <c r="G132" s="87">
        <v>11346</v>
      </c>
      <c r="H132" s="73" t="s">
        <v>450</v>
      </c>
      <c r="I132" s="37" t="s">
        <v>451</v>
      </c>
      <c r="J132" s="37" t="s">
        <v>452</v>
      </c>
      <c r="K132" s="45">
        <v>41866</v>
      </c>
      <c r="L132" s="48">
        <v>171</v>
      </c>
      <c r="M132" s="46">
        <v>11400</v>
      </c>
      <c r="N132" s="45">
        <v>41866</v>
      </c>
      <c r="O132" s="45">
        <v>42004</v>
      </c>
      <c r="P132" s="37" t="s">
        <v>129</v>
      </c>
      <c r="Q132" s="37"/>
      <c r="R132" s="37"/>
      <c r="S132" s="37"/>
      <c r="T132" s="47" t="s">
        <v>316</v>
      </c>
      <c r="U132" s="44"/>
      <c r="V132" s="37"/>
      <c r="W132" s="37"/>
      <c r="X132" s="37"/>
      <c r="Y132" s="37"/>
      <c r="Z132" s="37"/>
      <c r="AA132" s="37"/>
      <c r="AB132" s="37"/>
      <c r="AC132" s="37"/>
      <c r="AD132" s="47"/>
      <c r="AE132" s="63">
        <f t="shared" si="3"/>
        <v>171</v>
      </c>
      <c r="AF132" s="37"/>
      <c r="AG132" s="48"/>
      <c r="AH132" s="33">
        <f t="shared" si="2"/>
        <v>0</v>
      </c>
      <c r="AI132" s="106"/>
      <c r="AJ132" s="107"/>
      <c r="AK132" s="107"/>
      <c r="AL132" s="107"/>
      <c r="AM132" s="107"/>
      <c r="AN132" s="107"/>
      <c r="AO132" s="107"/>
      <c r="AP132" s="107"/>
      <c r="AQ132" s="107"/>
      <c r="AR132" s="108"/>
      <c r="AS132" s="44"/>
      <c r="AT132" s="50"/>
      <c r="AU132" s="50"/>
      <c r="AV132" s="50"/>
      <c r="AW132" s="50"/>
      <c r="AX132" s="50"/>
      <c r="AY132" s="50"/>
      <c r="AZ132" s="50"/>
      <c r="BA132" s="51"/>
      <c r="BB132" s="52"/>
      <c r="BC132" s="50"/>
      <c r="BD132" s="53"/>
    </row>
    <row r="133" spans="1:56" ht="25.5" x14ac:dyDescent="0.25">
      <c r="A133" s="86">
        <v>61</v>
      </c>
      <c r="B133" s="44" t="s">
        <v>442</v>
      </c>
      <c r="C133" s="37" t="s">
        <v>443</v>
      </c>
      <c r="D133" s="37" t="s">
        <v>221</v>
      </c>
      <c r="E133" s="37" t="s">
        <v>168</v>
      </c>
      <c r="F133" s="37" t="s">
        <v>444</v>
      </c>
      <c r="G133" s="87">
        <v>11346</v>
      </c>
      <c r="H133" s="73" t="s">
        <v>453</v>
      </c>
      <c r="I133" s="37" t="s">
        <v>454</v>
      </c>
      <c r="J133" s="37" t="s">
        <v>455</v>
      </c>
      <c r="K133" s="45">
        <v>41866</v>
      </c>
      <c r="L133" s="48">
        <v>174.9</v>
      </c>
      <c r="M133" s="46">
        <v>11403</v>
      </c>
      <c r="N133" s="45">
        <v>41866</v>
      </c>
      <c r="O133" s="45">
        <v>42004</v>
      </c>
      <c r="P133" s="37" t="s">
        <v>129</v>
      </c>
      <c r="Q133" s="37"/>
      <c r="R133" s="37"/>
      <c r="S133" s="37"/>
      <c r="T133" s="47" t="s">
        <v>316</v>
      </c>
      <c r="U133" s="44"/>
      <c r="V133" s="37"/>
      <c r="W133" s="37"/>
      <c r="X133" s="37"/>
      <c r="Y133" s="37"/>
      <c r="Z133" s="37"/>
      <c r="AA133" s="37"/>
      <c r="AB133" s="37"/>
      <c r="AC133" s="37"/>
      <c r="AD133" s="47"/>
      <c r="AE133" s="63">
        <f t="shared" si="3"/>
        <v>174.9</v>
      </c>
      <c r="AF133" s="37"/>
      <c r="AG133" s="48"/>
      <c r="AH133" s="33">
        <f t="shared" si="2"/>
        <v>0</v>
      </c>
      <c r="AI133" s="106"/>
      <c r="AJ133" s="107"/>
      <c r="AK133" s="107"/>
      <c r="AL133" s="107"/>
      <c r="AM133" s="107"/>
      <c r="AN133" s="107"/>
      <c r="AO133" s="107"/>
      <c r="AP133" s="107"/>
      <c r="AQ133" s="107"/>
      <c r="AR133" s="108"/>
      <c r="AS133" s="44"/>
      <c r="AT133" s="50"/>
      <c r="AU133" s="50"/>
      <c r="AV133" s="50"/>
      <c r="AW133" s="50"/>
      <c r="AX133" s="50"/>
      <c r="AY133" s="50"/>
      <c r="AZ133" s="50"/>
      <c r="BA133" s="51"/>
      <c r="BB133" s="52"/>
      <c r="BC133" s="50"/>
      <c r="BD133" s="53"/>
    </row>
    <row r="134" spans="1:56" ht="25.5" x14ac:dyDescent="0.25">
      <c r="A134" s="86">
        <v>62</v>
      </c>
      <c r="B134" s="44" t="s">
        <v>442</v>
      </c>
      <c r="C134" s="37" t="s">
        <v>443</v>
      </c>
      <c r="D134" s="37" t="s">
        <v>221</v>
      </c>
      <c r="E134" s="37" t="s">
        <v>168</v>
      </c>
      <c r="F134" s="37" t="s">
        <v>444</v>
      </c>
      <c r="G134" s="87">
        <v>11346</v>
      </c>
      <c r="H134" s="73" t="s">
        <v>456</v>
      </c>
      <c r="I134" s="37" t="s">
        <v>457</v>
      </c>
      <c r="J134" s="37" t="s">
        <v>458</v>
      </c>
      <c r="K134" s="45">
        <v>41866</v>
      </c>
      <c r="L134" s="48">
        <v>255.2</v>
      </c>
      <c r="M134" s="46">
        <v>11403</v>
      </c>
      <c r="N134" s="45">
        <v>41866</v>
      </c>
      <c r="O134" s="45">
        <v>42004</v>
      </c>
      <c r="P134" s="37" t="s">
        <v>129</v>
      </c>
      <c r="Q134" s="37"/>
      <c r="R134" s="37"/>
      <c r="S134" s="37"/>
      <c r="T134" s="47" t="s">
        <v>316</v>
      </c>
      <c r="U134" s="44"/>
      <c r="V134" s="37"/>
      <c r="W134" s="37"/>
      <c r="X134" s="37"/>
      <c r="Y134" s="37"/>
      <c r="Z134" s="37"/>
      <c r="AA134" s="37"/>
      <c r="AB134" s="37"/>
      <c r="AC134" s="37"/>
      <c r="AD134" s="47"/>
      <c r="AE134" s="63">
        <f t="shared" si="3"/>
        <v>255.2</v>
      </c>
      <c r="AF134" s="37"/>
      <c r="AG134" s="48"/>
      <c r="AH134" s="33">
        <f t="shared" si="2"/>
        <v>0</v>
      </c>
      <c r="AI134" s="106"/>
      <c r="AJ134" s="107"/>
      <c r="AK134" s="107"/>
      <c r="AL134" s="107"/>
      <c r="AM134" s="107"/>
      <c r="AN134" s="107"/>
      <c r="AO134" s="107"/>
      <c r="AP134" s="107"/>
      <c r="AQ134" s="107"/>
      <c r="AR134" s="108"/>
      <c r="AS134" s="44"/>
      <c r="AT134" s="50"/>
      <c r="AU134" s="50"/>
      <c r="AV134" s="50"/>
      <c r="AW134" s="50"/>
      <c r="AX134" s="50"/>
      <c r="AY134" s="50"/>
      <c r="AZ134" s="50"/>
      <c r="BA134" s="51"/>
      <c r="BB134" s="52"/>
      <c r="BC134" s="50"/>
      <c r="BD134" s="53"/>
    </row>
    <row r="135" spans="1:56" ht="25.5" x14ac:dyDescent="0.25">
      <c r="A135" s="86">
        <v>63</v>
      </c>
      <c r="B135" s="44" t="s">
        <v>459</v>
      </c>
      <c r="C135" s="37" t="s">
        <v>460</v>
      </c>
      <c r="D135" s="37" t="s">
        <v>221</v>
      </c>
      <c r="E135" s="37" t="s">
        <v>168</v>
      </c>
      <c r="F135" s="37" t="s">
        <v>461</v>
      </c>
      <c r="G135" s="87">
        <v>11358</v>
      </c>
      <c r="H135" s="73" t="s">
        <v>462</v>
      </c>
      <c r="I135" s="37" t="s">
        <v>463</v>
      </c>
      <c r="J135" s="37" t="s">
        <v>464</v>
      </c>
      <c r="K135" s="45">
        <v>41866</v>
      </c>
      <c r="L135" s="48">
        <v>160094.94</v>
      </c>
      <c r="M135" s="46">
        <v>11451</v>
      </c>
      <c r="N135" s="45">
        <v>41866</v>
      </c>
      <c r="O135" s="45">
        <v>42004</v>
      </c>
      <c r="P135" s="37" t="s">
        <v>129</v>
      </c>
      <c r="Q135" s="37"/>
      <c r="R135" s="37"/>
      <c r="S135" s="37"/>
      <c r="T135" s="47" t="s">
        <v>316</v>
      </c>
      <c r="U135" s="44"/>
      <c r="V135" s="37"/>
      <c r="W135" s="37"/>
      <c r="X135" s="37"/>
      <c r="Y135" s="37"/>
      <c r="Z135" s="37"/>
      <c r="AA135" s="37"/>
      <c r="AB135" s="37"/>
      <c r="AC135" s="37"/>
      <c r="AD135" s="47"/>
      <c r="AE135" s="63">
        <f t="shared" si="3"/>
        <v>160094.94</v>
      </c>
      <c r="AF135" s="37"/>
      <c r="AG135" s="48">
        <v>35396.6</v>
      </c>
      <c r="AH135" s="33">
        <f t="shared" si="2"/>
        <v>35396.6</v>
      </c>
      <c r="AI135" s="106"/>
      <c r="AJ135" s="107"/>
      <c r="AK135" s="107"/>
      <c r="AL135" s="107"/>
      <c r="AM135" s="107"/>
      <c r="AN135" s="107"/>
      <c r="AO135" s="107"/>
      <c r="AP135" s="107"/>
      <c r="AQ135" s="107"/>
      <c r="AR135" s="108"/>
      <c r="AS135" s="44"/>
      <c r="AT135" s="50"/>
      <c r="AU135" s="50"/>
      <c r="AV135" s="50"/>
      <c r="AW135" s="50"/>
      <c r="AX135" s="50"/>
      <c r="AY135" s="50"/>
      <c r="AZ135" s="50"/>
      <c r="BA135" s="51"/>
      <c r="BB135" s="52"/>
      <c r="BC135" s="50"/>
      <c r="BD135" s="53"/>
    </row>
    <row r="136" spans="1:56" ht="25.5" x14ac:dyDescent="0.25">
      <c r="A136" s="86">
        <v>64</v>
      </c>
      <c r="B136" s="44" t="s">
        <v>459</v>
      </c>
      <c r="C136" s="37" t="s">
        <v>460</v>
      </c>
      <c r="D136" s="37" t="s">
        <v>221</v>
      </c>
      <c r="E136" s="37" t="s">
        <v>168</v>
      </c>
      <c r="F136" s="37" t="s">
        <v>461</v>
      </c>
      <c r="G136" s="87">
        <v>11358</v>
      </c>
      <c r="H136" s="73" t="s">
        <v>465</v>
      </c>
      <c r="I136" s="37" t="s">
        <v>466</v>
      </c>
      <c r="J136" s="37" t="s">
        <v>467</v>
      </c>
      <c r="K136" s="45">
        <v>41866</v>
      </c>
      <c r="L136" s="48">
        <v>7208.4</v>
      </c>
      <c r="M136" s="46">
        <v>11451</v>
      </c>
      <c r="N136" s="45">
        <v>41866</v>
      </c>
      <c r="O136" s="45">
        <v>42004</v>
      </c>
      <c r="P136" s="37" t="s">
        <v>129</v>
      </c>
      <c r="Q136" s="37"/>
      <c r="R136" s="37"/>
      <c r="S136" s="37"/>
      <c r="T136" s="47" t="s">
        <v>316</v>
      </c>
      <c r="U136" s="44"/>
      <c r="V136" s="37"/>
      <c r="W136" s="37"/>
      <c r="X136" s="37"/>
      <c r="Y136" s="37"/>
      <c r="Z136" s="37"/>
      <c r="AA136" s="37"/>
      <c r="AB136" s="37"/>
      <c r="AC136" s="37"/>
      <c r="AD136" s="47"/>
      <c r="AE136" s="63">
        <f t="shared" si="3"/>
        <v>7208.4</v>
      </c>
      <c r="AF136" s="37"/>
      <c r="AG136" s="48"/>
      <c r="AH136" s="33">
        <f t="shared" si="2"/>
        <v>0</v>
      </c>
      <c r="AI136" s="106"/>
      <c r="AJ136" s="107"/>
      <c r="AK136" s="107"/>
      <c r="AL136" s="107"/>
      <c r="AM136" s="107"/>
      <c r="AN136" s="107"/>
      <c r="AO136" s="107"/>
      <c r="AP136" s="107"/>
      <c r="AQ136" s="107"/>
      <c r="AR136" s="108"/>
      <c r="AS136" s="44"/>
      <c r="AT136" s="50"/>
      <c r="AU136" s="50"/>
      <c r="AV136" s="50"/>
      <c r="AW136" s="50"/>
      <c r="AX136" s="50"/>
      <c r="AY136" s="50"/>
      <c r="AZ136" s="50"/>
      <c r="BA136" s="51"/>
      <c r="BB136" s="52"/>
      <c r="BC136" s="50"/>
      <c r="BD136" s="53"/>
    </row>
    <row r="137" spans="1:56" ht="25.5" x14ac:dyDescent="0.25">
      <c r="A137" s="86">
        <v>65</v>
      </c>
      <c r="B137" s="44" t="s">
        <v>459</v>
      </c>
      <c r="C137" s="37" t="s">
        <v>460</v>
      </c>
      <c r="D137" s="37" t="s">
        <v>221</v>
      </c>
      <c r="E137" s="37" t="s">
        <v>168</v>
      </c>
      <c r="F137" s="37" t="s">
        <v>461</v>
      </c>
      <c r="G137" s="87">
        <v>11358</v>
      </c>
      <c r="H137" s="73" t="s">
        <v>468</v>
      </c>
      <c r="I137" s="37" t="s">
        <v>469</v>
      </c>
      <c r="J137" s="37" t="s">
        <v>470</v>
      </c>
      <c r="K137" s="45">
        <v>41866</v>
      </c>
      <c r="L137" s="48">
        <v>275</v>
      </c>
      <c r="M137" s="46">
        <v>11451</v>
      </c>
      <c r="N137" s="45">
        <v>41866</v>
      </c>
      <c r="O137" s="45">
        <v>42004</v>
      </c>
      <c r="P137" s="37" t="s">
        <v>129</v>
      </c>
      <c r="Q137" s="37"/>
      <c r="R137" s="37"/>
      <c r="S137" s="37"/>
      <c r="T137" s="47" t="s">
        <v>316</v>
      </c>
      <c r="U137" s="44"/>
      <c r="V137" s="37"/>
      <c r="W137" s="37"/>
      <c r="X137" s="37"/>
      <c r="Y137" s="37"/>
      <c r="Z137" s="37"/>
      <c r="AA137" s="37"/>
      <c r="AB137" s="37"/>
      <c r="AC137" s="37"/>
      <c r="AD137" s="47"/>
      <c r="AE137" s="63">
        <f t="shared" si="3"/>
        <v>275</v>
      </c>
      <c r="AF137" s="37"/>
      <c r="AG137" s="48"/>
      <c r="AH137" s="33">
        <f t="shared" si="2"/>
        <v>0</v>
      </c>
      <c r="AI137" s="106"/>
      <c r="AJ137" s="107"/>
      <c r="AK137" s="107"/>
      <c r="AL137" s="107"/>
      <c r="AM137" s="107"/>
      <c r="AN137" s="107"/>
      <c r="AO137" s="107"/>
      <c r="AP137" s="107"/>
      <c r="AQ137" s="107"/>
      <c r="AR137" s="108"/>
      <c r="AS137" s="44"/>
      <c r="AT137" s="50"/>
      <c r="AU137" s="50"/>
      <c r="AV137" s="50"/>
      <c r="AW137" s="50"/>
      <c r="AX137" s="50"/>
      <c r="AY137" s="50"/>
      <c r="AZ137" s="50"/>
      <c r="BA137" s="51"/>
      <c r="BB137" s="52"/>
      <c r="BC137" s="50"/>
      <c r="BD137" s="53"/>
    </row>
    <row r="138" spans="1:56" ht="51" x14ac:dyDescent="0.25">
      <c r="A138" s="86">
        <v>66</v>
      </c>
      <c r="B138" s="44" t="s">
        <v>471</v>
      </c>
      <c r="C138" s="37" t="s">
        <v>472</v>
      </c>
      <c r="D138" s="37" t="s">
        <v>221</v>
      </c>
      <c r="E138" s="37" t="s">
        <v>473</v>
      </c>
      <c r="F138" s="37" t="s">
        <v>474</v>
      </c>
      <c r="G138" s="87">
        <v>11321</v>
      </c>
      <c r="H138" s="73" t="s">
        <v>475</v>
      </c>
      <c r="I138" s="37" t="s">
        <v>476</v>
      </c>
      <c r="J138" s="37" t="s">
        <v>477</v>
      </c>
      <c r="K138" s="45">
        <v>41883</v>
      </c>
      <c r="L138" s="48">
        <v>79557</v>
      </c>
      <c r="M138" s="46">
        <v>11389</v>
      </c>
      <c r="N138" s="45">
        <v>41883</v>
      </c>
      <c r="O138" s="45">
        <v>42004</v>
      </c>
      <c r="P138" s="37" t="s">
        <v>129</v>
      </c>
      <c r="Q138" s="37"/>
      <c r="R138" s="37"/>
      <c r="S138" s="37"/>
      <c r="T138" s="47" t="s">
        <v>316</v>
      </c>
      <c r="U138" s="44"/>
      <c r="V138" s="37"/>
      <c r="W138" s="37"/>
      <c r="X138" s="37"/>
      <c r="Y138" s="37"/>
      <c r="Z138" s="37"/>
      <c r="AA138" s="37"/>
      <c r="AB138" s="37"/>
      <c r="AC138" s="37"/>
      <c r="AD138" s="47"/>
      <c r="AE138" s="63">
        <f t="shared" si="3"/>
        <v>79557</v>
      </c>
      <c r="AF138" s="37"/>
      <c r="AG138" s="48">
        <v>13475.7</v>
      </c>
      <c r="AH138" s="33">
        <f t="shared" si="2"/>
        <v>13475.7</v>
      </c>
      <c r="AI138" s="106" t="s">
        <v>478</v>
      </c>
      <c r="AJ138" s="115" t="s">
        <v>479</v>
      </c>
      <c r="AK138" s="107" t="s">
        <v>480</v>
      </c>
      <c r="AL138" s="115" t="s">
        <v>481</v>
      </c>
      <c r="AM138" s="107"/>
      <c r="AN138" s="107"/>
      <c r="AO138" s="107"/>
      <c r="AP138" s="107"/>
      <c r="AQ138" s="107"/>
      <c r="AR138" s="108"/>
      <c r="AS138" s="44"/>
      <c r="AT138" s="50"/>
      <c r="AU138" s="50"/>
      <c r="AV138" s="50"/>
      <c r="AW138" s="50"/>
      <c r="AX138" s="50"/>
      <c r="AY138" s="50"/>
      <c r="AZ138" s="50"/>
      <c r="BA138" s="51"/>
      <c r="BB138" s="52"/>
      <c r="BC138" s="50"/>
      <c r="BD138" s="53"/>
    </row>
    <row r="139" spans="1:56" ht="51" x14ac:dyDescent="0.25">
      <c r="A139" s="86">
        <v>67</v>
      </c>
      <c r="B139" s="44" t="s">
        <v>482</v>
      </c>
      <c r="C139" s="54" t="s">
        <v>283</v>
      </c>
      <c r="D139" s="37" t="s">
        <v>221</v>
      </c>
      <c r="E139" s="37" t="s">
        <v>473</v>
      </c>
      <c r="F139" s="37" t="s">
        <v>483</v>
      </c>
      <c r="G139" s="109"/>
      <c r="H139" s="73" t="s">
        <v>484</v>
      </c>
      <c r="I139" s="37" t="s">
        <v>485</v>
      </c>
      <c r="J139" s="37" t="s">
        <v>486</v>
      </c>
      <c r="K139" s="45">
        <v>41884</v>
      </c>
      <c r="L139" s="48">
        <v>1293000</v>
      </c>
      <c r="M139" s="115" t="s">
        <v>487</v>
      </c>
      <c r="N139" s="45">
        <v>41884</v>
      </c>
      <c r="O139" s="45">
        <v>41883</v>
      </c>
      <c r="P139" s="37" t="s">
        <v>129</v>
      </c>
      <c r="Q139" s="37"/>
      <c r="R139" s="37"/>
      <c r="S139" s="37"/>
      <c r="T139" s="65" t="s">
        <v>488</v>
      </c>
      <c r="U139" s="44"/>
      <c r="V139" s="37"/>
      <c r="W139" s="37"/>
      <c r="X139" s="37"/>
      <c r="Y139" s="37"/>
      <c r="Z139" s="37"/>
      <c r="AA139" s="37"/>
      <c r="AB139" s="37"/>
      <c r="AC139" s="37"/>
      <c r="AD139" s="47"/>
      <c r="AE139" s="63">
        <f t="shared" si="3"/>
        <v>1293000</v>
      </c>
      <c r="AF139" s="37"/>
      <c r="AG139" s="48"/>
      <c r="AH139" s="33">
        <f t="shared" si="2"/>
        <v>0</v>
      </c>
      <c r="AI139" s="106" t="s">
        <v>489</v>
      </c>
      <c r="AJ139" s="115" t="s">
        <v>490</v>
      </c>
      <c r="AK139" s="107" t="s">
        <v>491</v>
      </c>
      <c r="AL139" s="115" t="s">
        <v>492</v>
      </c>
      <c r="AM139" s="107"/>
      <c r="AN139" s="107"/>
      <c r="AO139" s="107"/>
      <c r="AP139" s="107"/>
      <c r="AQ139" s="107"/>
      <c r="AR139" s="108"/>
      <c r="AS139" s="44"/>
      <c r="AT139" s="50"/>
      <c r="AU139" s="50"/>
      <c r="AV139" s="50"/>
      <c r="AW139" s="50"/>
      <c r="AX139" s="50"/>
      <c r="AY139" s="50"/>
      <c r="AZ139" s="50"/>
      <c r="BA139" s="51"/>
      <c r="BB139" s="52"/>
      <c r="BC139" s="50"/>
      <c r="BD139" s="53"/>
    </row>
    <row r="140" spans="1:56" ht="25.5" x14ac:dyDescent="0.25">
      <c r="A140" s="86">
        <v>68</v>
      </c>
      <c r="B140" s="44"/>
      <c r="C140" s="37"/>
      <c r="D140" s="37" t="s">
        <v>493</v>
      </c>
      <c r="E140" s="37"/>
      <c r="F140" s="37"/>
      <c r="G140" s="47"/>
      <c r="H140" s="73" t="s">
        <v>494</v>
      </c>
      <c r="I140" s="37" t="s">
        <v>495</v>
      </c>
      <c r="J140" s="37" t="s">
        <v>496</v>
      </c>
      <c r="K140" s="45">
        <v>41894</v>
      </c>
      <c r="L140" s="48">
        <v>6665</v>
      </c>
      <c r="M140" s="46">
        <v>11392</v>
      </c>
      <c r="N140" s="45">
        <v>41894</v>
      </c>
      <c r="O140" s="45">
        <v>41924</v>
      </c>
      <c r="P140" s="37" t="s">
        <v>129</v>
      </c>
      <c r="Q140" s="37"/>
      <c r="R140" s="37"/>
      <c r="S140" s="37"/>
      <c r="T140" s="47" t="s">
        <v>158</v>
      </c>
      <c r="U140" s="44"/>
      <c r="V140" s="37"/>
      <c r="W140" s="37"/>
      <c r="X140" s="37"/>
      <c r="Y140" s="37"/>
      <c r="Z140" s="37"/>
      <c r="AA140" s="37"/>
      <c r="AB140" s="37"/>
      <c r="AC140" s="37"/>
      <c r="AD140" s="47"/>
      <c r="AE140" s="63">
        <f t="shared" si="3"/>
        <v>6665</v>
      </c>
      <c r="AF140" s="37"/>
      <c r="AG140" s="48"/>
      <c r="AH140" s="33">
        <f t="shared" si="2"/>
        <v>0</v>
      </c>
      <c r="AI140" s="106"/>
      <c r="AJ140" s="115"/>
      <c r="AK140" s="107"/>
      <c r="AL140" s="115"/>
      <c r="AM140" s="107" t="s">
        <v>301</v>
      </c>
      <c r="AN140" s="107"/>
      <c r="AO140" s="107"/>
      <c r="AP140" s="107"/>
      <c r="AQ140" s="107"/>
      <c r="AR140" s="108"/>
      <c r="AS140" s="44"/>
      <c r="AT140" s="50"/>
      <c r="AU140" s="50"/>
      <c r="AV140" s="50"/>
      <c r="AW140" s="50"/>
      <c r="AX140" s="50"/>
      <c r="AY140" s="50"/>
      <c r="AZ140" s="50"/>
      <c r="BA140" s="51"/>
      <c r="BB140" s="52"/>
      <c r="BC140" s="50"/>
      <c r="BD140" s="53"/>
    </row>
    <row r="141" spans="1:56" ht="25.5" x14ac:dyDescent="0.25">
      <c r="A141" s="86">
        <v>69</v>
      </c>
      <c r="B141" s="44" t="s">
        <v>280</v>
      </c>
      <c r="C141" s="37" t="s">
        <v>281</v>
      </c>
      <c r="D141" s="54" t="s">
        <v>221</v>
      </c>
      <c r="E141" s="37" t="s">
        <v>153</v>
      </c>
      <c r="F141" s="37" t="s">
        <v>282</v>
      </c>
      <c r="G141" s="109"/>
      <c r="H141" s="73" t="s">
        <v>497</v>
      </c>
      <c r="I141" s="37" t="s">
        <v>284</v>
      </c>
      <c r="J141" s="37" t="s">
        <v>285</v>
      </c>
      <c r="K141" s="45">
        <v>41866</v>
      </c>
      <c r="L141" s="48">
        <v>60260</v>
      </c>
      <c r="M141" s="116"/>
      <c r="N141" s="45">
        <v>41866</v>
      </c>
      <c r="O141" s="45">
        <v>41892</v>
      </c>
      <c r="P141" s="37" t="s">
        <v>129</v>
      </c>
      <c r="Q141" s="37"/>
      <c r="R141" s="37"/>
      <c r="S141" s="37"/>
      <c r="T141" s="47" t="s">
        <v>208</v>
      </c>
      <c r="U141" s="44"/>
      <c r="V141" s="37"/>
      <c r="W141" s="37"/>
      <c r="X141" s="37"/>
      <c r="Y141" s="37"/>
      <c r="Z141" s="37"/>
      <c r="AA141" s="37"/>
      <c r="AB141" s="37"/>
      <c r="AC141" s="37"/>
      <c r="AD141" s="47"/>
      <c r="AE141" s="63">
        <f t="shared" si="3"/>
        <v>60260</v>
      </c>
      <c r="AF141" s="37"/>
      <c r="AG141" s="48">
        <v>60260</v>
      </c>
      <c r="AH141" s="33">
        <f t="shared" si="2"/>
        <v>60260</v>
      </c>
      <c r="AI141" s="71" t="s">
        <v>223</v>
      </c>
      <c r="AJ141" s="46">
        <v>11064</v>
      </c>
      <c r="AK141" s="37" t="s">
        <v>286</v>
      </c>
      <c r="AL141" s="46">
        <v>11170</v>
      </c>
      <c r="AM141" s="107"/>
      <c r="AN141" s="107"/>
      <c r="AO141" s="107"/>
      <c r="AP141" s="107"/>
      <c r="AQ141" s="107"/>
      <c r="AR141" s="108"/>
      <c r="AS141" s="44"/>
      <c r="AT141" s="50"/>
      <c r="AU141" s="50"/>
      <c r="AV141" s="50"/>
      <c r="AW141" s="50"/>
      <c r="AX141" s="50"/>
      <c r="AY141" s="50"/>
      <c r="AZ141" s="50"/>
      <c r="BA141" s="51"/>
      <c r="BB141" s="52"/>
      <c r="BC141" s="50"/>
      <c r="BD141" s="53"/>
    </row>
    <row r="142" spans="1:56" ht="25.5" x14ac:dyDescent="0.25">
      <c r="A142" s="86">
        <v>70</v>
      </c>
      <c r="B142" s="44" t="s">
        <v>498</v>
      </c>
      <c r="C142" s="37" t="s">
        <v>499</v>
      </c>
      <c r="D142" s="54" t="s">
        <v>221</v>
      </c>
      <c r="E142" s="37" t="s">
        <v>153</v>
      </c>
      <c r="F142" s="37" t="s">
        <v>500</v>
      </c>
      <c r="G142" s="87">
        <v>11360</v>
      </c>
      <c r="H142" s="73" t="s">
        <v>501</v>
      </c>
      <c r="I142" s="37" t="s">
        <v>502</v>
      </c>
      <c r="J142" s="37" t="s">
        <v>503</v>
      </c>
      <c r="K142" s="45">
        <v>41886</v>
      </c>
      <c r="L142" s="48">
        <v>9868</v>
      </c>
      <c r="M142" s="46">
        <v>11488</v>
      </c>
      <c r="N142" s="45">
        <v>41886</v>
      </c>
      <c r="O142" s="45">
        <v>42250</v>
      </c>
      <c r="P142" s="37" t="s">
        <v>129</v>
      </c>
      <c r="Q142" s="37"/>
      <c r="R142" s="37"/>
      <c r="S142" s="37"/>
      <c r="T142" s="47" t="s">
        <v>316</v>
      </c>
      <c r="U142" s="44"/>
      <c r="V142" s="37"/>
      <c r="W142" s="37"/>
      <c r="X142" s="37"/>
      <c r="Y142" s="37"/>
      <c r="Z142" s="37"/>
      <c r="AA142" s="37"/>
      <c r="AB142" s="37"/>
      <c r="AC142" s="37"/>
      <c r="AD142" s="47"/>
      <c r="AE142" s="63">
        <f t="shared" si="3"/>
        <v>9868</v>
      </c>
      <c r="AF142" s="37"/>
      <c r="AG142" s="48"/>
      <c r="AH142" s="33">
        <f t="shared" si="2"/>
        <v>0</v>
      </c>
      <c r="AI142" s="106"/>
      <c r="AJ142" s="115"/>
      <c r="AK142" s="107"/>
      <c r="AL142" s="46"/>
      <c r="AM142" s="107"/>
      <c r="AN142" s="107"/>
      <c r="AO142" s="107"/>
      <c r="AP142" s="107"/>
      <c r="AQ142" s="107"/>
      <c r="AR142" s="108"/>
      <c r="AS142" s="44"/>
      <c r="AT142" s="50"/>
      <c r="AU142" s="50"/>
      <c r="AV142" s="50"/>
      <c r="AW142" s="50"/>
      <c r="AX142" s="50"/>
      <c r="AY142" s="50"/>
      <c r="AZ142" s="50"/>
      <c r="BA142" s="51"/>
      <c r="BB142" s="52"/>
      <c r="BC142" s="50"/>
      <c r="BD142" s="53"/>
    </row>
    <row r="143" spans="1:56" ht="38.25" x14ac:dyDescent="0.25">
      <c r="A143" s="86">
        <v>71</v>
      </c>
      <c r="B143" s="44" t="s">
        <v>504</v>
      </c>
      <c r="C143" s="37" t="s">
        <v>505</v>
      </c>
      <c r="D143" s="54" t="s">
        <v>221</v>
      </c>
      <c r="E143" s="37" t="s">
        <v>153</v>
      </c>
      <c r="F143" s="37" t="s">
        <v>506</v>
      </c>
      <c r="G143" s="87">
        <v>11385</v>
      </c>
      <c r="H143" s="73" t="s">
        <v>507</v>
      </c>
      <c r="I143" s="37" t="s">
        <v>508</v>
      </c>
      <c r="J143" s="37" t="s">
        <v>509</v>
      </c>
      <c r="K143" s="45">
        <v>41907</v>
      </c>
      <c r="L143" s="48">
        <v>41000</v>
      </c>
      <c r="M143" s="37" t="s">
        <v>510</v>
      </c>
      <c r="N143" s="45">
        <v>41907</v>
      </c>
      <c r="O143" s="45">
        <v>42158</v>
      </c>
      <c r="P143" s="37" t="s">
        <v>511</v>
      </c>
      <c r="Q143" s="37" t="s">
        <v>512</v>
      </c>
      <c r="R143" s="48">
        <v>200000</v>
      </c>
      <c r="S143" s="48">
        <v>14866.67</v>
      </c>
      <c r="T143" s="47" t="s">
        <v>408</v>
      </c>
      <c r="U143" s="44"/>
      <c r="V143" s="37"/>
      <c r="W143" s="37"/>
      <c r="X143" s="37"/>
      <c r="Y143" s="37"/>
      <c r="Z143" s="37"/>
      <c r="AA143" s="37"/>
      <c r="AB143" s="37"/>
      <c r="AC143" s="37"/>
      <c r="AD143" s="47"/>
      <c r="AE143" s="63">
        <f t="shared" si="3"/>
        <v>41000</v>
      </c>
      <c r="AF143" s="37"/>
      <c r="AG143" s="48">
        <v>41000</v>
      </c>
      <c r="AH143" s="33">
        <f t="shared" si="2"/>
        <v>41000</v>
      </c>
      <c r="AI143" s="106"/>
      <c r="AJ143" s="115"/>
      <c r="AK143" s="107"/>
      <c r="AL143" s="107"/>
      <c r="AM143" s="107" t="s">
        <v>301</v>
      </c>
      <c r="AN143" s="107"/>
      <c r="AO143" s="107"/>
      <c r="AP143" s="107"/>
      <c r="AQ143" s="107"/>
      <c r="AR143" s="108"/>
      <c r="AS143" s="44"/>
      <c r="AT143" s="50"/>
      <c r="AU143" s="50"/>
      <c r="AV143" s="50"/>
      <c r="AW143" s="50"/>
      <c r="AX143" s="50"/>
      <c r="AY143" s="50"/>
      <c r="AZ143" s="50"/>
      <c r="BA143" s="51"/>
      <c r="BB143" s="52"/>
      <c r="BC143" s="50"/>
      <c r="BD143" s="53"/>
    </row>
    <row r="144" spans="1:56" ht="38.25" x14ac:dyDescent="0.25">
      <c r="A144" s="86">
        <v>72</v>
      </c>
      <c r="B144" s="44" t="s">
        <v>504</v>
      </c>
      <c r="C144" s="37" t="s">
        <v>505</v>
      </c>
      <c r="D144" s="54" t="s">
        <v>221</v>
      </c>
      <c r="E144" s="37" t="s">
        <v>153</v>
      </c>
      <c r="F144" s="37" t="s">
        <v>506</v>
      </c>
      <c r="G144" s="87">
        <v>11385</v>
      </c>
      <c r="H144" s="73" t="s">
        <v>513</v>
      </c>
      <c r="I144" s="37" t="s">
        <v>514</v>
      </c>
      <c r="J144" s="37" t="s">
        <v>515</v>
      </c>
      <c r="K144" s="45">
        <v>41907</v>
      </c>
      <c r="L144" s="48">
        <v>94000</v>
      </c>
      <c r="M144" s="48" t="s">
        <v>516</v>
      </c>
      <c r="N144" s="45">
        <v>41907</v>
      </c>
      <c r="O144" s="45">
        <v>42158</v>
      </c>
      <c r="P144" s="37" t="s">
        <v>511</v>
      </c>
      <c r="Q144" s="37" t="s">
        <v>512</v>
      </c>
      <c r="R144" s="48">
        <v>200000</v>
      </c>
      <c r="S144" s="48">
        <v>14866.67</v>
      </c>
      <c r="T144" s="47" t="s">
        <v>408</v>
      </c>
      <c r="U144" s="44"/>
      <c r="V144" s="37"/>
      <c r="W144" s="37"/>
      <c r="X144" s="37"/>
      <c r="Y144" s="37"/>
      <c r="Z144" s="37"/>
      <c r="AA144" s="37"/>
      <c r="AB144" s="37"/>
      <c r="AC144" s="37"/>
      <c r="AD144" s="47"/>
      <c r="AE144" s="63">
        <f t="shared" si="3"/>
        <v>94000</v>
      </c>
      <c r="AF144" s="37"/>
      <c r="AG144" s="48">
        <v>94000</v>
      </c>
      <c r="AH144" s="33">
        <f t="shared" si="2"/>
        <v>94000</v>
      </c>
      <c r="AI144" s="106"/>
      <c r="AJ144" s="115"/>
      <c r="AK144" s="107"/>
      <c r="AL144" s="107"/>
      <c r="AM144" s="107"/>
      <c r="AN144" s="107"/>
      <c r="AO144" s="107"/>
      <c r="AP144" s="107"/>
      <c r="AQ144" s="107"/>
      <c r="AR144" s="108"/>
      <c r="AS144" s="44"/>
      <c r="AT144" s="50"/>
      <c r="AU144" s="50"/>
      <c r="AV144" s="50"/>
      <c r="AW144" s="50"/>
      <c r="AX144" s="50"/>
      <c r="AY144" s="50"/>
      <c r="AZ144" s="50"/>
      <c r="BA144" s="51"/>
      <c r="BB144" s="52"/>
      <c r="BC144" s="50"/>
      <c r="BD144" s="53"/>
    </row>
    <row r="145" spans="1:56" ht="38.25" x14ac:dyDescent="0.25">
      <c r="A145" s="86">
        <v>73</v>
      </c>
      <c r="B145" s="44" t="s">
        <v>517</v>
      </c>
      <c r="C145" s="37" t="s">
        <v>518</v>
      </c>
      <c r="D145" s="54" t="s">
        <v>221</v>
      </c>
      <c r="E145" s="37" t="s">
        <v>153</v>
      </c>
      <c r="F145" s="37" t="s">
        <v>506</v>
      </c>
      <c r="G145" s="87">
        <v>11387</v>
      </c>
      <c r="H145" s="73" t="s">
        <v>519</v>
      </c>
      <c r="I145" s="37" t="s">
        <v>520</v>
      </c>
      <c r="J145" s="37" t="s">
        <v>521</v>
      </c>
      <c r="K145" s="45">
        <v>41907</v>
      </c>
      <c r="L145" s="48">
        <v>40999</v>
      </c>
      <c r="M145" s="37" t="s">
        <v>522</v>
      </c>
      <c r="N145" s="45">
        <v>41907</v>
      </c>
      <c r="O145" s="45">
        <v>42158</v>
      </c>
      <c r="P145" s="37" t="s">
        <v>511</v>
      </c>
      <c r="Q145" s="37" t="s">
        <v>523</v>
      </c>
      <c r="R145" s="48">
        <v>200000</v>
      </c>
      <c r="S145" s="48">
        <v>14866.67</v>
      </c>
      <c r="T145" s="47" t="s">
        <v>408</v>
      </c>
      <c r="U145" s="44"/>
      <c r="V145" s="37"/>
      <c r="W145" s="37"/>
      <c r="X145" s="37"/>
      <c r="Y145" s="37"/>
      <c r="Z145" s="37"/>
      <c r="AA145" s="37"/>
      <c r="AB145" s="37"/>
      <c r="AC145" s="37"/>
      <c r="AD145" s="47"/>
      <c r="AE145" s="63">
        <f t="shared" si="3"/>
        <v>40999</v>
      </c>
      <c r="AF145" s="37"/>
      <c r="AG145" s="48">
        <v>40999</v>
      </c>
      <c r="AH145" s="33">
        <f t="shared" si="2"/>
        <v>40999</v>
      </c>
      <c r="AI145" s="106"/>
      <c r="AJ145" s="115"/>
      <c r="AK145" s="107"/>
      <c r="AL145" s="107"/>
      <c r="AM145" s="107"/>
      <c r="AN145" s="107"/>
      <c r="AO145" s="107"/>
      <c r="AP145" s="107"/>
      <c r="AQ145" s="107"/>
      <c r="AR145" s="108"/>
      <c r="AS145" s="44"/>
      <c r="AT145" s="50"/>
      <c r="AU145" s="50"/>
      <c r="AV145" s="50"/>
      <c r="AW145" s="50"/>
      <c r="AX145" s="50"/>
      <c r="AY145" s="50"/>
      <c r="AZ145" s="50"/>
      <c r="BA145" s="51"/>
      <c r="BB145" s="52"/>
      <c r="BC145" s="50"/>
      <c r="BD145" s="53"/>
    </row>
    <row r="146" spans="1:56" ht="25.5" x14ac:dyDescent="0.25">
      <c r="A146" s="86">
        <v>74</v>
      </c>
      <c r="B146" s="44" t="s">
        <v>280</v>
      </c>
      <c r="C146" s="37" t="s">
        <v>281</v>
      </c>
      <c r="D146" s="54" t="s">
        <v>221</v>
      </c>
      <c r="E146" s="37" t="s">
        <v>153</v>
      </c>
      <c r="F146" s="37" t="s">
        <v>282</v>
      </c>
      <c r="G146" s="91"/>
      <c r="H146" s="97" t="s">
        <v>524</v>
      </c>
      <c r="I146" s="59" t="s">
        <v>284</v>
      </c>
      <c r="J146" s="37" t="s">
        <v>525</v>
      </c>
      <c r="K146" s="45">
        <v>41913</v>
      </c>
      <c r="L146" s="48">
        <v>44208</v>
      </c>
      <c r="M146" s="61"/>
      <c r="N146" s="45">
        <v>41913</v>
      </c>
      <c r="O146" s="45">
        <v>41922</v>
      </c>
      <c r="P146" s="37" t="s">
        <v>129</v>
      </c>
      <c r="Q146" s="37"/>
      <c r="R146" s="48"/>
      <c r="S146" s="48"/>
      <c r="T146" s="47" t="s">
        <v>208</v>
      </c>
      <c r="U146" s="44"/>
      <c r="V146" s="37"/>
      <c r="W146" s="37"/>
      <c r="X146" s="37"/>
      <c r="Y146" s="37"/>
      <c r="Z146" s="37"/>
      <c r="AA146" s="37"/>
      <c r="AB146" s="37"/>
      <c r="AC146" s="37"/>
      <c r="AD146" s="47"/>
      <c r="AE146" s="63">
        <f t="shared" si="3"/>
        <v>44208</v>
      </c>
      <c r="AF146" s="37"/>
      <c r="AG146" s="48">
        <v>44208</v>
      </c>
      <c r="AH146" s="33">
        <f t="shared" si="2"/>
        <v>44208</v>
      </c>
      <c r="AI146" s="71" t="s">
        <v>223</v>
      </c>
      <c r="AJ146" s="46">
        <v>11064</v>
      </c>
      <c r="AK146" s="37" t="s">
        <v>286</v>
      </c>
      <c r="AL146" s="46">
        <v>11170</v>
      </c>
      <c r="AM146" s="107"/>
      <c r="AN146" s="107"/>
      <c r="AO146" s="107"/>
      <c r="AP146" s="107"/>
      <c r="AQ146" s="107"/>
      <c r="AR146" s="108"/>
      <c r="AS146" s="44"/>
      <c r="AT146" s="50"/>
      <c r="AU146" s="50"/>
      <c r="AV146" s="50"/>
      <c r="AW146" s="50"/>
      <c r="AX146" s="50"/>
      <c r="AY146" s="50"/>
      <c r="AZ146" s="50"/>
      <c r="BA146" s="51"/>
      <c r="BB146" s="52"/>
      <c r="BC146" s="50"/>
      <c r="BD146" s="53"/>
    </row>
    <row r="147" spans="1:56" ht="25.5" x14ac:dyDescent="0.25">
      <c r="A147" s="86">
        <v>75</v>
      </c>
      <c r="B147" s="44" t="s">
        <v>526</v>
      </c>
      <c r="C147" s="37" t="s">
        <v>527</v>
      </c>
      <c r="D147" s="54" t="s">
        <v>221</v>
      </c>
      <c r="E147" s="37" t="s">
        <v>153</v>
      </c>
      <c r="F147" s="37" t="s">
        <v>528</v>
      </c>
      <c r="G147" s="87">
        <v>11301</v>
      </c>
      <c r="H147" s="73" t="s">
        <v>529</v>
      </c>
      <c r="I147" s="37" t="s">
        <v>530</v>
      </c>
      <c r="J147" s="37" t="s">
        <v>531</v>
      </c>
      <c r="K147" s="45">
        <v>41928</v>
      </c>
      <c r="L147" s="48">
        <v>48450</v>
      </c>
      <c r="M147" s="46">
        <v>11428</v>
      </c>
      <c r="N147" s="45">
        <v>41928</v>
      </c>
      <c r="O147" s="45">
        <v>42293</v>
      </c>
      <c r="P147" s="37" t="s">
        <v>129</v>
      </c>
      <c r="Q147" s="37"/>
      <c r="R147" s="37"/>
      <c r="S147" s="37"/>
      <c r="T147" s="47" t="s">
        <v>316</v>
      </c>
      <c r="U147" s="44"/>
      <c r="V147" s="37"/>
      <c r="W147" s="37"/>
      <c r="X147" s="37"/>
      <c r="Y147" s="37"/>
      <c r="Z147" s="37"/>
      <c r="AA147" s="37"/>
      <c r="AB147" s="37"/>
      <c r="AC147" s="37"/>
      <c r="AD147" s="47"/>
      <c r="AE147" s="63">
        <f t="shared" si="3"/>
        <v>48450</v>
      </c>
      <c r="AF147" s="37"/>
      <c r="AG147" s="48"/>
      <c r="AH147" s="33">
        <f t="shared" si="2"/>
        <v>0</v>
      </c>
      <c r="AI147" s="106" t="s">
        <v>269</v>
      </c>
      <c r="AJ147" s="115" t="s">
        <v>532</v>
      </c>
      <c r="AK147" s="107" t="s">
        <v>533</v>
      </c>
      <c r="AL147" s="115" t="s">
        <v>534</v>
      </c>
      <c r="AM147" s="107"/>
      <c r="AN147" s="37"/>
      <c r="AO147" s="115"/>
      <c r="AP147" s="115"/>
      <c r="AQ147" s="115"/>
      <c r="AR147" s="117"/>
      <c r="AS147" s="44"/>
      <c r="AT147" s="50"/>
      <c r="AU147" s="50"/>
      <c r="AV147" s="50"/>
      <c r="AW147" s="50"/>
      <c r="AX147" s="50"/>
      <c r="AY147" s="50"/>
      <c r="AZ147" s="50"/>
      <c r="BA147" s="51"/>
      <c r="BB147" s="52"/>
      <c r="BC147" s="50"/>
      <c r="BD147" s="53"/>
    </row>
    <row r="148" spans="1:56" ht="25.5" x14ac:dyDescent="0.25">
      <c r="A148" s="86">
        <v>76</v>
      </c>
      <c r="B148" s="44" t="s">
        <v>459</v>
      </c>
      <c r="C148" s="37" t="s">
        <v>460</v>
      </c>
      <c r="D148" s="37" t="s">
        <v>221</v>
      </c>
      <c r="E148" s="37" t="s">
        <v>168</v>
      </c>
      <c r="F148" s="37" t="s">
        <v>461</v>
      </c>
      <c r="G148" s="87">
        <v>11358</v>
      </c>
      <c r="H148" s="73" t="s">
        <v>535</v>
      </c>
      <c r="I148" s="37" t="s">
        <v>536</v>
      </c>
      <c r="J148" s="37" t="s">
        <v>537</v>
      </c>
      <c r="K148" s="45">
        <v>41866</v>
      </c>
      <c r="L148" s="48">
        <v>1400</v>
      </c>
      <c r="M148" s="46">
        <v>11451</v>
      </c>
      <c r="N148" s="45">
        <v>41866</v>
      </c>
      <c r="O148" s="45">
        <v>42231</v>
      </c>
      <c r="P148" s="37" t="s">
        <v>129</v>
      </c>
      <c r="Q148" s="37"/>
      <c r="R148" s="37"/>
      <c r="S148" s="37"/>
      <c r="T148" s="47" t="s">
        <v>316</v>
      </c>
      <c r="U148" s="44"/>
      <c r="V148" s="37"/>
      <c r="W148" s="37"/>
      <c r="X148" s="37"/>
      <c r="Y148" s="37"/>
      <c r="Z148" s="37"/>
      <c r="AA148" s="37"/>
      <c r="AB148" s="37"/>
      <c r="AC148" s="37"/>
      <c r="AD148" s="47"/>
      <c r="AE148" s="63">
        <f t="shared" si="3"/>
        <v>1400</v>
      </c>
      <c r="AF148" s="37"/>
      <c r="AG148" s="48"/>
      <c r="AH148" s="33">
        <f t="shared" si="2"/>
        <v>0</v>
      </c>
      <c r="AI148" s="106"/>
      <c r="AJ148" s="107"/>
      <c r="AK148" s="107"/>
      <c r="AL148" s="107"/>
      <c r="AM148" s="107"/>
      <c r="AN148" s="107"/>
      <c r="AO148" s="107"/>
      <c r="AP148" s="107"/>
      <c r="AQ148" s="107"/>
      <c r="AR148" s="108"/>
      <c r="AS148" s="44"/>
      <c r="AT148" s="50"/>
      <c r="AU148" s="50"/>
      <c r="AV148" s="50"/>
      <c r="AW148" s="50"/>
      <c r="AX148" s="50"/>
      <c r="AY148" s="50"/>
      <c r="AZ148" s="50"/>
      <c r="BA148" s="51"/>
      <c r="BB148" s="52"/>
      <c r="BC148" s="50"/>
      <c r="BD148" s="53"/>
    </row>
    <row r="149" spans="1:56" ht="38.25" x14ac:dyDescent="0.25">
      <c r="A149" s="86">
        <v>77</v>
      </c>
      <c r="B149" s="44" t="s">
        <v>538</v>
      </c>
      <c r="C149" s="37" t="s">
        <v>539</v>
      </c>
      <c r="D149" s="37" t="s">
        <v>221</v>
      </c>
      <c r="E149" s="37" t="s">
        <v>168</v>
      </c>
      <c r="F149" s="37" t="s">
        <v>540</v>
      </c>
      <c r="G149" s="87">
        <v>11415</v>
      </c>
      <c r="H149" s="73" t="s">
        <v>541</v>
      </c>
      <c r="I149" s="37" t="s">
        <v>514</v>
      </c>
      <c r="J149" s="37" t="s">
        <v>515</v>
      </c>
      <c r="K149" s="45">
        <v>41949</v>
      </c>
      <c r="L149" s="48">
        <v>94000</v>
      </c>
      <c r="M149" s="37" t="s">
        <v>542</v>
      </c>
      <c r="N149" s="45">
        <v>41949</v>
      </c>
      <c r="O149" s="45">
        <v>41796</v>
      </c>
      <c r="P149" s="37" t="s">
        <v>511</v>
      </c>
      <c r="Q149" s="37" t="s">
        <v>523</v>
      </c>
      <c r="R149" s="48">
        <v>200000</v>
      </c>
      <c r="S149" s="48">
        <v>14866.67</v>
      </c>
      <c r="T149" s="47" t="s">
        <v>408</v>
      </c>
      <c r="U149" s="44"/>
      <c r="V149" s="37"/>
      <c r="W149" s="37"/>
      <c r="X149" s="37"/>
      <c r="Y149" s="37"/>
      <c r="Z149" s="37"/>
      <c r="AA149" s="37"/>
      <c r="AB149" s="37"/>
      <c r="AC149" s="37"/>
      <c r="AD149" s="47"/>
      <c r="AE149" s="63">
        <f t="shared" si="3"/>
        <v>94000</v>
      </c>
      <c r="AF149" s="37"/>
      <c r="AG149" s="48">
        <v>94000</v>
      </c>
      <c r="AH149" s="33">
        <f t="shared" si="2"/>
        <v>94000</v>
      </c>
      <c r="AI149" s="106"/>
      <c r="AJ149" s="107"/>
      <c r="AK149" s="107"/>
      <c r="AL149" s="107"/>
      <c r="AM149" s="107"/>
      <c r="AN149" s="107"/>
      <c r="AO149" s="107"/>
      <c r="AP149" s="107"/>
      <c r="AQ149" s="107"/>
      <c r="AR149" s="108"/>
      <c r="AS149" s="44"/>
      <c r="AT149" s="50"/>
      <c r="AU149" s="50"/>
      <c r="AV149" s="50"/>
      <c r="AW149" s="50"/>
      <c r="AX149" s="50"/>
      <c r="AY149" s="50"/>
      <c r="AZ149" s="50"/>
      <c r="BA149" s="51"/>
      <c r="BB149" s="52"/>
      <c r="BC149" s="50"/>
      <c r="BD149" s="53"/>
    </row>
    <row r="150" spans="1:56" ht="38.25" x14ac:dyDescent="0.25">
      <c r="A150" s="86">
        <v>78</v>
      </c>
      <c r="B150" s="44" t="s">
        <v>543</v>
      </c>
      <c r="C150" s="37" t="s">
        <v>544</v>
      </c>
      <c r="D150" s="37" t="s">
        <v>221</v>
      </c>
      <c r="E150" s="37" t="s">
        <v>168</v>
      </c>
      <c r="F150" s="37" t="s">
        <v>545</v>
      </c>
      <c r="G150" s="87">
        <v>11204</v>
      </c>
      <c r="H150" s="73" t="s">
        <v>546</v>
      </c>
      <c r="I150" s="37" t="s">
        <v>547</v>
      </c>
      <c r="J150" s="37" t="s">
        <v>548</v>
      </c>
      <c r="K150" s="45">
        <v>41944</v>
      </c>
      <c r="L150" s="48">
        <v>398</v>
      </c>
      <c r="M150" s="46" t="s">
        <v>549</v>
      </c>
      <c r="N150" s="45">
        <v>41944</v>
      </c>
      <c r="O150" s="45">
        <v>41973</v>
      </c>
      <c r="P150" s="37" t="s">
        <v>129</v>
      </c>
      <c r="Q150" s="37"/>
      <c r="R150" s="37"/>
      <c r="S150" s="37"/>
      <c r="T150" s="47" t="s">
        <v>316</v>
      </c>
      <c r="U150" s="44"/>
      <c r="V150" s="37"/>
      <c r="W150" s="37"/>
      <c r="X150" s="37"/>
      <c r="Y150" s="37"/>
      <c r="Z150" s="37"/>
      <c r="AA150" s="37"/>
      <c r="AB150" s="37"/>
      <c r="AC150" s="37"/>
      <c r="AD150" s="47"/>
      <c r="AE150" s="63">
        <f t="shared" si="3"/>
        <v>398</v>
      </c>
      <c r="AF150" s="37"/>
      <c r="AG150" s="48"/>
      <c r="AH150" s="33">
        <f t="shared" si="2"/>
        <v>0</v>
      </c>
      <c r="AI150" s="106" t="s">
        <v>259</v>
      </c>
      <c r="AJ150" s="107">
        <v>11232</v>
      </c>
      <c r="AK150" s="107" t="s">
        <v>550</v>
      </c>
      <c r="AL150" s="115" t="s">
        <v>551</v>
      </c>
      <c r="AM150" s="107"/>
      <c r="AN150" s="107"/>
      <c r="AO150" s="107"/>
      <c r="AP150" s="107"/>
      <c r="AQ150" s="107"/>
      <c r="AR150" s="108"/>
      <c r="AS150" s="44"/>
      <c r="AT150" s="50"/>
      <c r="AU150" s="50"/>
      <c r="AV150" s="50"/>
      <c r="AW150" s="50"/>
      <c r="AX150" s="50"/>
      <c r="AY150" s="50"/>
      <c r="AZ150" s="50"/>
      <c r="BA150" s="51"/>
      <c r="BB150" s="52"/>
      <c r="BC150" s="50"/>
      <c r="BD150" s="53"/>
    </row>
    <row r="151" spans="1:56" ht="38.25" x14ac:dyDescent="0.25">
      <c r="A151" s="86">
        <v>79</v>
      </c>
      <c r="B151" s="44"/>
      <c r="C151" s="37"/>
      <c r="D151" s="37"/>
      <c r="E151" s="37"/>
      <c r="F151" s="37" t="s">
        <v>552</v>
      </c>
      <c r="G151" s="47"/>
      <c r="H151" s="73" t="s">
        <v>553</v>
      </c>
      <c r="I151" s="37" t="s">
        <v>554</v>
      </c>
      <c r="J151" s="50" t="s">
        <v>555</v>
      </c>
      <c r="K151" s="45">
        <v>41953</v>
      </c>
      <c r="L151" s="48">
        <v>6660</v>
      </c>
      <c r="M151" s="46">
        <v>11472</v>
      </c>
      <c r="N151" s="45">
        <v>41953</v>
      </c>
      <c r="O151" s="45">
        <v>42014</v>
      </c>
      <c r="P151" s="37" t="s">
        <v>129</v>
      </c>
      <c r="Q151" s="37"/>
      <c r="R151" s="37"/>
      <c r="S151" s="37"/>
      <c r="T151" s="47" t="s">
        <v>158</v>
      </c>
      <c r="U151" s="44"/>
      <c r="V151" s="37"/>
      <c r="W151" s="37"/>
      <c r="X151" s="37"/>
      <c r="Y151" s="37"/>
      <c r="Z151" s="37"/>
      <c r="AA151" s="37"/>
      <c r="AB151" s="37"/>
      <c r="AC151" s="37"/>
      <c r="AD151" s="47"/>
      <c r="AE151" s="63">
        <f t="shared" si="3"/>
        <v>6660</v>
      </c>
      <c r="AF151" s="37"/>
      <c r="AG151" s="48"/>
      <c r="AH151" s="33">
        <f t="shared" si="2"/>
        <v>0</v>
      </c>
      <c r="AI151" s="106"/>
      <c r="AJ151" s="107"/>
      <c r="AK151" s="107"/>
      <c r="AL151" s="107"/>
      <c r="AM151" s="107" t="s">
        <v>556</v>
      </c>
      <c r="AN151" s="107"/>
      <c r="AO151" s="107"/>
      <c r="AP151" s="107"/>
      <c r="AQ151" s="107"/>
      <c r="AR151" s="108"/>
      <c r="AS151" s="44"/>
      <c r="AT151" s="50"/>
      <c r="AU151" s="50"/>
      <c r="AV151" s="50"/>
      <c r="AW151" s="50"/>
      <c r="AX151" s="50"/>
      <c r="AY151" s="50"/>
      <c r="AZ151" s="50"/>
      <c r="BA151" s="51"/>
      <c r="BB151" s="52"/>
      <c r="BC151" s="50"/>
      <c r="BD151" s="53"/>
    </row>
    <row r="152" spans="1:56" ht="25.5" x14ac:dyDescent="0.25">
      <c r="A152" s="86">
        <v>80</v>
      </c>
      <c r="B152" s="44" t="s">
        <v>557</v>
      </c>
      <c r="C152" s="37" t="s">
        <v>558</v>
      </c>
      <c r="D152" s="37" t="s">
        <v>221</v>
      </c>
      <c r="E152" s="37" t="s">
        <v>168</v>
      </c>
      <c r="F152" s="37" t="s">
        <v>559</v>
      </c>
      <c r="G152" s="109"/>
      <c r="H152" s="73" t="s">
        <v>560</v>
      </c>
      <c r="I152" s="37" t="s">
        <v>561</v>
      </c>
      <c r="J152" s="50" t="s">
        <v>387</v>
      </c>
      <c r="K152" s="45">
        <v>41950</v>
      </c>
      <c r="L152" s="48">
        <v>358680</v>
      </c>
      <c r="M152" s="76"/>
      <c r="N152" s="45">
        <v>41893</v>
      </c>
      <c r="O152" s="45">
        <v>42258</v>
      </c>
      <c r="P152" s="37" t="s">
        <v>129</v>
      </c>
      <c r="Q152" s="37"/>
      <c r="R152" s="37"/>
      <c r="S152" s="37"/>
      <c r="T152" s="47" t="s">
        <v>316</v>
      </c>
      <c r="U152" s="44"/>
      <c r="V152" s="37"/>
      <c r="W152" s="37"/>
      <c r="X152" s="37"/>
      <c r="Y152" s="37"/>
      <c r="Z152" s="37"/>
      <c r="AA152" s="37"/>
      <c r="AB152" s="37"/>
      <c r="AC152" s="37"/>
      <c r="AD152" s="47"/>
      <c r="AE152" s="63">
        <f t="shared" si="3"/>
        <v>358680</v>
      </c>
      <c r="AF152" s="37"/>
      <c r="AG152" s="48">
        <v>148282.20000000001</v>
      </c>
      <c r="AH152" s="33">
        <f t="shared" si="2"/>
        <v>148282.20000000001</v>
      </c>
      <c r="AI152" s="34" t="s">
        <v>366</v>
      </c>
      <c r="AJ152" s="107"/>
      <c r="AK152" s="27" t="s">
        <v>562</v>
      </c>
      <c r="AL152" s="107"/>
      <c r="AM152" s="107"/>
      <c r="AN152" s="107"/>
      <c r="AO152" s="107"/>
      <c r="AP152" s="107"/>
      <c r="AQ152" s="107"/>
      <c r="AR152" s="108"/>
      <c r="AS152" s="44"/>
      <c r="AT152" s="50"/>
      <c r="AU152" s="50"/>
      <c r="AV152" s="50"/>
      <c r="AW152" s="50"/>
      <c r="AX152" s="50"/>
      <c r="AY152" s="50"/>
      <c r="AZ152" s="50"/>
      <c r="BA152" s="51"/>
      <c r="BB152" s="52"/>
      <c r="BC152" s="50"/>
      <c r="BD152" s="53"/>
    </row>
    <row r="153" spans="1:56" ht="25.5" x14ac:dyDescent="0.25">
      <c r="A153" s="86">
        <v>81</v>
      </c>
      <c r="B153" s="44" t="s">
        <v>280</v>
      </c>
      <c r="C153" s="37" t="s">
        <v>281</v>
      </c>
      <c r="D153" s="54" t="s">
        <v>221</v>
      </c>
      <c r="E153" s="37" t="s">
        <v>153</v>
      </c>
      <c r="F153" s="37" t="s">
        <v>282</v>
      </c>
      <c r="G153" s="109"/>
      <c r="H153" s="73" t="s">
        <v>563</v>
      </c>
      <c r="I153" s="59" t="s">
        <v>284</v>
      </c>
      <c r="J153" s="37" t="s">
        <v>285</v>
      </c>
      <c r="K153" s="45">
        <v>41926</v>
      </c>
      <c r="L153" s="48">
        <v>31330</v>
      </c>
      <c r="M153" s="61"/>
      <c r="N153" s="45">
        <v>41927</v>
      </c>
      <c r="O153" s="45">
        <v>41942</v>
      </c>
      <c r="P153" s="37" t="s">
        <v>129</v>
      </c>
      <c r="Q153" s="37"/>
      <c r="R153" s="37"/>
      <c r="S153" s="37"/>
      <c r="T153" s="47" t="s">
        <v>208</v>
      </c>
      <c r="U153" s="44"/>
      <c r="V153" s="37"/>
      <c r="W153" s="37"/>
      <c r="X153" s="37"/>
      <c r="Y153" s="37"/>
      <c r="Z153" s="37"/>
      <c r="AA153" s="37"/>
      <c r="AB153" s="37"/>
      <c r="AC153" s="37"/>
      <c r="AD153" s="47"/>
      <c r="AE153" s="63">
        <f t="shared" si="3"/>
        <v>31330</v>
      </c>
      <c r="AF153" s="37"/>
      <c r="AG153" s="48">
        <v>31330</v>
      </c>
      <c r="AH153" s="33">
        <f t="shared" si="2"/>
        <v>31330</v>
      </c>
      <c r="AI153" s="71" t="s">
        <v>223</v>
      </c>
      <c r="AJ153" s="46">
        <v>11064</v>
      </c>
      <c r="AK153" s="37" t="s">
        <v>286</v>
      </c>
      <c r="AL153" s="46">
        <v>11170</v>
      </c>
      <c r="AM153" s="107"/>
      <c r="AN153" s="107"/>
      <c r="AO153" s="107"/>
      <c r="AP153" s="107"/>
      <c r="AQ153" s="107"/>
      <c r="AR153" s="108"/>
      <c r="AS153" s="44"/>
      <c r="AT153" s="50"/>
      <c r="AU153" s="50"/>
      <c r="AV153" s="50"/>
      <c r="AW153" s="50"/>
      <c r="AX153" s="50"/>
      <c r="AY153" s="50"/>
      <c r="AZ153" s="50"/>
      <c r="BA153" s="51"/>
      <c r="BB153" s="52"/>
      <c r="BC153" s="50"/>
      <c r="BD153" s="53"/>
    </row>
    <row r="154" spans="1:56" ht="38.25" x14ac:dyDescent="0.25">
      <c r="A154" s="86">
        <v>82</v>
      </c>
      <c r="B154" s="44" t="s">
        <v>564</v>
      </c>
      <c r="C154" s="37" t="s">
        <v>565</v>
      </c>
      <c r="D154" s="54" t="s">
        <v>221</v>
      </c>
      <c r="E154" s="37" t="s">
        <v>153</v>
      </c>
      <c r="F154" s="37" t="s">
        <v>566</v>
      </c>
      <c r="G154" s="109"/>
      <c r="H154" s="73" t="s">
        <v>558</v>
      </c>
      <c r="I154" s="37" t="s">
        <v>567</v>
      </c>
      <c r="J154" s="37" t="s">
        <v>351</v>
      </c>
      <c r="K154" s="45">
        <v>41974</v>
      </c>
      <c r="L154" s="48">
        <v>431559.56</v>
      </c>
      <c r="M154" s="46">
        <v>11460</v>
      </c>
      <c r="N154" s="45">
        <v>41974</v>
      </c>
      <c r="O154" s="45">
        <v>42339</v>
      </c>
      <c r="P154" s="37" t="s">
        <v>129</v>
      </c>
      <c r="Q154" s="37"/>
      <c r="R154" s="37"/>
      <c r="S154" s="37"/>
      <c r="T154" s="47" t="s">
        <v>568</v>
      </c>
      <c r="U154" s="44"/>
      <c r="V154" s="37"/>
      <c r="W154" s="37"/>
      <c r="X154" s="37"/>
      <c r="Y154" s="37"/>
      <c r="Z154" s="37"/>
      <c r="AA154" s="37"/>
      <c r="AB154" s="37"/>
      <c r="AC154" s="37"/>
      <c r="AD154" s="47"/>
      <c r="AE154" s="63">
        <f t="shared" si="3"/>
        <v>431559.56</v>
      </c>
      <c r="AF154" s="37"/>
      <c r="AG154" s="48"/>
      <c r="AH154" s="33">
        <f t="shared" si="2"/>
        <v>0</v>
      </c>
      <c r="AI154" s="106" t="s">
        <v>569</v>
      </c>
      <c r="AJ154" s="115" t="s">
        <v>570</v>
      </c>
      <c r="AK154" s="107" t="s">
        <v>571</v>
      </c>
      <c r="AL154" s="115" t="s">
        <v>572</v>
      </c>
      <c r="AM154" s="107"/>
      <c r="AN154" s="107"/>
      <c r="AO154" s="107"/>
      <c r="AP154" s="107"/>
      <c r="AQ154" s="107"/>
      <c r="AR154" s="108"/>
      <c r="AS154" s="44"/>
      <c r="AT154" s="50"/>
      <c r="AU154" s="50"/>
      <c r="AV154" s="50"/>
      <c r="AW154" s="50"/>
      <c r="AX154" s="50"/>
      <c r="AY154" s="50"/>
      <c r="AZ154" s="50"/>
      <c r="BA154" s="51"/>
      <c r="BB154" s="52"/>
      <c r="BC154" s="50"/>
      <c r="BD154" s="53"/>
    </row>
    <row r="155" spans="1:56" ht="38.25" x14ac:dyDescent="0.25">
      <c r="A155" s="86">
        <v>83</v>
      </c>
      <c r="B155" s="44" t="s">
        <v>287</v>
      </c>
      <c r="C155" s="37" t="s">
        <v>288</v>
      </c>
      <c r="D155" s="54" t="s">
        <v>221</v>
      </c>
      <c r="E155" s="37" t="s">
        <v>168</v>
      </c>
      <c r="F155" s="37" t="s">
        <v>289</v>
      </c>
      <c r="G155" s="47">
        <v>11145</v>
      </c>
      <c r="H155" s="73" t="s">
        <v>573</v>
      </c>
      <c r="I155" s="37" t="s">
        <v>291</v>
      </c>
      <c r="J155" s="37" t="s">
        <v>292</v>
      </c>
      <c r="K155" s="45" t="s">
        <v>574</v>
      </c>
      <c r="L155" s="48">
        <v>131105.84</v>
      </c>
      <c r="M155" s="76"/>
      <c r="N155" s="45">
        <v>41969</v>
      </c>
      <c r="O155" s="45">
        <v>42334</v>
      </c>
      <c r="P155" s="37" t="s">
        <v>129</v>
      </c>
      <c r="Q155" s="37"/>
      <c r="R155" s="37"/>
      <c r="S155" s="37"/>
      <c r="T155" s="47" t="s">
        <v>208</v>
      </c>
      <c r="U155" s="44"/>
      <c r="V155" s="37"/>
      <c r="W155" s="37"/>
      <c r="X155" s="37"/>
      <c r="Y155" s="37"/>
      <c r="Z155" s="37"/>
      <c r="AA155" s="37"/>
      <c r="AB155" s="37"/>
      <c r="AC155" s="37"/>
      <c r="AD155" s="47"/>
      <c r="AE155" s="63">
        <f t="shared" si="3"/>
        <v>131105.84</v>
      </c>
      <c r="AF155" s="37"/>
      <c r="AG155" s="48"/>
      <c r="AH155" s="33">
        <f t="shared" si="2"/>
        <v>0</v>
      </c>
      <c r="AI155" s="71" t="s">
        <v>294</v>
      </c>
      <c r="AJ155" s="46">
        <v>11167</v>
      </c>
      <c r="AK155" s="37" t="s">
        <v>295</v>
      </c>
      <c r="AL155" s="46">
        <v>11355</v>
      </c>
      <c r="AM155" s="107"/>
      <c r="AN155" s="107"/>
      <c r="AO155" s="107"/>
      <c r="AP155" s="107"/>
      <c r="AQ155" s="107"/>
      <c r="AR155" s="108"/>
      <c r="AS155" s="44"/>
      <c r="AT155" s="50"/>
      <c r="AU155" s="50"/>
      <c r="AV155" s="50"/>
      <c r="AW155" s="50"/>
      <c r="AX155" s="50"/>
      <c r="AY155" s="50"/>
      <c r="AZ155" s="50"/>
      <c r="BA155" s="51"/>
      <c r="BB155" s="52"/>
      <c r="BC155" s="50"/>
      <c r="BD155" s="53"/>
    </row>
    <row r="156" spans="1:56" ht="38.25" x14ac:dyDescent="0.25">
      <c r="A156" s="86">
        <v>84</v>
      </c>
      <c r="B156" s="44" t="s">
        <v>575</v>
      </c>
      <c r="C156" s="37" t="s">
        <v>499</v>
      </c>
      <c r="D156" s="54" t="s">
        <v>221</v>
      </c>
      <c r="E156" s="37" t="s">
        <v>153</v>
      </c>
      <c r="F156" s="118" t="s">
        <v>576</v>
      </c>
      <c r="G156" s="87">
        <v>11418</v>
      </c>
      <c r="H156" s="73" t="s">
        <v>577</v>
      </c>
      <c r="I156" s="37" t="s">
        <v>508</v>
      </c>
      <c r="J156" s="37" t="s">
        <v>509</v>
      </c>
      <c r="K156" s="45">
        <v>41981</v>
      </c>
      <c r="L156" s="48">
        <v>66300</v>
      </c>
      <c r="M156" s="46">
        <v>11460</v>
      </c>
      <c r="N156" s="45">
        <v>41981</v>
      </c>
      <c r="O156" s="45">
        <v>42158</v>
      </c>
      <c r="P156" s="37" t="s">
        <v>511</v>
      </c>
      <c r="Q156" s="37" t="s">
        <v>512</v>
      </c>
      <c r="R156" s="48">
        <v>200000</v>
      </c>
      <c r="S156" s="48">
        <v>14866.67</v>
      </c>
      <c r="T156" s="47" t="s">
        <v>408</v>
      </c>
      <c r="U156" s="44"/>
      <c r="V156" s="37"/>
      <c r="W156" s="37"/>
      <c r="X156" s="37"/>
      <c r="Y156" s="37"/>
      <c r="Z156" s="37"/>
      <c r="AA156" s="37"/>
      <c r="AB156" s="37"/>
      <c r="AC156" s="37"/>
      <c r="AD156" s="47"/>
      <c r="AE156" s="63"/>
      <c r="AF156" s="37"/>
      <c r="AG156" s="48"/>
      <c r="AH156" s="33">
        <f t="shared" si="2"/>
        <v>0</v>
      </c>
      <c r="AI156" s="106"/>
      <c r="AJ156" s="107"/>
      <c r="AK156" s="107"/>
      <c r="AL156" s="107"/>
      <c r="AM156" s="107"/>
      <c r="AN156" s="107"/>
      <c r="AO156" s="107"/>
      <c r="AP156" s="107"/>
      <c r="AQ156" s="107"/>
      <c r="AR156" s="108"/>
      <c r="AS156" s="44"/>
      <c r="AT156" s="50"/>
      <c r="AU156" s="50"/>
      <c r="AV156" s="50"/>
      <c r="AW156" s="50"/>
      <c r="AX156" s="50"/>
      <c r="AY156" s="50"/>
      <c r="AZ156" s="50"/>
      <c r="BA156" s="51"/>
      <c r="BB156" s="52"/>
      <c r="BC156" s="50"/>
      <c r="BD156" s="53"/>
    </row>
    <row r="157" spans="1:56" ht="26.25" thickBot="1" x14ac:dyDescent="0.3">
      <c r="A157" s="119">
        <v>85</v>
      </c>
      <c r="B157" s="120" t="s">
        <v>280</v>
      </c>
      <c r="C157" s="121" t="s">
        <v>281</v>
      </c>
      <c r="D157" s="122" t="s">
        <v>221</v>
      </c>
      <c r="E157" s="121" t="s">
        <v>153</v>
      </c>
      <c r="F157" s="121" t="s">
        <v>282</v>
      </c>
      <c r="G157" s="123"/>
      <c r="H157" s="124" t="s">
        <v>578</v>
      </c>
      <c r="I157" s="125" t="s">
        <v>284</v>
      </c>
      <c r="J157" s="121" t="s">
        <v>525</v>
      </c>
      <c r="K157" s="126">
        <v>41974</v>
      </c>
      <c r="L157" s="127">
        <v>44208</v>
      </c>
      <c r="M157" s="128">
        <v>11475</v>
      </c>
      <c r="N157" s="126">
        <v>41974</v>
      </c>
      <c r="O157" s="126">
        <v>41988</v>
      </c>
      <c r="P157" s="121" t="s">
        <v>129</v>
      </c>
      <c r="Q157" s="121"/>
      <c r="R157" s="127"/>
      <c r="S157" s="127"/>
      <c r="T157" s="129" t="s">
        <v>208</v>
      </c>
      <c r="U157" s="120"/>
      <c r="V157" s="121"/>
      <c r="W157" s="121"/>
      <c r="X157" s="121"/>
      <c r="Y157" s="121"/>
      <c r="Z157" s="121"/>
      <c r="AA157" s="121"/>
      <c r="AB157" s="121"/>
      <c r="AC157" s="121"/>
      <c r="AD157" s="129"/>
      <c r="AE157" s="130"/>
      <c r="AF157" s="121"/>
      <c r="AG157" s="127">
        <v>100940</v>
      </c>
      <c r="AH157" s="131">
        <f t="shared" si="2"/>
        <v>100940</v>
      </c>
      <c r="AI157" s="71" t="s">
        <v>223</v>
      </c>
      <c r="AJ157" s="46">
        <v>11064</v>
      </c>
      <c r="AK157" s="37" t="s">
        <v>286</v>
      </c>
      <c r="AL157" s="46">
        <v>11170</v>
      </c>
      <c r="AM157" s="107"/>
      <c r="AN157" s="107"/>
      <c r="AO157" s="107"/>
      <c r="AP157" s="107"/>
      <c r="AQ157" s="107"/>
      <c r="AR157" s="108"/>
      <c r="AS157" s="44"/>
      <c r="AT157" s="50"/>
      <c r="AU157" s="50"/>
      <c r="AV157" s="50"/>
      <c r="AW157" s="50"/>
      <c r="AX157" s="50"/>
      <c r="AY157" s="50"/>
      <c r="AZ157" s="50"/>
      <c r="BA157" s="51"/>
      <c r="BB157" s="52"/>
      <c r="BC157" s="50"/>
      <c r="BD157" s="53"/>
    </row>
    <row r="158" spans="1:56" ht="13.5" thickBot="1" x14ac:dyDescent="0.3">
      <c r="A158" s="1968"/>
      <c r="B158" s="1969"/>
      <c r="C158" s="1969"/>
      <c r="D158" s="1969"/>
      <c r="E158" s="1969"/>
      <c r="F158" s="1969"/>
      <c r="G158" s="1969"/>
      <c r="H158" s="1969"/>
      <c r="I158" s="1969"/>
      <c r="J158" s="1969"/>
      <c r="K158" s="1969"/>
      <c r="L158" s="132">
        <f>SUM(L39:L157)</f>
        <v>10499020.730000002</v>
      </c>
      <c r="M158" s="133"/>
      <c r="N158" s="133"/>
      <c r="O158" s="133"/>
      <c r="P158" s="133"/>
      <c r="Q158" s="133"/>
      <c r="R158" s="133"/>
      <c r="S158" s="133"/>
      <c r="T158" s="133"/>
      <c r="U158" s="133"/>
      <c r="V158" s="133"/>
      <c r="W158" s="133"/>
      <c r="X158" s="133"/>
      <c r="Y158" s="133"/>
      <c r="Z158" s="133"/>
      <c r="AA158" s="133"/>
      <c r="AB158" s="133"/>
      <c r="AC158" s="134"/>
      <c r="AD158" s="134"/>
      <c r="AE158" s="134"/>
      <c r="AF158" s="134">
        <f>SUM(AF39:AF157)</f>
        <v>11046464.039999999</v>
      </c>
      <c r="AG158" s="134">
        <f>SUM(AG25:AG157)</f>
        <v>8496333.3500000015</v>
      </c>
      <c r="AH158" s="135">
        <f>SUM(AH25:AH157)</f>
        <v>21001372.150000006</v>
      </c>
      <c r="AI158" s="136"/>
      <c r="AJ158" s="137"/>
      <c r="AK158" s="137"/>
      <c r="AL158" s="137"/>
      <c r="AM158" s="137"/>
      <c r="AN158" s="137"/>
      <c r="AO158" s="137"/>
      <c r="AP158" s="137"/>
      <c r="AQ158" s="137"/>
      <c r="AR158" s="138"/>
      <c r="AS158" s="120"/>
      <c r="AT158" s="139"/>
      <c r="AU158" s="139"/>
      <c r="AV158" s="139"/>
      <c r="AW158" s="139"/>
      <c r="AX158" s="139"/>
      <c r="AY158" s="139"/>
      <c r="AZ158" s="139"/>
      <c r="BA158" s="140"/>
      <c r="BB158" s="141"/>
      <c r="BC158" s="139"/>
      <c r="BD158" s="142"/>
    </row>
    <row r="160" spans="1:56" x14ac:dyDescent="0.25">
      <c r="A160" s="1970" t="s">
        <v>579</v>
      </c>
      <c r="B160" s="1970"/>
      <c r="C160" s="1970"/>
      <c r="D160" s="1970"/>
      <c r="E160" s="1970"/>
      <c r="F160" s="1970"/>
      <c r="G160" s="1970"/>
      <c r="H160" s="1970"/>
      <c r="I160" s="1970"/>
      <c r="J160" s="1970"/>
    </row>
    <row r="161" spans="1:10" ht="15" x14ac:dyDescent="0.25">
      <c r="A161" s="143" t="s">
        <v>580</v>
      </c>
      <c r="B161" s="143"/>
      <c r="C161" s="143"/>
      <c r="D161" s="143"/>
      <c r="E161" s="143"/>
      <c r="F161" s="143"/>
      <c r="G161" s="143"/>
      <c r="H161" s="143"/>
      <c r="I161" s="144"/>
      <c r="J161" s="144"/>
    </row>
    <row r="164" spans="1:10" x14ac:dyDescent="0.25">
      <c r="A164" s="1964"/>
      <c r="B164" s="1963"/>
      <c r="C164" s="1963"/>
      <c r="D164" s="1963"/>
      <c r="E164" s="1963"/>
      <c r="F164" s="1963"/>
      <c r="G164" s="1963"/>
    </row>
    <row r="165" spans="1:10" x14ac:dyDescent="0.25">
      <c r="A165" s="1964"/>
      <c r="B165" s="1963"/>
      <c r="C165" s="1963"/>
      <c r="D165" s="1963"/>
      <c r="E165" s="1963"/>
      <c r="F165" s="1963"/>
      <c r="G165" s="1963"/>
    </row>
    <row r="166" spans="1:10" x14ac:dyDescent="0.25">
      <c r="A166" s="1964"/>
      <c r="B166" s="1963"/>
      <c r="C166" s="1963"/>
      <c r="D166" s="1963"/>
      <c r="E166" s="1963"/>
      <c r="F166" s="1963"/>
      <c r="G166" s="1963"/>
    </row>
    <row r="167" spans="1:10" x14ac:dyDescent="0.25">
      <c r="B167" s="1963"/>
      <c r="C167" s="1963"/>
      <c r="D167" s="1963"/>
      <c r="E167" s="1963"/>
      <c r="F167" s="1963"/>
      <c r="G167" s="1963"/>
    </row>
    <row r="168" spans="1:10" x14ac:dyDescent="0.25">
      <c r="B168" s="1963"/>
      <c r="C168" s="1963"/>
      <c r="D168" s="1963"/>
      <c r="E168" s="1963"/>
      <c r="F168" s="1963"/>
      <c r="G168" s="1963"/>
    </row>
    <row r="169" spans="1:10" x14ac:dyDescent="0.25">
      <c r="B169" s="1963"/>
      <c r="C169" s="1963"/>
      <c r="D169" s="1963"/>
      <c r="E169" s="1963"/>
      <c r="F169" s="1963"/>
      <c r="G169" s="1963"/>
    </row>
    <row r="170" spans="1:10" x14ac:dyDescent="0.25">
      <c r="B170" s="2"/>
      <c r="C170" s="1964"/>
      <c r="D170" s="1964"/>
      <c r="E170" s="1964"/>
      <c r="F170" s="1964"/>
      <c r="G170" s="1964"/>
    </row>
    <row r="171" spans="1:10" x14ac:dyDescent="0.25">
      <c r="B171" s="2"/>
      <c r="C171" s="1962"/>
      <c r="D171" s="1962"/>
      <c r="E171" s="1962"/>
      <c r="F171" s="1962"/>
      <c r="G171" s="1962"/>
    </row>
    <row r="172" spans="1:10" x14ac:dyDescent="0.25">
      <c r="B172" s="2"/>
      <c r="C172" s="1962"/>
      <c r="D172" s="1962"/>
      <c r="E172" s="1962"/>
      <c r="F172" s="1962"/>
      <c r="G172" s="1962"/>
    </row>
    <row r="173" spans="1:10" x14ac:dyDescent="0.25">
      <c r="B173" s="2"/>
      <c r="C173" s="1962"/>
      <c r="D173" s="1962"/>
      <c r="E173" s="1962"/>
      <c r="F173" s="1962"/>
      <c r="G173" s="1962"/>
    </row>
    <row r="174" spans="1:10" x14ac:dyDescent="0.25">
      <c r="B174" s="2"/>
      <c r="C174" s="1963"/>
      <c r="D174" s="1963"/>
      <c r="E174" s="1963"/>
      <c r="F174" s="1963"/>
      <c r="G174" s="1963"/>
    </row>
    <row r="175" spans="1:10" x14ac:dyDescent="0.25">
      <c r="B175" s="2"/>
      <c r="C175" s="1963"/>
      <c r="D175" s="1963"/>
      <c r="E175" s="1963"/>
      <c r="F175" s="1963"/>
      <c r="G175" s="1963"/>
    </row>
    <row r="176" spans="1:10" x14ac:dyDescent="0.25">
      <c r="B176" s="1964"/>
      <c r="C176" s="1963"/>
      <c r="D176" s="1963"/>
      <c r="E176" s="1963"/>
      <c r="F176" s="1963"/>
      <c r="G176" s="1963"/>
    </row>
    <row r="177" spans="2:7" x14ac:dyDescent="0.25">
      <c r="B177" s="1964"/>
      <c r="C177" s="1963"/>
      <c r="D177" s="1963"/>
      <c r="E177" s="1963"/>
      <c r="F177" s="1963"/>
      <c r="G177" s="1963"/>
    </row>
    <row r="178" spans="2:7" x14ac:dyDescent="0.25">
      <c r="B178" s="2"/>
      <c r="C178" s="1963"/>
      <c r="D178" s="1963"/>
      <c r="E178" s="1963"/>
      <c r="F178" s="1963"/>
      <c r="G178" s="1963"/>
    </row>
    <row r="179" spans="2:7" x14ac:dyDescent="0.25">
      <c r="B179" s="2"/>
      <c r="C179" s="1962"/>
      <c r="D179" s="1962"/>
      <c r="E179" s="1962"/>
      <c r="F179" s="1962"/>
      <c r="G179" s="1962"/>
    </row>
    <row r="180" spans="2:7" x14ac:dyDescent="0.25">
      <c r="B180" s="2"/>
      <c r="C180" s="1963"/>
      <c r="D180" s="1963"/>
      <c r="E180" s="1963"/>
      <c r="F180" s="1963"/>
      <c r="G180" s="1963"/>
    </row>
    <row r="181" spans="2:7" x14ac:dyDescent="0.25">
      <c r="B181" s="2"/>
      <c r="C181" s="1962"/>
      <c r="D181" s="1962"/>
      <c r="E181" s="1962"/>
      <c r="F181" s="1962"/>
      <c r="G181" s="1962"/>
    </row>
    <row r="182" spans="2:7" x14ac:dyDescent="0.25">
      <c r="B182" s="145"/>
      <c r="C182" s="1962"/>
      <c r="D182" s="1962"/>
      <c r="E182" s="1962"/>
      <c r="F182" s="1962"/>
      <c r="G182" s="1962"/>
    </row>
    <row r="183" spans="2:7" x14ac:dyDescent="0.25">
      <c r="B183" s="2"/>
      <c r="C183" s="1963"/>
      <c r="D183" s="1963"/>
      <c r="E183" s="1963"/>
      <c r="F183" s="1963"/>
      <c r="G183" s="1963"/>
    </row>
    <row r="184" spans="2:7" x14ac:dyDescent="0.25">
      <c r="B184" s="2"/>
      <c r="C184" s="1962"/>
      <c r="D184" s="1962"/>
      <c r="E184" s="1962"/>
      <c r="F184" s="1962"/>
      <c r="G184" s="1962"/>
    </row>
    <row r="185" spans="2:7" x14ac:dyDescent="0.25">
      <c r="B185" s="2"/>
      <c r="C185" s="1962"/>
      <c r="D185" s="1962"/>
      <c r="E185" s="1962"/>
      <c r="F185" s="1962"/>
      <c r="G185" s="1962"/>
    </row>
    <row r="186" spans="2:7" x14ac:dyDescent="0.25">
      <c r="B186" s="2"/>
      <c r="C186" s="1962"/>
      <c r="D186" s="1962"/>
      <c r="E186" s="1962"/>
      <c r="F186" s="1962"/>
      <c r="G186" s="1962"/>
    </row>
    <row r="187" spans="2:7" x14ac:dyDescent="0.25">
      <c r="B187" s="1964"/>
      <c r="C187" s="1963"/>
      <c r="D187" s="1963"/>
      <c r="E187" s="1963"/>
      <c r="F187" s="1963"/>
      <c r="G187" s="1963"/>
    </row>
    <row r="188" spans="2:7" x14ac:dyDescent="0.25">
      <c r="B188" s="1964"/>
      <c r="C188" s="1963"/>
      <c r="D188" s="1963"/>
      <c r="E188" s="1963"/>
      <c r="F188" s="1963"/>
      <c r="G188" s="1963"/>
    </row>
    <row r="189" spans="2:7" x14ac:dyDescent="0.25">
      <c r="B189" s="2"/>
      <c r="C189" s="1963"/>
      <c r="D189" s="1963"/>
      <c r="E189" s="1963"/>
      <c r="F189" s="1963"/>
      <c r="G189" s="1963"/>
    </row>
    <row r="190" spans="2:7" x14ac:dyDescent="0.25">
      <c r="B190" s="2"/>
      <c r="C190" s="1963"/>
      <c r="D190" s="1963"/>
      <c r="E190" s="1963"/>
      <c r="F190" s="1963"/>
      <c r="G190" s="1963"/>
    </row>
    <row r="191" spans="2:7" x14ac:dyDescent="0.25">
      <c r="B191" s="2"/>
    </row>
    <row r="192" spans="2:7" x14ac:dyDescent="0.25">
      <c r="B192" s="2"/>
      <c r="C192" s="1962"/>
      <c r="D192" s="1962"/>
      <c r="E192" s="1962"/>
      <c r="F192" s="1962"/>
      <c r="G192" s="1962"/>
    </row>
    <row r="193" spans="2:7" x14ac:dyDescent="0.25">
      <c r="B193" s="2"/>
      <c r="C193" s="1962"/>
      <c r="D193" s="1962"/>
      <c r="E193" s="1962"/>
      <c r="F193" s="1962"/>
      <c r="G193" s="1962"/>
    </row>
    <row r="194" spans="2:7" x14ac:dyDescent="0.25">
      <c r="B194" s="2"/>
      <c r="C194" s="1962"/>
      <c r="D194" s="1962"/>
      <c r="E194" s="1962"/>
      <c r="F194" s="1962"/>
      <c r="G194" s="1962"/>
    </row>
    <row r="195" spans="2:7" x14ac:dyDescent="0.25">
      <c r="B195" s="2"/>
      <c r="C195" s="1962"/>
      <c r="D195" s="1962"/>
      <c r="E195" s="1962"/>
      <c r="F195" s="1962"/>
      <c r="G195" s="1962"/>
    </row>
    <row r="196" spans="2:7" x14ac:dyDescent="0.25">
      <c r="B196" s="2"/>
      <c r="C196" s="1962"/>
      <c r="D196" s="1962"/>
      <c r="E196" s="1962"/>
      <c r="F196" s="1962"/>
      <c r="G196" s="1962"/>
    </row>
    <row r="197" spans="2:7" x14ac:dyDescent="0.25">
      <c r="B197" s="2"/>
      <c r="C197" s="1962"/>
      <c r="D197" s="1962"/>
      <c r="E197" s="1962"/>
      <c r="F197" s="1962"/>
      <c r="G197" s="1962"/>
    </row>
    <row r="198" spans="2:7" x14ac:dyDescent="0.25">
      <c r="B198" s="2"/>
      <c r="C198" s="1962"/>
      <c r="D198" s="1962"/>
      <c r="E198" s="1962"/>
      <c r="F198" s="1962"/>
      <c r="G198" s="1962"/>
    </row>
    <row r="199" spans="2:7" x14ac:dyDescent="0.25">
      <c r="B199" s="2"/>
      <c r="C199" s="1962"/>
      <c r="D199" s="1962"/>
      <c r="E199" s="1962"/>
      <c r="F199" s="1962"/>
      <c r="G199" s="1962"/>
    </row>
    <row r="200" spans="2:7" x14ac:dyDescent="0.25">
      <c r="B200" s="2"/>
      <c r="C200" s="1962"/>
      <c r="D200" s="1962"/>
      <c r="E200" s="1962"/>
      <c r="F200" s="1962"/>
      <c r="G200" s="1962"/>
    </row>
    <row r="201" spans="2:7" x14ac:dyDescent="0.25">
      <c r="B201" s="1964"/>
      <c r="C201" s="1963"/>
      <c r="D201" s="1963"/>
      <c r="E201" s="1963"/>
      <c r="F201" s="1963"/>
      <c r="G201" s="1963"/>
    </row>
    <row r="202" spans="2:7" x14ac:dyDescent="0.25">
      <c r="B202" s="1964"/>
      <c r="C202" s="1963"/>
      <c r="D202" s="1963"/>
      <c r="E202" s="1963"/>
      <c r="F202" s="1963"/>
      <c r="G202" s="1963"/>
    </row>
    <row r="203" spans="2:7" x14ac:dyDescent="0.25">
      <c r="B203" s="2"/>
      <c r="C203" s="1962"/>
      <c r="D203" s="1962"/>
      <c r="E203" s="1962"/>
      <c r="F203" s="1962"/>
      <c r="G203" s="1962"/>
    </row>
    <row r="204" spans="2:7" x14ac:dyDescent="0.25">
      <c r="B204" s="2"/>
      <c r="C204" s="1962"/>
      <c r="D204" s="1962"/>
      <c r="E204" s="1962"/>
      <c r="F204" s="1962"/>
      <c r="G204" s="1962"/>
    </row>
    <row r="205" spans="2:7" x14ac:dyDescent="0.25">
      <c r="B205" s="146"/>
      <c r="C205" s="1966"/>
      <c r="D205" s="1966"/>
      <c r="E205" s="1966"/>
      <c r="F205" s="1966"/>
      <c r="G205" s="1966"/>
    </row>
    <row r="206" spans="2:7" x14ac:dyDescent="0.25">
      <c r="B206" s="2"/>
      <c r="C206" s="1962"/>
      <c r="D206" s="1962"/>
      <c r="E206" s="1962"/>
      <c r="F206" s="1962"/>
      <c r="G206" s="1962"/>
    </row>
    <row r="207" spans="2:7" x14ac:dyDescent="0.25">
      <c r="B207" s="2"/>
      <c r="C207" s="1962"/>
      <c r="D207" s="1962"/>
      <c r="E207" s="1962"/>
      <c r="F207" s="1962"/>
      <c r="G207" s="1962"/>
    </row>
    <row r="208" spans="2:7" x14ac:dyDescent="0.25">
      <c r="B208" s="2"/>
      <c r="C208" s="1962"/>
      <c r="D208" s="1962"/>
      <c r="E208" s="1962"/>
      <c r="F208" s="1962"/>
      <c r="G208" s="1962"/>
    </row>
    <row r="209" spans="2:7" x14ac:dyDescent="0.25">
      <c r="B209" s="2"/>
      <c r="C209" s="1962"/>
      <c r="D209" s="1962"/>
      <c r="E209" s="1962"/>
      <c r="F209" s="1962"/>
      <c r="G209" s="1962"/>
    </row>
    <row r="210" spans="2:7" x14ac:dyDescent="0.25">
      <c r="B210" s="146"/>
      <c r="C210" s="1966"/>
      <c r="D210" s="1966"/>
      <c r="E210" s="1966"/>
      <c r="F210" s="1966"/>
      <c r="G210" s="1966"/>
    </row>
    <row r="211" spans="2:7" x14ac:dyDescent="0.25">
      <c r="B211" s="2"/>
      <c r="C211" s="1962"/>
      <c r="D211" s="1962"/>
      <c r="E211" s="1962"/>
      <c r="F211" s="1962"/>
      <c r="G211" s="1962"/>
    </row>
    <row r="212" spans="2:7" x14ac:dyDescent="0.25">
      <c r="B212" s="2"/>
      <c r="C212" s="1962"/>
      <c r="D212" s="1962"/>
      <c r="E212" s="1962"/>
      <c r="F212" s="1962"/>
      <c r="G212" s="1962"/>
    </row>
    <row r="213" spans="2:7" x14ac:dyDescent="0.25">
      <c r="B213" s="2"/>
      <c r="C213" s="1962"/>
      <c r="D213" s="1962"/>
      <c r="E213" s="1962"/>
      <c r="F213" s="1962"/>
      <c r="G213" s="1962"/>
    </row>
    <row r="214" spans="2:7" x14ac:dyDescent="0.25">
      <c r="B214" s="2"/>
      <c r="C214" s="1962"/>
      <c r="D214" s="1962"/>
      <c r="E214" s="1962"/>
      <c r="F214" s="1962"/>
      <c r="G214" s="1962"/>
    </row>
    <row r="215" spans="2:7" x14ac:dyDescent="0.25">
      <c r="B215" s="2"/>
      <c r="C215" s="1962"/>
      <c r="D215" s="1962"/>
      <c r="E215" s="1962"/>
      <c r="F215" s="1962"/>
      <c r="G215" s="1962"/>
    </row>
    <row r="216" spans="2:7" x14ac:dyDescent="0.25">
      <c r="B216" s="2"/>
      <c r="C216" s="1962"/>
      <c r="D216" s="1962"/>
      <c r="E216" s="1962"/>
      <c r="F216" s="1962"/>
      <c r="G216" s="1962"/>
    </row>
    <row r="217" spans="2:7" x14ac:dyDescent="0.25">
      <c r="B217" s="146"/>
      <c r="C217" s="1966"/>
      <c r="D217" s="1966"/>
      <c r="E217" s="1966"/>
      <c r="F217" s="1966"/>
      <c r="G217" s="1966"/>
    </row>
    <row r="218" spans="2:7" x14ac:dyDescent="0.25">
      <c r="B218" s="1964"/>
      <c r="C218" s="1965"/>
      <c r="D218" s="1965"/>
      <c r="E218" s="1965"/>
      <c r="F218" s="1965"/>
      <c r="G218" s="1965"/>
    </row>
    <row r="219" spans="2:7" x14ac:dyDescent="0.25">
      <c r="B219" s="1964"/>
      <c r="C219" s="1965"/>
      <c r="D219" s="1965"/>
      <c r="E219" s="1965"/>
      <c r="F219" s="1965"/>
      <c r="G219" s="1965"/>
    </row>
    <row r="220" spans="2:7" x14ac:dyDescent="0.25">
      <c r="B220" s="2"/>
      <c r="C220" s="1962"/>
      <c r="D220" s="1962"/>
      <c r="E220" s="1962"/>
      <c r="F220" s="1962"/>
      <c r="G220" s="1962"/>
    </row>
    <row r="221" spans="2:7" x14ac:dyDescent="0.25">
      <c r="B221" s="2"/>
      <c r="C221" s="1962"/>
      <c r="D221" s="1962"/>
      <c r="E221" s="1962"/>
      <c r="F221" s="1962"/>
      <c r="G221" s="1962"/>
    </row>
    <row r="222" spans="2:7" x14ac:dyDescent="0.25">
      <c r="B222" s="2"/>
      <c r="C222" s="1962"/>
      <c r="D222" s="1962"/>
      <c r="E222" s="1962"/>
      <c r="F222" s="1962"/>
      <c r="G222" s="1962"/>
    </row>
    <row r="223" spans="2:7" x14ac:dyDescent="0.25">
      <c r="B223" s="2"/>
      <c r="C223" s="1962"/>
      <c r="D223" s="1962"/>
      <c r="E223" s="1962"/>
      <c r="F223" s="1962"/>
      <c r="G223" s="1962"/>
    </row>
    <row r="224" spans="2:7" x14ac:dyDescent="0.25">
      <c r="B224" s="2"/>
      <c r="C224" s="1962"/>
      <c r="D224" s="1962"/>
      <c r="E224" s="1962"/>
      <c r="F224" s="1962"/>
      <c r="G224" s="1962"/>
    </row>
    <row r="225" spans="2:7" x14ac:dyDescent="0.25">
      <c r="B225" s="2"/>
      <c r="C225" s="1962"/>
      <c r="D225" s="1962"/>
      <c r="E225" s="1962"/>
      <c r="F225" s="1962"/>
      <c r="G225" s="1962"/>
    </row>
    <row r="226" spans="2:7" x14ac:dyDescent="0.25">
      <c r="B226" s="2"/>
      <c r="C226" s="1962"/>
      <c r="D226" s="1962"/>
      <c r="E226" s="1962"/>
      <c r="F226" s="1962"/>
      <c r="G226" s="1962"/>
    </row>
    <row r="227" spans="2:7" x14ac:dyDescent="0.25">
      <c r="B227" s="2"/>
    </row>
    <row r="228" spans="2:7" x14ac:dyDescent="0.25">
      <c r="B228" s="145"/>
      <c r="C228" s="1963"/>
      <c r="D228" s="1963"/>
      <c r="E228" s="1963"/>
      <c r="F228" s="1963"/>
      <c r="G228" s="1963"/>
    </row>
    <row r="229" spans="2:7" x14ac:dyDescent="0.25">
      <c r="B229" s="2"/>
      <c r="C229" s="1962"/>
      <c r="D229" s="1962"/>
      <c r="E229" s="1962"/>
      <c r="F229" s="1962"/>
      <c r="G229" s="1962"/>
    </row>
  </sheetData>
  <mergeCells count="377">
    <mergeCell ref="A11:BD11"/>
    <mergeCell ref="A21:A24"/>
    <mergeCell ref="B21:G22"/>
    <mergeCell ref="H21:AH21"/>
    <mergeCell ref="AI21:AL21"/>
    <mergeCell ref="AM21:AR21"/>
    <mergeCell ref="AS21:BD21"/>
    <mergeCell ref="H22:T22"/>
    <mergeCell ref="U22:AD22"/>
    <mergeCell ref="AT22:AT23"/>
    <mergeCell ref="AU22:AW22"/>
    <mergeCell ref="A13:AS13"/>
    <mergeCell ref="A14:J14"/>
    <mergeCell ref="A15:E15"/>
    <mergeCell ref="A17:AI17"/>
    <mergeCell ref="A18:AI18"/>
    <mergeCell ref="AE22:AH22"/>
    <mergeCell ref="AI22:AI23"/>
    <mergeCell ref="AJ22:AJ23"/>
    <mergeCell ref="AK22:AK23"/>
    <mergeCell ref="AL22:AL23"/>
    <mergeCell ref="AM22:AM23"/>
    <mergeCell ref="A19:AI19"/>
    <mergeCell ref="AX22:AY22"/>
    <mergeCell ref="AZ22:AZ23"/>
    <mergeCell ref="BA22:BA23"/>
    <mergeCell ref="BB22:BD22"/>
    <mergeCell ref="AN22:AN23"/>
    <mergeCell ref="AO22:AO23"/>
    <mergeCell ref="AP22:AP23"/>
    <mergeCell ref="AQ22:AQ23"/>
    <mergeCell ref="AR22:AR23"/>
    <mergeCell ref="AS22:AS23"/>
    <mergeCell ref="A35:A39"/>
    <mergeCell ref="B35:B39"/>
    <mergeCell ref="C35:C39"/>
    <mergeCell ref="D35:D39"/>
    <mergeCell ref="E35:E39"/>
    <mergeCell ref="F35:F39"/>
    <mergeCell ref="G35:G39"/>
    <mergeCell ref="H35:H39"/>
    <mergeCell ref="M25:M34"/>
    <mergeCell ref="G25:G34"/>
    <mergeCell ref="H25:H34"/>
    <mergeCell ref="I25:I34"/>
    <mergeCell ref="J25:J34"/>
    <mergeCell ref="K25:K34"/>
    <mergeCell ref="L25:L34"/>
    <mergeCell ref="A25:A34"/>
    <mergeCell ref="B25:B34"/>
    <mergeCell ref="C25:C34"/>
    <mergeCell ref="D25:D34"/>
    <mergeCell ref="E25:E34"/>
    <mergeCell ref="F25:F34"/>
    <mergeCell ref="T35:T39"/>
    <mergeCell ref="I35:I39"/>
    <mergeCell ref="J35:J39"/>
    <mergeCell ref="K35:K39"/>
    <mergeCell ref="L35:L39"/>
    <mergeCell ref="M35:M39"/>
    <mergeCell ref="N35:N39"/>
    <mergeCell ref="S25:S34"/>
    <mergeCell ref="T25:T34"/>
    <mergeCell ref="N25:N34"/>
    <mergeCell ref="O25:O34"/>
    <mergeCell ref="P25:P34"/>
    <mergeCell ref="Q25:Q34"/>
    <mergeCell ref="R25:R34"/>
    <mergeCell ref="C40:C44"/>
    <mergeCell ref="D40:D44"/>
    <mergeCell ref="E40:E44"/>
    <mergeCell ref="F40:F44"/>
    <mergeCell ref="O35:O39"/>
    <mergeCell ref="P35:P39"/>
    <mergeCell ref="Q35:Q39"/>
    <mergeCell ref="R35:R39"/>
    <mergeCell ref="S35:S39"/>
    <mergeCell ref="S40:S44"/>
    <mergeCell ref="T40:T44"/>
    <mergeCell ref="A45:A49"/>
    <mergeCell ref="B45:B49"/>
    <mergeCell ref="C45:C49"/>
    <mergeCell ref="D45:D49"/>
    <mergeCell ref="E45:E49"/>
    <mergeCell ref="F45:F49"/>
    <mergeCell ref="G45:G49"/>
    <mergeCell ref="H45:H49"/>
    <mergeCell ref="M40:M44"/>
    <mergeCell ref="N40:N44"/>
    <mergeCell ref="O40:O44"/>
    <mergeCell ref="P40:P44"/>
    <mergeCell ref="Q40:Q44"/>
    <mergeCell ref="R40:R44"/>
    <mergeCell ref="G40:G44"/>
    <mergeCell ref="H40:H44"/>
    <mergeCell ref="I40:I44"/>
    <mergeCell ref="J40:J44"/>
    <mergeCell ref="K40:K44"/>
    <mergeCell ref="L40:L44"/>
    <mergeCell ref="A40:A44"/>
    <mergeCell ref="B40:B44"/>
    <mergeCell ref="O45:O49"/>
    <mergeCell ref="P45:P49"/>
    <mergeCell ref="Q45:Q49"/>
    <mergeCell ref="R45:R49"/>
    <mergeCell ref="S45:S49"/>
    <mergeCell ref="A50:A54"/>
    <mergeCell ref="B50:B54"/>
    <mergeCell ref="C50:C54"/>
    <mergeCell ref="D50:D54"/>
    <mergeCell ref="E50:E54"/>
    <mergeCell ref="I45:I49"/>
    <mergeCell ref="J45:J49"/>
    <mergeCell ref="K45:K49"/>
    <mergeCell ref="L45:L49"/>
    <mergeCell ref="M45:M49"/>
    <mergeCell ref="N45:N49"/>
    <mergeCell ref="R50:R54"/>
    <mergeCell ref="S50:S54"/>
    <mergeCell ref="T50:T54"/>
    <mergeCell ref="A55:A60"/>
    <mergeCell ref="B55:B60"/>
    <mergeCell ref="C55:C60"/>
    <mergeCell ref="D55:D60"/>
    <mergeCell ref="E55:E60"/>
    <mergeCell ref="F55:F60"/>
    <mergeCell ref="G55:G60"/>
    <mergeCell ref="L50:L54"/>
    <mergeCell ref="M50:M54"/>
    <mergeCell ref="N50:N54"/>
    <mergeCell ref="O50:O54"/>
    <mergeCell ref="P50:P54"/>
    <mergeCell ref="Q50:Q54"/>
    <mergeCell ref="F50:F54"/>
    <mergeCell ref="G50:G54"/>
    <mergeCell ref="H50:H54"/>
    <mergeCell ref="I50:I54"/>
    <mergeCell ref="J50:J54"/>
    <mergeCell ref="K50:K54"/>
    <mergeCell ref="N55:N60"/>
    <mergeCell ref="O55:O60"/>
    <mergeCell ref="P55:P60"/>
    <mergeCell ref="J55:J60"/>
    <mergeCell ref="A61:A65"/>
    <mergeCell ref="B61:B65"/>
    <mergeCell ref="C61:C65"/>
    <mergeCell ref="D61:D65"/>
    <mergeCell ref="E61:E65"/>
    <mergeCell ref="F61:F65"/>
    <mergeCell ref="G61:G65"/>
    <mergeCell ref="H55:H60"/>
    <mergeCell ref="I55:I60"/>
    <mergeCell ref="H61:H65"/>
    <mergeCell ref="I61:I65"/>
    <mergeCell ref="K55:K60"/>
    <mergeCell ref="L55:L60"/>
    <mergeCell ref="M55:M60"/>
    <mergeCell ref="N61:N65"/>
    <mergeCell ref="O61:O65"/>
    <mergeCell ref="P61:P65"/>
    <mergeCell ref="Q61:Q65"/>
    <mergeCell ref="R61:R65"/>
    <mergeCell ref="S61:S65"/>
    <mergeCell ref="J61:J65"/>
    <mergeCell ref="K61:K65"/>
    <mergeCell ref="L61:L65"/>
    <mergeCell ref="M61:M65"/>
    <mergeCell ref="M66:M69"/>
    <mergeCell ref="N66:N69"/>
    <mergeCell ref="O66:O69"/>
    <mergeCell ref="P66:P69"/>
    <mergeCell ref="A70:A71"/>
    <mergeCell ref="B70:B71"/>
    <mergeCell ref="C70:C71"/>
    <mergeCell ref="D70:D71"/>
    <mergeCell ref="E70:E71"/>
    <mergeCell ref="F70:F71"/>
    <mergeCell ref="G66:G69"/>
    <mergeCell ref="H66:H69"/>
    <mergeCell ref="I66:I69"/>
    <mergeCell ref="J66:J69"/>
    <mergeCell ref="K66:K69"/>
    <mergeCell ref="L66:L69"/>
    <mergeCell ref="A66:A69"/>
    <mergeCell ref="B66:B69"/>
    <mergeCell ref="C66:C69"/>
    <mergeCell ref="D66:D69"/>
    <mergeCell ref="E66:E69"/>
    <mergeCell ref="F66:F69"/>
    <mergeCell ref="M70:M71"/>
    <mergeCell ref="N70:N71"/>
    <mergeCell ref="O70:O71"/>
    <mergeCell ref="P70:P71"/>
    <mergeCell ref="A72:A73"/>
    <mergeCell ref="B72:B73"/>
    <mergeCell ref="C72:C73"/>
    <mergeCell ref="D72:D73"/>
    <mergeCell ref="E72:E73"/>
    <mergeCell ref="F72:F73"/>
    <mergeCell ref="G70:G71"/>
    <mergeCell ref="H70:H71"/>
    <mergeCell ref="I70:I71"/>
    <mergeCell ref="J70:J71"/>
    <mergeCell ref="K70:K71"/>
    <mergeCell ref="L70:L71"/>
    <mergeCell ref="AL72:AL73"/>
    <mergeCell ref="M72:M73"/>
    <mergeCell ref="N72:N73"/>
    <mergeCell ref="O72:O73"/>
    <mergeCell ref="P72:P73"/>
    <mergeCell ref="Q72:Q73"/>
    <mergeCell ref="R72:R73"/>
    <mergeCell ref="G72:G73"/>
    <mergeCell ref="H72:H73"/>
    <mergeCell ref="I72:I73"/>
    <mergeCell ref="J72:J73"/>
    <mergeCell ref="K72:K73"/>
    <mergeCell ref="L72:L73"/>
    <mergeCell ref="C74:C77"/>
    <mergeCell ref="D74:D77"/>
    <mergeCell ref="E74:E77"/>
    <mergeCell ref="F74:F77"/>
    <mergeCell ref="S72:S73"/>
    <mergeCell ref="T72:T73"/>
    <mergeCell ref="AI72:AI73"/>
    <mergeCell ref="AJ72:AJ73"/>
    <mergeCell ref="AK72:AK73"/>
    <mergeCell ref="S74:S77"/>
    <mergeCell ref="M74:M77"/>
    <mergeCell ref="N74:N77"/>
    <mergeCell ref="O74:O77"/>
    <mergeCell ref="P74:P77"/>
    <mergeCell ref="Q74:Q77"/>
    <mergeCell ref="R74:R77"/>
    <mergeCell ref="G74:G77"/>
    <mergeCell ref="H74:H77"/>
    <mergeCell ref="I74:I77"/>
    <mergeCell ref="J74:J77"/>
    <mergeCell ref="K74:K77"/>
    <mergeCell ref="L74:L77"/>
    <mergeCell ref="P83:P84"/>
    <mergeCell ref="J83:J84"/>
    <mergeCell ref="A80:A81"/>
    <mergeCell ref="B80:B81"/>
    <mergeCell ref="C80:C81"/>
    <mergeCell ref="D80:D81"/>
    <mergeCell ref="E80:E81"/>
    <mergeCell ref="F80:F81"/>
    <mergeCell ref="G80:G81"/>
    <mergeCell ref="H80:H81"/>
    <mergeCell ref="I80:I81"/>
    <mergeCell ref="H83:H84"/>
    <mergeCell ref="I83:I84"/>
    <mergeCell ref="G83:G84"/>
    <mergeCell ref="A74:A77"/>
    <mergeCell ref="B74:B77"/>
    <mergeCell ref="P80:P81"/>
    <mergeCell ref="Q80:Q81"/>
    <mergeCell ref="R80:R81"/>
    <mergeCell ref="S80:S81"/>
    <mergeCell ref="T80:T81"/>
    <mergeCell ref="A83:A84"/>
    <mergeCell ref="B83:B84"/>
    <mergeCell ref="C83:C84"/>
    <mergeCell ref="D83:D84"/>
    <mergeCell ref="E83:E84"/>
    <mergeCell ref="J80:J81"/>
    <mergeCell ref="K80:K81"/>
    <mergeCell ref="L80:L81"/>
    <mergeCell ref="M80:M81"/>
    <mergeCell ref="N80:N81"/>
    <mergeCell ref="O80:O81"/>
    <mergeCell ref="L83:L84"/>
    <mergeCell ref="M83:M84"/>
    <mergeCell ref="N83:N84"/>
    <mergeCell ref="O83:O84"/>
    <mergeCell ref="K83:K84"/>
    <mergeCell ref="F83:F84"/>
    <mergeCell ref="L98:L99"/>
    <mergeCell ref="M98:M99"/>
    <mergeCell ref="N98:N99"/>
    <mergeCell ref="O98:O99"/>
    <mergeCell ref="P98:P99"/>
    <mergeCell ref="A111:A114"/>
    <mergeCell ref="B111:B114"/>
    <mergeCell ref="C111:C114"/>
    <mergeCell ref="D111:D114"/>
    <mergeCell ref="E111:E114"/>
    <mergeCell ref="F98:F99"/>
    <mergeCell ref="G98:G99"/>
    <mergeCell ref="H98:H99"/>
    <mergeCell ref="I98:I99"/>
    <mergeCell ref="J98:J99"/>
    <mergeCell ref="K98:K99"/>
    <mergeCell ref="A98:A99"/>
    <mergeCell ref="B98:B99"/>
    <mergeCell ref="C98:C99"/>
    <mergeCell ref="D98:D99"/>
    <mergeCell ref="E98:E99"/>
    <mergeCell ref="R111:R114"/>
    <mergeCell ref="S111:S114"/>
    <mergeCell ref="A158:K158"/>
    <mergeCell ref="A160:J160"/>
    <mergeCell ref="A164:A166"/>
    <mergeCell ref="B164:G166"/>
    <mergeCell ref="L111:L114"/>
    <mergeCell ref="M111:M114"/>
    <mergeCell ref="N111:N114"/>
    <mergeCell ref="O111:O114"/>
    <mergeCell ref="P111:P114"/>
    <mergeCell ref="Q111:Q114"/>
    <mergeCell ref="F111:F114"/>
    <mergeCell ref="G111:G114"/>
    <mergeCell ref="H111:H114"/>
    <mergeCell ref="I111:I114"/>
    <mergeCell ref="J111:J114"/>
    <mergeCell ref="K111:K114"/>
    <mergeCell ref="C174:G175"/>
    <mergeCell ref="B176:B177"/>
    <mergeCell ref="C176:G177"/>
    <mergeCell ref="C178:G178"/>
    <mergeCell ref="C179:G179"/>
    <mergeCell ref="C180:G180"/>
    <mergeCell ref="B167:G168"/>
    <mergeCell ref="B169:G169"/>
    <mergeCell ref="C170:G170"/>
    <mergeCell ref="C171:G171"/>
    <mergeCell ref="C172:G172"/>
    <mergeCell ref="C173:G173"/>
    <mergeCell ref="B187:B188"/>
    <mergeCell ref="C187:G188"/>
    <mergeCell ref="C189:G189"/>
    <mergeCell ref="C190:G190"/>
    <mergeCell ref="C192:G192"/>
    <mergeCell ref="C193:G193"/>
    <mergeCell ref="C181:G181"/>
    <mergeCell ref="C182:G182"/>
    <mergeCell ref="C183:G183"/>
    <mergeCell ref="C184:G184"/>
    <mergeCell ref="C185:G185"/>
    <mergeCell ref="C186:G186"/>
    <mergeCell ref="C200:G200"/>
    <mergeCell ref="B201:B202"/>
    <mergeCell ref="C201:G202"/>
    <mergeCell ref="C203:G203"/>
    <mergeCell ref="C204:G204"/>
    <mergeCell ref="C205:G205"/>
    <mergeCell ref="C194:G194"/>
    <mergeCell ref="C195:G195"/>
    <mergeCell ref="C196:G196"/>
    <mergeCell ref="C197:G197"/>
    <mergeCell ref="C198:G198"/>
    <mergeCell ref="C199:G199"/>
    <mergeCell ref="A9:BD9"/>
    <mergeCell ref="C224:G224"/>
    <mergeCell ref="C225:G225"/>
    <mergeCell ref="C226:G226"/>
    <mergeCell ref="C228:G228"/>
    <mergeCell ref="C229:G229"/>
    <mergeCell ref="B218:B219"/>
    <mergeCell ref="C218:G219"/>
    <mergeCell ref="C220:G220"/>
    <mergeCell ref="C221:G221"/>
    <mergeCell ref="C222:G222"/>
    <mergeCell ref="C223:G223"/>
    <mergeCell ref="C212:G212"/>
    <mergeCell ref="C213:G213"/>
    <mergeCell ref="C214:G214"/>
    <mergeCell ref="C215:G215"/>
    <mergeCell ref="C216:G216"/>
    <mergeCell ref="C217:G217"/>
    <mergeCell ref="C206:G206"/>
    <mergeCell ref="C207:G207"/>
    <mergeCell ref="C208:G208"/>
    <mergeCell ref="C209:G209"/>
    <mergeCell ref="C210:G210"/>
    <mergeCell ref="C211:G211"/>
  </mergeCells>
  <pageMargins left="0.511811024" right="0.511811024" top="0.78740157499999996" bottom="0.78740157499999996" header="0.31496062000000002" footer="0.31496062000000002"/>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9"/>
  <sheetViews>
    <sheetView workbookViewId="0">
      <selection sqref="A1:XFD11"/>
    </sheetView>
  </sheetViews>
  <sheetFormatPr defaultRowHeight="15" x14ac:dyDescent="0.25"/>
  <cols>
    <col min="1" max="1" width="9.140625" style="239"/>
    <col min="2" max="2" width="15.42578125" style="239" customWidth="1"/>
    <col min="3" max="3" width="10.42578125" style="239" customWidth="1"/>
    <col min="4" max="4" width="12.5703125" style="239" customWidth="1"/>
    <col min="5" max="5" width="11.5703125" style="239" bestFit="1" customWidth="1"/>
    <col min="6" max="6" width="45.7109375" style="239" customWidth="1"/>
    <col min="7" max="7" width="12.42578125" style="239" customWidth="1"/>
    <col min="8" max="8" width="12" style="239" customWidth="1"/>
    <col min="9" max="9" width="22.5703125" style="239" customWidth="1"/>
    <col min="10" max="10" width="17" style="239" customWidth="1"/>
    <col min="11" max="11" width="14.42578125" style="239" customWidth="1"/>
    <col min="12" max="12" width="14.28515625" style="239" customWidth="1"/>
    <col min="13" max="13" width="13.28515625" style="239" customWidth="1"/>
    <col min="14" max="15" width="10.140625" style="239" bestFit="1" customWidth="1"/>
    <col min="16" max="16" width="11.42578125" style="239" customWidth="1"/>
    <col min="17" max="17" width="18.85546875" style="239" customWidth="1"/>
    <col min="18" max="18" width="12.85546875" style="239" bestFit="1" customWidth="1"/>
    <col min="19" max="19" width="14.28515625" style="239" customWidth="1"/>
    <col min="20" max="21" width="13.85546875" style="239" customWidth="1"/>
    <col min="22" max="22" width="14.7109375" style="239" customWidth="1"/>
    <col min="23" max="23" width="14.28515625" style="239" customWidth="1"/>
    <col min="24" max="24" width="13" style="239" customWidth="1"/>
    <col min="25" max="25" width="10.85546875" style="239" customWidth="1"/>
    <col min="26" max="26" width="9.85546875" style="239" customWidth="1"/>
    <col min="27" max="27" width="13.140625" style="239" customWidth="1"/>
    <col min="28" max="28" width="12.5703125" style="239" customWidth="1"/>
    <col min="29" max="29" width="12.7109375" style="239" customWidth="1"/>
    <col min="30" max="30" width="12" style="239" customWidth="1"/>
    <col min="31" max="31" width="19.42578125" style="239" customWidth="1"/>
    <col min="32" max="32" width="12.7109375" style="239" customWidth="1"/>
    <col min="33" max="33" width="17.140625" style="239" customWidth="1"/>
    <col min="34" max="34" width="16.140625" style="239" customWidth="1"/>
    <col min="35" max="35" width="13.42578125" style="239" customWidth="1"/>
    <col min="36" max="36" width="17.7109375" style="239" customWidth="1"/>
    <col min="37" max="37" width="12.85546875" style="239" customWidth="1"/>
    <col min="38" max="38" width="16.28515625" style="239" customWidth="1"/>
    <col min="39" max="39" width="15.5703125" style="239" bestFit="1" customWidth="1"/>
    <col min="40" max="40" width="16" style="239" customWidth="1"/>
    <col min="41" max="41" width="14.42578125" style="239" customWidth="1"/>
    <col min="42" max="42" width="9.140625" style="239"/>
    <col min="43" max="43" width="13.5703125" style="239" customWidth="1"/>
    <col min="44" max="45" width="9.140625" style="239"/>
    <col min="46" max="46" width="19.42578125" style="239" bestFit="1" customWidth="1"/>
    <col min="47" max="47" width="6" style="239" bestFit="1" customWidth="1"/>
    <col min="48" max="50" width="9.140625" style="239"/>
    <col min="51" max="51" width="7.5703125" style="239" bestFit="1" customWidth="1"/>
    <col min="52" max="52" width="18.42578125" style="239" bestFit="1" customWidth="1"/>
    <col min="53" max="53" width="23.140625" style="239" bestFit="1" customWidth="1"/>
    <col min="54"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3" spans="1:56" s="369" customFormat="1" ht="15.75" x14ac:dyDescent="0.25">
      <c r="A13" s="368" t="s">
        <v>1</v>
      </c>
      <c r="B13" s="368"/>
      <c r="C13" s="368"/>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row>
    <row r="14" spans="1:56" s="369" customFormat="1" ht="15.75" x14ac:dyDescent="0.25">
      <c r="A14" s="368" t="s">
        <v>2</v>
      </c>
      <c r="B14" s="368"/>
      <c r="C14" s="368"/>
      <c r="D14" s="368"/>
      <c r="E14" s="368"/>
      <c r="F14" s="368"/>
      <c r="G14" s="368"/>
      <c r="H14" s="368"/>
      <c r="I14" s="368"/>
      <c r="J14" s="368"/>
      <c r="K14" s="371"/>
      <c r="L14" s="371"/>
      <c r="M14" s="371"/>
      <c r="N14" s="371"/>
      <c r="O14" s="371"/>
      <c r="P14" s="371"/>
      <c r="Q14" s="371"/>
      <c r="R14" s="371"/>
      <c r="S14" s="371"/>
      <c r="T14" s="371"/>
      <c r="U14" s="371"/>
      <c r="V14" s="371"/>
      <c r="W14" s="371"/>
      <c r="X14" s="371"/>
      <c r="Y14" s="371"/>
      <c r="Z14" s="371"/>
      <c r="AA14" s="371"/>
      <c r="AB14" s="371"/>
      <c r="AC14" s="371"/>
      <c r="AD14" s="371"/>
      <c r="AE14" s="371"/>
      <c r="AF14" s="371"/>
      <c r="AG14" s="371"/>
      <c r="AH14" s="371"/>
      <c r="AI14" s="371"/>
      <c r="AJ14" s="371"/>
      <c r="AK14" s="371"/>
      <c r="AL14" s="371"/>
      <c r="AM14" s="1636"/>
      <c r="AN14" s="371"/>
      <c r="AO14" s="371"/>
      <c r="AP14" s="371"/>
      <c r="AQ14" s="371"/>
      <c r="AR14" s="371"/>
      <c r="AS14" s="371"/>
    </row>
    <row r="15" spans="1:56" s="369" customFormat="1" ht="15.75" x14ac:dyDescent="0.25">
      <c r="A15" s="368" t="s">
        <v>3</v>
      </c>
      <c r="B15" s="368"/>
      <c r="C15" s="368"/>
      <c r="D15" s="368"/>
      <c r="E15" s="368"/>
      <c r="F15" s="1093"/>
      <c r="G15" s="1093"/>
      <c r="H15" s="1093"/>
      <c r="I15" s="1093"/>
      <c r="J15" s="1093"/>
      <c r="K15" s="1093"/>
      <c r="L15" s="1093"/>
      <c r="M15" s="1093"/>
      <c r="N15" s="1093"/>
      <c r="O15" s="1093"/>
      <c r="P15" s="1093"/>
      <c r="Q15" s="1093"/>
      <c r="R15" s="1093"/>
      <c r="S15" s="1093"/>
      <c r="T15" s="1093"/>
      <c r="U15" s="1093"/>
      <c r="V15" s="1093"/>
      <c r="W15" s="1093"/>
      <c r="X15" s="1093"/>
      <c r="Y15" s="1093"/>
      <c r="Z15" s="1093"/>
      <c r="AA15" s="1093"/>
      <c r="AB15" s="1093"/>
      <c r="AC15" s="1093"/>
      <c r="AD15" s="1093"/>
      <c r="AE15" s="1093"/>
      <c r="AF15" s="1093"/>
      <c r="AG15" s="1093"/>
      <c r="AH15" s="1093"/>
      <c r="AI15" s="1093"/>
      <c r="AJ15" s="1093"/>
      <c r="AK15" s="1093"/>
      <c r="AL15" s="1093"/>
      <c r="AM15" s="370"/>
      <c r="AN15" s="1093"/>
      <c r="AO15" s="1093"/>
      <c r="AP15" s="1093"/>
      <c r="AQ15" s="1093"/>
      <c r="AR15" s="1093"/>
      <c r="AS15" s="1093"/>
    </row>
    <row r="16" spans="1:56" s="369" customFormat="1" ht="15.75" x14ac:dyDescent="0.25">
      <c r="A16" s="370"/>
      <c r="B16" s="370"/>
      <c r="C16" s="1093"/>
      <c r="D16" s="1093"/>
      <c r="E16" s="1093"/>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1093"/>
      <c r="AF16" s="1093"/>
      <c r="AG16" s="1637"/>
      <c r="AH16" s="1093"/>
      <c r="AI16" s="1093"/>
      <c r="AJ16" s="1093"/>
      <c r="AK16" s="1093"/>
      <c r="AL16" s="1093"/>
      <c r="AM16" s="370"/>
      <c r="AN16" s="1093"/>
      <c r="AO16" s="1093"/>
      <c r="AP16" s="1093"/>
      <c r="AQ16" s="1093"/>
      <c r="AR16" s="1093"/>
      <c r="AS16" s="1093"/>
    </row>
    <row r="17" spans="1:56" s="369" customFormat="1" ht="15.75" x14ac:dyDescent="0.25">
      <c r="A17" s="368" t="s">
        <v>7569</v>
      </c>
      <c r="B17" s="368"/>
      <c r="C17" s="368"/>
      <c r="D17" s="368"/>
      <c r="E17" s="368"/>
      <c r="F17" s="368"/>
      <c r="G17" s="368"/>
      <c r="H17" s="368"/>
      <c r="I17" s="1093"/>
      <c r="J17" s="1093"/>
      <c r="K17" s="1093"/>
      <c r="L17" s="1093"/>
      <c r="M17" s="1093"/>
      <c r="N17" s="1093"/>
      <c r="O17" s="1093"/>
      <c r="P17" s="1093"/>
      <c r="Q17" s="1093"/>
      <c r="R17" s="1093"/>
      <c r="S17" s="1093"/>
      <c r="T17" s="1093"/>
      <c r="U17" s="1093"/>
      <c r="V17" s="1093"/>
      <c r="W17" s="1093"/>
      <c r="X17" s="1093"/>
      <c r="Y17" s="1093"/>
      <c r="Z17" s="1093"/>
      <c r="AA17" s="1093"/>
      <c r="AB17" s="1093"/>
      <c r="AC17" s="1093"/>
      <c r="AD17" s="1093"/>
      <c r="AE17" s="1093"/>
      <c r="AF17" s="1093"/>
      <c r="AG17" s="1093"/>
      <c r="AH17" s="1093"/>
      <c r="AI17" s="1093"/>
      <c r="AJ17" s="1093"/>
      <c r="AK17" s="1093"/>
      <c r="AL17" s="1093"/>
      <c r="AM17" s="370"/>
      <c r="AN17" s="1093"/>
      <c r="AO17" s="1093"/>
      <c r="AP17" s="1093"/>
      <c r="AQ17" s="1093"/>
      <c r="AR17" s="1093"/>
      <c r="AS17" s="1093"/>
    </row>
    <row r="18" spans="1:56" s="369" customFormat="1" ht="15.75" x14ac:dyDescent="0.25">
      <c r="A18" s="368" t="s">
        <v>7567</v>
      </c>
      <c r="B18" s="368"/>
      <c r="C18" s="368"/>
      <c r="D18" s="368"/>
      <c r="E18" s="368"/>
      <c r="F18" s="368"/>
      <c r="G18" s="368"/>
      <c r="H18" s="368"/>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1093"/>
      <c r="AF18" s="1093"/>
      <c r="AG18" s="1093"/>
      <c r="AH18" s="1093"/>
      <c r="AI18" s="1093"/>
      <c r="AJ18" s="1093"/>
      <c r="AK18" s="1093"/>
      <c r="AL18" s="1093"/>
      <c r="AM18" s="370"/>
      <c r="AN18" s="1093"/>
      <c r="AO18" s="1093"/>
      <c r="AP18" s="1093"/>
      <c r="AQ18" s="1093"/>
      <c r="AR18" s="1093"/>
      <c r="AS18" s="1093"/>
    </row>
    <row r="19" spans="1:56" s="369" customFormat="1" ht="15.75" x14ac:dyDescent="0.25">
      <c r="A19" s="368" t="s">
        <v>7568</v>
      </c>
      <c r="B19" s="368"/>
      <c r="C19" s="368"/>
      <c r="D19" s="368"/>
      <c r="E19" s="368"/>
      <c r="F19" s="368"/>
      <c r="G19" s="368"/>
      <c r="H19" s="368"/>
      <c r="I19" s="1093"/>
      <c r="J19" s="1093"/>
      <c r="K19" s="1093"/>
      <c r="L19" s="1093"/>
      <c r="M19" s="1093"/>
      <c r="N19" s="1093"/>
      <c r="O19" s="1093"/>
      <c r="P19" s="1093"/>
      <c r="Q19" s="1093"/>
      <c r="R19" s="1093"/>
      <c r="S19" s="1093"/>
      <c r="T19" s="1093"/>
      <c r="U19" s="1093"/>
      <c r="V19" s="1093"/>
      <c r="W19" s="1093"/>
      <c r="X19" s="1093"/>
      <c r="Y19" s="1093"/>
      <c r="Z19" s="1093"/>
      <c r="AA19" s="1093"/>
      <c r="AB19" s="1093"/>
      <c r="AC19" s="1093"/>
      <c r="AD19" s="1093"/>
      <c r="AE19" s="1093"/>
      <c r="AF19" s="1093"/>
      <c r="AG19" s="1093"/>
      <c r="AH19" s="1093"/>
      <c r="AI19" s="1093"/>
      <c r="AJ19" s="1093"/>
      <c r="AK19" s="1093"/>
      <c r="AL19" s="1093"/>
      <c r="AM19" s="370"/>
      <c r="AN19" s="1093"/>
      <c r="AO19" s="1093"/>
      <c r="AP19" s="1093"/>
      <c r="AQ19" s="1093"/>
      <c r="AR19" s="1093"/>
      <c r="AS19" s="1093"/>
    </row>
    <row r="20" spans="1:56" s="369" customFormat="1" ht="15.75" x14ac:dyDescent="0.25">
      <c r="A20" s="1093"/>
      <c r="B20" s="1093"/>
      <c r="C20" s="1093"/>
      <c r="D20" s="1093"/>
      <c r="E20" s="1093"/>
      <c r="F20" s="1093"/>
      <c r="G20" s="1093"/>
      <c r="H20" s="1093"/>
      <c r="I20" s="1093"/>
      <c r="J20" s="1093"/>
      <c r="K20" s="1093"/>
      <c r="L20" s="1093"/>
      <c r="M20" s="1093"/>
      <c r="N20" s="1093"/>
      <c r="O20" s="1093"/>
      <c r="P20" s="1093"/>
      <c r="Q20" s="1093"/>
      <c r="R20" s="1093"/>
      <c r="S20" s="1093"/>
      <c r="T20" s="1093"/>
      <c r="U20" s="1093"/>
      <c r="V20" s="1093"/>
      <c r="W20" s="1093"/>
      <c r="X20" s="1093"/>
      <c r="Y20" s="1093"/>
      <c r="Z20" s="1093"/>
      <c r="AA20" s="1093"/>
      <c r="AB20" s="1093"/>
      <c r="AC20" s="1093"/>
      <c r="AD20" s="1093"/>
      <c r="AE20" s="1093"/>
      <c r="AF20" s="1093"/>
      <c r="AG20" s="1093"/>
      <c r="AH20" s="1093"/>
      <c r="AI20" s="1093"/>
      <c r="AJ20" s="1093"/>
      <c r="AK20" s="1093"/>
      <c r="AL20" s="1093"/>
      <c r="AM20" s="370"/>
      <c r="AN20" s="1093"/>
      <c r="AO20" s="1093"/>
      <c r="AP20" s="1093"/>
      <c r="AQ20" s="1093"/>
      <c r="AR20" s="1093"/>
      <c r="AS20" s="1093"/>
    </row>
    <row r="21" spans="1:56" s="1638" customFormat="1" ht="13.5" thickBot="1" x14ac:dyDescent="0.3">
      <c r="A21" s="241"/>
      <c r="B21" s="241"/>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c r="AL21" s="1082"/>
      <c r="AM21" s="241"/>
      <c r="AN21" s="1082"/>
      <c r="AO21" s="1082"/>
      <c r="AP21" s="1082"/>
      <c r="AQ21" s="1082"/>
      <c r="AR21" s="1082"/>
      <c r="AS21" s="1082"/>
    </row>
    <row r="22" spans="1:56" s="1642" customFormat="1" ht="13.5" thickBot="1" x14ac:dyDescent="0.3">
      <c r="A22" s="2444" t="s">
        <v>4</v>
      </c>
      <c r="B22" s="2445"/>
      <c r="C22" s="2445"/>
      <c r="D22" s="2445"/>
      <c r="E22" s="2445"/>
      <c r="F22" s="2445"/>
      <c r="G22" s="2445"/>
      <c r="H22" s="2445"/>
      <c r="I22" s="2445"/>
      <c r="J22" s="2445"/>
      <c r="K22" s="2445"/>
      <c r="L22" s="2445"/>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c r="AS22" s="2445"/>
      <c r="AT22" s="2445"/>
      <c r="AU22" s="2445"/>
      <c r="AV22" s="2445"/>
      <c r="AW22" s="2445"/>
      <c r="AX22" s="2445"/>
      <c r="AY22" s="2445"/>
      <c r="AZ22" s="2445"/>
      <c r="BA22" s="2445"/>
      <c r="BB22" s="2445"/>
      <c r="BC22" s="2445"/>
      <c r="BD22" s="2446"/>
    </row>
    <row r="23" spans="1:56" s="1638" customFormat="1" ht="12.75" x14ac:dyDescent="0.25">
      <c r="A23" s="2447" t="s">
        <v>5</v>
      </c>
      <c r="B23" s="2068" t="s">
        <v>6</v>
      </c>
      <c r="C23" s="2049"/>
      <c r="D23" s="2049"/>
      <c r="E23" s="2049"/>
      <c r="F23" s="2049"/>
      <c r="G23" s="2049"/>
      <c r="H23" s="2049" t="s">
        <v>7</v>
      </c>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t="s">
        <v>8</v>
      </c>
      <c r="AJ23" s="2049"/>
      <c r="AK23" s="2049"/>
      <c r="AL23" s="2049"/>
      <c r="AM23" s="2450" t="s">
        <v>9</v>
      </c>
      <c r="AN23" s="2450"/>
      <c r="AO23" s="2450"/>
      <c r="AP23" s="2450"/>
      <c r="AQ23" s="2450"/>
      <c r="AR23" s="2450"/>
      <c r="AS23" s="2129" t="s">
        <v>10</v>
      </c>
      <c r="AT23" s="2129"/>
      <c r="AU23" s="2129"/>
      <c r="AV23" s="2129"/>
      <c r="AW23" s="2129"/>
      <c r="AX23" s="2129"/>
      <c r="AY23" s="2129"/>
      <c r="AZ23" s="2129"/>
      <c r="BA23" s="2129"/>
      <c r="BB23" s="2129"/>
      <c r="BC23" s="2129"/>
      <c r="BD23" s="2130"/>
    </row>
    <row r="24" spans="1:56" s="1638" customFormat="1" ht="12.75" x14ac:dyDescent="0.25">
      <c r="A24" s="2448"/>
      <c r="B24" s="2069"/>
      <c r="C24" s="2050"/>
      <c r="D24" s="2050"/>
      <c r="E24" s="2050"/>
      <c r="F24" s="2050"/>
      <c r="G24" s="2050"/>
      <c r="H24" s="2050" t="s">
        <v>11</v>
      </c>
      <c r="I24" s="2050"/>
      <c r="J24" s="2050"/>
      <c r="K24" s="2050"/>
      <c r="L24" s="2050"/>
      <c r="M24" s="2050"/>
      <c r="N24" s="2050"/>
      <c r="O24" s="2050"/>
      <c r="P24" s="2050"/>
      <c r="Q24" s="2050"/>
      <c r="R24" s="2050"/>
      <c r="S24" s="2050"/>
      <c r="T24" s="2050"/>
      <c r="U24" s="2050" t="s">
        <v>12</v>
      </c>
      <c r="V24" s="2050"/>
      <c r="W24" s="2050"/>
      <c r="X24" s="2050"/>
      <c r="Y24" s="2050"/>
      <c r="Z24" s="2050"/>
      <c r="AA24" s="2050"/>
      <c r="AB24" s="2050"/>
      <c r="AC24" s="2050"/>
      <c r="AD24" s="2050"/>
      <c r="AE24" s="2050" t="s">
        <v>13</v>
      </c>
      <c r="AF24" s="2050"/>
      <c r="AG24" s="2050"/>
      <c r="AH24" s="2050"/>
      <c r="AI24" s="2050" t="s">
        <v>14</v>
      </c>
      <c r="AJ24" s="2050" t="s">
        <v>15</v>
      </c>
      <c r="AK24" s="2050" t="s">
        <v>16</v>
      </c>
      <c r="AL24" s="2050" t="s">
        <v>581</v>
      </c>
      <c r="AM24" s="2443" t="s">
        <v>18</v>
      </c>
      <c r="AN24" s="2443" t="s">
        <v>19</v>
      </c>
      <c r="AO24" s="2443" t="s">
        <v>20</v>
      </c>
      <c r="AP24" s="2443" t="s">
        <v>21</v>
      </c>
      <c r="AQ24" s="2443" t="s">
        <v>22</v>
      </c>
      <c r="AR24" s="2443" t="s">
        <v>21</v>
      </c>
      <c r="AS24" s="2050" t="s">
        <v>23</v>
      </c>
      <c r="AT24" s="2110" t="s">
        <v>24</v>
      </c>
      <c r="AU24" s="2111" t="s">
        <v>25</v>
      </c>
      <c r="AV24" s="2111"/>
      <c r="AW24" s="2111"/>
      <c r="AX24" s="2111" t="s">
        <v>26</v>
      </c>
      <c r="AY24" s="2111"/>
      <c r="AZ24" s="2110" t="s">
        <v>27</v>
      </c>
      <c r="BA24" s="2050" t="s">
        <v>28</v>
      </c>
      <c r="BB24" s="2111" t="s">
        <v>29</v>
      </c>
      <c r="BC24" s="2111"/>
      <c r="BD24" s="2131"/>
    </row>
    <row r="25" spans="1:56" s="1638" customFormat="1" ht="38.25" x14ac:dyDescent="0.25">
      <c r="A25" s="2448"/>
      <c r="B25" s="1025" t="s">
        <v>30</v>
      </c>
      <c r="C25" s="1026" t="s">
        <v>31</v>
      </c>
      <c r="D25" s="1026" t="s">
        <v>32</v>
      </c>
      <c r="E25" s="1026" t="s">
        <v>23</v>
      </c>
      <c r="F25" s="1026" t="s">
        <v>33</v>
      </c>
      <c r="G25" s="1026" t="s">
        <v>34</v>
      </c>
      <c r="H25" s="311" t="s">
        <v>35</v>
      </c>
      <c r="I25" s="1026" t="s">
        <v>36</v>
      </c>
      <c r="J25" s="1026" t="s">
        <v>37</v>
      </c>
      <c r="K25" s="1026" t="s">
        <v>38</v>
      </c>
      <c r="L25" s="1026" t="s">
        <v>39</v>
      </c>
      <c r="M25" s="1026" t="s">
        <v>40</v>
      </c>
      <c r="N25" s="1026" t="s">
        <v>41</v>
      </c>
      <c r="O25" s="1026" t="s">
        <v>42</v>
      </c>
      <c r="P25" s="1026" t="s">
        <v>43</v>
      </c>
      <c r="Q25" s="1026" t="s">
        <v>44</v>
      </c>
      <c r="R25" s="1026" t="s">
        <v>45</v>
      </c>
      <c r="S25" s="1026" t="s">
        <v>46</v>
      </c>
      <c r="T25" s="1026" t="s">
        <v>47</v>
      </c>
      <c r="U25" s="1026" t="s">
        <v>48</v>
      </c>
      <c r="V25" s="1026" t="s">
        <v>38</v>
      </c>
      <c r="W25" s="1026" t="s">
        <v>40</v>
      </c>
      <c r="X25" s="1026" t="s">
        <v>49</v>
      </c>
      <c r="Y25" s="1026" t="s">
        <v>41</v>
      </c>
      <c r="Z25" s="1026" t="s">
        <v>42</v>
      </c>
      <c r="AA25" s="1026" t="s">
        <v>50</v>
      </c>
      <c r="AB25" s="1026" t="s">
        <v>51</v>
      </c>
      <c r="AC25" s="1026" t="s">
        <v>52</v>
      </c>
      <c r="AD25" s="1026" t="s">
        <v>53</v>
      </c>
      <c r="AE25" s="1026" t="s">
        <v>54</v>
      </c>
      <c r="AF25" s="1026" t="s">
        <v>55</v>
      </c>
      <c r="AG25" s="1026" t="s">
        <v>56</v>
      </c>
      <c r="AH25" s="1026" t="s">
        <v>57</v>
      </c>
      <c r="AI25" s="2050"/>
      <c r="AJ25" s="2050"/>
      <c r="AK25" s="2050"/>
      <c r="AL25" s="2050"/>
      <c r="AM25" s="2443"/>
      <c r="AN25" s="2443"/>
      <c r="AO25" s="2443"/>
      <c r="AP25" s="2443"/>
      <c r="AQ25" s="2443"/>
      <c r="AR25" s="2443"/>
      <c r="AS25" s="2050"/>
      <c r="AT25" s="2110"/>
      <c r="AU25" s="1086" t="s">
        <v>58</v>
      </c>
      <c r="AV25" s="1086" t="s">
        <v>59</v>
      </c>
      <c r="AW25" s="1086" t="s">
        <v>60</v>
      </c>
      <c r="AX25" s="1086" t="s">
        <v>61</v>
      </c>
      <c r="AY25" s="1085" t="s">
        <v>62</v>
      </c>
      <c r="AZ25" s="2110"/>
      <c r="BA25" s="2050"/>
      <c r="BB25" s="1086" t="s">
        <v>58</v>
      </c>
      <c r="BC25" s="1086" t="s">
        <v>63</v>
      </c>
      <c r="BD25" s="1087" t="s">
        <v>64</v>
      </c>
    </row>
    <row r="26" spans="1:56" s="1638" customFormat="1" ht="26.25" thickBot="1" x14ac:dyDescent="0.3">
      <c r="A26" s="2449"/>
      <c r="B26" s="16" t="s">
        <v>65</v>
      </c>
      <c r="C26" s="11" t="s">
        <v>66</v>
      </c>
      <c r="D26" s="12" t="s">
        <v>67</v>
      </c>
      <c r="E26" s="11" t="s">
        <v>68</v>
      </c>
      <c r="F26" s="11" t="s">
        <v>69</v>
      </c>
      <c r="G26" s="11" t="s">
        <v>70</v>
      </c>
      <c r="H26" s="12" t="s">
        <v>71</v>
      </c>
      <c r="I26" s="11" t="s">
        <v>72</v>
      </c>
      <c r="J26" s="11" t="s">
        <v>73</v>
      </c>
      <c r="K26" s="11" t="s">
        <v>74</v>
      </c>
      <c r="L26" s="15" t="s">
        <v>75</v>
      </c>
      <c r="M26" s="11" t="s">
        <v>76</v>
      </c>
      <c r="N26" s="11" t="s">
        <v>77</v>
      </c>
      <c r="O26" s="11" t="s">
        <v>78</v>
      </c>
      <c r="P26" s="11" t="s">
        <v>79</v>
      </c>
      <c r="Q26" s="11" t="s">
        <v>80</v>
      </c>
      <c r="R26" s="11" t="s">
        <v>81</v>
      </c>
      <c r="S26" s="11" t="s">
        <v>82</v>
      </c>
      <c r="T26" s="11" t="s">
        <v>83</v>
      </c>
      <c r="U26" s="11" t="s">
        <v>84</v>
      </c>
      <c r="V26" s="11" t="s">
        <v>85</v>
      </c>
      <c r="W26" s="11" t="s">
        <v>86</v>
      </c>
      <c r="X26" s="11" t="s">
        <v>87</v>
      </c>
      <c r="Y26" s="11" t="s">
        <v>88</v>
      </c>
      <c r="Z26" s="11" t="s">
        <v>89</v>
      </c>
      <c r="AA26" s="11" t="s">
        <v>90</v>
      </c>
      <c r="AB26" s="11" t="s">
        <v>91</v>
      </c>
      <c r="AC26" s="11" t="s">
        <v>92</v>
      </c>
      <c r="AD26" s="11" t="s">
        <v>93</v>
      </c>
      <c r="AE26" s="11" t="s">
        <v>94</v>
      </c>
      <c r="AF26" s="11" t="s">
        <v>95</v>
      </c>
      <c r="AG26" s="11" t="s">
        <v>96</v>
      </c>
      <c r="AH26" s="11" t="s">
        <v>97</v>
      </c>
      <c r="AI26" s="11" t="s">
        <v>98</v>
      </c>
      <c r="AJ26" s="11" t="s">
        <v>99</v>
      </c>
      <c r="AK26" s="11" t="s">
        <v>100</v>
      </c>
      <c r="AL26" s="11" t="s">
        <v>101</v>
      </c>
      <c r="AM26" s="1643" t="s">
        <v>102</v>
      </c>
      <c r="AN26" s="1643" t="s">
        <v>103</v>
      </c>
      <c r="AO26" s="1643" t="s">
        <v>104</v>
      </c>
      <c r="AP26" s="1643" t="s">
        <v>105</v>
      </c>
      <c r="AQ26" s="1643" t="s">
        <v>106</v>
      </c>
      <c r="AR26" s="1643" t="s">
        <v>107</v>
      </c>
      <c r="AS26" s="251" t="s">
        <v>108</v>
      </c>
      <c r="AT26" s="251" t="s">
        <v>109</v>
      </c>
      <c r="AU26" s="251" t="s">
        <v>110</v>
      </c>
      <c r="AV26" s="251" t="s">
        <v>111</v>
      </c>
      <c r="AW26" s="251" t="s">
        <v>112</v>
      </c>
      <c r="AX26" s="251" t="s">
        <v>113</v>
      </c>
      <c r="AY26" s="251" t="s">
        <v>114</v>
      </c>
      <c r="AZ26" s="251" t="s">
        <v>115</v>
      </c>
      <c r="BA26" s="251" t="s">
        <v>116</v>
      </c>
      <c r="BB26" s="251" t="s">
        <v>117</v>
      </c>
      <c r="BC26" s="251" t="s">
        <v>118</v>
      </c>
      <c r="BD26" s="252" t="s">
        <v>119</v>
      </c>
    </row>
    <row r="27" spans="1:56" s="1638" customFormat="1" ht="63.75" x14ac:dyDescent="0.25">
      <c r="A27" s="601">
        <v>1</v>
      </c>
      <c r="B27" s="1102" t="s">
        <v>5002</v>
      </c>
      <c r="C27" s="1043" t="s">
        <v>5003</v>
      </c>
      <c r="D27" s="1039" t="s">
        <v>5004</v>
      </c>
      <c r="E27" s="1039" t="s">
        <v>584</v>
      </c>
      <c r="F27" s="500" t="s">
        <v>5005</v>
      </c>
      <c r="G27" s="1127">
        <v>10603</v>
      </c>
      <c r="H27" s="602" t="s">
        <v>4030</v>
      </c>
      <c r="I27" s="1039" t="s">
        <v>5006</v>
      </c>
      <c r="J27" s="1039" t="s">
        <v>1564</v>
      </c>
      <c r="K27" s="1048">
        <v>41873</v>
      </c>
      <c r="L27" s="1122">
        <v>1973.43</v>
      </c>
      <c r="M27" s="1069">
        <v>11380</v>
      </c>
      <c r="N27" s="1048">
        <v>41872</v>
      </c>
      <c r="O27" s="1048">
        <v>42004</v>
      </c>
      <c r="P27" s="1039" t="s">
        <v>5007</v>
      </c>
      <c r="Q27" s="1039" t="s">
        <v>5008</v>
      </c>
      <c r="R27" s="1122">
        <v>0</v>
      </c>
      <c r="S27" s="1122">
        <v>0</v>
      </c>
      <c r="T27" s="1039" t="s">
        <v>208</v>
      </c>
      <c r="U27" s="1039" t="s">
        <v>677</v>
      </c>
      <c r="V27" s="1039" t="s">
        <v>677</v>
      </c>
      <c r="W27" s="1039" t="s">
        <v>677</v>
      </c>
      <c r="X27" s="1039" t="s">
        <v>677</v>
      </c>
      <c r="Y27" s="1039"/>
      <c r="Z27" s="1039"/>
      <c r="AA27" s="603">
        <v>0</v>
      </c>
      <c r="AB27" s="603">
        <v>0</v>
      </c>
      <c r="AC27" s="1122">
        <v>0</v>
      </c>
      <c r="AD27" s="1122">
        <v>0</v>
      </c>
      <c r="AE27" s="1164">
        <f t="shared" ref="AE27" si="0">L27-AD27+AC27</f>
        <v>1973.43</v>
      </c>
      <c r="AF27" s="1122">
        <v>1564.31</v>
      </c>
      <c r="AG27" s="1119">
        <v>409.12</v>
      </c>
      <c r="AH27" s="604">
        <f t="shared" ref="AH27" si="1">AF27+AG27</f>
        <v>1973.4299999999998</v>
      </c>
      <c r="AI27" s="605"/>
      <c r="AJ27" s="1127"/>
      <c r="AK27" s="606"/>
      <c r="AL27" s="1069"/>
      <c r="AM27" s="607"/>
      <c r="AN27" s="608"/>
      <c r="AO27" s="609"/>
      <c r="AP27" s="610"/>
      <c r="AQ27" s="607"/>
      <c r="AR27" s="610"/>
      <c r="AS27" s="1039"/>
      <c r="AT27" s="263"/>
      <c r="AU27" s="263"/>
      <c r="AV27" s="263"/>
      <c r="AW27" s="263"/>
      <c r="AX27" s="263"/>
      <c r="AY27" s="263"/>
      <c r="AZ27" s="263"/>
      <c r="BA27" s="263"/>
      <c r="BB27" s="263"/>
      <c r="BC27" s="263"/>
      <c r="BD27" s="263"/>
    </row>
    <row r="28" spans="1:56" s="1638" customFormat="1" ht="38.25" x14ac:dyDescent="0.25">
      <c r="A28" s="611">
        <v>1</v>
      </c>
      <c r="B28" s="1081" t="s">
        <v>2262</v>
      </c>
      <c r="C28" s="1030" t="s">
        <v>780</v>
      </c>
      <c r="D28" s="1030" t="s">
        <v>3956</v>
      </c>
      <c r="E28" s="1030" t="s">
        <v>584</v>
      </c>
      <c r="F28" s="520" t="s">
        <v>5009</v>
      </c>
      <c r="G28" s="1053">
        <v>11287</v>
      </c>
      <c r="H28" s="1031" t="s">
        <v>807</v>
      </c>
      <c r="I28" s="1030" t="s">
        <v>5010</v>
      </c>
      <c r="J28" s="1030" t="s">
        <v>2025</v>
      </c>
      <c r="K28" s="1054">
        <v>41771</v>
      </c>
      <c r="L28" s="278">
        <v>159320</v>
      </c>
      <c r="M28" s="1053">
        <v>11305</v>
      </c>
      <c r="N28" s="1054">
        <v>41771</v>
      </c>
      <c r="O28" s="1054">
        <v>42003</v>
      </c>
      <c r="P28" s="1031" t="s">
        <v>3961</v>
      </c>
      <c r="Q28" s="1030" t="s">
        <v>5011</v>
      </c>
      <c r="R28" s="278">
        <v>159320</v>
      </c>
      <c r="S28" s="278">
        <v>0</v>
      </c>
      <c r="T28" s="1030" t="s">
        <v>408</v>
      </c>
      <c r="U28" s="1030" t="s">
        <v>677</v>
      </c>
      <c r="V28" s="1030" t="s">
        <v>677</v>
      </c>
      <c r="W28" s="1030" t="s">
        <v>677</v>
      </c>
      <c r="X28" s="1030" t="s">
        <v>677</v>
      </c>
      <c r="Y28" s="1030" t="s">
        <v>677</v>
      </c>
      <c r="Z28" s="1030" t="s">
        <v>677</v>
      </c>
      <c r="AA28" s="612">
        <v>0</v>
      </c>
      <c r="AB28" s="612">
        <v>0</v>
      </c>
      <c r="AC28" s="278">
        <v>0</v>
      </c>
      <c r="AD28" s="278">
        <v>0</v>
      </c>
      <c r="AE28" s="1162">
        <f>L28-AD28+AC28</f>
        <v>159320</v>
      </c>
      <c r="AF28" s="278">
        <v>0</v>
      </c>
      <c r="AG28" s="1090">
        <v>159320</v>
      </c>
      <c r="AH28" s="613">
        <f>AF28+AG28</f>
        <v>159320</v>
      </c>
      <c r="AI28" s="107" t="s">
        <v>677</v>
      </c>
      <c r="AJ28" s="107" t="s">
        <v>677</v>
      </c>
      <c r="AK28" s="107" t="s">
        <v>677</v>
      </c>
      <c r="AL28" s="107" t="s">
        <v>677</v>
      </c>
      <c r="AM28" s="341" t="s">
        <v>677</v>
      </c>
      <c r="AN28" s="524" t="s">
        <v>677</v>
      </c>
      <c r="AO28" s="524" t="s">
        <v>677</v>
      </c>
      <c r="AP28" s="524" t="s">
        <v>677</v>
      </c>
      <c r="AQ28" s="341" t="s">
        <v>677</v>
      </c>
      <c r="AR28" s="524" t="s">
        <v>677</v>
      </c>
      <c r="AS28" s="1030" t="s">
        <v>677</v>
      </c>
      <c r="AT28" s="165" t="s">
        <v>677</v>
      </c>
      <c r="AU28" s="165" t="s">
        <v>677</v>
      </c>
      <c r="AV28" s="165" t="s">
        <v>677</v>
      </c>
      <c r="AW28" s="165" t="s">
        <v>677</v>
      </c>
      <c r="AX28" s="165" t="s">
        <v>677</v>
      </c>
      <c r="AY28" s="165" t="s">
        <v>677</v>
      </c>
      <c r="AZ28" s="165" t="s">
        <v>677</v>
      </c>
      <c r="BA28" s="165" t="s">
        <v>677</v>
      </c>
      <c r="BB28" s="165" t="s">
        <v>677</v>
      </c>
      <c r="BC28" s="165" t="s">
        <v>677</v>
      </c>
      <c r="BD28" s="165"/>
    </row>
    <row r="29" spans="1:56" s="1638" customFormat="1" ht="38.25" x14ac:dyDescent="0.25">
      <c r="A29" s="611">
        <f>A28+1</f>
        <v>2</v>
      </c>
      <c r="B29" s="1081" t="s">
        <v>2262</v>
      </c>
      <c r="C29" s="1030" t="s">
        <v>780</v>
      </c>
      <c r="D29" s="1030" t="s">
        <v>3956</v>
      </c>
      <c r="E29" s="1030" t="s">
        <v>584</v>
      </c>
      <c r="F29" s="520" t="s">
        <v>5012</v>
      </c>
      <c r="G29" s="1053">
        <v>11287</v>
      </c>
      <c r="H29" s="1031" t="s">
        <v>810</v>
      </c>
      <c r="I29" s="1030" t="s">
        <v>5013</v>
      </c>
      <c r="J29" s="1030" t="s">
        <v>3965</v>
      </c>
      <c r="K29" s="1054">
        <v>41771</v>
      </c>
      <c r="L29" s="278">
        <v>471000</v>
      </c>
      <c r="M29" s="1053">
        <v>11305</v>
      </c>
      <c r="N29" s="1054">
        <v>41771</v>
      </c>
      <c r="O29" s="1054">
        <v>42003</v>
      </c>
      <c r="P29" s="1031" t="s">
        <v>3961</v>
      </c>
      <c r="Q29" s="1030" t="s">
        <v>5011</v>
      </c>
      <c r="R29" s="278">
        <v>471000</v>
      </c>
      <c r="S29" s="278">
        <v>0</v>
      </c>
      <c r="T29" s="1030" t="s">
        <v>408</v>
      </c>
      <c r="U29" s="1030" t="s">
        <v>677</v>
      </c>
      <c r="V29" s="1030" t="s">
        <v>677</v>
      </c>
      <c r="W29" s="1030" t="s">
        <v>677</v>
      </c>
      <c r="X29" s="1030" t="s">
        <v>677</v>
      </c>
      <c r="Y29" s="1030"/>
      <c r="Z29" s="1030"/>
      <c r="AA29" s="612">
        <v>0</v>
      </c>
      <c r="AB29" s="612">
        <v>0</v>
      </c>
      <c r="AC29" s="278">
        <v>0</v>
      </c>
      <c r="AD29" s="278">
        <v>0</v>
      </c>
      <c r="AE29" s="1162">
        <f t="shared" ref="AE29:AE83" si="2">L29-AD29+AC29</f>
        <v>471000</v>
      </c>
      <c r="AF29" s="278">
        <v>0</v>
      </c>
      <c r="AG29" s="1090">
        <v>0</v>
      </c>
      <c r="AH29" s="613">
        <f t="shared" ref="AH29:AH92" si="3">AF29+AG29</f>
        <v>0</v>
      </c>
      <c r="AI29" s="107"/>
      <c r="AJ29" s="107"/>
      <c r="AK29" s="107"/>
      <c r="AL29" s="107"/>
      <c r="AM29" s="341"/>
      <c r="AN29" s="524"/>
      <c r="AO29" s="524"/>
      <c r="AP29" s="524"/>
      <c r="AQ29" s="341"/>
      <c r="AR29" s="524"/>
      <c r="AS29" s="1030"/>
      <c r="AT29" s="165"/>
      <c r="AU29" s="165"/>
      <c r="AV29" s="165"/>
      <c r="AW29" s="165"/>
      <c r="AX29" s="165"/>
      <c r="AY29" s="165"/>
      <c r="AZ29" s="165"/>
      <c r="BA29" s="165"/>
      <c r="BB29" s="165"/>
      <c r="BC29" s="165"/>
      <c r="BD29" s="165"/>
    </row>
    <row r="30" spans="1:56" s="1638" customFormat="1" ht="38.25" x14ac:dyDescent="0.25">
      <c r="A30" s="611">
        <f t="shared" ref="A30:A60" si="4">A29+1</f>
        <v>3</v>
      </c>
      <c r="B30" s="1081" t="s">
        <v>2062</v>
      </c>
      <c r="C30" s="1030" t="s">
        <v>750</v>
      </c>
      <c r="D30" s="1030" t="s">
        <v>3956</v>
      </c>
      <c r="E30" s="1030" t="s">
        <v>584</v>
      </c>
      <c r="F30" s="518" t="s">
        <v>5014</v>
      </c>
      <c r="G30" s="1053">
        <v>11268</v>
      </c>
      <c r="H30" s="1031" t="s">
        <v>765</v>
      </c>
      <c r="I30" s="1030" t="s">
        <v>5015</v>
      </c>
      <c r="J30" s="1030" t="s">
        <v>5016</v>
      </c>
      <c r="K30" s="1054">
        <v>41751</v>
      </c>
      <c r="L30" s="278">
        <v>115000</v>
      </c>
      <c r="M30" s="1053">
        <v>11292</v>
      </c>
      <c r="N30" s="1054">
        <v>41751</v>
      </c>
      <c r="O30" s="1054">
        <v>42003</v>
      </c>
      <c r="P30" s="1031" t="s">
        <v>5017</v>
      </c>
      <c r="Q30" s="1030" t="s">
        <v>5011</v>
      </c>
      <c r="R30" s="278">
        <v>101315</v>
      </c>
      <c r="S30" s="278">
        <v>13685</v>
      </c>
      <c r="T30" s="1030" t="s">
        <v>408</v>
      </c>
      <c r="U30" s="1030" t="s">
        <v>677</v>
      </c>
      <c r="V30" s="1030" t="s">
        <v>677</v>
      </c>
      <c r="W30" s="1030" t="s">
        <v>677</v>
      </c>
      <c r="X30" s="1030" t="s">
        <v>677</v>
      </c>
      <c r="Y30" s="1030" t="s">
        <v>677</v>
      </c>
      <c r="Z30" s="1030" t="s">
        <v>677</v>
      </c>
      <c r="AA30" s="612">
        <v>0</v>
      </c>
      <c r="AB30" s="612">
        <v>0</v>
      </c>
      <c r="AC30" s="278">
        <v>0</v>
      </c>
      <c r="AD30" s="278">
        <v>0</v>
      </c>
      <c r="AE30" s="1162">
        <f t="shared" si="2"/>
        <v>115000</v>
      </c>
      <c r="AF30" s="278">
        <v>0</v>
      </c>
      <c r="AG30" s="1090">
        <v>115000</v>
      </c>
      <c r="AH30" s="613">
        <f t="shared" si="3"/>
        <v>115000</v>
      </c>
      <c r="AI30" s="107"/>
      <c r="AJ30" s="107"/>
      <c r="AK30" s="107"/>
      <c r="AL30" s="107"/>
      <c r="AM30" s="341"/>
      <c r="AN30" s="524"/>
      <c r="AO30" s="524"/>
      <c r="AP30" s="524"/>
      <c r="AQ30" s="341"/>
      <c r="AR30" s="524"/>
      <c r="AS30" s="1030"/>
      <c r="AT30" s="165"/>
      <c r="AU30" s="165"/>
      <c r="AV30" s="165"/>
      <c r="AW30" s="165"/>
      <c r="AX30" s="165"/>
      <c r="AY30" s="165"/>
      <c r="AZ30" s="165"/>
      <c r="BA30" s="165"/>
      <c r="BB30" s="165"/>
      <c r="BC30" s="165"/>
      <c r="BD30" s="165"/>
    </row>
    <row r="31" spans="1:56" s="1638" customFormat="1" ht="38.25" x14ac:dyDescent="0.25">
      <c r="A31" s="611">
        <f t="shared" si="4"/>
        <v>4</v>
      </c>
      <c r="B31" s="1081" t="s">
        <v>2062</v>
      </c>
      <c r="C31" s="1030" t="s">
        <v>750</v>
      </c>
      <c r="D31" s="1030" t="s">
        <v>3956</v>
      </c>
      <c r="E31" s="1030" t="s">
        <v>584</v>
      </c>
      <c r="F31" s="518" t="s">
        <v>5018</v>
      </c>
      <c r="G31" s="1053">
        <v>11268</v>
      </c>
      <c r="H31" s="1031" t="s">
        <v>777</v>
      </c>
      <c r="I31" s="1030" t="s">
        <v>5019</v>
      </c>
      <c r="J31" s="1030" t="s">
        <v>5020</v>
      </c>
      <c r="K31" s="1054">
        <v>41751</v>
      </c>
      <c r="L31" s="278">
        <v>258000</v>
      </c>
      <c r="M31" s="1053">
        <v>11293</v>
      </c>
      <c r="N31" s="1054">
        <v>41751</v>
      </c>
      <c r="O31" s="1054">
        <v>42003</v>
      </c>
      <c r="P31" s="1031" t="s">
        <v>5017</v>
      </c>
      <c r="Q31" s="1030" t="s">
        <v>5011</v>
      </c>
      <c r="R31" s="278">
        <v>227298</v>
      </c>
      <c r="S31" s="278">
        <v>30702</v>
      </c>
      <c r="T31" s="1030" t="s">
        <v>408</v>
      </c>
      <c r="U31" s="1030" t="s">
        <v>677</v>
      </c>
      <c r="V31" s="1030" t="s">
        <v>677</v>
      </c>
      <c r="W31" s="1030" t="s">
        <v>677</v>
      </c>
      <c r="X31" s="1030" t="s">
        <v>677</v>
      </c>
      <c r="Y31" s="1030" t="s">
        <v>677</v>
      </c>
      <c r="Z31" s="1030" t="s">
        <v>677</v>
      </c>
      <c r="AA31" s="612">
        <v>0</v>
      </c>
      <c r="AB31" s="612">
        <v>0</v>
      </c>
      <c r="AC31" s="278">
        <v>0</v>
      </c>
      <c r="AD31" s="278">
        <v>0</v>
      </c>
      <c r="AE31" s="1162">
        <f>L31-AD31+AC31</f>
        <v>258000</v>
      </c>
      <c r="AF31" s="278">
        <v>0</v>
      </c>
      <c r="AG31" s="1090">
        <v>258000</v>
      </c>
      <c r="AH31" s="613">
        <f t="shared" si="3"/>
        <v>258000</v>
      </c>
      <c r="AI31" s="107"/>
      <c r="AJ31" s="107"/>
      <c r="AK31" s="107"/>
      <c r="AL31" s="107"/>
      <c r="AM31" s="341"/>
      <c r="AN31" s="524"/>
      <c r="AO31" s="524"/>
      <c r="AP31" s="524"/>
      <c r="AQ31" s="341"/>
      <c r="AR31" s="524"/>
      <c r="AS31" s="1030"/>
      <c r="AT31" s="165"/>
      <c r="AU31" s="165"/>
      <c r="AV31" s="165"/>
      <c r="AW31" s="165"/>
      <c r="AX31" s="165"/>
      <c r="AY31" s="165"/>
      <c r="AZ31" s="165"/>
      <c r="BA31" s="165"/>
      <c r="BB31" s="165"/>
      <c r="BC31" s="165"/>
      <c r="BD31" s="165"/>
    </row>
    <row r="32" spans="1:56" s="1638" customFormat="1" ht="38.25" x14ac:dyDescent="0.25">
      <c r="A32" s="611">
        <f t="shared" si="4"/>
        <v>5</v>
      </c>
      <c r="B32" s="1081" t="s">
        <v>1897</v>
      </c>
      <c r="C32" s="1030" t="s">
        <v>747</v>
      </c>
      <c r="D32" s="1030" t="s">
        <v>3956</v>
      </c>
      <c r="E32" s="1030" t="s">
        <v>584</v>
      </c>
      <c r="F32" s="518" t="s">
        <v>5021</v>
      </c>
      <c r="G32" s="1053">
        <v>11264</v>
      </c>
      <c r="H32" s="1031" t="s">
        <v>750</v>
      </c>
      <c r="I32" s="1030" t="s">
        <v>5022</v>
      </c>
      <c r="J32" s="1030" t="s">
        <v>2102</v>
      </c>
      <c r="K32" s="1054">
        <v>41738</v>
      </c>
      <c r="L32" s="278">
        <v>37880</v>
      </c>
      <c r="M32" s="1053">
        <v>11286</v>
      </c>
      <c r="N32" s="1054">
        <v>41738</v>
      </c>
      <c r="O32" s="1054">
        <v>42004</v>
      </c>
      <c r="P32" s="1031" t="s">
        <v>5017</v>
      </c>
      <c r="Q32" s="1030">
        <v>233</v>
      </c>
      <c r="R32" s="278">
        <v>31630</v>
      </c>
      <c r="S32" s="278">
        <v>6250</v>
      </c>
      <c r="T32" s="1030" t="s">
        <v>408</v>
      </c>
      <c r="U32" s="1030" t="s">
        <v>677</v>
      </c>
      <c r="V32" s="1030" t="s">
        <v>677</v>
      </c>
      <c r="W32" s="1030" t="s">
        <v>677</v>
      </c>
      <c r="X32" s="1030" t="s">
        <v>677</v>
      </c>
      <c r="Y32" s="1030" t="s">
        <v>677</v>
      </c>
      <c r="Z32" s="1030" t="s">
        <v>677</v>
      </c>
      <c r="AA32" s="612">
        <v>0</v>
      </c>
      <c r="AB32" s="612">
        <v>0</v>
      </c>
      <c r="AC32" s="278">
        <v>0</v>
      </c>
      <c r="AD32" s="278">
        <v>0</v>
      </c>
      <c r="AE32" s="1162">
        <f t="shared" si="2"/>
        <v>37880</v>
      </c>
      <c r="AF32" s="278">
        <v>0</v>
      </c>
      <c r="AG32" s="1090">
        <v>37880</v>
      </c>
      <c r="AH32" s="613">
        <f t="shared" si="3"/>
        <v>37880</v>
      </c>
      <c r="AI32" s="107" t="s">
        <v>677</v>
      </c>
      <c r="AJ32" s="107" t="s">
        <v>677</v>
      </c>
      <c r="AK32" s="107"/>
      <c r="AL32" s="107"/>
      <c r="AM32" s="341"/>
      <c r="AN32" s="524"/>
      <c r="AO32" s="524"/>
      <c r="AP32" s="524"/>
      <c r="AQ32" s="341"/>
      <c r="AR32" s="524"/>
      <c r="AS32" s="1030"/>
      <c r="AT32" s="165"/>
      <c r="AU32" s="165"/>
      <c r="AV32" s="165"/>
      <c r="AW32" s="165"/>
      <c r="AX32" s="165"/>
      <c r="AY32" s="165"/>
      <c r="AZ32" s="165"/>
      <c r="BA32" s="165"/>
      <c r="BB32" s="165"/>
      <c r="BC32" s="165"/>
      <c r="BD32" s="165"/>
    </row>
    <row r="33" spans="1:56" s="1638" customFormat="1" ht="38.25" x14ac:dyDescent="0.25">
      <c r="A33" s="611">
        <f t="shared" si="4"/>
        <v>6</v>
      </c>
      <c r="B33" s="1081" t="s">
        <v>518</v>
      </c>
      <c r="C33" s="1030" t="s">
        <v>757</v>
      </c>
      <c r="D33" s="1030" t="s">
        <v>3956</v>
      </c>
      <c r="E33" s="1030" t="s">
        <v>584</v>
      </c>
      <c r="F33" s="518" t="s">
        <v>5023</v>
      </c>
      <c r="G33" s="1053">
        <v>11268</v>
      </c>
      <c r="H33" s="1031" t="s">
        <v>757</v>
      </c>
      <c r="I33" s="1030" t="s">
        <v>5015</v>
      </c>
      <c r="J33" s="1030" t="s">
        <v>515</v>
      </c>
      <c r="K33" s="1054">
        <v>41745</v>
      </c>
      <c r="L33" s="278">
        <v>116000</v>
      </c>
      <c r="M33" s="1053">
        <v>11292</v>
      </c>
      <c r="N33" s="1054">
        <v>41745</v>
      </c>
      <c r="O33" s="1054">
        <v>42004</v>
      </c>
      <c r="P33" s="1030">
        <v>6</v>
      </c>
      <c r="Q33" s="1030">
        <v>233</v>
      </c>
      <c r="R33" s="278">
        <v>116000</v>
      </c>
      <c r="S33" s="278">
        <v>0</v>
      </c>
      <c r="T33" s="1030" t="s">
        <v>408</v>
      </c>
      <c r="U33" s="1030" t="s">
        <v>677</v>
      </c>
      <c r="V33" s="1030" t="s">
        <v>677</v>
      </c>
      <c r="W33" s="1030" t="s">
        <v>677</v>
      </c>
      <c r="X33" s="1030" t="s">
        <v>677</v>
      </c>
      <c r="Y33" s="1030" t="s">
        <v>677</v>
      </c>
      <c r="Z33" s="1030" t="s">
        <v>677</v>
      </c>
      <c r="AA33" s="612">
        <v>0</v>
      </c>
      <c r="AB33" s="612">
        <v>0</v>
      </c>
      <c r="AC33" s="278">
        <v>0</v>
      </c>
      <c r="AD33" s="278">
        <v>0</v>
      </c>
      <c r="AE33" s="1162">
        <f t="shared" si="2"/>
        <v>116000</v>
      </c>
      <c r="AF33" s="278">
        <v>0</v>
      </c>
      <c r="AG33" s="1090">
        <v>116000</v>
      </c>
      <c r="AH33" s="613">
        <f t="shared" si="3"/>
        <v>116000</v>
      </c>
      <c r="AI33" s="107"/>
      <c r="AJ33" s="107"/>
      <c r="AK33" s="107"/>
      <c r="AL33" s="107"/>
      <c r="AM33" s="341"/>
      <c r="AN33" s="524"/>
      <c r="AO33" s="524"/>
      <c r="AP33" s="524"/>
      <c r="AQ33" s="341"/>
      <c r="AR33" s="524"/>
      <c r="AS33" s="1030"/>
      <c r="AT33" s="165"/>
      <c r="AU33" s="165"/>
      <c r="AV33" s="165"/>
      <c r="AW33" s="165"/>
      <c r="AX33" s="165"/>
      <c r="AY33" s="165"/>
      <c r="AZ33" s="165"/>
      <c r="BA33" s="165"/>
      <c r="BB33" s="165"/>
      <c r="BC33" s="165"/>
      <c r="BD33" s="165"/>
    </row>
    <row r="34" spans="1:56" s="1638" customFormat="1" ht="38.25" x14ac:dyDescent="0.25">
      <c r="A34" s="611">
        <f t="shared" si="4"/>
        <v>7</v>
      </c>
      <c r="B34" s="1081" t="s">
        <v>2282</v>
      </c>
      <c r="C34" s="1030" t="s">
        <v>792</v>
      </c>
      <c r="D34" s="1030" t="s">
        <v>3956</v>
      </c>
      <c r="E34" s="1030" t="s">
        <v>584</v>
      </c>
      <c r="F34" s="518" t="s">
        <v>5024</v>
      </c>
      <c r="G34" s="1053">
        <v>11298</v>
      </c>
      <c r="H34" s="1031" t="s">
        <v>817</v>
      </c>
      <c r="I34" s="1030" t="s">
        <v>5013</v>
      </c>
      <c r="J34" s="1030" t="s">
        <v>3965</v>
      </c>
      <c r="K34" s="1054">
        <v>41788</v>
      </c>
      <c r="L34" s="278">
        <v>783000</v>
      </c>
      <c r="M34" s="1053">
        <v>11324</v>
      </c>
      <c r="N34" s="1054">
        <v>41787</v>
      </c>
      <c r="O34" s="1054">
        <v>42003</v>
      </c>
      <c r="P34" s="1031" t="s">
        <v>5017</v>
      </c>
      <c r="Q34" s="1030">
        <v>545</v>
      </c>
      <c r="R34" s="1090">
        <v>751700</v>
      </c>
      <c r="S34" s="1090">
        <v>31300</v>
      </c>
      <c r="T34" s="1030" t="s">
        <v>208</v>
      </c>
      <c r="U34" s="1030" t="s">
        <v>677</v>
      </c>
      <c r="V34" s="1030" t="s">
        <v>677</v>
      </c>
      <c r="W34" s="1030" t="s">
        <v>677</v>
      </c>
      <c r="X34" s="1030" t="s">
        <v>677</v>
      </c>
      <c r="Y34" s="1030" t="s">
        <v>677</v>
      </c>
      <c r="Z34" s="1030" t="s">
        <v>677</v>
      </c>
      <c r="AA34" s="612">
        <v>0</v>
      </c>
      <c r="AB34" s="612">
        <v>0</v>
      </c>
      <c r="AC34" s="278">
        <v>0</v>
      </c>
      <c r="AD34" s="278">
        <v>0</v>
      </c>
      <c r="AE34" s="1162">
        <f t="shared" si="2"/>
        <v>783000</v>
      </c>
      <c r="AF34" s="278">
        <v>0</v>
      </c>
      <c r="AG34" s="1090">
        <v>783000</v>
      </c>
      <c r="AH34" s="501">
        <f t="shared" si="3"/>
        <v>783000</v>
      </c>
      <c r="AI34" s="107"/>
      <c r="AJ34" s="107"/>
      <c r="AK34" s="107"/>
      <c r="AL34" s="107"/>
      <c r="AM34" s="341"/>
      <c r="AN34" s="524"/>
      <c r="AO34" s="524"/>
      <c r="AP34" s="524"/>
      <c r="AQ34" s="341"/>
      <c r="AR34" s="524"/>
      <c r="AS34" s="1030"/>
      <c r="AT34" s="165"/>
      <c r="AU34" s="165"/>
      <c r="AV34" s="165"/>
      <c r="AW34" s="165"/>
      <c r="AX34" s="165"/>
      <c r="AY34" s="165"/>
      <c r="AZ34" s="165"/>
      <c r="BA34" s="165"/>
      <c r="BB34" s="165"/>
      <c r="BC34" s="165"/>
      <c r="BD34" s="165"/>
    </row>
    <row r="35" spans="1:56" s="1638" customFormat="1" ht="38.25" x14ac:dyDescent="0.25">
      <c r="A35" s="611">
        <f t="shared" si="4"/>
        <v>8</v>
      </c>
      <c r="B35" s="1081" t="s">
        <v>2361</v>
      </c>
      <c r="C35" s="1030" t="s">
        <v>798</v>
      </c>
      <c r="D35" s="1030" t="s">
        <v>3956</v>
      </c>
      <c r="E35" s="1030" t="s">
        <v>584</v>
      </c>
      <c r="F35" s="518" t="s">
        <v>5025</v>
      </c>
      <c r="G35" s="1053">
        <v>11319</v>
      </c>
      <c r="H35" s="1031" t="s">
        <v>835</v>
      </c>
      <c r="I35" s="1030" t="s">
        <v>1173</v>
      </c>
      <c r="J35" s="1030" t="s">
        <v>1174</v>
      </c>
      <c r="K35" s="1054">
        <v>41814</v>
      </c>
      <c r="L35" s="278">
        <v>97500</v>
      </c>
      <c r="M35" s="1053">
        <v>11335</v>
      </c>
      <c r="N35" s="1054">
        <v>41814</v>
      </c>
      <c r="O35" s="1054">
        <v>42004</v>
      </c>
      <c r="P35" s="1031" t="s">
        <v>5017</v>
      </c>
      <c r="Q35" s="1030">
        <v>545</v>
      </c>
      <c r="R35" s="1090">
        <v>91300</v>
      </c>
      <c r="S35" s="1090">
        <v>6200</v>
      </c>
      <c r="T35" s="1030" t="s">
        <v>408</v>
      </c>
      <c r="U35" s="1030" t="s">
        <v>677</v>
      </c>
      <c r="V35" s="1030" t="s">
        <v>677</v>
      </c>
      <c r="W35" s="1030" t="s">
        <v>677</v>
      </c>
      <c r="X35" s="1030" t="s">
        <v>677</v>
      </c>
      <c r="Y35" s="1030" t="s">
        <v>677</v>
      </c>
      <c r="Z35" s="1030" t="s">
        <v>677</v>
      </c>
      <c r="AA35" s="612">
        <v>0</v>
      </c>
      <c r="AB35" s="612">
        <v>0</v>
      </c>
      <c r="AC35" s="278">
        <v>0</v>
      </c>
      <c r="AD35" s="278">
        <v>0</v>
      </c>
      <c r="AE35" s="1162">
        <f t="shared" si="2"/>
        <v>97500</v>
      </c>
      <c r="AF35" s="278">
        <v>0</v>
      </c>
      <c r="AG35" s="1090">
        <v>97500</v>
      </c>
      <c r="AH35" s="501">
        <f t="shared" si="3"/>
        <v>97500</v>
      </c>
      <c r="AI35" s="107"/>
      <c r="AJ35" s="107"/>
      <c r="AK35" s="107"/>
      <c r="AL35" s="107"/>
      <c r="AM35" s="341"/>
      <c r="AN35" s="524"/>
      <c r="AO35" s="524"/>
      <c r="AP35" s="524"/>
      <c r="AQ35" s="341"/>
      <c r="AR35" s="524"/>
      <c r="AS35" s="1030"/>
      <c r="AT35" s="165"/>
      <c r="AU35" s="165"/>
      <c r="AV35" s="165"/>
      <c r="AW35" s="165"/>
      <c r="AX35" s="165"/>
      <c r="AY35" s="165"/>
      <c r="AZ35" s="165"/>
      <c r="BA35" s="165"/>
      <c r="BB35" s="165"/>
      <c r="BC35" s="165"/>
      <c r="BD35" s="165"/>
    </row>
    <row r="36" spans="1:56" s="1638" customFormat="1" ht="38.25" x14ac:dyDescent="0.25">
      <c r="A36" s="611">
        <f t="shared" si="4"/>
        <v>9</v>
      </c>
      <c r="B36" s="1081" t="s">
        <v>2070</v>
      </c>
      <c r="C36" s="1030" t="s">
        <v>1753</v>
      </c>
      <c r="D36" s="1030" t="s">
        <v>3956</v>
      </c>
      <c r="E36" s="1030" t="s">
        <v>5026</v>
      </c>
      <c r="F36" s="39" t="s">
        <v>5027</v>
      </c>
      <c r="G36" s="1053">
        <v>11268</v>
      </c>
      <c r="H36" s="1031" t="s">
        <v>780</v>
      </c>
      <c r="I36" s="1030" t="s">
        <v>5028</v>
      </c>
      <c r="J36" s="1030" t="s">
        <v>5029</v>
      </c>
      <c r="K36" s="1054">
        <v>41759</v>
      </c>
      <c r="L36" s="278">
        <v>82500</v>
      </c>
      <c r="M36" s="1053">
        <v>11297</v>
      </c>
      <c r="N36" s="1054">
        <v>41758</v>
      </c>
      <c r="O36" s="1054">
        <v>42004</v>
      </c>
      <c r="P36" s="1030">
        <v>1</v>
      </c>
      <c r="Q36" s="1056" t="s">
        <v>677</v>
      </c>
      <c r="R36" s="278">
        <v>0</v>
      </c>
      <c r="S36" s="278">
        <v>0</v>
      </c>
      <c r="T36" s="1030" t="s">
        <v>408</v>
      </c>
      <c r="U36" s="1030" t="s">
        <v>677</v>
      </c>
      <c r="V36" s="1030" t="s">
        <v>677</v>
      </c>
      <c r="W36" s="1030" t="s">
        <v>677</v>
      </c>
      <c r="X36" s="1030" t="s">
        <v>677</v>
      </c>
      <c r="Y36" s="1030" t="s">
        <v>677</v>
      </c>
      <c r="Z36" s="1030" t="s">
        <v>677</v>
      </c>
      <c r="AA36" s="612">
        <v>0</v>
      </c>
      <c r="AB36" s="612">
        <v>0</v>
      </c>
      <c r="AC36" s="278">
        <v>0</v>
      </c>
      <c r="AD36" s="278">
        <v>0</v>
      </c>
      <c r="AE36" s="1162">
        <f t="shared" si="2"/>
        <v>82500</v>
      </c>
      <c r="AF36" s="278">
        <v>0</v>
      </c>
      <c r="AG36" s="1090">
        <v>30250</v>
      </c>
      <c r="AH36" s="613">
        <f t="shared" si="3"/>
        <v>30250</v>
      </c>
      <c r="AI36" s="107"/>
      <c r="AJ36" s="107"/>
      <c r="AK36" s="107"/>
      <c r="AL36" s="107"/>
      <c r="AM36" s="341"/>
      <c r="AN36" s="524"/>
      <c r="AO36" s="524"/>
      <c r="AP36" s="524"/>
      <c r="AQ36" s="341"/>
      <c r="AR36" s="524"/>
      <c r="AS36" s="1030"/>
      <c r="AT36" s="165"/>
      <c r="AU36" s="165"/>
      <c r="AV36" s="165"/>
      <c r="AW36" s="165"/>
      <c r="AX36" s="165"/>
      <c r="AY36" s="165"/>
      <c r="AZ36" s="165"/>
      <c r="BA36" s="165"/>
      <c r="BB36" s="165"/>
      <c r="BC36" s="165"/>
      <c r="BD36" s="165"/>
    </row>
    <row r="37" spans="1:56" s="1638" customFormat="1" ht="38.25" x14ac:dyDescent="0.25">
      <c r="A37" s="611">
        <f t="shared" si="4"/>
        <v>10</v>
      </c>
      <c r="B37" s="1081" t="s">
        <v>2070</v>
      </c>
      <c r="C37" s="1030" t="s">
        <v>1753</v>
      </c>
      <c r="D37" s="1030" t="s">
        <v>3956</v>
      </c>
      <c r="E37" s="1030" t="s">
        <v>5026</v>
      </c>
      <c r="F37" s="39" t="s">
        <v>5027</v>
      </c>
      <c r="G37" s="1053">
        <v>11268</v>
      </c>
      <c r="H37" s="1031" t="s">
        <v>787</v>
      </c>
      <c r="I37" s="1030" t="s">
        <v>5030</v>
      </c>
      <c r="J37" s="1030" t="s">
        <v>5031</v>
      </c>
      <c r="K37" s="1054">
        <v>41759</v>
      </c>
      <c r="L37" s="278">
        <v>1950</v>
      </c>
      <c r="M37" s="1053">
        <v>11297</v>
      </c>
      <c r="N37" s="1054">
        <v>41758</v>
      </c>
      <c r="O37" s="1054">
        <v>42004</v>
      </c>
      <c r="P37" s="1030">
        <v>1</v>
      </c>
      <c r="Q37" s="1056" t="s">
        <v>677</v>
      </c>
      <c r="R37" s="278">
        <v>0</v>
      </c>
      <c r="S37" s="278">
        <v>0</v>
      </c>
      <c r="T37" s="1030" t="s">
        <v>408</v>
      </c>
      <c r="U37" s="1030" t="s">
        <v>677</v>
      </c>
      <c r="V37" s="1030" t="s">
        <v>677</v>
      </c>
      <c r="W37" s="1030" t="s">
        <v>677</v>
      </c>
      <c r="X37" s="1030" t="s">
        <v>677</v>
      </c>
      <c r="Y37" s="1030" t="s">
        <v>677</v>
      </c>
      <c r="Z37" s="1030" t="s">
        <v>677</v>
      </c>
      <c r="AA37" s="612">
        <v>0</v>
      </c>
      <c r="AB37" s="612">
        <v>0</v>
      </c>
      <c r="AC37" s="278">
        <v>0</v>
      </c>
      <c r="AD37" s="278">
        <v>0</v>
      </c>
      <c r="AE37" s="1162">
        <f t="shared" si="2"/>
        <v>1950</v>
      </c>
      <c r="AF37" s="278">
        <v>0</v>
      </c>
      <c r="AG37" s="1090">
        <v>715</v>
      </c>
      <c r="AH37" s="613">
        <f t="shared" si="3"/>
        <v>715</v>
      </c>
      <c r="AI37" s="107"/>
      <c r="AJ37" s="107"/>
      <c r="AK37" s="107"/>
      <c r="AL37" s="107"/>
      <c r="AM37" s="341"/>
      <c r="AN37" s="524"/>
      <c r="AO37" s="524"/>
      <c r="AP37" s="524"/>
      <c r="AQ37" s="341"/>
      <c r="AR37" s="524"/>
      <c r="AS37" s="1030"/>
      <c r="AT37" s="165"/>
      <c r="AU37" s="165"/>
      <c r="AV37" s="165"/>
      <c r="AW37" s="165"/>
      <c r="AX37" s="165"/>
      <c r="AY37" s="165"/>
      <c r="AZ37" s="165"/>
      <c r="BA37" s="165"/>
      <c r="BB37" s="165"/>
      <c r="BC37" s="165"/>
      <c r="BD37" s="165"/>
    </row>
    <row r="38" spans="1:56" s="1638" customFormat="1" ht="51" x14ac:dyDescent="0.25">
      <c r="A38" s="611">
        <f t="shared" si="4"/>
        <v>11</v>
      </c>
      <c r="B38" s="1081" t="s">
        <v>2070</v>
      </c>
      <c r="C38" s="1030" t="s">
        <v>1753</v>
      </c>
      <c r="D38" s="1030" t="s">
        <v>3956</v>
      </c>
      <c r="E38" s="1030" t="s">
        <v>5026</v>
      </c>
      <c r="F38" s="39" t="s">
        <v>5027</v>
      </c>
      <c r="G38" s="1053">
        <v>11268</v>
      </c>
      <c r="H38" s="1031" t="s">
        <v>792</v>
      </c>
      <c r="I38" s="1030" t="s">
        <v>5032</v>
      </c>
      <c r="J38" s="1030" t="s">
        <v>5033</v>
      </c>
      <c r="K38" s="1054">
        <v>41759</v>
      </c>
      <c r="L38" s="278">
        <v>1200</v>
      </c>
      <c r="M38" s="1053">
        <v>11297</v>
      </c>
      <c r="N38" s="1054">
        <v>41758</v>
      </c>
      <c r="O38" s="1054">
        <v>42004</v>
      </c>
      <c r="P38" s="1030">
        <v>1</v>
      </c>
      <c r="Q38" s="1056" t="s">
        <v>677</v>
      </c>
      <c r="R38" s="278">
        <v>0</v>
      </c>
      <c r="S38" s="278">
        <v>0</v>
      </c>
      <c r="T38" s="1030" t="s">
        <v>408</v>
      </c>
      <c r="U38" s="1030" t="s">
        <v>677</v>
      </c>
      <c r="V38" s="1030" t="s">
        <v>677</v>
      </c>
      <c r="W38" s="1030" t="s">
        <v>677</v>
      </c>
      <c r="X38" s="1030" t="s">
        <v>677</v>
      </c>
      <c r="Y38" s="1030" t="s">
        <v>677</v>
      </c>
      <c r="Z38" s="1030" t="s">
        <v>677</v>
      </c>
      <c r="AA38" s="612">
        <v>0</v>
      </c>
      <c r="AB38" s="612">
        <v>0</v>
      </c>
      <c r="AC38" s="278">
        <v>0</v>
      </c>
      <c r="AD38" s="278">
        <v>0</v>
      </c>
      <c r="AE38" s="1162">
        <f t="shared" si="2"/>
        <v>1200</v>
      </c>
      <c r="AF38" s="278">
        <v>0</v>
      </c>
      <c r="AG38" s="1090">
        <v>440</v>
      </c>
      <c r="AH38" s="613">
        <f t="shared" si="3"/>
        <v>440</v>
      </c>
      <c r="AI38" s="107"/>
      <c r="AJ38" s="107"/>
      <c r="AK38" s="107"/>
      <c r="AL38" s="107"/>
      <c r="AM38" s="341"/>
      <c r="AN38" s="524"/>
      <c r="AO38" s="524"/>
      <c r="AP38" s="524"/>
      <c r="AQ38" s="341"/>
      <c r="AR38" s="524"/>
      <c r="AS38" s="1030"/>
      <c r="AT38" s="165"/>
      <c r="AU38" s="165"/>
      <c r="AV38" s="165"/>
      <c r="AW38" s="165"/>
      <c r="AX38" s="165"/>
      <c r="AY38" s="165"/>
      <c r="AZ38" s="165"/>
      <c r="BA38" s="165"/>
      <c r="BB38" s="165"/>
      <c r="BC38" s="165"/>
      <c r="BD38" s="165"/>
    </row>
    <row r="39" spans="1:56" s="1638" customFormat="1" ht="38.25" x14ac:dyDescent="0.25">
      <c r="A39" s="611">
        <f t="shared" si="4"/>
        <v>12</v>
      </c>
      <c r="B39" s="1081" t="s">
        <v>2143</v>
      </c>
      <c r="C39" s="1030" t="s">
        <v>313</v>
      </c>
      <c r="D39" s="1030" t="s">
        <v>3956</v>
      </c>
      <c r="E39" s="1030" t="s">
        <v>584</v>
      </c>
      <c r="F39" s="510" t="s">
        <v>5034</v>
      </c>
      <c r="G39" s="1053">
        <v>11279</v>
      </c>
      <c r="H39" s="1031" t="s">
        <v>798</v>
      </c>
      <c r="I39" s="1030" t="s">
        <v>5035</v>
      </c>
      <c r="J39" s="1030" t="s">
        <v>1830</v>
      </c>
      <c r="K39" s="1054">
        <v>41751</v>
      </c>
      <c r="L39" s="278">
        <v>6464.8</v>
      </c>
      <c r="M39" s="1053">
        <v>11297</v>
      </c>
      <c r="N39" s="1054">
        <v>41751</v>
      </c>
      <c r="O39" s="1054">
        <v>42003</v>
      </c>
      <c r="P39" s="1030">
        <v>6</v>
      </c>
      <c r="Q39" s="1056" t="s">
        <v>677</v>
      </c>
      <c r="R39" s="278">
        <v>6464.8</v>
      </c>
      <c r="S39" s="278">
        <v>0</v>
      </c>
      <c r="T39" s="1030" t="s">
        <v>316</v>
      </c>
      <c r="U39" s="1030" t="s">
        <v>677</v>
      </c>
      <c r="V39" s="1030" t="s">
        <v>677</v>
      </c>
      <c r="W39" s="1030" t="s">
        <v>677</v>
      </c>
      <c r="X39" s="1030" t="s">
        <v>677</v>
      </c>
      <c r="Y39" s="278">
        <v>0</v>
      </c>
      <c r="Z39" s="278">
        <v>0</v>
      </c>
      <c r="AA39" s="612">
        <v>0</v>
      </c>
      <c r="AB39" s="612">
        <v>0</v>
      </c>
      <c r="AC39" s="278">
        <v>0</v>
      </c>
      <c r="AD39" s="278">
        <v>0</v>
      </c>
      <c r="AE39" s="1162">
        <f t="shared" si="2"/>
        <v>6464.8</v>
      </c>
      <c r="AF39" s="278">
        <v>0</v>
      </c>
      <c r="AG39" s="1090">
        <v>6464.8</v>
      </c>
      <c r="AH39" s="613">
        <f t="shared" si="3"/>
        <v>6464.8</v>
      </c>
      <c r="AI39" s="107"/>
      <c r="AJ39" s="107"/>
      <c r="AK39" s="107"/>
      <c r="AL39" s="107"/>
      <c r="AM39" s="341"/>
      <c r="AN39" s="524"/>
      <c r="AO39" s="524"/>
      <c r="AP39" s="524"/>
      <c r="AQ39" s="341"/>
      <c r="AR39" s="524"/>
      <c r="AS39" s="1030"/>
      <c r="AT39" s="165"/>
      <c r="AU39" s="165"/>
      <c r="AV39" s="165"/>
      <c r="AW39" s="165"/>
      <c r="AX39" s="165"/>
      <c r="AY39" s="165"/>
      <c r="AZ39" s="165"/>
      <c r="BA39" s="165"/>
      <c r="BB39" s="165"/>
      <c r="BC39" s="165"/>
      <c r="BD39" s="165"/>
    </row>
    <row r="40" spans="1:56" s="1638" customFormat="1" ht="38.25" x14ac:dyDescent="0.25">
      <c r="A40" s="611">
        <f t="shared" si="4"/>
        <v>13</v>
      </c>
      <c r="B40" s="1081" t="s">
        <v>2143</v>
      </c>
      <c r="C40" s="1030" t="s">
        <v>765</v>
      </c>
      <c r="D40" s="1030" t="s">
        <v>3956</v>
      </c>
      <c r="E40" s="1030" t="s">
        <v>584</v>
      </c>
      <c r="F40" s="520" t="s">
        <v>5036</v>
      </c>
      <c r="G40" s="1053">
        <v>11279</v>
      </c>
      <c r="H40" s="1031" t="s">
        <v>5037</v>
      </c>
      <c r="I40" s="1030" t="s">
        <v>5038</v>
      </c>
      <c r="J40" s="1030" t="s">
        <v>5039</v>
      </c>
      <c r="K40" s="1054">
        <v>41758</v>
      </c>
      <c r="L40" s="278">
        <v>114812.5</v>
      </c>
      <c r="M40" s="1053">
        <v>11296</v>
      </c>
      <c r="N40" s="1054">
        <v>41765</v>
      </c>
      <c r="O40" s="1054">
        <v>42003</v>
      </c>
      <c r="P40" s="1030">
        <v>6</v>
      </c>
      <c r="Q40" s="1030" t="s">
        <v>677</v>
      </c>
      <c r="R40" s="278">
        <v>114812.5</v>
      </c>
      <c r="S40" s="278">
        <v>0</v>
      </c>
      <c r="T40" s="1030" t="s">
        <v>316</v>
      </c>
      <c r="U40" s="1030" t="s">
        <v>677</v>
      </c>
      <c r="V40" s="1030" t="s">
        <v>677</v>
      </c>
      <c r="W40" s="1030" t="s">
        <v>677</v>
      </c>
      <c r="X40" s="1030" t="s">
        <v>677</v>
      </c>
      <c r="Y40" s="278"/>
      <c r="Z40" s="278"/>
      <c r="AA40" s="612">
        <v>0</v>
      </c>
      <c r="AB40" s="612">
        <v>0</v>
      </c>
      <c r="AC40" s="278">
        <v>0</v>
      </c>
      <c r="AD40" s="278">
        <v>0</v>
      </c>
      <c r="AE40" s="1162">
        <f t="shared" si="2"/>
        <v>114812.5</v>
      </c>
      <c r="AF40" s="278">
        <v>0</v>
      </c>
      <c r="AG40" s="1090">
        <v>114812.5</v>
      </c>
      <c r="AH40" s="613">
        <f t="shared" si="3"/>
        <v>114812.5</v>
      </c>
      <c r="AI40" s="107"/>
      <c r="AJ40" s="107"/>
      <c r="AK40" s="107"/>
      <c r="AL40" s="107"/>
      <c r="AM40" s="341"/>
      <c r="AN40" s="524"/>
      <c r="AO40" s="524"/>
      <c r="AP40" s="524"/>
      <c r="AQ40" s="341"/>
      <c r="AR40" s="524"/>
      <c r="AS40" s="1030"/>
      <c r="AT40" s="165"/>
      <c r="AU40" s="165"/>
      <c r="AV40" s="165"/>
      <c r="AW40" s="165"/>
      <c r="AX40" s="165"/>
      <c r="AY40" s="165"/>
      <c r="AZ40" s="165"/>
      <c r="BA40" s="165"/>
      <c r="BB40" s="165"/>
      <c r="BC40" s="165"/>
      <c r="BD40" s="165"/>
    </row>
    <row r="41" spans="1:56" ht="38.25" x14ac:dyDescent="0.25">
      <c r="A41" s="1079">
        <v>14</v>
      </c>
      <c r="B41" s="1081" t="s">
        <v>5040</v>
      </c>
      <c r="C41" s="1030" t="s">
        <v>807</v>
      </c>
      <c r="D41" s="1030" t="s">
        <v>3956</v>
      </c>
      <c r="E41" s="1030" t="s">
        <v>584</v>
      </c>
      <c r="F41" s="104" t="s">
        <v>5041</v>
      </c>
      <c r="G41" s="1053">
        <v>11356</v>
      </c>
      <c r="H41" s="1031" t="s">
        <v>837</v>
      </c>
      <c r="I41" s="1644" t="s">
        <v>5042</v>
      </c>
      <c r="J41" s="165" t="s">
        <v>5043</v>
      </c>
      <c r="K41" s="1054">
        <v>41866</v>
      </c>
      <c r="L41" s="291">
        <v>48000</v>
      </c>
      <c r="M41" s="1053">
        <v>11376</v>
      </c>
      <c r="N41" s="1054">
        <v>41866</v>
      </c>
      <c r="O41" s="1054">
        <v>42004</v>
      </c>
      <c r="P41" s="1031" t="s">
        <v>3961</v>
      </c>
      <c r="Q41" s="1056" t="s">
        <v>5044</v>
      </c>
      <c r="R41" s="278">
        <v>48000</v>
      </c>
      <c r="S41" s="278">
        <v>0</v>
      </c>
      <c r="T41" s="1030" t="s">
        <v>316</v>
      </c>
      <c r="U41" s="1030" t="s">
        <v>677</v>
      </c>
      <c r="V41" s="1030" t="s">
        <v>677</v>
      </c>
      <c r="W41" s="1030" t="s">
        <v>677</v>
      </c>
      <c r="X41" s="1030" t="s">
        <v>677</v>
      </c>
      <c r="Y41" s="1030"/>
      <c r="Z41" s="1030"/>
      <c r="AA41" s="612">
        <v>0</v>
      </c>
      <c r="AB41" s="612">
        <v>0</v>
      </c>
      <c r="AC41" s="278">
        <v>0</v>
      </c>
      <c r="AD41" s="278">
        <v>0</v>
      </c>
      <c r="AE41" s="1162">
        <f t="shared" si="2"/>
        <v>48000</v>
      </c>
      <c r="AF41" s="278">
        <v>0</v>
      </c>
      <c r="AG41" s="1090">
        <v>48000</v>
      </c>
      <c r="AH41" s="613">
        <f t="shared" si="3"/>
        <v>48000</v>
      </c>
      <c r="AI41" s="107"/>
      <c r="AJ41" s="107"/>
      <c r="AK41" s="107"/>
      <c r="AL41" s="107"/>
      <c r="AM41" s="341"/>
      <c r="AN41" s="524"/>
      <c r="AO41" s="524"/>
      <c r="AP41" s="524"/>
      <c r="AQ41" s="341"/>
      <c r="AR41" s="524"/>
      <c r="AS41" s="1030"/>
      <c r="AT41" s="165"/>
      <c r="AU41" s="165"/>
      <c r="AV41" s="165"/>
      <c r="AW41" s="165"/>
      <c r="AX41" s="165"/>
      <c r="AY41" s="165"/>
      <c r="AZ41" s="165"/>
      <c r="BA41" s="165"/>
      <c r="BB41" s="165"/>
      <c r="BC41" s="165"/>
      <c r="BD41" s="165"/>
    </row>
    <row r="42" spans="1:56" ht="51" x14ac:dyDescent="0.25">
      <c r="A42" s="1079">
        <v>15</v>
      </c>
      <c r="B42" s="1081" t="s">
        <v>5040</v>
      </c>
      <c r="C42" s="1030" t="s">
        <v>807</v>
      </c>
      <c r="D42" s="1030" t="s">
        <v>3956</v>
      </c>
      <c r="E42" s="1030" t="s">
        <v>584</v>
      </c>
      <c r="F42" s="104" t="s">
        <v>5045</v>
      </c>
      <c r="G42" s="1053">
        <v>11356</v>
      </c>
      <c r="H42" s="1031" t="s">
        <v>840</v>
      </c>
      <c r="I42" s="104" t="s">
        <v>5046</v>
      </c>
      <c r="J42" s="165" t="s">
        <v>5047</v>
      </c>
      <c r="K42" s="1054">
        <v>41866</v>
      </c>
      <c r="L42" s="291">
        <v>90720</v>
      </c>
      <c r="M42" s="1053">
        <v>11376</v>
      </c>
      <c r="N42" s="1054">
        <v>41866</v>
      </c>
      <c r="O42" s="1054">
        <v>41640</v>
      </c>
      <c r="P42" s="1031" t="s">
        <v>5017</v>
      </c>
      <c r="Q42" s="1056" t="s">
        <v>5044</v>
      </c>
      <c r="R42" s="278">
        <v>90720</v>
      </c>
      <c r="S42" s="278">
        <v>0</v>
      </c>
      <c r="T42" s="1030" t="s">
        <v>316</v>
      </c>
      <c r="U42" s="1030" t="s">
        <v>677</v>
      </c>
      <c r="V42" s="1030" t="s">
        <v>677</v>
      </c>
      <c r="W42" s="1030" t="s">
        <v>677</v>
      </c>
      <c r="X42" s="1030" t="s">
        <v>677</v>
      </c>
      <c r="Y42" s="1030"/>
      <c r="Z42" s="1030"/>
      <c r="AA42" s="612">
        <v>0</v>
      </c>
      <c r="AB42" s="612">
        <v>0</v>
      </c>
      <c r="AC42" s="278">
        <v>0</v>
      </c>
      <c r="AD42" s="278">
        <v>0</v>
      </c>
      <c r="AE42" s="1162">
        <f t="shared" si="2"/>
        <v>90720</v>
      </c>
      <c r="AF42" s="278">
        <v>0</v>
      </c>
      <c r="AG42" s="1090">
        <v>90720</v>
      </c>
      <c r="AH42" s="613">
        <f t="shared" si="3"/>
        <v>90720</v>
      </c>
      <c r="AI42" s="107"/>
      <c r="AJ42" s="107"/>
      <c r="AK42" s="107"/>
      <c r="AL42" s="107"/>
      <c r="AM42" s="341"/>
      <c r="AN42" s="524"/>
      <c r="AO42" s="524"/>
      <c r="AP42" s="524"/>
      <c r="AQ42" s="341"/>
      <c r="AR42" s="524"/>
      <c r="AS42" s="1030"/>
      <c r="AT42" s="165"/>
      <c r="AU42" s="165"/>
      <c r="AV42" s="165"/>
      <c r="AW42" s="165"/>
      <c r="AX42" s="165"/>
      <c r="AY42" s="165"/>
      <c r="AZ42" s="165"/>
      <c r="BA42" s="165"/>
      <c r="BB42" s="165"/>
      <c r="BC42" s="165"/>
      <c r="BD42" s="165"/>
    </row>
    <row r="43" spans="1:56" s="1638" customFormat="1" ht="63.75" x14ac:dyDescent="0.25">
      <c r="A43" s="611">
        <v>16</v>
      </c>
      <c r="B43" s="1081" t="s">
        <v>5048</v>
      </c>
      <c r="C43" s="1030" t="s">
        <v>2701</v>
      </c>
      <c r="D43" s="1030" t="s">
        <v>1272</v>
      </c>
      <c r="E43" s="1030" t="s">
        <v>168</v>
      </c>
      <c r="F43" s="520" t="s">
        <v>5049</v>
      </c>
      <c r="G43" s="1053">
        <v>11202</v>
      </c>
      <c r="H43" s="1031" t="s">
        <v>675</v>
      </c>
      <c r="I43" s="1030" t="s">
        <v>2117</v>
      </c>
      <c r="J43" s="1030" t="s">
        <v>1011</v>
      </c>
      <c r="K43" s="1054">
        <v>41674</v>
      </c>
      <c r="L43" s="278">
        <v>1807062.45</v>
      </c>
      <c r="M43" s="1053">
        <v>11238</v>
      </c>
      <c r="N43" s="1054">
        <v>41674</v>
      </c>
      <c r="O43" s="1054">
        <v>42004</v>
      </c>
      <c r="P43" s="1030" t="s">
        <v>5007</v>
      </c>
      <c r="Q43" s="1030"/>
      <c r="R43" s="278">
        <v>0</v>
      </c>
      <c r="S43" s="278">
        <v>0</v>
      </c>
      <c r="T43" s="1030" t="s">
        <v>316</v>
      </c>
      <c r="U43" s="1030" t="s">
        <v>677</v>
      </c>
      <c r="V43" s="1030" t="s">
        <v>677</v>
      </c>
      <c r="W43" s="1030" t="s">
        <v>677</v>
      </c>
      <c r="X43" s="1030" t="s">
        <v>677</v>
      </c>
      <c r="Y43" s="1030"/>
      <c r="Z43" s="1030"/>
      <c r="AA43" s="612">
        <v>0</v>
      </c>
      <c r="AB43" s="612">
        <v>0</v>
      </c>
      <c r="AC43" s="278">
        <v>0</v>
      </c>
      <c r="AD43" s="278">
        <v>0</v>
      </c>
      <c r="AE43" s="1162">
        <f t="shared" si="2"/>
        <v>1807062.45</v>
      </c>
      <c r="AF43" s="278">
        <v>0</v>
      </c>
      <c r="AG43" s="1090">
        <v>732847.86</v>
      </c>
      <c r="AH43" s="613">
        <f>AF43+AG43</f>
        <v>732847.86</v>
      </c>
      <c r="AI43" s="115" t="s">
        <v>704</v>
      </c>
      <c r="AJ43" s="1053">
        <v>11224</v>
      </c>
      <c r="AK43" s="614" t="s">
        <v>5050</v>
      </c>
      <c r="AL43" s="1053">
        <v>11224</v>
      </c>
      <c r="AM43" s="341"/>
      <c r="AN43" s="524"/>
      <c r="AO43" s="615"/>
      <c r="AP43" s="616"/>
      <c r="AQ43" s="341"/>
      <c r="AR43" s="616"/>
      <c r="AS43" s="1030"/>
      <c r="AT43" s="165"/>
      <c r="AU43" s="165"/>
      <c r="AV43" s="165"/>
      <c r="AW43" s="165"/>
      <c r="AX43" s="165"/>
      <c r="AY43" s="165"/>
      <c r="AZ43" s="165"/>
      <c r="BA43" s="165"/>
      <c r="BB43" s="165"/>
      <c r="BC43" s="165"/>
      <c r="BD43" s="165"/>
    </row>
    <row r="44" spans="1:56" s="1638" customFormat="1" ht="76.5" x14ac:dyDescent="0.25">
      <c r="A44" s="611">
        <f t="shared" si="4"/>
        <v>17</v>
      </c>
      <c r="B44" s="1081" t="s">
        <v>5051</v>
      </c>
      <c r="C44" s="1030" t="s">
        <v>5052</v>
      </c>
      <c r="D44" s="1030" t="s">
        <v>1171</v>
      </c>
      <c r="E44" s="1030" t="s">
        <v>5053</v>
      </c>
      <c r="F44" s="520" t="s">
        <v>5054</v>
      </c>
      <c r="G44" s="1053">
        <v>11079</v>
      </c>
      <c r="H44" s="1031" t="s">
        <v>683</v>
      </c>
      <c r="I44" s="1030" t="s">
        <v>5055</v>
      </c>
      <c r="J44" s="1030" t="s">
        <v>4325</v>
      </c>
      <c r="K44" s="1054">
        <v>41674</v>
      </c>
      <c r="L44" s="278">
        <v>230696.06</v>
      </c>
      <c r="M44" s="1053">
        <v>11239</v>
      </c>
      <c r="N44" s="1054">
        <v>41674</v>
      </c>
      <c r="O44" s="1054">
        <v>42004</v>
      </c>
      <c r="P44" s="1030" t="s">
        <v>5007</v>
      </c>
      <c r="Q44" s="1030"/>
      <c r="R44" s="278">
        <v>0</v>
      </c>
      <c r="S44" s="278">
        <v>0</v>
      </c>
      <c r="T44" s="1030" t="s">
        <v>316</v>
      </c>
      <c r="U44" s="1030" t="s">
        <v>1224</v>
      </c>
      <c r="V44" s="1054">
        <v>41929</v>
      </c>
      <c r="W44" s="1053">
        <v>11427</v>
      </c>
      <c r="X44" s="1030" t="s">
        <v>5056</v>
      </c>
      <c r="Y44" s="1054">
        <v>41936</v>
      </c>
      <c r="Z44" s="1054">
        <v>42004</v>
      </c>
      <c r="AA44" s="62">
        <v>0.25</v>
      </c>
      <c r="AB44" s="612">
        <v>0</v>
      </c>
      <c r="AC44" s="278">
        <v>57530.61</v>
      </c>
      <c r="AD44" s="278">
        <v>0</v>
      </c>
      <c r="AE44" s="1162">
        <f t="shared" si="2"/>
        <v>288226.67</v>
      </c>
      <c r="AF44" s="1090">
        <v>0</v>
      </c>
      <c r="AG44" s="1090">
        <v>270372.95</v>
      </c>
      <c r="AH44" s="613">
        <f t="shared" si="3"/>
        <v>270372.95</v>
      </c>
      <c r="AI44" s="115" t="s">
        <v>5057</v>
      </c>
      <c r="AJ44" s="1053">
        <v>11151</v>
      </c>
      <c r="AK44" s="614" t="s">
        <v>761</v>
      </c>
      <c r="AL44" s="1053">
        <v>11151</v>
      </c>
      <c r="AM44" s="341"/>
      <c r="AN44" s="524"/>
      <c r="AO44" s="615"/>
      <c r="AP44" s="616"/>
      <c r="AQ44" s="341"/>
      <c r="AR44" s="616"/>
      <c r="AS44" s="1030"/>
      <c r="AT44" s="165"/>
      <c r="AU44" s="165"/>
      <c r="AV44" s="165"/>
      <c r="AW44" s="165"/>
      <c r="AX44" s="165"/>
      <c r="AY44" s="165"/>
      <c r="AZ44" s="165"/>
      <c r="BA44" s="165"/>
      <c r="BB44" s="165"/>
      <c r="BC44" s="165"/>
      <c r="BD44" s="165"/>
    </row>
    <row r="45" spans="1:56" s="1638" customFormat="1" ht="63.75" x14ac:dyDescent="0.25">
      <c r="A45" s="611">
        <f t="shared" si="4"/>
        <v>18</v>
      </c>
      <c r="B45" s="1081" t="s">
        <v>5058</v>
      </c>
      <c r="C45" s="1030" t="s">
        <v>5059</v>
      </c>
      <c r="D45" s="1030" t="s">
        <v>1272</v>
      </c>
      <c r="E45" s="1030" t="s">
        <v>168</v>
      </c>
      <c r="F45" s="520" t="s">
        <v>5060</v>
      </c>
      <c r="G45" s="1053">
        <v>11080</v>
      </c>
      <c r="H45" s="1031" t="s">
        <v>686</v>
      </c>
      <c r="I45" s="1080" t="s">
        <v>5061</v>
      </c>
      <c r="J45" s="1030" t="s">
        <v>5062</v>
      </c>
      <c r="K45" s="1054">
        <v>41676</v>
      </c>
      <c r="L45" s="278">
        <v>11016</v>
      </c>
      <c r="M45" s="1053">
        <v>11239</v>
      </c>
      <c r="N45" s="1054">
        <v>41676</v>
      </c>
      <c r="O45" s="1054">
        <v>42041</v>
      </c>
      <c r="P45" s="1030" t="s">
        <v>5007</v>
      </c>
      <c r="Q45" s="1030"/>
      <c r="R45" s="278">
        <v>0</v>
      </c>
      <c r="S45" s="278">
        <v>0</v>
      </c>
      <c r="T45" s="1030" t="s">
        <v>208</v>
      </c>
      <c r="U45" s="1030" t="s">
        <v>677</v>
      </c>
      <c r="V45" s="1030" t="s">
        <v>677</v>
      </c>
      <c r="W45" s="1030" t="s">
        <v>677</v>
      </c>
      <c r="X45" s="1030" t="s">
        <v>677</v>
      </c>
      <c r="Y45" s="1030"/>
      <c r="Z45" s="1030"/>
      <c r="AA45" s="612">
        <v>0</v>
      </c>
      <c r="AB45" s="612">
        <v>0</v>
      </c>
      <c r="AC45" s="278">
        <v>0</v>
      </c>
      <c r="AD45" s="278">
        <v>0</v>
      </c>
      <c r="AE45" s="1162">
        <f t="shared" si="2"/>
        <v>11016</v>
      </c>
      <c r="AF45" s="278">
        <v>0</v>
      </c>
      <c r="AG45" s="1090">
        <v>10098</v>
      </c>
      <c r="AH45" s="613">
        <f t="shared" si="3"/>
        <v>10098</v>
      </c>
      <c r="AI45" s="115" t="s">
        <v>5063</v>
      </c>
      <c r="AJ45" s="1053">
        <v>11109</v>
      </c>
      <c r="AK45" s="614" t="s">
        <v>5064</v>
      </c>
      <c r="AL45" s="1053">
        <v>11109</v>
      </c>
      <c r="AM45" s="341"/>
      <c r="AN45" s="524"/>
      <c r="AO45" s="615"/>
      <c r="AP45" s="616"/>
      <c r="AQ45" s="341"/>
      <c r="AR45" s="616"/>
      <c r="AS45" s="1030"/>
      <c r="AT45" s="165"/>
      <c r="AU45" s="165"/>
      <c r="AV45" s="165"/>
      <c r="AW45" s="165"/>
      <c r="AX45" s="165"/>
      <c r="AY45" s="165"/>
      <c r="AZ45" s="165"/>
      <c r="BA45" s="165"/>
      <c r="BB45" s="165"/>
      <c r="BC45" s="165"/>
      <c r="BD45" s="165"/>
    </row>
    <row r="46" spans="1:56" s="1638" customFormat="1" ht="102" x14ac:dyDescent="0.25">
      <c r="A46" s="611">
        <f t="shared" si="4"/>
        <v>19</v>
      </c>
      <c r="B46" s="1081" t="s">
        <v>5065</v>
      </c>
      <c r="C46" s="1030" t="s">
        <v>5066</v>
      </c>
      <c r="D46" s="1030" t="s">
        <v>5067</v>
      </c>
      <c r="E46" s="1030" t="s">
        <v>168</v>
      </c>
      <c r="F46" s="520" t="s">
        <v>5068</v>
      </c>
      <c r="G46" s="1053">
        <v>11147</v>
      </c>
      <c r="H46" s="1031" t="s">
        <v>704</v>
      </c>
      <c r="I46" s="1030" t="s">
        <v>5069</v>
      </c>
      <c r="J46" s="1030" t="s">
        <v>5070</v>
      </c>
      <c r="K46" s="1054">
        <v>41677</v>
      </c>
      <c r="L46" s="278">
        <v>879856</v>
      </c>
      <c r="M46" s="1053">
        <v>11244</v>
      </c>
      <c r="N46" s="1054">
        <v>41677</v>
      </c>
      <c r="O46" s="1054">
        <v>42004</v>
      </c>
      <c r="P46" s="1030" t="s">
        <v>5007</v>
      </c>
      <c r="Q46" s="1030"/>
      <c r="R46" s="278">
        <v>0</v>
      </c>
      <c r="S46" s="278">
        <v>0</v>
      </c>
      <c r="T46" s="1030" t="s">
        <v>316</v>
      </c>
      <c r="U46" s="1030" t="s">
        <v>677</v>
      </c>
      <c r="V46" s="1030" t="s">
        <v>677</v>
      </c>
      <c r="W46" s="1030" t="s">
        <v>677</v>
      </c>
      <c r="X46" s="1030" t="s">
        <v>677</v>
      </c>
      <c r="Y46" s="1030"/>
      <c r="Z46" s="1030"/>
      <c r="AA46" s="612">
        <v>0</v>
      </c>
      <c r="AB46" s="612">
        <v>0</v>
      </c>
      <c r="AC46" s="278">
        <v>0</v>
      </c>
      <c r="AD46" s="278">
        <v>0</v>
      </c>
      <c r="AE46" s="1162">
        <f t="shared" si="2"/>
        <v>879856</v>
      </c>
      <c r="AF46" s="278">
        <v>0</v>
      </c>
      <c r="AG46" s="1090">
        <v>337567.41</v>
      </c>
      <c r="AH46" s="613">
        <f t="shared" si="3"/>
        <v>337567.41</v>
      </c>
      <c r="AI46" s="115" t="s">
        <v>1387</v>
      </c>
      <c r="AJ46" s="1053">
        <v>11237</v>
      </c>
      <c r="AK46" s="614" t="s">
        <v>5071</v>
      </c>
      <c r="AL46" s="1053">
        <v>11237</v>
      </c>
      <c r="AM46" s="341"/>
      <c r="AN46" s="524"/>
      <c r="AO46" s="615"/>
      <c r="AP46" s="616"/>
      <c r="AQ46" s="341"/>
      <c r="AR46" s="616"/>
      <c r="AS46" s="1030"/>
      <c r="AT46" s="165"/>
      <c r="AU46" s="165"/>
      <c r="AV46" s="165"/>
      <c r="AW46" s="165"/>
      <c r="AX46" s="165"/>
      <c r="AY46" s="165"/>
      <c r="AZ46" s="165"/>
      <c r="BA46" s="165"/>
      <c r="BB46" s="165"/>
      <c r="BC46" s="165"/>
      <c r="BD46" s="165"/>
    </row>
    <row r="47" spans="1:56" s="1638" customFormat="1" ht="89.25" x14ac:dyDescent="0.25">
      <c r="A47" s="611">
        <f t="shared" si="4"/>
        <v>20</v>
      </c>
      <c r="B47" s="1081" t="s">
        <v>5072</v>
      </c>
      <c r="C47" s="1030" t="s">
        <v>5073</v>
      </c>
      <c r="D47" s="1030" t="s">
        <v>5067</v>
      </c>
      <c r="E47" s="1030" t="s">
        <v>168</v>
      </c>
      <c r="F47" s="520" t="s">
        <v>5074</v>
      </c>
      <c r="G47" s="1030"/>
      <c r="H47" s="1031" t="s">
        <v>716</v>
      </c>
      <c r="I47" s="1030" t="s">
        <v>5075</v>
      </c>
      <c r="J47" s="1030" t="s">
        <v>5076</v>
      </c>
      <c r="K47" s="1054">
        <v>41684</v>
      </c>
      <c r="L47" s="278">
        <v>330948</v>
      </c>
      <c r="M47" s="1053">
        <v>11248</v>
      </c>
      <c r="N47" s="1054">
        <v>41684</v>
      </c>
      <c r="O47" s="1054">
        <v>42004</v>
      </c>
      <c r="P47" s="1030" t="s">
        <v>5007</v>
      </c>
      <c r="Q47" s="1030"/>
      <c r="R47" s="278">
        <v>0</v>
      </c>
      <c r="S47" s="278">
        <v>0</v>
      </c>
      <c r="T47" s="1030" t="s">
        <v>208</v>
      </c>
      <c r="U47" s="1030" t="s">
        <v>677</v>
      </c>
      <c r="V47" s="1030" t="s">
        <v>677</v>
      </c>
      <c r="W47" s="1030" t="s">
        <v>677</v>
      </c>
      <c r="X47" s="1030" t="s">
        <v>677</v>
      </c>
      <c r="Y47" s="1030"/>
      <c r="Z47" s="1030"/>
      <c r="AA47" s="612">
        <v>0</v>
      </c>
      <c r="AB47" s="612">
        <v>0</v>
      </c>
      <c r="AC47" s="278">
        <v>0</v>
      </c>
      <c r="AD47" s="278">
        <v>0</v>
      </c>
      <c r="AE47" s="1162">
        <f t="shared" si="2"/>
        <v>330948</v>
      </c>
      <c r="AF47" s="278">
        <v>0</v>
      </c>
      <c r="AG47" s="1090">
        <v>216913</v>
      </c>
      <c r="AH47" s="613">
        <f t="shared" si="3"/>
        <v>216913</v>
      </c>
      <c r="AI47" s="115" t="s">
        <v>1070</v>
      </c>
      <c r="AJ47" s="1053">
        <v>11085</v>
      </c>
      <c r="AK47" s="614" t="s">
        <v>5077</v>
      </c>
      <c r="AL47" s="1053">
        <v>11085</v>
      </c>
      <c r="AM47" s="341"/>
      <c r="AN47" s="524"/>
      <c r="AO47" s="615"/>
      <c r="AP47" s="616"/>
      <c r="AQ47" s="341"/>
      <c r="AR47" s="616"/>
      <c r="AS47" s="1030"/>
      <c r="AT47" s="165"/>
      <c r="AU47" s="165"/>
      <c r="AV47" s="165"/>
      <c r="AW47" s="165"/>
      <c r="AX47" s="165"/>
      <c r="AY47" s="165"/>
      <c r="AZ47" s="165"/>
      <c r="BA47" s="165"/>
      <c r="BB47" s="165"/>
      <c r="BC47" s="165"/>
      <c r="BD47" s="165"/>
    </row>
    <row r="48" spans="1:56" s="1638" customFormat="1" ht="51" x14ac:dyDescent="0.25">
      <c r="A48" s="611">
        <f>A47+1</f>
        <v>21</v>
      </c>
      <c r="B48" s="1081" t="s">
        <v>5078</v>
      </c>
      <c r="C48" s="1030" t="s">
        <v>5079</v>
      </c>
      <c r="D48" s="1030" t="s">
        <v>5067</v>
      </c>
      <c r="E48" s="1030" t="s">
        <v>5053</v>
      </c>
      <c r="F48" s="104" t="s">
        <v>5080</v>
      </c>
      <c r="G48" s="1053">
        <v>11168</v>
      </c>
      <c r="H48" s="1031" t="s">
        <v>381</v>
      </c>
      <c r="I48" s="1030" t="s">
        <v>5081</v>
      </c>
      <c r="J48" s="1030" t="s">
        <v>2688</v>
      </c>
      <c r="K48" s="1054">
        <v>41691</v>
      </c>
      <c r="L48" s="278">
        <v>27950</v>
      </c>
      <c r="M48" s="1053">
        <v>11258</v>
      </c>
      <c r="N48" s="1054">
        <v>41691</v>
      </c>
      <c r="O48" s="1054">
        <v>42004</v>
      </c>
      <c r="P48" s="1030" t="s">
        <v>5007</v>
      </c>
      <c r="Q48" s="1030"/>
      <c r="R48" s="278">
        <v>0</v>
      </c>
      <c r="S48" s="278">
        <v>0</v>
      </c>
      <c r="T48" s="1030" t="s">
        <v>208</v>
      </c>
      <c r="U48" s="1030" t="s">
        <v>677</v>
      </c>
      <c r="V48" s="1030" t="s">
        <v>677</v>
      </c>
      <c r="W48" s="1030" t="s">
        <v>677</v>
      </c>
      <c r="X48" s="1030" t="s">
        <v>677</v>
      </c>
      <c r="Y48" s="1030"/>
      <c r="Z48" s="1030"/>
      <c r="AA48" s="612">
        <v>0</v>
      </c>
      <c r="AB48" s="612">
        <v>0</v>
      </c>
      <c r="AC48" s="278">
        <v>0</v>
      </c>
      <c r="AD48" s="278">
        <v>0</v>
      </c>
      <c r="AE48" s="1162">
        <f t="shared" si="2"/>
        <v>27950</v>
      </c>
      <c r="AF48" s="278">
        <v>0</v>
      </c>
      <c r="AG48" s="1090">
        <v>2474</v>
      </c>
      <c r="AH48" s="613">
        <f t="shared" si="3"/>
        <v>2474</v>
      </c>
      <c r="AI48" s="115" t="s">
        <v>4702</v>
      </c>
      <c r="AJ48" s="1053">
        <v>11217</v>
      </c>
      <c r="AK48" s="614" t="s">
        <v>5082</v>
      </c>
      <c r="AL48" s="1053">
        <v>11217</v>
      </c>
      <c r="AM48" s="341"/>
      <c r="AN48" s="524"/>
      <c r="AO48" s="615"/>
      <c r="AP48" s="616"/>
      <c r="AQ48" s="341"/>
      <c r="AR48" s="616"/>
      <c r="AS48" s="1030"/>
      <c r="AT48" s="165"/>
      <c r="AU48" s="165"/>
      <c r="AV48" s="165"/>
      <c r="AW48" s="165"/>
      <c r="AX48" s="165"/>
      <c r="AY48" s="165"/>
      <c r="AZ48" s="165"/>
      <c r="BA48" s="165"/>
      <c r="BB48" s="165"/>
      <c r="BC48" s="165"/>
      <c r="BD48" s="165"/>
    </row>
    <row r="49" spans="1:56" s="1638" customFormat="1" ht="63.75" x14ac:dyDescent="0.25">
      <c r="A49" s="611">
        <f t="shared" si="4"/>
        <v>22</v>
      </c>
      <c r="B49" s="1081" t="s">
        <v>5083</v>
      </c>
      <c r="C49" s="1030" t="s">
        <v>5084</v>
      </c>
      <c r="D49" s="1030" t="s">
        <v>5067</v>
      </c>
      <c r="E49" s="1030" t="s">
        <v>168</v>
      </c>
      <c r="F49" s="104" t="s">
        <v>5085</v>
      </c>
      <c r="G49" s="1053">
        <v>10941</v>
      </c>
      <c r="H49" s="1031" t="s">
        <v>680</v>
      </c>
      <c r="I49" s="1030" t="s">
        <v>5086</v>
      </c>
      <c r="J49" s="1030" t="s">
        <v>5087</v>
      </c>
      <c r="K49" s="1054">
        <v>41690</v>
      </c>
      <c r="L49" s="278">
        <v>632716.19999999995</v>
      </c>
      <c r="M49" s="1053">
        <v>11251</v>
      </c>
      <c r="N49" s="1054">
        <v>41690</v>
      </c>
      <c r="O49" s="1054">
        <v>42004</v>
      </c>
      <c r="P49" s="1030" t="s">
        <v>5007</v>
      </c>
      <c r="Q49" s="1030"/>
      <c r="R49" s="278">
        <v>0</v>
      </c>
      <c r="S49" s="278">
        <v>0</v>
      </c>
      <c r="T49" s="1030" t="s">
        <v>316</v>
      </c>
      <c r="U49" s="1030" t="s">
        <v>677</v>
      </c>
      <c r="V49" s="1030" t="s">
        <v>677</v>
      </c>
      <c r="W49" s="1030" t="s">
        <v>677</v>
      </c>
      <c r="X49" s="1030" t="s">
        <v>677</v>
      </c>
      <c r="Y49" s="1030"/>
      <c r="Z49" s="1030"/>
      <c r="AA49" s="612">
        <v>0</v>
      </c>
      <c r="AB49" s="612">
        <v>0</v>
      </c>
      <c r="AC49" s="278">
        <v>0</v>
      </c>
      <c r="AD49" s="278">
        <v>0</v>
      </c>
      <c r="AE49" s="1162">
        <f t="shared" si="2"/>
        <v>632716.19999999995</v>
      </c>
      <c r="AF49" s="278">
        <v>0</v>
      </c>
      <c r="AG49" s="1090">
        <v>185803.2</v>
      </c>
      <c r="AH49" s="613">
        <f t="shared" si="3"/>
        <v>185803.2</v>
      </c>
      <c r="AI49" s="115" t="s">
        <v>1608</v>
      </c>
      <c r="AJ49" s="1053">
        <v>11014</v>
      </c>
      <c r="AK49" s="614" t="s">
        <v>5088</v>
      </c>
      <c r="AL49" s="1053">
        <v>11014</v>
      </c>
      <c r="AM49" s="341"/>
      <c r="AN49" s="524"/>
      <c r="AO49" s="615"/>
      <c r="AP49" s="616"/>
      <c r="AQ49" s="341"/>
      <c r="AR49" s="616"/>
      <c r="AS49" s="1030"/>
      <c r="AT49" s="165"/>
      <c r="AU49" s="165"/>
      <c r="AV49" s="165"/>
      <c r="AW49" s="165"/>
      <c r="AX49" s="165"/>
      <c r="AY49" s="165"/>
      <c r="AZ49" s="165"/>
      <c r="BA49" s="165"/>
      <c r="BB49" s="165"/>
      <c r="BC49" s="165"/>
      <c r="BD49" s="165"/>
    </row>
    <row r="50" spans="1:56" s="1638" customFormat="1" ht="51" x14ac:dyDescent="0.25">
      <c r="A50" s="611">
        <f t="shared" si="4"/>
        <v>23</v>
      </c>
      <c r="B50" s="1081" t="s">
        <v>5089</v>
      </c>
      <c r="C50" s="1030" t="s">
        <v>5090</v>
      </c>
      <c r="D50" s="1030" t="s">
        <v>5067</v>
      </c>
      <c r="E50" s="1030" t="s">
        <v>168</v>
      </c>
      <c r="F50" s="104" t="s">
        <v>5091</v>
      </c>
      <c r="G50" s="1053">
        <v>10955</v>
      </c>
      <c r="H50" s="1031" t="s">
        <v>724</v>
      </c>
      <c r="I50" s="1030" t="s">
        <v>5092</v>
      </c>
      <c r="J50" s="1030" t="s">
        <v>4274</v>
      </c>
      <c r="K50" s="1054">
        <v>41715</v>
      </c>
      <c r="L50" s="278">
        <v>288300</v>
      </c>
      <c r="M50" s="1053">
        <v>11266</v>
      </c>
      <c r="N50" s="1054">
        <v>41715</v>
      </c>
      <c r="O50" s="1054">
        <v>42004</v>
      </c>
      <c r="P50" s="1030" t="s">
        <v>5007</v>
      </c>
      <c r="Q50" s="1030"/>
      <c r="R50" s="278">
        <v>0</v>
      </c>
      <c r="S50" s="278">
        <v>0</v>
      </c>
      <c r="T50" s="1030" t="s">
        <v>208</v>
      </c>
      <c r="U50" s="1030" t="s">
        <v>677</v>
      </c>
      <c r="V50" s="1030" t="s">
        <v>677</v>
      </c>
      <c r="W50" s="1030" t="s">
        <v>677</v>
      </c>
      <c r="X50" s="1030" t="s">
        <v>677</v>
      </c>
      <c r="Y50" s="1030"/>
      <c r="Z50" s="1030"/>
      <c r="AA50" s="612">
        <v>0</v>
      </c>
      <c r="AB50" s="612">
        <v>0</v>
      </c>
      <c r="AC50" s="278">
        <v>0</v>
      </c>
      <c r="AD50" s="278">
        <v>0</v>
      </c>
      <c r="AE50" s="1162">
        <f t="shared" si="2"/>
        <v>288300</v>
      </c>
      <c r="AF50" s="278">
        <v>0</v>
      </c>
      <c r="AG50" s="1090">
        <v>170719.8</v>
      </c>
      <c r="AH50" s="613">
        <f t="shared" si="3"/>
        <v>170719.8</v>
      </c>
      <c r="AI50" s="115" t="s">
        <v>5093</v>
      </c>
      <c r="AJ50" s="1053">
        <v>11021</v>
      </c>
      <c r="AK50" s="614" t="s">
        <v>5094</v>
      </c>
      <c r="AL50" s="1053">
        <v>11021</v>
      </c>
      <c r="AM50" s="341"/>
      <c r="AN50" s="524"/>
      <c r="AO50" s="615"/>
      <c r="AP50" s="616"/>
      <c r="AQ50" s="341"/>
      <c r="AR50" s="616"/>
      <c r="AS50" s="1030"/>
      <c r="AT50" s="165"/>
      <c r="AU50" s="165"/>
      <c r="AV50" s="165"/>
      <c r="AW50" s="165"/>
      <c r="AX50" s="165"/>
      <c r="AY50" s="165"/>
      <c r="AZ50" s="165"/>
      <c r="BA50" s="165"/>
      <c r="BB50" s="165"/>
      <c r="BC50" s="165"/>
      <c r="BD50" s="165"/>
    </row>
    <row r="51" spans="1:56" s="1638" customFormat="1" ht="63.75" x14ac:dyDescent="0.25">
      <c r="A51" s="611">
        <f t="shared" si="4"/>
        <v>24</v>
      </c>
      <c r="B51" s="617">
        <v>344212013109</v>
      </c>
      <c r="C51" s="1030" t="s">
        <v>967</v>
      </c>
      <c r="D51" s="1030" t="s">
        <v>5067</v>
      </c>
      <c r="E51" s="1030" t="s">
        <v>5053</v>
      </c>
      <c r="F51" s="104" t="s">
        <v>5095</v>
      </c>
      <c r="G51" s="1053"/>
      <c r="H51" s="1031" t="s">
        <v>388</v>
      </c>
      <c r="I51" s="1030" t="s">
        <v>5096</v>
      </c>
      <c r="J51" s="1030" t="s">
        <v>232</v>
      </c>
      <c r="K51" s="1054">
        <v>41716</v>
      </c>
      <c r="L51" s="278">
        <v>44160</v>
      </c>
      <c r="M51" s="1053">
        <v>11267</v>
      </c>
      <c r="N51" s="1054">
        <v>41716</v>
      </c>
      <c r="O51" s="1054">
        <v>42004</v>
      </c>
      <c r="P51" s="1030" t="s">
        <v>5007</v>
      </c>
      <c r="Q51" s="1030"/>
      <c r="R51" s="278">
        <v>0</v>
      </c>
      <c r="S51" s="278">
        <v>0</v>
      </c>
      <c r="T51" s="1030" t="s">
        <v>208</v>
      </c>
      <c r="U51" s="1030" t="s">
        <v>677</v>
      </c>
      <c r="V51" s="1030" t="s">
        <v>677</v>
      </c>
      <c r="W51" s="1030" t="s">
        <v>677</v>
      </c>
      <c r="X51" s="1030" t="s">
        <v>677</v>
      </c>
      <c r="Y51" s="1030"/>
      <c r="Z51" s="1030"/>
      <c r="AA51" s="612">
        <v>0</v>
      </c>
      <c r="AB51" s="612">
        <v>0</v>
      </c>
      <c r="AC51" s="278">
        <v>0</v>
      </c>
      <c r="AD51" s="278">
        <v>0</v>
      </c>
      <c r="AE51" s="1162">
        <f t="shared" si="2"/>
        <v>44160</v>
      </c>
      <c r="AF51" s="278">
        <v>0</v>
      </c>
      <c r="AG51" s="1090">
        <v>25760</v>
      </c>
      <c r="AH51" s="613">
        <f t="shared" si="3"/>
        <v>25760</v>
      </c>
      <c r="AI51" s="115" t="s">
        <v>993</v>
      </c>
      <c r="AJ51" s="1053">
        <v>11246</v>
      </c>
      <c r="AK51" s="614" t="s">
        <v>5097</v>
      </c>
      <c r="AL51" s="1053">
        <v>11246</v>
      </c>
      <c r="AM51" s="341"/>
      <c r="AN51" s="524"/>
      <c r="AO51" s="615"/>
      <c r="AP51" s="616"/>
      <c r="AQ51" s="341"/>
      <c r="AR51" s="616"/>
      <c r="AS51" s="1030"/>
      <c r="AT51" s="165"/>
      <c r="AU51" s="165"/>
      <c r="AV51" s="165"/>
      <c r="AW51" s="165"/>
      <c r="AX51" s="165"/>
      <c r="AY51" s="165"/>
      <c r="AZ51" s="165"/>
      <c r="BA51" s="165"/>
      <c r="BB51" s="165"/>
      <c r="BC51" s="165"/>
      <c r="BD51" s="165"/>
    </row>
    <row r="52" spans="1:56" s="1638" customFormat="1" ht="76.5" x14ac:dyDescent="0.25">
      <c r="A52" s="611">
        <f t="shared" si="4"/>
        <v>25</v>
      </c>
      <c r="B52" s="1081" t="s">
        <v>5098</v>
      </c>
      <c r="C52" s="1030" t="s">
        <v>5099</v>
      </c>
      <c r="D52" s="1030" t="s">
        <v>5100</v>
      </c>
      <c r="E52" s="1030" t="s">
        <v>5053</v>
      </c>
      <c r="F52" s="104" t="s">
        <v>5101</v>
      </c>
      <c r="G52" s="1053">
        <v>11194</v>
      </c>
      <c r="H52" s="1031" t="s">
        <v>741</v>
      </c>
      <c r="I52" s="1030" t="s">
        <v>5102</v>
      </c>
      <c r="J52" s="1030" t="s">
        <v>2257</v>
      </c>
      <c r="K52" s="1054">
        <v>41717</v>
      </c>
      <c r="L52" s="278">
        <v>126500</v>
      </c>
      <c r="M52" s="1053">
        <v>11273</v>
      </c>
      <c r="N52" s="1054">
        <v>41717</v>
      </c>
      <c r="O52" s="1054">
        <v>42004</v>
      </c>
      <c r="P52" s="1030" t="s">
        <v>5007</v>
      </c>
      <c r="Q52" s="1030"/>
      <c r="R52" s="278">
        <v>0</v>
      </c>
      <c r="S52" s="278">
        <v>0</v>
      </c>
      <c r="T52" s="1030" t="s">
        <v>316</v>
      </c>
      <c r="U52" s="1030" t="s">
        <v>677</v>
      </c>
      <c r="V52" s="1030" t="s">
        <v>677</v>
      </c>
      <c r="W52" s="1030" t="s">
        <v>677</v>
      </c>
      <c r="X52" s="1030" t="s">
        <v>677</v>
      </c>
      <c r="Y52" s="1030"/>
      <c r="Z52" s="1030"/>
      <c r="AA52" s="612">
        <v>0</v>
      </c>
      <c r="AB52" s="612">
        <v>0</v>
      </c>
      <c r="AC52" s="278">
        <v>0</v>
      </c>
      <c r="AD52" s="278">
        <v>0</v>
      </c>
      <c r="AE52" s="1162">
        <f t="shared" si="2"/>
        <v>126500</v>
      </c>
      <c r="AF52" s="278">
        <v>0</v>
      </c>
      <c r="AG52" s="1090">
        <v>39962</v>
      </c>
      <c r="AH52" s="613">
        <f>AF52+AG52</f>
        <v>39962</v>
      </c>
      <c r="AI52" s="115" t="s">
        <v>675</v>
      </c>
      <c r="AJ52" s="1053">
        <v>11223</v>
      </c>
      <c r="AK52" s="614" t="s">
        <v>761</v>
      </c>
      <c r="AL52" s="1053">
        <v>11223</v>
      </c>
      <c r="AM52" s="341"/>
      <c r="AN52" s="524"/>
      <c r="AO52" s="615"/>
      <c r="AP52" s="616"/>
      <c r="AQ52" s="341"/>
      <c r="AR52" s="616"/>
      <c r="AS52" s="1030"/>
      <c r="AT52" s="165"/>
      <c r="AU52" s="165"/>
      <c r="AV52" s="165"/>
      <c r="AW52" s="165"/>
      <c r="AX52" s="165"/>
      <c r="AY52" s="165"/>
      <c r="AZ52" s="165"/>
      <c r="BA52" s="165"/>
      <c r="BB52" s="165"/>
      <c r="BC52" s="165"/>
      <c r="BD52" s="165"/>
    </row>
    <row r="53" spans="1:56" s="1638" customFormat="1" ht="51" x14ac:dyDescent="0.25">
      <c r="A53" s="611">
        <f t="shared" si="4"/>
        <v>26</v>
      </c>
      <c r="B53" s="1081" t="s">
        <v>5103</v>
      </c>
      <c r="C53" s="1030" t="s">
        <v>5104</v>
      </c>
      <c r="D53" s="1030" t="s">
        <v>5067</v>
      </c>
      <c r="E53" s="1030" t="s">
        <v>168</v>
      </c>
      <c r="F53" s="104" t="s">
        <v>5105</v>
      </c>
      <c r="G53" s="1053">
        <v>11194</v>
      </c>
      <c r="H53" s="1031" t="s">
        <v>744</v>
      </c>
      <c r="I53" s="1030" t="s">
        <v>5106</v>
      </c>
      <c r="J53" s="1030" t="s">
        <v>5107</v>
      </c>
      <c r="K53" s="1054">
        <v>41719</v>
      </c>
      <c r="L53" s="278">
        <v>215432</v>
      </c>
      <c r="M53" s="1053">
        <v>11273</v>
      </c>
      <c r="N53" s="1054">
        <v>41719</v>
      </c>
      <c r="O53" s="1054">
        <v>42004</v>
      </c>
      <c r="P53" s="1030" t="s">
        <v>5007</v>
      </c>
      <c r="Q53" s="1030"/>
      <c r="R53" s="278">
        <v>0</v>
      </c>
      <c r="S53" s="278">
        <v>0</v>
      </c>
      <c r="T53" s="1030" t="s">
        <v>316</v>
      </c>
      <c r="U53" s="1030" t="s">
        <v>677</v>
      </c>
      <c r="V53" s="1030" t="s">
        <v>677</v>
      </c>
      <c r="W53" s="1030" t="s">
        <v>677</v>
      </c>
      <c r="X53" s="1030" t="s">
        <v>677</v>
      </c>
      <c r="Y53" s="1030"/>
      <c r="Z53" s="1030"/>
      <c r="AA53" s="612">
        <v>0</v>
      </c>
      <c r="AB53" s="612">
        <v>0</v>
      </c>
      <c r="AC53" s="278">
        <v>0</v>
      </c>
      <c r="AD53" s="278">
        <v>0</v>
      </c>
      <c r="AE53" s="1162">
        <f t="shared" si="2"/>
        <v>215432</v>
      </c>
      <c r="AF53" s="278">
        <v>0</v>
      </c>
      <c r="AG53" s="1090">
        <v>167968.9</v>
      </c>
      <c r="AH53" s="613">
        <f t="shared" si="3"/>
        <v>167968.9</v>
      </c>
      <c r="AI53" s="115" t="s">
        <v>686</v>
      </c>
      <c r="AJ53" s="1053">
        <v>11224</v>
      </c>
      <c r="AK53" s="614" t="s">
        <v>5108</v>
      </c>
      <c r="AL53" s="1053">
        <v>11224</v>
      </c>
      <c r="AM53" s="341"/>
      <c r="AN53" s="524"/>
      <c r="AO53" s="615"/>
      <c r="AP53" s="616"/>
      <c r="AQ53" s="341"/>
      <c r="AR53" s="616"/>
      <c r="AS53" s="1030"/>
      <c r="AT53" s="165"/>
      <c r="AU53" s="165"/>
      <c r="AV53" s="165"/>
      <c r="AW53" s="165"/>
      <c r="AX53" s="165"/>
      <c r="AY53" s="165"/>
      <c r="AZ53" s="165"/>
      <c r="BA53" s="165"/>
      <c r="BB53" s="165"/>
      <c r="BC53" s="165"/>
      <c r="BD53" s="165"/>
    </row>
    <row r="54" spans="1:56" s="1638" customFormat="1" ht="63.75" x14ac:dyDescent="0.25">
      <c r="A54" s="611">
        <f>A53+1</f>
        <v>27</v>
      </c>
      <c r="B54" s="1081" t="s">
        <v>5109</v>
      </c>
      <c r="C54" s="1030" t="s">
        <v>1941</v>
      </c>
      <c r="D54" s="1030" t="s">
        <v>935</v>
      </c>
      <c r="E54" s="1030" t="s">
        <v>168</v>
      </c>
      <c r="F54" s="104" t="s">
        <v>5110</v>
      </c>
      <c r="G54" s="1053"/>
      <c r="H54" s="1031" t="s">
        <v>747</v>
      </c>
      <c r="I54" s="1030" t="s">
        <v>5111</v>
      </c>
      <c r="J54" s="1030" t="s">
        <v>5112</v>
      </c>
      <c r="K54" s="1054">
        <v>41723</v>
      </c>
      <c r="L54" s="278">
        <v>185428</v>
      </c>
      <c r="M54" s="1053">
        <v>11290</v>
      </c>
      <c r="N54" s="1054">
        <v>41723</v>
      </c>
      <c r="O54" s="1054">
        <v>42004</v>
      </c>
      <c r="P54" s="1030" t="s">
        <v>5007</v>
      </c>
      <c r="Q54" s="1030"/>
      <c r="R54" s="278">
        <v>0</v>
      </c>
      <c r="S54" s="278">
        <v>0</v>
      </c>
      <c r="T54" s="1030" t="s">
        <v>316</v>
      </c>
      <c r="U54" s="1030" t="s">
        <v>677</v>
      </c>
      <c r="V54" s="1030" t="s">
        <v>677</v>
      </c>
      <c r="W54" s="1030" t="s">
        <v>677</v>
      </c>
      <c r="X54" s="1030" t="s">
        <v>677</v>
      </c>
      <c r="Y54" s="1030"/>
      <c r="Z54" s="1030"/>
      <c r="AA54" s="612">
        <v>0</v>
      </c>
      <c r="AB54" s="612">
        <v>0</v>
      </c>
      <c r="AC54" s="278">
        <v>0</v>
      </c>
      <c r="AD54" s="278">
        <v>0</v>
      </c>
      <c r="AE54" s="1162">
        <f t="shared" si="2"/>
        <v>185428</v>
      </c>
      <c r="AF54" s="278">
        <v>0</v>
      </c>
      <c r="AG54" s="1090">
        <v>47200</v>
      </c>
      <c r="AH54" s="613">
        <f t="shared" si="3"/>
        <v>47200</v>
      </c>
      <c r="AI54" s="115" t="s">
        <v>1639</v>
      </c>
      <c r="AJ54" s="1053">
        <v>11104</v>
      </c>
      <c r="AK54" s="614" t="s">
        <v>1085</v>
      </c>
      <c r="AL54" s="1053">
        <v>11104</v>
      </c>
      <c r="AM54" s="341"/>
      <c r="AN54" s="524"/>
      <c r="AO54" s="615"/>
      <c r="AP54" s="616"/>
      <c r="AQ54" s="341"/>
      <c r="AR54" s="616"/>
      <c r="AS54" s="1030"/>
      <c r="AT54" s="165"/>
      <c r="AU54" s="165"/>
      <c r="AV54" s="165"/>
      <c r="AW54" s="165"/>
      <c r="AX54" s="165"/>
      <c r="AY54" s="165"/>
      <c r="AZ54" s="165"/>
      <c r="BA54" s="165"/>
      <c r="BB54" s="165"/>
      <c r="BC54" s="165"/>
      <c r="BD54" s="165"/>
    </row>
    <row r="55" spans="1:56" s="1638" customFormat="1" ht="51" x14ac:dyDescent="0.25">
      <c r="A55" s="611">
        <f t="shared" si="4"/>
        <v>28</v>
      </c>
      <c r="B55" s="1081" t="s">
        <v>1819</v>
      </c>
      <c r="C55" s="1030" t="s">
        <v>787</v>
      </c>
      <c r="D55" s="1030" t="s">
        <v>5100</v>
      </c>
      <c r="E55" s="1030" t="s">
        <v>168</v>
      </c>
      <c r="F55" s="104" t="s">
        <v>5113</v>
      </c>
      <c r="G55" s="1053">
        <v>11227</v>
      </c>
      <c r="H55" s="1031" t="s">
        <v>811</v>
      </c>
      <c r="I55" s="1030" t="s">
        <v>5114</v>
      </c>
      <c r="J55" s="1030" t="s">
        <v>5115</v>
      </c>
      <c r="K55" s="1054">
        <v>41779</v>
      </c>
      <c r="L55" s="278">
        <v>31443.9</v>
      </c>
      <c r="M55" s="1053">
        <v>11311</v>
      </c>
      <c r="N55" s="1054">
        <v>41779</v>
      </c>
      <c r="O55" s="1054">
        <v>42004</v>
      </c>
      <c r="P55" s="1030" t="s">
        <v>5007</v>
      </c>
      <c r="Q55" s="1030"/>
      <c r="R55" s="278">
        <v>0</v>
      </c>
      <c r="S55" s="278">
        <v>0</v>
      </c>
      <c r="T55" s="1030" t="s">
        <v>316</v>
      </c>
      <c r="U55" s="1030" t="s">
        <v>677</v>
      </c>
      <c r="V55" s="1030" t="s">
        <v>677</v>
      </c>
      <c r="W55" s="1030" t="s">
        <v>677</v>
      </c>
      <c r="X55" s="1030" t="s">
        <v>677</v>
      </c>
      <c r="Y55" s="1030"/>
      <c r="Z55" s="1030"/>
      <c r="AA55" s="612">
        <v>0</v>
      </c>
      <c r="AB55" s="612">
        <v>0</v>
      </c>
      <c r="AC55" s="278">
        <v>0</v>
      </c>
      <c r="AD55" s="278">
        <v>0</v>
      </c>
      <c r="AE55" s="1162">
        <f t="shared" si="2"/>
        <v>31443.9</v>
      </c>
      <c r="AF55" s="278">
        <v>0</v>
      </c>
      <c r="AG55" s="1090">
        <v>23850</v>
      </c>
      <c r="AH55" s="613">
        <f t="shared" si="3"/>
        <v>23850</v>
      </c>
      <c r="AI55" s="115" t="s">
        <v>777</v>
      </c>
      <c r="AJ55" s="1053">
        <v>11255</v>
      </c>
      <c r="AK55" s="614" t="s">
        <v>1182</v>
      </c>
      <c r="AL55" s="1053">
        <v>11255</v>
      </c>
      <c r="AM55" s="341"/>
      <c r="AN55" s="524"/>
      <c r="AO55" s="615"/>
      <c r="AP55" s="616"/>
      <c r="AQ55" s="341"/>
      <c r="AR55" s="616"/>
      <c r="AS55" s="1030"/>
      <c r="AT55" s="165"/>
      <c r="AU55" s="165"/>
      <c r="AV55" s="165"/>
      <c r="AW55" s="165"/>
      <c r="AX55" s="165"/>
      <c r="AY55" s="165"/>
      <c r="AZ55" s="165"/>
      <c r="BA55" s="165"/>
      <c r="BB55" s="165"/>
      <c r="BC55" s="165"/>
      <c r="BD55" s="165"/>
    </row>
    <row r="56" spans="1:56" s="1638" customFormat="1" ht="76.5" x14ac:dyDescent="0.25">
      <c r="A56" s="611">
        <f t="shared" si="4"/>
        <v>29</v>
      </c>
      <c r="B56" s="1081" t="s">
        <v>5116</v>
      </c>
      <c r="C56" s="1030" t="s">
        <v>741</v>
      </c>
      <c r="D56" s="1030" t="s">
        <v>5100</v>
      </c>
      <c r="E56" s="1030" t="s">
        <v>168</v>
      </c>
      <c r="F56" s="104" t="s">
        <v>5117</v>
      </c>
      <c r="G56" s="1053">
        <v>11213</v>
      </c>
      <c r="H56" s="1031" t="s">
        <v>814</v>
      </c>
      <c r="I56" s="1030" t="s">
        <v>5118</v>
      </c>
      <c r="J56" s="1030" t="s">
        <v>1874</v>
      </c>
      <c r="K56" s="1054">
        <v>41785</v>
      </c>
      <c r="L56" s="278">
        <v>70500</v>
      </c>
      <c r="M56" s="1053">
        <v>11326</v>
      </c>
      <c r="N56" s="1054">
        <v>41785</v>
      </c>
      <c r="O56" s="1054">
        <v>42004</v>
      </c>
      <c r="P56" s="1030" t="s">
        <v>5007</v>
      </c>
      <c r="Q56" s="1030"/>
      <c r="R56" s="278">
        <v>0</v>
      </c>
      <c r="S56" s="278">
        <v>0</v>
      </c>
      <c r="T56" s="1030" t="s">
        <v>316</v>
      </c>
      <c r="U56" s="1030" t="s">
        <v>677</v>
      </c>
      <c r="V56" s="1030" t="s">
        <v>677</v>
      </c>
      <c r="W56" s="1030" t="s">
        <v>677</v>
      </c>
      <c r="X56" s="1030" t="s">
        <v>677</v>
      </c>
      <c r="Y56" s="1030"/>
      <c r="Z56" s="1030"/>
      <c r="AA56" s="612">
        <v>0</v>
      </c>
      <c r="AB56" s="612">
        <v>0</v>
      </c>
      <c r="AC56" s="278">
        <v>0</v>
      </c>
      <c r="AD56" s="278">
        <v>0</v>
      </c>
      <c r="AE56" s="1162">
        <f t="shared" si="2"/>
        <v>70500</v>
      </c>
      <c r="AF56" s="278">
        <v>0</v>
      </c>
      <c r="AG56" s="1090">
        <v>12389</v>
      </c>
      <c r="AH56" s="613">
        <f t="shared" si="3"/>
        <v>12389</v>
      </c>
      <c r="AI56" s="115" t="s">
        <v>704</v>
      </c>
      <c r="AJ56" s="1053">
        <v>11276</v>
      </c>
      <c r="AK56" s="614" t="s">
        <v>5119</v>
      </c>
      <c r="AL56" s="1053">
        <v>11276</v>
      </c>
      <c r="AM56" s="341"/>
      <c r="AN56" s="524"/>
      <c r="AO56" s="615"/>
      <c r="AP56" s="616"/>
      <c r="AQ56" s="341"/>
      <c r="AR56" s="616"/>
      <c r="AS56" s="1030"/>
      <c r="AT56" s="165"/>
      <c r="AU56" s="165"/>
      <c r="AV56" s="165"/>
      <c r="AW56" s="165"/>
      <c r="AX56" s="165"/>
      <c r="AY56" s="165"/>
      <c r="AZ56" s="165"/>
      <c r="BA56" s="165"/>
      <c r="BB56" s="165"/>
      <c r="BC56" s="165"/>
      <c r="BD56" s="165"/>
    </row>
    <row r="57" spans="1:56" s="1638" customFormat="1" ht="102" x14ac:dyDescent="0.25">
      <c r="A57" s="611">
        <f t="shared" si="4"/>
        <v>30</v>
      </c>
      <c r="B57" s="1081" t="s">
        <v>5120</v>
      </c>
      <c r="C57" s="1055" t="s">
        <v>5121</v>
      </c>
      <c r="D57" s="1055" t="s">
        <v>5067</v>
      </c>
      <c r="E57" s="1055" t="s">
        <v>168</v>
      </c>
      <c r="F57" s="39" t="s">
        <v>5122</v>
      </c>
      <c r="G57" s="1064">
        <v>11041</v>
      </c>
      <c r="H57" s="1146" t="s">
        <v>823</v>
      </c>
      <c r="I57" s="1055" t="s">
        <v>5111</v>
      </c>
      <c r="J57" s="1055" t="s">
        <v>5112</v>
      </c>
      <c r="K57" s="1137">
        <v>41786</v>
      </c>
      <c r="L57" s="1090">
        <v>220320.95</v>
      </c>
      <c r="M57" s="1064">
        <v>11326</v>
      </c>
      <c r="N57" s="1137">
        <v>41786</v>
      </c>
      <c r="O57" s="1137">
        <v>42004</v>
      </c>
      <c r="P57" s="1055" t="s">
        <v>5007</v>
      </c>
      <c r="Q57" s="1055"/>
      <c r="R57" s="1090">
        <v>0</v>
      </c>
      <c r="S57" s="1090">
        <v>0</v>
      </c>
      <c r="T57" s="1055" t="s">
        <v>208</v>
      </c>
      <c r="U57" s="1055" t="s">
        <v>677</v>
      </c>
      <c r="V57" s="1055" t="s">
        <v>677</v>
      </c>
      <c r="W57" s="1055" t="s">
        <v>677</v>
      </c>
      <c r="X57" s="1055" t="s">
        <v>677</v>
      </c>
      <c r="Y57" s="1055"/>
      <c r="Z57" s="1055"/>
      <c r="AA57" s="618">
        <v>0</v>
      </c>
      <c r="AB57" s="618">
        <v>0</v>
      </c>
      <c r="AC57" s="1090">
        <v>0</v>
      </c>
      <c r="AD57" s="1090">
        <v>0</v>
      </c>
      <c r="AE57" s="523">
        <f t="shared" si="2"/>
        <v>220320.95</v>
      </c>
      <c r="AF57" s="1090">
        <v>0</v>
      </c>
      <c r="AG57" s="1090">
        <v>5396.4</v>
      </c>
      <c r="AH57" s="501">
        <f t="shared" si="3"/>
        <v>5396.4</v>
      </c>
      <c r="AI57" s="619" t="s">
        <v>4798</v>
      </c>
      <c r="AJ57" s="1064">
        <v>11077</v>
      </c>
      <c r="AK57" s="620" t="s">
        <v>5071</v>
      </c>
      <c r="AL57" s="1064">
        <v>11077</v>
      </c>
      <c r="AM57" s="341"/>
      <c r="AN57" s="524"/>
      <c r="AO57" s="615"/>
      <c r="AP57" s="616"/>
      <c r="AQ57" s="341"/>
      <c r="AR57" s="616"/>
      <c r="AS57" s="1030"/>
      <c r="AT57" s="165"/>
      <c r="AU57" s="165"/>
      <c r="AV57" s="165"/>
      <c r="AW57" s="165"/>
      <c r="AX57" s="165"/>
      <c r="AY57" s="165"/>
      <c r="AZ57" s="165"/>
      <c r="BA57" s="165"/>
      <c r="BB57" s="165"/>
      <c r="BC57" s="165"/>
      <c r="BD57" s="165"/>
    </row>
    <row r="58" spans="1:56" s="1638" customFormat="1" ht="63.75" x14ac:dyDescent="0.25">
      <c r="A58" s="611">
        <f t="shared" si="4"/>
        <v>31</v>
      </c>
      <c r="B58" s="1081" t="s">
        <v>5123</v>
      </c>
      <c r="C58" s="1030" t="s">
        <v>5124</v>
      </c>
      <c r="D58" s="1030" t="s">
        <v>5067</v>
      </c>
      <c r="E58" s="1030" t="s">
        <v>168</v>
      </c>
      <c r="F58" s="104" t="s">
        <v>5125</v>
      </c>
      <c r="G58" s="1053">
        <v>11122</v>
      </c>
      <c r="H58" s="1031" t="s">
        <v>828</v>
      </c>
      <c r="I58" s="1030" t="s">
        <v>5010</v>
      </c>
      <c r="J58" s="1030" t="s">
        <v>5126</v>
      </c>
      <c r="K58" s="1054">
        <v>41810</v>
      </c>
      <c r="L58" s="278">
        <v>24750</v>
      </c>
      <c r="M58" s="1053">
        <v>11337</v>
      </c>
      <c r="N58" s="1054">
        <v>41810</v>
      </c>
      <c r="O58" s="1054">
        <v>42004</v>
      </c>
      <c r="P58" s="1030" t="s">
        <v>5007</v>
      </c>
      <c r="Q58" s="1030"/>
      <c r="R58" s="278">
        <v>0</v>
      </c>
      <c r="S58" s="278">
        <v>0</v>
      </c>
      <c r="T58" s="1030" t="s">
        <v>316</v>
      </c>
      <c r="U58" s="1030" t="s">
        <v>677</v>
      </c>
      <c r="V58" s="1030" t="s">
        <v>677</v>
      </c>
      <c r="W58" s="1030" t="s">
        <v>677</v>
      </c>
      <c r="X58" s="1030" t="s">
        <v>677</v>
      </c>
      <c r="Y58" s="1030"/>
      <c r="Z58" s="1030"/>
      <c r="AA58" s="612">
        <v>0</v>
      </c>
      <c r="AB58" s="612">
        <v>0</v>
      </c>
      <c r="AC58" s="278">
        <v>0</v>
      </c>
      <c r="AD58" s="278">
        <v>0</v>
      </c>
      <c r="AE58" s="1162">
        <f t="shared" si="2"/>
        <v>24750</v>
      </c>
      <c r="AF58" s="278">
        <v>0</v>
      </c>
      <c r="AG58" s="1090">
        <v>24750</v>
      </c>
      <c r="AH58" s="613">
        <f t="shared" si="3"/>
        <v>24750</v>
      </c>
      <c r="AI58" s="115" t="s">
        <v>1735</v>
      </c>
      <c r="AJ58" s="1053">
        <v>11146</v>
      </c>
      <c r="AK58" s="614" t="s">
        <v>5088</v>
      </c>
      <c r="AL58" s="1053">
        <v>11146</v>
      </c>
      <c r="AM58" s="341"/>
      <c r="AN58" s="524"/>
      <c r="AO58" s="615"/>
      <c r="AP58" s="616"/>
      <c r="AQ58" s="341"/>
      <c r="AR58" s="616"/>
      <c r="AS58" s="1030"/>
      <c r="AT58" s="165"/>
      <c r="AU58" s="165"/>
      <c r="AV58" s="165"/>
      <c r="AW58" s="165"/>
      <c r="AX58" s="165"/>
      <c r="AY58" s="165"/>
      <c r="AZ58" s="165"/>
      <c r="BA58" s="165"/>
      <c r="BB58" s="165"/>
      <c r="BC58" s="165"/>
      <c r="BD58" s="165"/>
    </row>
    <row r="59" spans="1:56" s="1638" customFormat="1" ht="38.25" x14ac:dyDescent="0.25">
      <c r="A59" s="611">
        <f t="shared" si="4"/>
        <v>32</v>
      </c>
      <c r="B59" s="1081" t="s">
        <v>5127</v>
      </c>
      <c r="C59" s="1030" t="s">
        <v>5128</v>
      </c>
      <c r="D59" s="1030" t="s">
        <v>5129</v>
      </c>
      <c r="E59" s="1030" t="s">
        <v>168</v>
      </c>
      <c r="F59" s="104" t="s">
        <v>5130</v>
      </c>
      <c r="G59" s="1178">
        <v>33</v>
      </c>
      <c r="H59" s="1031" t="s">
        <v>831</v>
      </c>
      <c r="I59" s="1030" t="s">
        <v>5131</v>
      </c>
      <c r="J59" s="1030" t="s">
        <v>5132</v>
      </c>
      <c r="K59" s="1054">
        <v>41808</v>
      </c>
      <c r="L59" s="278">
        <v>515943.5</v>
      </c>
      <c r="M59" s="1053">
        <v>11340</v>
      </c>
      <c r="N59" s="1054">
        <v>41808</v>
      </c>
      <c r="O59" s="1054">
        <v>42004</v>
      </c>
      <c r="P59" s="1030" t="s">
        <v>5007</v>
      </c>
      <c r="Q59" s="1030"/>
      <c r="R59" s="278">
        <v>0</v>
      </c>
      <c r="S59" s="278">
        <v>0</v>
      </c>
      <c r="T59" s="1030" t="s">
        <v>208</v>
      </c>
      <c r="U59" s="1030" t="s">
        <v>677</v>
      </c>
      <c r="V59" s="1030" t="s">
        <v>677</v>
      </c>
      <c r="W59" s="1030" t="s">
        <v>677</v>
      </c>
      <c r="X59" s="1030" t="s">
        <v>677</v>
      </c>
      <c r="Y59" s="1030"/>
      <c r="Z59" s="1030"/>
      <c r="AA59" s="612">
        <v>0</v>
      </c>
      <c r="AB59" s="612">
        <v>0</v>
      </c>
      <c r="AC59" s="278">
        <v>0</v>
      </c>
      <c r="AD59" s="278">
        <v>0</v>
      </c>
      <c r="AE59" s="1162">
        <f t="shared" si="2"/>
        <v>515943.5</v>
      </c>
      <c r="AF59" s="278">
        <v>0</v>
      </c>
      <c r="AG59" s="1090">
        <v>10000</v>
      </c>
      <c r="AH59" s="613">
        <f t="shared" si="3"/>
        <v>10000</v>
      </c>
      <c r="AI59" s="115" t="s">
        <v>388</v>
      </c>
      <c r="AJ59" s="1053">
        <v>38</v>
      </c>
      <c r="AK59" s="614" t="s">
        <v>5133</v>
      </c>
      <c r="AL59" s="1053">
        <v>38</v>
      </c>
      <c r="AM59" s="341"/>
      <c r="AN59" s="524"/>
      <c r="AO59" s="615"/>
      <c r="AP59" s="616"/>
      <c r="AQ59" s="341"/>
      <c r="AR59" s="616"/>
      <c r="AS59" s="1030"/>
      <c r="AT59" s="165"/>
      <c r="AU59" s="165"/>
      <c r="AV59" s="165"/>
      <c r="AW59" s="165"/>
      <c r="AX59" s="165"/>
      <c r="AY59" s="165"/>
      <c r="AZ59" s="165"/>
      <c r="BA59" s="165"/>
      <c r="BB59" s="165"/>
      <c r="BC59" s="165"/>
      <c r="BD59" s="165"/>
    </row>
    <row r="60" spans="1:56" s="1638" customFormat="1" ht="102" x14ac:dyDescent="0.25">
      <c r="A60" s="611">
        <f t="shared" si="4"/>
        <v>33</v>
      </c>
      <c r="B60" s="1081" t="s">
        <v>5134</v>
      </c>
      <c r="C60" s="1030" t="s">
        <v>5135</v>
      </c>
      <c r="D60" s="1030" t="s">
        <v>5067</v>
      </c>
      <c r="E60" s="1030" t="s">
        <v>5053</v>
      </c>
      <c r="F60" s="104" t="s">
        <v>5136</v>
      </c>
      <c r="G60" s="1053">
        <v>11269</v>
      </c>
      <c r="H60" s="1031" t="s">
        <v>832</v>
      </c>
      <c r="I60" s="1030" t="s">
        <v>5137</v>
      </c>
      <c r="J60" s="1030" t="s">
        <v>5138</v>
      </c>
      <c r="K60" s="1054">
        <v>41792</v>
      </c>
      <c r="L60" s="278">
        <v>35716</v>
      </c>
      <c r="M60" s="1053">
        <v>11324</v>
      </c>
      <c r="N60" s="1054">
        <v>41792</v>
      </c>
      <c r="O60" s="1054">
        <v>42004</v>
      </c>
      <c r="P60" s="1030" t="s">
        <v>5007</v>
      </c>
      <c r="Q60" s="1030"/>
      <c r="R60" s="278">
        <v>0</v>
      </c>
      <c r="S60" s="278">
        <v>0</v>
      </c>
      <c r="T60" s="1030" t="s">
        <v>208</v>
      </c>
      <c r="U60" s="1030" t="s">
        <v>677</v>
      </c>
      <c r="V60" s="1030" t="s">
        <v>677</v>
      </c>
      <c r="W60" s="1030" t="s">
        <v>677</v>
      </c>
      <c r="X60" s="1030" t="s">
        <v>677</v>
      </c>
      <c r="Y60" s="1030"/>
      <c r="Z60" s="1030"/>
      <c r="AA60" s="612">
        <v>0</v>
      </c>
      <c r="AB60" s="612">
        <v>0</v>
      </c>
      <c r="AC60" s="278">
        <v>0</v>
      </c>
      <c r="AD60" s="278">
        <v>0</v>
      </c>
      <c r="AE60" s="1162">
        <f t="shared" si="2"/>
        <v>35716</v>
      </c>
      <c r="AF60" s="278">
        <v>0</v>
      </c>
      <c r="AG60" s="1090">
        <v>14971.16</v>
      </c>
      <c r="AH60" s="613">
        <f t="shared" si="3"/>
        <v>14971.16</v>
      </c>
      <c r="AI60" s="115" t="s">
        <v>807</v>
      </c>
      <c r="AJ60" s="1053">
        <v>11303</v>
      </c>
      <c r="AK60" s="614" t="s">
        <v>5139</v>
      </c>
      <c r="AL60" s="1053">
        <v>11303</v>
      </c>
      <c r="AM60" s="341"/>
      <c r="AN60" s="524"/>
      <c r="AO60" s="615"/>
      <c r="AP60" s="616"/>
      <c r="AQ60" s="341"/>
      <c r="AR60" s="616"/>
      <c r="AS60" s="1030"/>
      <c r="AT60" s="165"/>
      <c r="AU60" s="165"/>
      <c r="AV60" s="165"/>
      <c r="AW60" s="165"/>
      <c r="AX60" s="165"/>
      <c r="AY60" s="165"/>
      <c r="AZ60" s="165"/>
      <c r="BA60" s="165"/>
      <c r="BB60" s="165"/>
      <c r="BC60" s="165"/>
      <c r="BD60" s="165"/>
    </row>
    <row r="61" spans="1:56" s="1638" customFormat="1" ht="51" x14ac:dyDescent="0.25">
      <c r="A61" s="611">
        <v>32</v>
      </c>
      <c r="B61" s="1081" t="s">
        <v>336</v>
      </c>
      <c r="C61" s="1030" t="s">
        <v>1295</v>
      </c>
      <c r="D61" s="1030" t="s">
        <v>1272</v>
      </c>
      <c r="E61" s="1030" t="s">
        <v>5140</v>
      </c>
      <c r="F61" s="104" t="s">
        <v>5141</v>
      </c>
      <c r="G61" s="1053">
        <v>20</v>
      </c>
      <c r="H61" s="1031" t="s">
        <v>841</v>
      </c>
      <c r="I61" s="1030" t="s">
        <v>5142</v>
      </c>
      <c r="J61" s="1030" t="s">
        <v>343</v>
      </c>
      <c r="K61" s="1054">
        <v>41871</v>
      </c>
      <c r="L61" s="278">
        <v>92115</v>
      </c>
      <c r="M61" s="1053">
        <v>11378</v>
      </c>
      <c r="N61" s="1054">
        <v>41871</v>
      </c>
      <c r="O61" s="1054">
        <v>42004</v>
      </c>
      <c r="P61" s="1030" t="s">
        <v>5007</v>
      </c>
      <c r="Q61" s="1030"/>
      <c r="R61" s="278">
        <v>0</v>
      </c>
      <c r="S61" s="278">
        <v>0</v>
      </c>
      <c r="T61" s="1030" t="s">
        <v>208</v>
      </c>
      <c r="U61" s="1030" t="s">
        <v>677</v>
      </c>
      <c r="V61" s="1030" t="s">
        <v>677</v>
      </c>
      <c r="W61" s="1030" t="s">
        <v>677</v>
      </c>
      <c r="X61" s="1030" t="s">
        <v>677</v>
      </c>
      <c r="Y61" s="1030"/>
      <c r="Z61" s="1030"/>
      <c r="AA61" s="612">
        <v>0</v>
      </c>
      <c r="AB61" s="612">
        <v>0</v>
      </c>
      <c r="AC61" s="278">
        <v>0</v>
      </c>
      <c r="AD61" s="278">
        <v>0</v>
      </c>
      <c r="AE61" s="1162">
        <f t="shared" si="2"/>
        <v>92115</v>
      </c>
      <c r="AF61" s="278">
        <v>0</v>
      </c>
      <c r="AG61" s="1090">
        <v>15000</v>
      </c>
      <c r="AH61" s="613">
        <f t="shared" si="3"/>
        <v>15000</v>
      </c>
      <c r="AI61" s="115" t="s">
        <v>1828</v>
      </c>
      <c r="AJ61" s="1053">
        <v>11187</v>
      </c>
      <c r="AK61" s="614" t="s">
        <v>345</v>
      </c>
      <c r="AL61" s="1053">
        <v>11187</v>
      </c>
      <c r="AM61" s="341"/>
      <c r="AN61" s="524"/>
      <c r="AO61" s="615"/>
      <c r="AP61" s="616"/>
      <c r="AQ61" s="341"/>
      <c r="AR61" s="616"/>
      <c r="AS61" s="1030"/>
      <c r="AT61" s="165"/>
      <c r="AU61" s="165"/>
      <c r="AV61" s="165"/>
      <c r="AW61" s="165"/>
      <c r="AX61" s="165"/>
      <c r="AY61" s="165"/>
      <c r="AZ61" s="165"/>
      <c r="BA61" s="165"/>
      <c r="BB61" s="165"/>
      <c r="BC61" s="165"/>
      <c r="BD61" s="165"/>
    </row>
    <row r="62" spans="1:56" s="1638" customFormat="1" ht="114.75" x14ac:dyDescent="0.25">
      <c r="A62" s="611">
        <v>33</v>
      </c>
      <c r="B62" s="1081" t="s">
        <v>5002</v>
      </c>
      <c r="C62" s="1030" t="s">
        <v>5143</v>
      </c>
      <c r="D62" s="1030" t="s">
        <v>1272</v>
      </c>
      <c r="E62" s="1030" t="s">
        <v>168</v>
      </c>
      <c r="F62" s="104" t="s">
        <v>5144</v>
      </c>
      <c r="G62" s="1053">
        <v>193</v>
      </c>
      <c r="H62" s="1031" t="s">
        <v>1677</v>
      </c>
      <c r="I62" s="1030" t="s">
        <v>5006</v>
      </c>
      <c r="J62" s="1030" t="s">
        <v>1564</v>
      </c>
      <c r="K62" s="1054">
        <v>41872</v>
      </c>
      <c r="L62" s="278">
        <v>94080</v>
      </c>
      <c r="M62" s="1053">
        <v>11380</v>
      </c>
      <c r="N62" s="1054">
        <v>41872</v>
      </c>
      <c r="O62" s="1054">
        <v>42004</v>
      </c>
      <c r="P62" s="1030" t="s">
        <v>5007</v>
      </c>
      <c r="Q62" s="1030"/>
      <c r="R62" s="278">
        <v>0</v>
      </c>
      <c r="S62" s="278">
        <v>0</v>
      </c>
      <c r="T62" s="1030" t="s">
        <v>208</v>
      </c>
      <c r="U62" s="1030" t="s">
        <v>677</v>
      </c>
      <c r="V62" s="1030" t="s">
        <v>677</v>
      </c>
      <c r="W62" s="1030" t="s">
        <v>677</v>
      </c>
      <c r="X62" s="1030" t="s">
        <v>677</v>
      </c>
      <c r="Y62" s="1030"/>
      <c r="Z62" s="1030"/>
      <c r="AA62" s="612">
        <v>0</v>
      </c>
      <c r="AB62" s="612">
        <v>0</v>
      </c>
      <c r="AC62" s="278">
        <v>0</v>
      </c>
      <c r="AD62" s="278">
        <v>0</v>
      </c>
      <c r="AE62" s="1162">
        <f t="shared" si="2"/>
        <v>94080</v>
      </c>
      <c r="AF62" s="278">
        <v>0</v>
      </c>
      <c r="AG62" s="1090">
        <v>7840</v>
      </c>
      <c r="AH62" s="613">
        <f t="shared" si="3"/>
        <v>7840</v>
      </c>
      <c r="AI62" s="115" t="s">
        <v>675</v>
      </c>
      <c r="AJ62" s="1053">
        <v>11233</v>
      </c>
      <c r="AK62" s="614" t="s">
        <v>5145</v>
      </c>
      <c r="AL62" s="1053">
        <v>11233</v>
      </c>
      <c r="AM62" s="341"/>
      <c r="AN62" s="524"/>
      <c r="AO62" s="615"/>
      <c r="AP62" s="616"/>
      <c r="AQ62" s="341"/>
      <c r="AR62" s="616"/>
      <c r="AS62" s="1030"/>
      <c r="AT62" s="165"/>
      <c r="AU62" s="165"/>
      <c r="AV62" s="165"/>
      <c r="AW62" s="165"/>
      <c r="AX62" s="165"/>
      <c r="AY62" s="165"/>
      <c r="AZ62" s="165"/>
      <c r="BA62" s="165"/>
      <c r="BB62" s="165"/>
      <c r="BC62" s="165"/>
      <c r="BD62" s="165"/>
    </row>
    <row r="63" spans="1:56" s="1638" customFormat="1" ht="51" x14ac:dyDescent="0.25">
      <c r="A63" s="611">
        <v>34</v>
      </c>
      <c r="B63" s="1081" t="s">
        <v>675</v>
      </c>
      <c r="C63" s="1030" t="s">
        <v>724</v>
      </c>
      <c r="D63" s="1030" t="s">
        <v>5067</v>
      </c>
      <c r="E63" s="1030" t="s">
        <v>168</v>
      </c>
      <c r="F63" s="104" t="s">
        <v>5146</v>
      </c>
      <c r="G63" s="1053">
        <v>11220</v>
      </c>
      <c r="H63" s="1031" t="s">
        <v>1679</v>
      </c>
      <c r="I63" s="1030" t="s">
        <v>2117</v>
      </c>
      <c r="J63" s="1030" t="s">
        <v>1011</v>
      </c>
      <c r="K63" s="1054">
        <v>41876</v>
      </c>
      <c r="L63" s="278">
        <v>206213.4</v>
      </c>
      <c r="M63" s="1053">
        <v>11382</v>
      </c>
      <c r="N63" s="1054">
        <v>41876</v>
      </c>
      <c r="O63" s="1054">
        <v>42004</v>
      </c>
      <c r="P63" s="1030" t="s">
        <v>5007</v>
      </c>
      <c r="Q63" s="1030"/>
      <c r="R63" s="278">
        <v>0</v>
      </c>
      <c r="S63" s="278">
        <v>0</v>
      </c>
      <c r="T63" s="1030" t="s">
        <v>316</v>
      </c>
      <c r="U63" s="1030" t="s">
        <v>677</v>
      </c>
      <c r="V63" s="1030" t="s">
        <v>677</v>
      </c>
      <c r="W63" s="1030" t="s">
        <v>677</v>
      </c>
      <c r="X63" s="1030" t="s">
        <v>677</v>
      </c>
      <c r="Y63" s="1030"/>
      <c r="Z63" s="1030"/>
      <c r="AA63" s="612">
        <v>0</v>
      </c>
      <c r="AB63" s="612">
        <v>0</v>
      </c>
      <c r="AC63" s="278">
        <v>0</v>
      </c>
      <c r="AD63" s="278">
        <v>0</v>
      </c>
      <c r="AE63" s="1162">
        <f t="shared" si="2"/>
        <v>206213.4</v>
      </c>
      <c r="AF63" s="278">
        <v>0</v>
      </c>
      <c r="AG63" s="1090">
        <v>100562.51</v>
      </c>
      <c r="AH63" s="613">
        <f t="shared" si="3"/>
        <v>100562.51</v>
      </c>
      <c r="AI63" s="115" t="s">
        <v>683</v>
      </c>
      <c r="AJ63" s="1053">
        <v>11253</v>
      </c>
      <c r="AK63" s="614" t="s">
        <v>5147</v>
      </c>
      <c r="AL63" s="1053">
        <v>11253</v>
      </c>
      <c r="AM63" s="341"/>
      <c r="AN63" s="524"/>
      <c r="AO63" s="615"/>
      <c r="AP63" s="616"/>
      <c r="AQ63" s="341"/>
      <c r="AR63" s="616"/>
      <c r="AS63" s="1030"/>
      <c r="AT63" s="165"/>
      <c r="AU63" s="165"/>
      <c r="AV63" s="165"/>
      <c r="AW63" s="165"/>
      <c r="AX63" s="165"/>
      <c r="AY63" s="165"/>
      <c r="AZ63" s="165"/>
      <c r="BA63" s="165"/>
      <c r="BB63" s="165"/>
      <c r="BC63" s="165"/>
      <c r="BD63" s="165"/>
    </row>
    <row r="64" spans="1:56" s="1638" customFormat="1" ht="89.25" x14ac:dyDescent="0.25">
      <c r="A64" s="611">
        <v>35</v>
      </c>
      <c r="B64" s="1081" t="s">
        <v>5148</v>
      </c>
      <c r="C64" s="1030" t="s">
        <v>5149</v>
      </c>
      <c r="D64" s="1030" t="s">
        <v>5067</v>
      </c>
      <c r="E64" s="1030" t="s">
        <v>168</v>
      </c>
      <c r="F64" s="104" t="s">
        <v>5150</v>
      </c>
      <c r="G64" s="1053">
        <v>100</v>
      </c>
      <c r="H64" s="1031" t="s">
        <v>1210</v>
      </c>
      <c r="I64" s="1030" t="s">
        <v>5151</v>
      </c>
      <c r="J64" s="1030" t="s">
        <v>5020</v>
      </c>
      <c r="K64" s="1054">
        <v>41876</v>
      </c>
      <c r="L64" s="278">
        <v>673530</v>
      </c>
      <c r="M64" s="1053">
        <v>11385</v>
      </c>
      <c r="N64" s="1054">
        <v>41876</v>
      </c>
      <c r="O64" s="1054">
        <v>42004</v>
      </c>
      <c r="P64" s="1030" t="s">
        <v>5007</v>
      </c>
      <c r="Q64" s="1030"/>
      <c r="R64" s="278">
        <v>0</v>
      </c>
      <c r="S64" s="278">
        <v>0</v>
      </c>
      <c r="T64" s="1030" t="s">
        <v>5152</v>
      </c>
      <c r="U64" s="1030" t="s">
        <v>677</v>
      </c>
      <c r="V64" s="1030" t="s">
        <v>677</v>
      </c>
      <c r="W64" s="1030" t="s">
        <v>677</v>
      </c>
      <c r="X64" s="1030" t="s">
        <v>677</v>
      </c>
      <c r="Y64" s="1030"/>
      <c r="Z64" s="1030"/>
      <c r="AA64" s="612">
        <v>0</v>
      </c>
      <c r="AB64" s="612">
        <v>0</v>
      </c>
      <c r="AC64" s="278">
        <v>0</v>
      </c>
      <c r="AD64" s="278">
        <v>0</v>
      </c>
      <c r="AE64" s="1162">
        <f t="shared" si="2"/>
        <v>673530</v>
      </c>
      <c r="AF64" s="278">
        <v>0</v>
      </c>
      <c r="AG64" s="1090">
        <v>14953.95</v>
      </c>
      <c r="AH64" s="613">
        <f t="shared" si="3"/>
        <v>14953.95</v>
      </c>
      <c r="AI64" s="115" t="s">
        <v>388</v>
      </c>
      <c r="AJ64" s="1053">
        <v>11367</v>
      </c>
      <c r="AK64" s="614" t="s">
        <v>5077</v>
      </c>
      <c r="AL64" s="1053">
        <v>11367</v>
      </c>
      <c r="AM64" s="341"/>
      <c r="AN64" s="524"/>
      <c r="AO64" s="615"/>
      <c r="AP64" s="616"/>
      <c r="AQ64" s="341"/>
      <c r="AR64" s="616"/>
      <c r="AS64" s="1030"/>
      <c r="AT64" s="165"/>
      <c r="AU64" s="165"/>
      <c r="AV64" s="165"/>
      <c r="AW64" s="165"/>
      <c r="AX64" s="165"/>
      <c r="AY64" s="165"/>
      <c r="AZ64" s="165"/>
      <c r="BA64" s="165"/>
      <c r="BB64" s="165"/>
      <c r="BC64" s="165"/>
      <c r="BD64" s="165"/>
    </row>
    <row r="65" spans="1:56" s="1638" customFormat="1" ht="63.75" x14ac:dyDescent="0.25">
      <c r="A65" s="611">
        <v>36</v>
      </c>
      <c r="B65" s="1081" t="s">
        <v>5153</v>
      </c>
      <c r="C65" s="1030" t="s">
        <v>5154</v>
      </c>
      <c r="D65" s="1030" t="s">
        <v>5100</v>
      </c>
      <c r="E65" s="1030" t="s">
        <v>168</v>
      </c>
      <c r="F65" s="104" t="s">
        <v>5155</v>
      </c>
      <c r="G65" s="1053">
        <v>11150</v>
      </c>
      <c r="H65" s="1031" t="s">
        <v>1690</v>
      </c>
      <c r="I65" s="1030" t="s">
        <v>5156</v>
      </c>
      <c r="J65" s="1030" t="s">
        <v>5157</v>
      </c>
      <c r="K65" s="1054">
        <v>41905</v>
      </c>
      <c r="L65" s="278">
        <v>31770</v>
      </c>
      <c r="M65" s="1053">
        <v>11415</v>
      </c>
      <c r="N65" s="1054">
        <v>41905</v>
      </c>
      <c r="O65" s="1054">
        <v>41996</v>
      </c>
      <c r="P65" s="1030" t="s">
        <v>5007</v>
      </c>
      <c r="Q65" s="1030"/>
      <c r="R65" s="278">
        <v>0</v>
      </c>
      <c r="S65" s="278">
        <v>0</v>
      </c>
      <c r="T65" s="1030" t="s">
        <v>208</v>
      </c>
      <c r="U65" s="1030" t="s">
        <v>677</v>
      </c>
      <c r="V65" s="1030" t="s">
        <v>677</v>
      </c>
      <c r="W65" s="1030" t="s">
        <v>677</v>
      </c>
      <c r="X65" s="1030" t="s">
        <v>677</v>
      </c>
      <c r="Y65" s="1030"/>
      <c r="Z65" s="1030"/>
      <c r="AA65" s="612">
        <v>0</v>
      </c>
      <c r="AB65" s="612">
        <v>0</v>
      </c>
      <c r="AC65" s="278">
        <v>0</v>
      </c>
      <c r="AD65" s="278">
        <v>0</v>
      </c>
      <c r="AE65" s="1162">
        <f t="shared" si="2"/>
        <v>31770</v>
      </c>
      <c r="AF65" s="278">
        <v>0</v>
      </c>
      <c r="AG65" s="1090">
        <v>9000</v>
      </c>
      <c r="AH65" s="613">
        <f t="shared" si="3"/>
        <v>9000</v>
      </c>
      <c r="AI65" s="115" t="s">
        <v>4747</v>
      </c>
      <c r="AJ65" s="1053">
        <v>11190</v>
      </c>
      <c r="AK65" s="614" t="s">
        <v>382</v>
      </c>
      <c r="AL65" s="1053">
        <v>11190</v>
      </c>
      <c r="AM65" s="341"/>
      <c r="AN65" s="524"/>
      <c r="AO65" s="615"/>
      <c r="AP65" s="616"/>
      <c r="AQ65" s="341"/>
      <c r="AR65" s="616"/>
      <c r="AS65" s="1030"/>
      <c r="AT65" s="165"/>
      <c r="AU65" s="165"/>
      <c r="AV65" s="165"/>
      <c r="AW65" s="165"/>
      <c r="AX65" s="165"/>
      <c r="AY65" s="165"/>
      <c r="AZ65" s="165"/>
      <c r="BA65" s="165"/>
      <c r="BB65" s="165"/>
      <c r="BC65" s="165"/>
      <c r="BD65" s="165"/>
    </row>
    <row r="66" spans="1:56" s="1638" customFormat="1" ht="63.75" x14ac:dyDescent="0.25">
      <c r="A66" s="621">
        <v>37</v>
      </c>
      <c r="B66" s="1217" t="s">
        <v>4809</v>
      </c>
      <c r="C66" s="1055" t="s">
        <v>901</v>
      </c>
      <c r="D66" s="1055" t="s">
        <v>5067</v>
      </c>
      <c r="E66" s="1055" t="s">
        <v>168</v>
      </c>
      <c r="F66" s="39" t="s">
        <v>5158</v>
      </c>
      <c r="G66" s="1064">
        <v>10736</v>
      </c>
      <c r="H66" s="1146" t="s">
        <v>1046</v>
      </c>
      <c r="I66" s="1055" t="s">
        <v>4812</v>
      </c>
      <c r="J66" s="1055" t="s">
        <v>4813</v>
      </c>
      <c r="K66" s="1137">
        <v>41640</v>
      </c>
      <c r="L66" s="1090">
        <v>396659</v>
      </c>
      <c r="M66" s="1064">
        <v>11214</v>
      </c>
      <c r="N66" s="1137">
        <v>41640</v>
      </c>
      <c r="O66" s="1137">
        <v>41930</v>
      </c>
      <c r="P66" s="1055" t="s">
        <v>5007</v>
      </c>
      <c r="Q66" s="1055"/>
      <c r="R66" s="1090">
        <v>0</v>
      </c>
      <c r="S66" s="1090">
        <v>0</v>
      </c>
      <c r="T66" s="1055" t="s">
        <v>208</v>
      </c>
      <c r="U66" s="1055" t="s">
        <v>1226</v>
      </c>
      <c r="V66" s="1137">
        <v>41929</v>
      </c>
      <c r="W66" s="1064">
        <v>11419</v>
      </c>
      <c r="X66" s="1055" t="s">
        <v>5159</v>
      </c>
      <c r="Y66" s="1137">
        <v>41929</v>
      </c>
      <c r="Z66" s="1137">
        <v>42128</v>
      </c>
      <c r="AA66" s="618">
        <v>0</v>
      </c>
      <c r="AB66" s="618">
        <v>0</v>
      </c>
      <c r="AC66" s="1090">
        <v>0</v>
      </c>
      <c r="AD66" s="622">
        <v>0</v>
      </c>
      <c r="AE66" s="523">
        <f>L66-AD66+AC66</f>
        <v>396659</v>
      </c>
      <c r="AF66" s="1090">
        <v>327904.23</v>
      </c>
      <c r="AG66" s="1090">
        <v>475990.8</v>
      </c>
      <c r="AH66" s="501">
        <f>AF66+AG66</f>
        <v>803895.03</v>
      </c>
      <c r="AI66" s="619" t="s">
        <v>4814</v>
      </c>
      <c r="AJ66" s="1064">
        <v>10850</v>
      </c>
      <c r="AK66" s="620" t="s">
        <v>5088</v>
      </c>
      <c r="AL66" s="1064">
        <v>10850</v>
      </c>
      <c r="AM66" s="341"/>
      <c r="AN66" s="524"/>
      <c r="AO66" s="615"/>
      <c r="AP66" s="616"/>
      <c r="AQ66" s="341"/>
      <c r="AR66" s="616"/>
      <c r="AS66" s="1030"/>
      <c r="AT66" s="165"/>
      <c r="AU66" s="165"/>
      <c r="AV66" s="165"/>
      <c r="AW66" s="165"/>
      <c r="AX66" s="165"/>
      <c r="AY66" s="165"/>
      <c r="AZ66" s="165"/>
      <c r="BA66" s="165"/>
      <c r="BB66" s="165"/>
      <c r="BC66" s="165"/>
      <c r="BD66" s="165"/>
    </row>
    <row r="67" spans="1:56" s="1638" customFormat="1" ht="51" x14ac:dyDescent="0.25">
      <c r="A67" s="621">
        <v>38</v>
      </c>
      <c r="B67" s="1217" t="s">
        <v>5160</v>
      </c>
      <c r="C67" s="1055" t="s">
        <v>5161</v>
      </c>
      <c r="D67" s="1055" t="s">
        <v>5067</v>
      </c>
      <c r="E67" s="1055" t="s">
        <v>168</v>
      </c>
      <c r="F67" s="39" t="s">
        <v>5162</v>
      </c>
      <c r="G67" s="1064">
        <v>10384</v>
      </c>
      <c r="H67" s="1146" t="s">
        <v>5163</v>
      </c>
      <c r="I67" s="1055" t="s">
        <v>5164</v>
      </c>
      <c r="J67" s="1055" t="s">
        <v>759</v>
      </c>
      <c r="K67" s="1137">
        <v>41672</v>
      </c>
      <c r="L67" s="1090">
        <v>537079.31999999995</v>
      </c>
      <c r="M67" s="1064">
        <v>11333</v>
      </c>
      <c r="N67" s="1137">
        <v>41672</v>
      </c>
      <c r="O67" s="1137">
        <v>42037</v>
      </c>
      <c r="P67" s="1055" t="s">
        <v>5007</v>
      </c>
      <c r="Q67" s="1055"/>
      <c r="R67" s="1090">
        <v>0</v>
      </c>
      <c r="S67" s="1090">
        <v>0</v>
      </c>
      <c r="T67" s="1055" t="s">
        <v>208</v>
      </c>
      <c r="U67" s="1055" t="s">
        <v>1246</v>
      </c>
      <c r="V67" s="1137">
        <v>41672</v>
      </c>
      <c r="W67" s="1064" t="s">
        <v>5165</v>
      </c>
      <c r="X67" s="1055" t="s">
        <v>5166</v>
      </c>
      <c r="Y67" s="1137">
        <v>41672</v>
      </c>
      <c r="Z67" s="1137">
        <v>42037</v>
      </c>
      <c r="AA67" s="618">
        <v>0</v>
      </c>
      <c r="AB67" s="618">
        <v>0</v>
      </c>
      <c r="AC67" s="1090">
        <v>44756.61</v>
      </c>
      <c r="AD67" s="1090">
        <v>0</v>
      </c>
      <c r="AE67" s="523">
        <f t="shared" si="2"/>
        <v>581835.92999999993</v>
      </c>
      <c r="AF67" s="1090">
        <v>138484.26</v>
      </c>
      <c r="AG67" s="1090">
        <v>177846.28</v>
      </c>
      <c r="AH67" s="501">
        <f t="shared" si="3"/>
        <v>316330.54000000004</v>
      </c>
      <c r="AI67" s="619" t="s">
        <v>5167</v>
      </c>
      <c r="AJ67" s="1064">
        <v>10434</v>
      </c>
      <c r="AK67" s="620" t="s">
        <v>5168</v>
      </c>
      <c r="AL67" s="1064">
        <v>10434</v>
      </c>
      <c r="AM67" s="341"/>
      <c r="AN67" s="524"/>
      <c r="AO67" s="615"/>
      <c r="AP67" s="616"/>
      <c r="AQ67" s="341"/>
      <c r="AR67" s="616"/>
      <c r="AS67" s="1030"/>
      <c r="AT67" s="165"/>
      <c r="AU67" s="165"/>
      <c r="AV67" s="165"/>
      <c r="AW67" s="165"/>
      <c r="AX67" s="165"/>
      <c r="AY67" s="165"/>
      <c r="AZ67" s="165"/>
      <c r="BA67" s="165"/>
      <c r="BB67" s="165"/>
      <c r="BC67" s="165"/>
      <c r="BD67" s="165"/>
    </row>
    <row r="68" spans="1:56" s="1638" customFormat="1" ht="63.75" x14ac:dyDescent="0.25">
      <c r="A68" s="621">
        <v>39</v>
      </c>
      <c r="B68" s="1217" t="s">
        <v>5169</v>
      </c>
      <c r="C68" s="1055" t="s">
        <v>3736</v>
      </c>
      <c r="D68" s="1055" t="s">
        <v>5067</v>
      </c>
      <c r="E68" s="1055" t="s">
        <v>168</v>
      </c>
      <c r="F68" s="39" t="s">
        <v>5170</v>
      </c>
      <c r="G68" s="1064"/>
      <c r="H68" s="1146" t="s">
        <v>5171</v>
      </c>
      <c r="I68" s="1055" t="s">
        <v>5172</v>
      </c>
      <c r="J68" s="1055" t="s">
        <v>4051</v>
      </c>
      <c r="K68" s="1137">
        <v>41029</v>
      </c>
      <c r="L68" s="1090">
        <v>744807.52</v>
      </c>
      <c r="M68" s="1064">
        <v>10814</v>
      </c>
      <c r="N68" s="1137">
        <v>41029</v>
      </c>
      <c r="O68" s="1137">
        <v>41394</v>
      </c>
      <c r="P68" s="1055" t="s">
        <v>5007</v>
      </c>
      <c r="Q68" s="1055"/>
      <c r="R68" s="1090">
        <v>0</v>
      </c>
      <c r="S68" s="1090">
        <v>0</v>
      </c>
      <c r="T68" s="1055" t="s">
        <v>208</v>
      </c>
      <c r="U68" s="1055" t="s">
        <v>1228</v>
      </c>
      <c r="V68" s="1137">
        <v>41760</v>
      </c>
      <c r="W68" s="1064">
        <v>11307</v>
      </c>
      <c r="X68" s="1055" t="s">
        <v>5166</v>
      </c>
      <c r="Y68" s="1137">
        <v>41760</v>
      </c>
      <c r="Z68" s="1137">
        <v>42004</v>
      </c>
      <c r="AA68" s="618">
        <v>0</v>
      </c>
      <c r="AB68" s="618">
        <v>0</v>
      </c>
      <c r="AC68" s="1090">
        <v>0</v>
      </c>
      <c r="AD68" s="1090">
        <v>0</v>
      </c>
      <c r="AE68" s="523">
        <f t="shared" si="2"/>
        <v>744807.52</v>
      </c>
      <c r="AF68" s="1090">
        <v>1261739.0900000001</v>
      </c>
      <c r="AG68" s="1090">
        <v>1543157.2</v>
      </c>
      <c r="AH68" s="501">
        <f t="shared" si="3"/>
        <v>2804896.29</v>
      </c>
      <c r="AI68" s="619" t="s">
        <v>637</v>
      </c>
      <c r="AJ68" s="1064">
        <v>10644</v>
      </c>
      <c r="AK68" s="620" t="s">
        <v>5173</v>
      </c>
      <c r="AL68" s="1064">
        <v>10644</v>
      </c>
      <c r="AM68" s="341"/>
      <c r="AN68" s="524"/>
      <c r="AO68" s="615"/>
      <c r="AP68" s="616"/>
      <c r="AQ68" s="341"/>
      <c r="AR68" s="616"/>
      <c r="AS68" s="1030"/>
      <c r="AT68" s="165"/>
      <c r="AU68" s="165"/>
      <c r="AV68" s="165"/>
      <c r="AW68" s="165"/>
      <c r="AX68" s="165"/>
      <c r="AY68" s="165"/>
      <c r="AZ68" s="165"/>
      <c r="BA68" s="165"/>
      <c r="BB68" s="165"/>
      <c r="BC68" s="165"/>
      <c r="BD68" s="165"/>
    </row>
    <row r="69" spans="1:56" s="1638" customFormat="1" ht="63.75" x14ac:dyDescent="0.25">
      <c r="A69" s="621">
        <v>40</v>
      </c>
      <c r="B69" s="1217" t="s">
        <v>5174</v>
      </c>
      <c r="C69" s="1055" t="s">
        <v>1346</v>
      </c>
      <c r="D69" s="1055" t="s">
        <v>5067</v>
      </c>
      <c r="E69" s="1055" t="s">
        <v>168</v>
      </c>
      <c r="F69" s="39" t="s">
        <v>5175</v>
      </c>
      <c r="G69" s="1064">
        <v>11048</v>
      </c>
      <c r="H69" s="1146" t="s">
        <v>1007</v>
      </c>
      <c r="I69" s="1055" t="s">
        <v>5176</v>
      </c>
      <c r="J69" s="1055" t="s">
        <v>197</v>
      </c>
      <c r="K69" s="1137">
        <v>41470</v>
      </c>
      <c r="L69" s="1090">
        <v>973627.92</v>
      </c>
      <c r="M69" s="1064">
        <v>11112</v>
      </c>
      <c r="N69" s="1137">
        <v>41470</v>
      </c>
      <c r="O69" s="1137">
        <v>41835</v>
      </c>
      <c r="P69" s="1055" t="s">
        <v>5007</v>
      </c>
      <c r="Q69" s="1055"/>
      <c r="R69" s="1090">
        <v>0</v>
      </c>
      <c r="S69" s="1090">
        <v>0</v>
      </c>
      <c r="T69" s="1055" t="s">
        <v>208</v>
      </c>
      <c r="U69" s="1055" t="s">
        <v>1224</v>
      </c>
      <c r="V69" s="1137">
        <v>41836</v>
      </c>
      <c r="W69" s="1064">
        <v>42201</v>
      </c>
      <c r="X69" s="1055" t="s">
        <v>5166</v>
      </c>
      <c r="Y69" s="1137">
        <v>41836</v>
      </c>
      <c r="Z69" s="1137">
        <v>42201</v>
      </c>
      <c r="AA69" s="618">
        <v>0</v>
      </c>
      <c r="AB69" s="623">
        <v>0.25</v>
      </c>
      <c r="AC69" s="1090">
        <v>0</v>
      </c>
      <c r="AD69" s="1155">
        <v>237538.08</v>
      </c>
      <c r="AE69" s="523">
        <f>L69-AD69+AC69</f>
        <v>736089.84000000008</v>
      </c>
      <c r="AF69" s="1090">
        <v>436326.27</v>
      </c>
      <c r="AG69" s="1090">
        <v>874653.62</v>
      </c>
      <c r="AH69" s="501">
        <f t="shared" si="3"/>
        <v>1310979.8900000001</v>
      </c>
      <c r="AI69" s="619"/>
      <c r="AJ69" s="1064"/>
      <c r="AK69" s="620"/>
      <c r="AL69" s="1064"/>
      <c r="AM69" s="341"/>
      <c r="AN69" s="524"/>
      <c r="AO69" s="615"/>
      <c r="AP69" s="616"/>
      <c r="AQ69" s="341"/>
      <c r="AR69" s="616"/>
      <c r="AS69" s="1030"/>
      <c r="AT69" s="165"/>
      <c r="AU69" s="165"/>
      <c r="AV69" s="165"/>
      <c r="AW69" s="165"/>
      <c r="AX69" s="165"/>
      <c r="AY69" s="165"/>
      <c r="AZ69" s="165"/>
      <c r="BA69" s="165"/>
      <c r="BB69" s="165"/>
      <c r="BC69" s="165"/>
      <c r="BD69" s="165"/>
    </row>
    <row r="70" spans="1:56" s="1638" customFormat="1" ht="25.5" x14ac:dyDescent="0.25">
      <c r="A70" s="611">
        <v>41</v>
      </c>
      <c r="B70" s="498" t="s">
        <v>675</v>
      </c>
      <c r="C70" s="1146" t="s">
        <v>675</v>
      </c>
      <c r="D70" s="1030" t="s">
        <v>690</v>
      </c>
      <c r="E70" s="1030"/>
      <c r="F70" s="39" t="s">
        <v>5177</v>
      </c>
      <c r="G70" s="1064">
        <v>11242</v>
      </c>
      <c r="H70" s="1146" t="s">
        <v>675</v>
      </c>
      <c r="I70" s="1055" t="s">
        <v>5178</v>
      </c>
      <c r="J70" s="1055" t="s">
        <v>1154</v>
      </c>
      <c r="K70" s="1137" t="s">
        <v>5179</v>
      </c>
      <c r="L70" s="1090">
        <v>3500</v>
      </c>
      <c r="M70" s="1064">
        <v>11242</v>
      </c>
      <c r="N70" s="1137">
        <v>41676</v>
      </c>
      <c r="O70" s="1137">
        <v>41736</v>
      </c>
      <c r="P70" s="1055" t="s">
        <v>5007</v>
      </c>
      <c r="Q70" s="1055"/>
      <c r="R70" s="1090">
        <v>0</v>
      </c>
      <c r="S70" s="1090">
        <v>0</v>
      </c>
      <c r="T70" s="1055" t="s">
        <v>408</v>
      </c>
      <c r="U70" s="1030" t="s">
        <v>1224</v>
      </c>
      <c r="V70" s="1054">
        <v>41737</v>
      </c>
      <c r="W70" s="1053">
        <v>11288</v>
      </c>
      <c r="X70" s="1030" t="s">
        <v>5159</v>
      </c>
      <c r="Y70" s="1054">
        <v>41737</v>
      </c>
      <c r="Z70" s="1054">
        <v>41789</v>
      </c>
      <c r="AA70" s="612">
        <v>0</v>
      </c>
      <c r="AB70" s="612">
        <v>0</v>
      </c>
      <c r="AC70" s="278">
        <v>0</v>
      </c>
      <c r="AD70" s="278">
        <v>0</v>
      </c>
      <c r="AE70" s="1162">
        <f t="shared" si="2"/>
        <v>3500</v>
      </c>
      <c r="AF70" s="278">
        <v>0</v>
      </c>
      <c r="AG70" s="1090">
        <v>3500</v>
      </c>
      <c r="AH70" s="613">
        <f t="shared" si="3"/>
        <v>3500</v>
      </c>
      <c r="AI70" s="115"/>
      <c r="AJ70" s="1053"/>
      <c r="AK70" s="614"/>
      <c r="AL70" s="1053"/>
      <c r="AM70" s="341" t="s">
        <v>5180</v>
      </c>
      <c r="AN70" s="524" t="s">
        <v>5181</v>
      </c>
      <c r="AO70" s="615">
        <v>11237</v>
      </c>
      <c r="AP70" s="616">
        <v>41676</v>
      </c>
      <c r="AQ70" s="1064">
        <v>11237</v>
      </c>
      <c r="AR70" s="616">
        <v>41676</v>
      </c>
      <c r="AS70" s="1030"/>
      <c r="AT70" s="165"/>
      <c r="AU70" s="165"/>
      <c r="AV70" s="165"/>
      <c r="AW70" s="165"/>
      <c r="AX70" s="165"/>
      <c r="AY70" s="165"/>
      <c r="AZ70" s="165"/>
      <c r="BA70" s="165"/>
      <c r="BB70" s="165"/>
      <c r="BC70" s="165"/>
      <c r="BD70" s="165"/>
    </row>
    <row r="71" spans="1:56" s="1638" customFormat="1" ht="76.5" x14ac:dyDescent="0.25">
      <c r="A71" s="611">
        <v>42</v>
      </c>
      <c r="B71" s="498" t="s">
        <v>683</v>
      </c>
      <c r="C71" s="1146" t="s">
        <v>683</v>
      </c>
      <c r="D71" s="1030" t="s">
        <v>690</v>
      </c>
      <c r="E71" s="1030"/>
      <c r="F71" s="1645" t="s">
        <v>5182</v>
      </c>
      <c r="G71" s="1064">
        <v>11259</v>
      </c>
      <c r="H71" s="1146" t="s">
        <v>683</v>
      </c>
      <c r="I71" s="1055" t="s">
        <v>5183</v>
      </c>
      <c r="J71" s="1055" t="s">
        <v>5184</v>
      </c>
      <c r="K71" s="1137">
        <v>41704</v>
      </c>
      <c r="L71" s="1090">
        <v>7950</v>
      </c>
      <c r="M71" s="1064">
        <v>11259</v>
      </c>
      <c r="N71" s="1137">
        <v>41704</v>
      </c>
      <c r="O71" s="1137">
        <v>41796</v>
      </c>
      <c r="P71" s="1055" t="s">
        <v>5007</v>
      </c>
      <c r="Q71" s="1055"/>
      <c r="R71" s="1090">
        <v>0</v>
      </c>
      <c r="S71" s="1090">
        <v>0</v>
      </c>
      <c r="T71" s="1055" t="s">
        <v>208</v>
      </c>
      <c r="U71" s="1030" t="s">
        <v>677</v>
      </c>
      <c r="V71" s="1030" t="s">
        <v>677</v>
      </c>
      <c r="W71" s="1030" t="s">
        <v>677</v>
      </c>
      <c r="X71" s="1030" t="s">
        <v>677</v>
      </c>
      <c r="Y71" s="1030"/>
      <c r="Z71" s="1030"/>
      <c r="AA71" s="612">
        <v>0</v>
      </c>
      <c r="AB71" s="612">
        <v>0</v>
      </c>
      <c r="AC71" s="278">
        <v>0</v>
      </c>
      <c r="AD71" s="278">
        <v>0</v>
      </c>
      <c r="AE71" s="1162">
        <f t="shared" si="2"/>
        <v>7950</v>
      </c>
      <c r="AF71" s="278">
        <v>0</v>
      </c>
      <c r="AG71" s="1090">
        <v>7950</v>
      </c>
      <c r="AH71" s="613">
        <f t="shared" si="3"/>
        <v>7950</v>
      </c>
      <c r="AI71" s="115"/>
      <c r="AJ71" s="1053"/>
      <c r="AK71" s="614"/>
      <c r="AL71" s="1053"/>
      <c r="AM71" s="341" t="s">
        <v>5180</v>
      </c>
      <c r="AN71" s="524" t="s">
        <v>5181</v>
      </c>
      <c r="AO71" s="615">
        <v>11253</v>
      </c>
      <c r="AP71" s="616">
        <v>41697</v>
      </c>
      <c r="AQ71" s="1064">
        <v>11253</v>
      </c>
      <c r="AR71" s="616">
        <v>41697</v>
      </c>
      <c r="AS71" s="1030"/>
      <c r="AT71" s="165"/>
      <c r="AU71" s="165"/>
      <c r="AV71" s="165"/>
      <c r="AW71" s="165"/>
      <c r="AX71" s="165"/>
      <c r="AY71" s="165"/>
      <c r="AZ71" s="165"/>
      <c r="BA71" s="165"/>
      <c r="BB71" s="165"/>
      <c r="BC71" s="165"/>
      <c r="BD71" s="165"/>
    </row>
    <row r="72" spans="1:56" s="1638" customFormat="1" ht="153" x14ac:dyDescent="0.25">
      <c r="A72" s="611">
        <v>43</v>
      </c>
      <c r="B72" s="498" t="s">
        <v>686</v>
      </c>
      <c r="C72" s="1146" t="s">
        <v>686</v>
      </c>
      <c r="D72" s="1030" t="s">
        <v>690</v>
      </c>
      <c r="E72" s="1030"/>
      <c r="F72" s="39" t="s">
        <v>5185</v>
      </c>
      <c r="G72" s="1064">
        <v>11260</v>
      </c>
      <c r="H72" s="1146" t="s">
        <v>686</v>
      </c>
      <c r="I72" s="1055" t="s">
        <v>5186</v>
      </c>
      <c r="J72" s="1055" t="s">
        <v>5187</v>
      </c>
      <c r="K72" s="1137">
        <v>41708</v>
      </c>
      <c r="L72" s="1090">
        <v>7899</v>
      </c>
      <c r="M72" s="1064">
        <v>11260</v>
      </c>
      <c r="N72" s="1137">
        <v>41708</v>
      </c>
      <c r="O72" s="1137">
        <v>41800</v>
      </c>
      <c r="P72" s="1055" t="s">
        <v>5007</v>
      </c>
      <c r="Q72" s="1055"/>
      <c r="R72" s="1090">
        <v>0</v>
      </c>
      <c r="S72" s="1090">
        <v>0</v>
      </c>
      <c r="T72" s="1055" t="s">
        <v>208</v>
      </c>
      <c r="U72" s="1030" t="s">
        <v>677</v>
      </c>
      <c r="V72" s="1030" t="s">
        <v>677</v>
      </c>
      <c r="W72" s="1030" t="s">
        <v>677</v>
      </c>
      <c r="X72" s="1030" t="s">
        <v>677</v>
      </c>
      <c r="Y72" s="1030"/>
      <c r="Z72" s="1030"/>
      <c r="AA72" s="612">
        <v>0</v>
      </c>
      <c r="AB72" s="612">
        <v>0</v>
      </c>
      <c r="AC72" s="278">
        <v>0</v>
      </c>
      <c r="AD72" s="278">
        <v>0</v>
      </c>
      <c r="AE72" s="1162">
        <f t="shared" si="2"/>
        <v>7899</v>
      </c>
      <c r="AF72" s="278">
        <v>0</v>
      </c>
      <c r="AG72" s="1090">
        <v>7899</v>
      </c>
      <c r="AH72" s="613">
        <f t="shared" si="3"/>
        <v>7899</v>
      </c>
      <c r="AI72" s="115"/>
      <c r="AJ72" s="1053"/>
      <c r="AK72" s="614"/>
      <c r="AL72" s="1053"/>
      <c r="AM72" s="341" t="s">
        <v>5180</v>
      </c>
      <c r="AN72" s="524" t="s">
        <v>5181</v>
      </c>
      <c r="AO72" s="615">
        <v>11256</v>
      </c>
      <c r="AP72" s="616">
        <v>41705</v>
      </c>
      <c r="AQ72" s="1064">
        <v>11256</v>
      </c>
      <c r="AR72" s="616">
        <v>41705</v>
      </c>
      <c r="AS72" s="1030"/>
      <c r="AT72" s="165"/>
      <c r="AU72" s="165"/>
      <c r="AV72" s="165"/>
      <c r="AW72" s="165"/>
      <c r="AX72" s="165"/>
      <c r="AY72" s="165"/>
      <c r="AZ72" s="165"/>
      <c r="BA72" s="165"/>
      <c r="BB72" s="165"/>
      <c r="BC72" s="165"/>
      <c r="BD72" s="165"/>
    </row>
    <row r="73" spans="1:56" s="1638" customFormat="1" ht="140.25" x14ac:dyDescent="0.25">
      <c r="A73" s="611">
        <v>44</v>
      </c>
      <c r="B73" s="498" t="s">
        <v>704</v>
      </c>
      <c r="C73" s="1146" t="s">
        <v>704</v>
      </c>
      <c r="D73" s="1030" t="s">
        <v>690</v>
      </c>
      <c r="E73" s="1030"/>
      <c r="F73" s="39" t="s">
        <v>5188</v>
      </c>
      <c r="G73" s="1064">
        <v>11263</v>
      </c>
      <c r="H73" s="1146" t="s">
        <v>704</v>
      </c>
      <c r="I73" s="1055" t="s">
        <v>5189</v>
      </c>
      <c r="J73" s="1055" t="s">
        <v>5190</v>
      </c>
      <c r="K73" s="1137">
        <v>41710</v>
      </c>
      <c r="L73" s="1090">
        <v>7500</v>
      </c>
      <c r="M73" s="1064">
        <v>11263</v>
      </c>
      <c r="N73" s="1137">
        <v>41710</v>
      </c>
      <c r="O73" s="1137">
        <v>41802</v>
      </c>
      <c r="P73" s="1055" t="s">
        <v>5007</v>
      </c>
      <c r="Q73" s="1055"/>
      <c r="R73" s="1090">
        <v>0</v>
      </c>
      <c r="S73" s="1090">
        <v>0</v>
      </c>
      <c r="T73" s="1055" t="s">
        <v>158</v>
      </c>
      <c r="U73" s="1030" t="s">
        <v>677</v>
      </c>
      <c r="V73" s="1030" t="s">
        <v>677</v>
      </c>
      <c r="W73" s="1030" t="s">
        <v>677</v>
      </c>
      <c r="X73" s="1030" t="s">
        <v>677</v>
      </c>
      <c r="Y73" s="1030"/>
      <c r="Z73" s="1030"/>
      <c r="AA73" s="612">
        <v>0</v>
      </c>
      <c r="AB73" s="612">
        <v>0</v>
      </c>
      <c r="AC73" s="278">
        <v>0</v>
      </c>
      <c r="AD73" s="278">
        <v>0</v>
      </c>
      <c r="AE73" s="1162">
        <f t="shared" si="2"/>
        <v>7500</v>
      </c>
      <c r="AF73" s="278">
        <v>0</v>
      </c>
      <c r="AG73" s="1090">
        <v>7500</v>
      </c>
      <c r="AH73" s="613">
        <f t="shared" si="3"/>
        <v>7500</v>
      </c>
      <c r="AI73" s="115"/>
      <c r="AJ73" s="1053"/>
      <c r="AK73" s="614"/>
      <c r="AL73" s="1053"/>
      <c r="AM73" s="341" t="s">
        <v>5180</v>
      </c>
      <c r="AN73" s="524" t="s">
        <v>5181</v>
      </c>
      <c r="AO73" s="615">
        <v>11259</v>
      </c>
      <c r="AP73" s="616">
        <v>41710</v>
      </c>
      <c r="AQ73" s="1064">
        <v>11259</v>
      </c>
      <c r="AR73" s="616">
        <v>41710</v>
      </c>
      <c r="AS73" s="1030"/>
      <c r="AT73" s="165"/>
      <c r="AU73" s="165"/>
      <c r="AV73" s="165"/>
      <c r="AW73" s="165"/>
      <c r="AX73" s="165"/>
      <c r="AY73" s="165"/>
      <c r="AZ73" s="165"/>
      <c r="BA73" s="165"/>
      <c r="BB73" s="165"/>
      <c r="BC73" s="165"/>
      <c r="BD73" s="165"/>
    </row>
    <row r="74" spans="1:56" s="1638" customFormat="1" ht="76.5" x14ac:dyDescent="0.25">
      <c r="A74" s="611">
        <v>45</v>
      </c>
      <c r="B74" s="498" t="s">
        <v>716</v>
      </c>
      <c r="C74" s="1146" t="s">
        <v>716</v>
      </c>
      <c r="D74" s="1030" t="s">
        <v>690</v>
      </c>
      <c r="E74" s="1030"/>
      <c r="F74" s="1645" t="s">
        <v>5191</v>
      </c>
      <c r="G74" s="1064">
        <v>11263</v>
      </c>
      <c r="H74" s="1146" t="s">
        <v>716</v>
      </c>
      <c r="I74" s="1055" t="s">
        <v>5192</v>
      </c>
      <c r="J74" s="1055" t="s">
        <v>5193</v>
      </c>
      <c r="K74" s="1137">
        <v>41711</v>
      </c>
      <c r="L74" s="1090">
        <v>7885</v>
      </c>
      <c r="M74" s="1064">
        <v>11263</v>
      </c>
      <c r="N74" s="1137">
        <v>41711</v>
      </c>
      <c r="O74" s="1137">
        <v>41803</v>
      </c>
      <c r="P74" s="1055" t="s">
        <v>5007</v>
      </c>
      <c r="Q74" s="1055"/>
      <c r="R74" s="1090">
        <v>0</v>
      </c>
      <c r="S74" s="1090">
        <v>0</v>
      </c>
      <c r="T74" s="1055" t="s">
        <v>158</v>
      </c>
      <c r="U74" s="1030" t="s">
        <v>677</v>
      </c>
      <c r="V74" s="1030" t="s">
        <v>677</v>
      </c>
      <c r="W74" s="1030" t="s">
        <v>677</v>
      </c>
      <c r="X74" s="1030" t="s">
        <v>677</v>
      </c>
      <c r="Y74" s="1030"/>
      <c r="Z74" s="1030"/>
      <c r="AA74" s="612">
        <v>0</v>
      </c>
      <c r="AB74" s="612">
        <v>0</v>
      </c>
      <c r="AC74" s="278">
        <v>0</v>
      </c>
      <c r="AD74" s="278">
        <v>0</v>
      </c>
      <c r="AE74" s="1162">
        <f t="shared" si="2"/>
        <v>7885</v>
      </c>
      <c r="AF74" s="278">
        <v>0</v>
      </c>
      <c r="AG74" s="1090">
        <v>7885</v>
      </c>
      <c r="AH74" s="613">
        <f t="shared" si="3"/>
        <v>7885</v>
      </c>
      <c r="AI74" s="115"/>
      <c r="AJ74" s="107"/>
      <c r="AK74" s="107"/>
      <c r="AL74" s="1053"/>
      <c r="AM74" s="341" t="s">
        <v>5180</v>
      </c>
      <c r="AN74" s="524" t="s">
        <v>5181</v>
      </c>
      <c r="AO74" s="615">
        <v>11259</v>
      </c>
      <c r="AP74" s="616">
        <v>41710</v>
      </c>
      <c r="AQ74" s="1064">
        <v>11259</v>
      </c>
      <c r="AR74" s="616">
        <v>41710</v>
      </c>
      <c r="AS74" s="1030"/>
      <c r="AT74" s="165"/>
      <c r="AU74" s="165"/>
      <c r="AV74" s="165"/>
      <c r="AW74" s="165"/>
      <c r="AX74" s="165"/>
      <c r="AY74" s="165"/>
      <c r="AZ74" s="165"/>
      <c r="BA74" s="165"/>
      <c r="BB74" s="165"/>
      <c r="BC74" s="165"/>
      <c r="BD74" s="165"/>
    </row>
    <row r="75" spans="1:56" s="1638" customFormat="1" ht="63.75" x14ac:dyDescent="0.25">
      <c r="A75" s="611">
        <v>46</v>
      </c>
      <c r="B75" s="498" t="s">
        <v>381</v>
      </c>
      <c r="C75" s="1146" t="s">
        <v>381</v>
      </c>
      <c r="D75" s="1030" t="s">
        <v>690</v>
      </c>
      <c r="E75" s="1030"/>
      <c r="F75" s="1645" t="s">
        <v>5194</v>
      </c>
      <c r="G75" s="1064">
        <v>11281</v>
      </c>
      <c r="H75" s="1146" t="s">
        <v>381</v>
      </c>
      <c r="I75" s="1055" t="s">
        <v>5195</v>
      </c>
      <c r="J75" s="1055" t="s">
        <v>5196</v>
      </c>
      <c r="K75" s="1137">
        <v>41680</v>
      </c>
      <c r="L75" s="1090">
        <v>7850</v>
      </c>
      <c r="M75" s="1064">
        <v>11281</v>
      </c>
      <c r="N75" s="1137">
        <v>41680</v>
      </c>
      <c r="O75" s="1137">
        <v>41814</v>
      </c>
      <c r="P75" s="1055" t="s">
        <v>5007</v>
      </c>
      <c r="Q75" s="1055"/>
      <c r="R75" s="1090">
        <v>0</v>
      </c>
      <c r="S75" s="1090">
        <v>0</v>
      </c>
      <c r="T75" s="1055" t="s">
        <v>158</v>
      </c>
      <c r="U75" s="1030" t="s">
        <v>677</v>
      </c>
      <c r="V75" s="1030" t="s">
        <v>677</v>
      </c>
      <c r="W75" s="1030" t="s">
        <v>677</v>
      </c>
      <c r="X75" s="1030" t="s">
        <v>677</v>
      </c>
      <c r="Y75" s="1030"/>
      <c r="Z75" s="1030"/>
      <c r="AA75" s="612">
        <v>0</v>
      </c>
      <c r="AB75" s="612">
        <v>0</v>
      </c>
      <c r="AC75" s="278">
        <v>0</v>
      </c>
      <c r="AD75" s="278">
        <v>0</v>
      </c>
      <c r="AE75" s="1162">
        <f t="shared" si="2"/>
        <v>7850</v>
      </c>
      <c r="AF75" s="278">
        <v>0</v>
      </c>
      <c r="AG75" s="1090">
        <v>7850</v>
      </c>
      <c r="AH75" s="613">
        <f t="shared" si="3"/>
        <v>7850</v>
      </c>
      <c r="AI75" s="115"/>
      <c r="AJ75" s="107"/>
      <c r="AK75" s="107"/>
      <c r="AL75" s="1053"/>
      <c r="AM75" s="341" t="s">
        <v>5180</v>
      </c>
      <c r="AN75" s="524" t="s">
        <v>5181</v>
      </c>
      <c r="AO75" s="615">
        <v>11281</v>
      </c>
      <c r="AP75" s="616">
        <v>41737</v>
      </c>
      <c r="AQ75" s="1064">
        <v>11281</v>
      </c>
      <c r="AR75" s="616">
        <v>41737</v>
      </c>
      <c r="AS75" s="1030"/>
      <c r="AT75" s="165"/>
      <c r="AU75" s="165"/>
      <c r="AV75" s="165"/>
      <c r="AW75" s="165"/>
      <c r="AX75" s="165"/>
      <c r="AY75" s="165"/>
      <c r="AZ75" s="165"/>
      <c r="BA75" s="165"/>
      <c r="BB75" s="165"/>
      <c r="BC75" s="165"/>
      <c r="BD75" s="165"/>
    </row>
    <row r="76" spans="1:56" s="1638" customFormat="1" ht="76.5" x14ac:dyDescent="0.25">
      <c r="A76" s="611">
        <v>47</v>
      </c>
      <c r="B76" s="498" t="s">
        <v>680</v>
      </c>
      <c r="C76" s="1146" t="s">
        <v>680</v>
      </c>
      <c r="D76" s="1030" t="s">
        <v>690</v>
      </c>
      <c r="E76" s="1030"/>
      <c r="F76" s="39" t="s">
        <v>5197</v>
      </c>
      <c r="G76" s="1064">
        <v>11268</v>
      </c>
      <c r="H76" s="1146" t="s">
        <v>680</v>
      </c>
      <c r="I76" s="1055" t="s">
        <v>5198</v>
      </c>
      <c r="J76" s="1055" t="s">
        <v>5199</v>
      </c>
      <c r="K76" s="1137">
        <v>41718</v>
      </c>
      <c r="L76" s="1090">
        <v>7997</v>
      </c>
      <c r="M76" s="1064">
        <v>11268</v>
      </c>
      <c r="N76" s="1137">
        <v>41718</v>
      </c>
      <c r="O76" s="1137">
        <v>41902</v>
      </c>
      <c r="P76" s="1055" t="s">
        <v>5007</v>
      </c>
      <c r="Q76" s="1055"/>
      <c r="R76" s="1090">
        <v>0</v>
      </c>
      <c r="S76" s="1090">
        <v>0</v>
      </c>
      <c r="T76" s="1055" t="s">
        <v>158</v>
      </c>
      <c r="U76" s="1030" t="s">
        <v>677</v>
      </c>
      <c r="V76" s="1030" t="s">
        <v>677</v>
      </c>
      <c r="W76" s="1030" t="s">
        <v>677</v>
      </c>
      <c r="X76" s="1030" t="s">
        <v>677</v>
      </c>
      <c r="Y76" s="1030"/>
      <c r="Z76" s="1030"/>
      <c r="AA76" s="612">
        <v>0</v>
      </c>
      <c r="AB76" s="612">
        <v>0</v>
      </c>
      <c r="AC76" s="278">
        <v>0</v>
      </c>
      <c r="AD76" s="278">
        <v>0</v>
      </c>
      <c r="AE76" s="1162">
        <f t="shared" si="2"/>
        <v>7997</v>
      </c>
      <c r="AF76" s="278">
        <v>0</v>
      </c>
      <c r="AG76" s="1090">
        <v>7997</v>
      </c>
      <c r="AH76" s="613">
        <f t="shared" si="3"/>
        <v>7997</v>
      </c>
      <c r="AI76" s="115"/>
      <c r="AJ76" s="107"/>
      <c r="AK76" s="107"/>
      <c r="AL76" s="1053"/>
      <c r="AM76" s="341" t="s">
        <v>5180</v>
      </c>
      <c r="AN76" s="524" t="s">
        <v>5181</v>
      </c>
      <c r="AO76" s="615">
        <v>11267</v>
      </c>
      <c r="AP76" s="616">
        <v>41719</v>
      </c>
      <c r="AQ76" s="1064">
        <v>11268</v>
      </c>
      <c r="AR76" s="616">
        <v>41722</v>
      </c>
      <c r="AS76" s="1030"/>
      <c r="AT76" s="165"/>
      <c r="AU76" s="165"/>
      <c r="AV76" s="165"/>
      <c r="AW76" s="165"/>
      <c r="AX76" s="165"/>
      <c r="AY76" s="165"/>
      <c r="AZ76" s="165"/>
      <c r="BA76" s="165"/>
      <c r="BB76" s="165"/>
      <c r="BC76" s="165"/>
      <c r="BD76" s="165"/>
    </row>
    <row r="77" spans="1:56" s="1638" customFormat="1" ht="38.25" x14ac:dyDescent="0.25">
      <c r="A77" s="611">
        <v>48</v>
      </c>
      <c r="B77" s="498" t="s">
        <v>724</v>
      </c>
      <c r="C77" s="1146" t="s">
        <v>724</v>
      </c>
      <c r="D77" s="1030" t="s">
        <v>690</v>
      </c>
      <c r="E77" s="1030"/>
      <c r="F77" s="1645" t="s">
        <v>5200</v>
      </c>
      <c r="G77" s="1064">
        <v>11274</v>
      </c>
      <c r="H77" s="1146" t="s">
        <v>724</v>
      </c>
      <c r="I77" s="1055" t="s">
        <v>5201</v>
      </c>
      <c r="J77" s="1055" t="s">
        <v>5202</v>
      </c>
      <c r="K77" s="1137">
        <v>41724</v>
      </c>
      <c r="L77" s="1090">
        <v>1999396</v>
      </c>
      <c r="M77" s="1064">
        <v>11274</v>
      </c>
      <c r="N77" s="1137">
        <v>41724</v>
      </c>
      <c r="O77" s="1137">
        <v>41973</v>
      </c>
      <c r="P77" s="1055" t="s">
        <v>5007</v>
      </c>
      <c r="Q77" s="1055"/>
      <c r="R77" s="1090">
        <v>0</v>
      </c>
      <c r="S77" s="1090">
        <v>0</v>
      </c>
      <c r="T77" s="1055" t="s">
        <v>1438</v>
      </c>
      <c r="U77" s="1030" t="s">
        <v>1224</v>
      </c>
      <c r="V77" s="1054">
        <v>41891</v>
      </c>
      <c r="W77" s="1053">
        <v>11391</v>
      </c>
      <c r="X77" s="1030" t="s">
        <v>5056</v>
      </c>
      <c r="Y77" s="1054">
        <v>41891</v>
      </c>
      <c r="Z77" s="1054">
        <v>41973</v>
      </c>
      <c r="AA77" s="624">
        <f>AC77/L77</f>
        <v>0.24879913733947653</v>
      </c>
      <c r="AB77" s="612">
        <v>0</v>
      </c>
      <c r="AC77" s="278">
        <v>497448</v>
      </c>
      <c r="AD77" s="278">
        <v>0</v>
      </c>
      <c r="AE77" s="1162">
        <f t="shared" si="2"/>
        <v>2496844</v>
      </c>
      <c r="AF77" s="278">
        <v>0</v>
      </c>
      <c r="AG77" s="1090">
        <v>2496844</v>
      </c>
      <c r="AH77" s="613">
        <f t="shared" si="3"/>
        <v>2496844</v>
      </c>
      <c r="AI77" s="115"/>
      <c r="AJ77" s="107"/>
      <c r="AK77" s="107"/>
      <c r="AL77" s="1053"/>
      <c r="AM77" s="341" t="s">
        <v>5180</v>
      </c>
      <c r="AN77" s="524" t="s">
        <v>5203</v>
      </c>
      <c r="AO77" s="615">
        <v>11270</v>
      </c>
      <c r="AP77" s="616">
        <v>41723</v>
      </c>
      <c r="AQ77" s="1064">
        <v>11268</v>
      </c>
      <c r="AR77" s="616">
        <v>41722</v>
      </c>
      <c r="AS77" s="1030"/>
      <c r="AT77" s="165"/>
      <c r="AU77" s="165"/>
      <c r="AV77" s="165"/>
      <c r="AW77" s="165"/>
      <c r="AX77" s="165"/>
      <c r="AY77" s="165"/>
      <c r="AZ77" s="165"/>
      <c r="BA77" s="165"/>
      <c r="BB77" s="165"/>
      <c r="BC77" s="165"/>
      <c r="BD77" s="165"/>
    </row>
    <row r="78" spans="1:56" s="1638" customFormat="1" ht="51" x14ac:dyDescent="0.25">
      <c r="A78" s="611">
        <v>49</v>
      </c>
      <c r="B78" s="498" t="s">
        <v>388</v>
      </c>
      <c r="C78" s="1146" t="s">
        <v>388</v>
      </c>
      <c r="D78" s="1030" t="s">
        <v>690</v>
      </c>
      <c r="E78" s="1030"/>
      <c r="F78" s="39" t="s">
        <v>5204</v>
      </c>
      <c r="G78" s="1064">
        <v>11281</v>
      </c>
      <c r="H78" s="1146" t="s">
        <v>388</v>
      </c>
      <c r="I78" s="1055" t="s">
        <v>5205</v>
      </c>
      <c r="J78" s="1055" t="s">
        <v>5206</v>
      </c>
      <c r="K78" s="1137">
        <v>41731</v>
      </c>
      <c r="L78" s="1090">
        <v>7900</v>
      </c>
      <c r="M78" s="1064">
        <v>11281</v>
      </c>
      <c r="N78" s="1137">
        <v>41731</v>
      </c>
      <c r="O78" s="1137">
        <v>42004</v>
      </c>
      <c r="P78" s="1055" t="s">
        <v>5007</v>
      </c>
      <c r="Q78" s="1055"/>
      <c r="R78" s="1090">
        <v>0</v>
      </c>
      <c r="S78" s="1090">
        <v>0</v>
      </c>
      <c r="T78" s="1055" t="s">
        <v>208</v>
      </c>
      <c r="U78" s="1030" t="s">
        <v>677</v>
      </c>
      <c r="V78" s="1030" t="s">
        <v>677</v>
      </c>
      <c r="W78" s="1030" t="s">
        <v>677</v>
      </c>
      <c r="X78" s="1030" t="s">
        <v>677</v>
      </c>
      <c r="Y78" s="1030"/>
      <c r="Z78" s="1030"/>
      <c r="AA78" s="612">
        <v>0</v>
      </c>
      <c r="AB78" s="612">
        <v>0</v>
      </c>
      <c r="AC78" s="278">
        <v>0</v>
      </c>
      <c r="AD78" s="278">
        <v>0</v>
      </c>
      <c r="AE78" s="1162">
        <f t="shared" si="2"/>
        <v>7900</v>
      </c>
      <c r="AF78" s="278">
        <v>0</v>
      </c>
      <c r="AG78" s="1090">
        <v>7900</v>
      </c>
      <c r="AH78" s="613">
        <f t="shared" si="3"/>
        <v>7900</v>
      </c>
      <c r="AI78" s="115"/>
      <c r="AJ78" s="107"/>
      <c r="AK78" s="107"/>
      <c r="AL78" s="1053"/>
      <c r="AM78" s="341" t="s">
        <v>5180</v>
      </c>
      <c r="AN78" s="524" t="s">
        <v>5181</v>
      </c>
      <c r="AO78" s="615">
        <v>11277</v>
      </c>
      <c r="AP78" s="616">
        <v>41731</v>
      </c>
      <c r="AQ78" s="1064">
        <v>11277</v>
      </c>
      <c r="AR78" s="616">
        <v>41731</v>
      </c>
      <c r="AS78" s="1030"/>
      <c r="AT78" s="165"/>
      <c r="AU78" s="165"/>
      <c r="AV78" s="165"/>
      <c r="AW78" s="165"/>
      <c r="AX78" s="165"/>
      <c r="AY78" s="165"/>
      <c r="AZ78" s="165"/>
      <c r="BA78" s="165"/>
      <c r="BB78" s="165"/>
      <c r="BC78" s="165"/>
      <c r="BD78" s="165"/>
    </row>
    <row r="79" spans="1:56" s="1638" customFormat="1" ht="89.25" x14ac:dyDescent="0.25">
      <c r="A79" s="611">
        <v>50</v>
      </c>
      <c r="B79" s="498" t="s">
        <v>741</v>
      </c>
      <c r="C79" s="1146" t="s">
        <v>741</v>
      </c>
      <c r="D79" s="1030" t="s">
        <v>690</v>
      </c>
      <c r="E79" s="1030"/>
      <c r="F79" s="39" t="s">
        <v>5207</v>
      </c>
      <c r="G79" s="1064">
        <v>11282</v>
      </c>
      <c r="H79" s="1146" t="s">
        <v>741</v>
      </c>
      <c r="I79" s="1055" t="s">
        <v>5208</v>
      </c>
      <c r="J79" s="1055" t="s">
        <v>5209</v>
      </c>
      <c r="K79" s="1137">
        <v>41684</v>
      </c>
      <c r="L79" s="1090">
        <v>7400</v>
      </c>
      <c r="M79" s="1064">
        <v>11282</v>
      </c>
      <c r="N79" s="1137">
        <v>41684</v>
      </c>
      <c r="O79" s="1137">
        <v>41789</v>
      </c>
      <c r="P79" s="1055" t="s">
        <v>5007</v>
      </c>
      <c r="Q79" s="1055"/>
      <c r="R79" s="1090">
        <v>0</v>
      </c>
      <c r="S79" s="1090">
        <v>0</v>
      </c>
      <c r="T79" s="1055" t="s">
        <v>158</v>
      </c>
      <c r="U79" s="1030" t="s">
        <v>677</v>
      </c>
      <c r="V79" s="1030" t="s">
        <v>677</v>
      </c>
      <c r="W79" s="1030" t="s">
        <v>677</v>
      </c>
      <c r="X79" s="1030" t="s">
        <v>677</v>
      </c>
      <c r="Y79" s="1030"/>
      <c r="Z79" s="1030"/>
      <c r="AA79" s="612">
        <v>0</v>
      </c>
      <c r="AB79" s="612">
        <v>0</v>
      </c>
      <c r="AC79" s="278">
        <v>0</v>
      </c>
      <c r="AD79" s="278">
        <v>0</v>
      </c>
      <c r="AE79" s="1162">
        <f t="shared" si="2"/>
        <v>7400</v>
      </c>
      <c r="AF79" s="278">
        <v>0</v>
      </c>
      <c r="AG79" s="1090">
        <v>7400</v>
      </c>
      <c r="AH79" s="613">
        <f t="shared" si="3"/>
        <v>7400</v>
      </c>
      <c r="AI79" s="115"/>
      <c r="AJ79" s="107"/>
      <c r="AK79" s="107"/>
      <c r="AL79" s="1053"/>
      <c r="AM79" s="341" t="s">
        <v>5180</v>
      </c>
      <c r="AN79" s="524" t="s">
        <v>5181</v>
      </c>
      <c r="AO79" s="615">
        <v>11297</v>
      </c>
      <c r="AP79" s="616">
        <v>41766</v>
      </c>
      <c r="AQ79" s="1064">
        <v>11297</v>
      </c>
      <c r="AR79" s="616">
        <v>41766</v>
      </c>
      <c r="AS79" s="1030"/>
      <c r="AT79" s="165"/>
      <c r="AU79" s="165"/>
      <c r="AV79" s="165"/>
      <c r="AW79" s="165"/>
      <c r="AX79" s="165"/>
      <c r="AY79" s="165"/>
      <c r="AZ79" s="165"/>
      <c r="BA79" s="165"/>
      <c r="BB79" s="165"/>
      <c r="BC79" s="165"/>
      <c r="BD79" s="165"/>
    </row>
    <row r="80" spans="1:56" s="1638" customFormat="1" ht="76.5" x14ac:dyDescent="0.25">
      <c r="A80" s="611">
        <v>51</v>
      </c>
      <c r="B80" s="71" t="s">
        <v>5210</v>
      </c>
      <c r="C80" s="1031" t="s">
        <v>5210</v>
      </c>
      <c r="D80" s="1030" t="s">
        <v>690</v>
      </c>
      <c r="E80" s="1030"/>
      <c r="F80" s="1174" t="s">
        <v>5211</v>
      </c>
      <c r="G80" s="1053">
        <v>11309</v>
      </c>
      <c r="H80" s="1031" t="s">
        <v>5210</v>
      </c>
      <c r="I80" s="1049" t="s">
        <v>5212</v>
      </c>
      <c r="J80" s="1030" t="s">
        <v>5213</v>
      </c>
      <c r="K80" s="1054">
        <v>41757</v>
      </c>
      <c r="L80" s="278">
        <v>7875</v>
      </c>
      <c r="M80" s="1053">
        <v>11309</v>
      </c>
      <c r="N80" s="1054">
        <v>41757</v>
      </c>
      <c r="O80" s="1054">
        <v>42004</v>
      </c>
      <c r="P80" s="1030" t="s">
        <v>5007</v>
      </c>
      <c r="Q80" s="1030"/>
      <c r="R80" s="278">
        <v>0</v>
      </c>
      <c r="S80" s="278">
        <v>0</v>
      </c>
      <c r="T80" s="1030" t="s">
        <v>208</v>
      </c>
      <c r="U80" s="1030" t="s">
        <v>677</v>
      </c>
      <c r="V80" s="1030" t="s">
        <v>677</v>
      </c>
      <c r="W80" s="1030" t="s">
        <v>677</v>
      </c>
      <c r="X80" s="1030" t="s">
        <v>677</v>
      </c>
      <c r="Y80" s="1030"/>
      <c r="Z80" s="1030"/>
      <c r="AA80" s="612">
        <v>0</v>
      </c>
      <c r="AB80" s="612">
        <v>0</v>
      </c>
      <c r="AC80" s="278">
        <v>0</v>
      </c>
      <c r="AD80" s="278">
        <v>0</v>
      </c>
      <c r="AE80" s="1162">
        <f t="shared" si="2"/>
        <v>7875</v>
      </c>
      <c r="AF80" s="278">
        <v>0</v>
      </c>
      <c r="AG80" s="278">
        <v>0</v>
      </c>
      <c r="AH80" s="613">
        <f t="shared" si="3"/>
        <v>0</v>
      </c>
      <c r="AI80" s="115"/>
      <c r="AJ80" s="107"/>
      <c r="AK80" s="107"/>
      <c r="AL80" s="1053"/>
      <c r="AM80" s="1092" t="s">
        <v>5180</v>
      </c>
      <c r="AN80" s="107" t="s">
        <v>5181</v>
      </c>
      <c r="AO80" s="340">
        <v>11293</v>
      </c>
      <c r="AP80" s="626">
        <v>41758</v>
      </c>
      <c r="AQ80" s="1053">
        <v>11302</v>
      </c>
      <c r="AR80" s="626">
        <v>41773</v>
      </c>
      <c r="AS80" s="1030"/>
      <c r="AT80" s="1071"/>
      <c r="AU80" s="1071"/>
      <c r="AV80" s="1071"/>
      <c r="AW80" s="1071"/>
      <c r="AX80" s="1071"/>
      <c r="AY80" s="1071"/>
      <c r="AZ80" s="1071"/>
      <c r="BA80" s="1071"/>
      <c r="BB80" s="1071"/>
      <c r="BC80" s="1071"/>
      <c r="BD80" s="1071" t="s">
        <v>5214</v>
      </c>
    </row>
    <row r="81" spans="1:64" s="1638" customFormat="1" ht="51" x14ac:dyDescent="0.25">
      <c r="A81" s="611">
        <v>52</v>
      </c>
      <c r="B81" s="498" t="s">
        <v>747</v>
      </c>
      <c r="C81" s="1146" t="s">
        <v>747</v>
      </c>
      <c r="D81" s="1030" t="s">
        <v>690</v>
      </c>
      <c r="E81" s="1030"/>
      <c r="F81" s="39" t="s">
        <v>5215</v>
      </c>
      <c r="G81" s="1064">
        <v>11318</v>
      </c>
      <c r="H81" s="1146" t="s">
        <v>747</v>
      </c>
      <c r="I81" s="1055" t="s">
        <v>5216</v>
      </c>
      <c r="J81" s="1055" t="s">
        <v>5217</v>
      </c>
      <c r="K81" s="1137">
        <v>41778</v>
      </c>
      <c r="L81" s="1090">
        <v>8000</v>
      </c>
      <c r="M81" s="1064">
        <v>11318</v>
      </c>
      <c r="N81" s="1137">
        <v>41778</v>
      </c>
      <c r="O81" s="1137">
        <v>42004</v>
      </c>
      <c r="P81" s="1055" t="s">
        <v>5007</v>
      </c>
      <c r="Q81" s="1055"/>
      <c r="R81" s="1090">
        <v>0</v>
      </c>
      <c r="S81" s="1090">
        <v>0</v>
      </c>
      <c r="T81" s="1055" t="s">
        <v>316</v>
      </c>
      <c r="U81" s="1030" t="s">
        <v>677</v>
      </c>
      <c r="V81" s="1030" t="s">
        <v>677</v>
      </c>
      <c r="W81" s="1030" t="s">
        <v>677</v>
      </c>
      <c r="X81" s="1030" t="s">
        <v>677</v>
      </c>
      <c r="Y81" s="1030"/>
      <c r="Z81" s="1030"/>
      <c r="AA81" s="612">
        <v>0</v>
      </c>
      <c r="AB81" s="612">
        <v>0</v>
      </c>
      <c r="AC81" s="278">
        <v>0</v>
      </c>
      <c r="AD81" s="278">
        <v>0</v>
      </c>
      <c r="AE81" s="1162">
        <f t="shared" si="2"/>
        <v>8000</v>
      </c>
      <c r="AF81" s="278">
        <v>0</v>
      </c>
      <c r="AG81" s="1090">
        <v>8000</v>
      </c>
      <c r="AH81" s="613">
        <f t="shared" si="3"/>
        <v>8000</v>
      </c>
      <c r="AI81" s="115"/>
      <c r="AJ81" s="107"/>
      <c r="AK81" s="107"/>
      <c r="AL81" s="1053"/>
      <c r="AM81" s="341" t="s">
        <v>5180</v>
      </c>
      <c r="AN81" s="524" t="s">
        <v>5181</v>
      </c>
      <c r="AO81" s="615">
        <v>11306</v>
      </c>
      <c r="AP81" s="616">
        <v>41778</v>
      </c>
      <c r="AQ81" s="1064">
        <v>11306</v>
      </c>
      <c r="AR81" s="616">
        <v>41778</v>
      </c>
      <c r="AS81" s="1030"/>
      <c r="AT81" s="165"/>
      <c r="AU81" s="165"/>
      <c r="AV81" s="165"/>
      <c r="AW81" s="165"/>
      <c r="AX81" s="165"/>
      <c r="AY81" s="165"/>
      <c r="AZ81" s="165"/>
      <c r="BA81" s="165"/>
      <c r="BB81" s="165"/>
      <c r="BC81" s="165"/>
      <c r="BD81" s="165"/>
    </row>
    <row r="82" spans="1:64" s="1638" customFormat="1" ht="76.5" x14ac:dyDescent="0.25">
      <c r="A82" s="611">
        <v>53</v>
      </c>
      <c r="B82" s="498" t="s">
        <v>750</v>
      </c>
      <c r="C82" s="1146" t="s">
        <v>750</v>
      </c>
      <c r="D82" s="1030" t="s">
        <v>690</v>
      </c>
      <c r="E82" s="1030"/>
      <c r="F82" s="39" t="s">
        <v>5218</v>
      </c>
      <c r="G82" s="1064">
        <v>11318</v>
      </c>
      <c r="H82" s="1146" t="s">
        <v>750</v>
      </c>
      <c r="I82" s="1055" t="s">
        <v>5219</v>
      </c>
      <c r="J82" s="1055" t="s">
        <v>1185</v>
      </c>
      <c r="K82" s="1137">
        <v>41778</v>
      </c>
      <c r="L82" s="1090">
        <v>7980</v>
      </c>
      <c r="M82" s="1064">
        <v>11318</v>
      </c>
      <c r="N82" s="1137">
        <v>41778</v>
      </c>
      <c r="O82" s="1137">
        <v>42004</v>
      </c>
      <c r="P82" s="1055" t="s">
        <v>5007</v>
      </c>
      <c r="Q82" s="1055"/>
      <c r="R82" s="1090">
        <v>0</v>
      </c>
      <c r="S82" s="1090">
        <v>0</v>
      </c>
      <c r="T82" s="1055" t="s">
        <v>316</v>
      </c>
      <c r="U82" s="1030" t="s">
        <v>677</v>
      </c>
      <c r="V82" s="1030" t="s">
        <v>677</v>
      </c>
      <c r="W82" s="1030" t="s">
        <v>677</v>
      </c>
      <c r="X82" s="1030" t="s">
        <v>677</v>
      </c>
      <c r="Y82" s="1030"/>
      <c r="Z82" s="1030"/>
      <c r="AA82" s="612">
        <v>0</v>
      </c>
      <c r="AB82" s="612">
        <v>0</v>
      </c>
      <c r="AC82" s="278">
        <v>0</v>
      </c>
      <c r="AD82" s="278">
        <v>0</v>
      </c>
      <c r="AE82" s="1162">
        <f t="shared" si="2"/>
        <v>7980</v>
      </c>
      <c r="AF82" s="278">
        <v>0</v>
      </c>
      <c r="AG82" s="1090">
        <v>6370</v>
      </c>
      <c r="AH82" s="613">
        <f t="shared" si="3"/>
        <v>6370</v>
      </c>
      <c r="AI82" s="115"/>
      <c r="AJ82" s="107"/>
      <c r="AK82" s="107"/>
      <c r="AL82" s="1053"/>
      <c r="AM82" s="341" t="s">
        <v>5180</v>
      </c>
      <c r="AN82" s="524" t="s">
        <v>5181</v>
      </c>
      <c r="AO82" s="615">
        <v>11306</v>
      </c>
      <c r="AP82" s="616">
        <v>41778</v>
      </c>
      <c r="AQ82" s="1064">
        <v>11306</v>
      </c>
      <c r="AR82" s="616">
        <v>41778</v>
      </c>
      <c r="AS82" s="1030"/>
      <c r="AT82" s="165"/>
      <c r="AU82" s="165"/>
      <c r="AV82" s="165"/>
      <c r="AW82" s="165"/>
      <c r="AX82" s="165"/>
      <c r="AY82" s="165"/>
      <c r="AZ82" s="165"/>
      <c r="BA82" s="165"/>
      <c r="BB82" s="165"/>
      <c r="BC82" s="165"/>
      <c r="BD82" s="165"/>
    </row>
    <row r="83" spans="1:64" s="1638" customFormat="1" ht="38.25" x14ac:dyDescent="0.25">
      <c r="A83" s="611">
        <v>54</v>
      </c>
      <c r="B83" s="498" t="s">
        <v>757</v>
      </c>
      <c r="C83" s="1146" t="s">
        <v>757</v>
      </c>
      <c r="D83" s="1030" t="s">
        <v>690</v>
      </c>
      <c r="E83" s="1030"/>
      <c r="F83" s="39" t="s">
        <v>5220</v>
      </c>
      <c r="G83" s="1064">
        <v>11322</v>
      </c>
      <c r="H83" s="1146" t="s">
        <v>757</v>
      </c>
      <c r="I83" s="1055" t="s">
        <v>5221</v>
      </c>
      <c r="J83" s="1055" t="s">
        <v>5222</v>
      </c>
      <c r="K83" s="1137">
        <v>41788</v>
      </c>
      <c r="L83" s="1090">
        <v>3500</v>
      </c>
      <c r="M83" s="1064">
        <v>11322</v>
      </c>
      <c r="N83" s="1137">
        <v>41788</v>
      </c>
      <c r="O83" s="1137">
        <v>41851</v>
      </c>
      <c r="P83" s="1055" t="s">
        <v>5007</v>
      </c>
      <c r="Q83" s="1055"/>
      <c r="R83" s="1090">
        <v>0</v>
      </c>
      <c r="S83" s="1090">
        <v>0</v>
      </c>
      <c r="T83" s="1055" t="s">
        <v>158</v>
      </c>
      <c r="U83" s="1030" t="s">
        <v>677</v>
      </c>
      <c r="V83" s="1030" t="s">
        <v>677</v>
      </c>
      <c r="W83" s="1030" t="s">
        <v>677</v>
      </c>
      <c r="X83" s="1030" t="s">
        <v>677</v>
      </c>
      <c r="Y83" s="1030"/>
      <c r="Z83" s="1030"/>
      <c r="AA83" s="618">
        <v>0</v>
      </c>
      <c r="AB83" s="618">
        <v>0</v>
      </c>
      <c r="AC83" s="1090">
        <v>0</v>
      </c>
      <c r="AD83" s="1090">
        <v>0</v>
      </c>
      <c r="AE83" s="523">
        <f t="shared" si="2"/>
        <v>3500</v>
      </c>
      <c r="AF83" s="1090">
        <v>0</v>
      </c>
      <c r="AG83" s="1090">
        <v>3500</v>
      </c>
      <c r="AH83" s="501">
        <f t="shared" si="3"/>
        <v>3500</v>
      </c>
      <c r="AI83" s="115"/>
      <c r="AJ83" s="107"/>
      <c r="AK83" s="107"/>
      <c r="AL83" s="1053"/>
      <c r="AM83" s="341" t="s">
        <v>5180</v>
      </c>
      <c r="AN83" s="524" t="s">
        <v>5181</v>
      </c>
      <c r="AO83" s="615">
        <v>11321</v>
      </c>
      <c r="AP83" s="616">
        <v>41795</v>
      </c>
      <c r="AQ83" s="1064">
        <v>11321</v>
      </c>
      <c r="AR83" s="616">
        <v>41795</v>
      </c>
      <c r="AS83" s="1030"/>
      <c r="AT83" s="165"/>
      <c r="AU83" s="165"/>
      <c r="AV83" s="165"/>
      <c r="AW83" s="165"/>
      <c r="AX83" s="165"/>
      <c r="AY83" s="165"/>
      <c r="AZ83" s="165"/>
      <c r="BA83" s="165"/>
      <c r="BB83" s="165"/>
      <c r="BC83" s="165"/>
      <c r="BD83" s="165"/>
    </row>
    <row r="84" spans="1:64" s="1638" customFormat="1" ht="51" x14ac:dyDescent="0.25">
      <c r="A84" s="627">
        <v>55</v>
      </c>
      <c r="B84" s="71" t="s">
        <v>765</v>
      </c>
      <c r="C84" s="1031" t="s">
        <v>765</v>
      </c>
      <c r="D84" s="1030" t="s">
        <v>690</v>
      </c>
      <c r="E84" s="1030"/>
      <c r="F84" s="1060" t="s">
        <v>5223</v>
      </c>
      <c r="G84" s="1053">
        <v>11322</v>
      </c>
      <c r="H84" s="1031" t="s">
        <v>765</v>
      </c>
      <c r="I84" s="1030" t="s">
        <v>5224</v>
      </c>
      <c r="J84" s="1030" t="s">
        <v>5225</v>
      </c>
      <c r="K84" s="1054">
        <v>41788</v>
      </c>
      <c r="L84" s="278">
        <v>3750</v>
      </c>
      <c r="M84" s="1053">
        <v>11322</v>
      </c>
      <c r="N84" s="1054">
        <v>41788</v>
      </c>
      <c r="O84" s="1054">
        <v>41851</v>
      </c>
      <c r="P84" s="1030" t="s">
        <v>5007</v>
      </c>
      <c r="Q84" s="1030"/>
      <c r="R84" s="278">
        <v>0</v>
      </c>
      <c r="S84" s="278">
        <v>0</v>
      </c>
      <c r="T84" s="1030" t="s">
        <v>208</v>
      </c>
      <c r="U84" s="1030" t="s">
        <v>677</v>
      </c>
      <c r="V84" s="1030" t="s">
        <v>677</v>
      </c>
      <c r="W84" s="1030" t="s">
        <v>677</v>
      </c>
      <c r="X84" s="1030" t="s">
        <v>677</v>
      </c>
      <c r="Y84" s="1030"/>
      <c r="Z84" s="1030"/>
      <c r="AA84" s="612">
        <v>0</v>
      </c>
      <c r="AB84" s="612">
        <v>0</v>
      </c>
      <c r="AC84" s="278">
        <v>0</v>
      </c>
      <c r="AD84" s="278">
        <v>0</v>
      </c>
      <c r="AE84" s="1162">
        <f>L84-AD84+AC84</f>
        <v>3750</v>
      </c>
      <c r="AF84" s="278">
        <v>0</v>
      </c>
      <c r="AG84" s="278">
        <v>0</v>
      </c>
      <c r="AH84" s="613">
        <f t="shared" si="3"/>
        <v>0</v>
      </c>
      <c r="AI84" s="115"/>
      <c r="AJ84" s="107"/>
      <c r="AK84" s="107"/>
      <c r="AL84" s="1053"/>
      <c r="AM84" s="1092" t="s">
        <v>5180</v>
      </c>
      <c r="AN84" s="107" t="s">
        <v>5181</v>
      </c>
      <c r="AO84" s="340">
        <v>11321</v>
      </c>
      <c r="AP84" s="626">
        <v>41795</v>
      </c>
      <c r="AQ84" s="1053">
        <v>11321</v>
      </c>
      <c r="AR84" s="626">
        <v>41795</v>
      </c>
      <c r="AS84" s="1030"/>
      <c r="AT84" s="1071"/>
      <c r="AU84" s="1071"/>
      <c r="AV84" s="1071"/>
      <c r="AW84" s="1071"/>
      <c r="AX84" s="1071"/>
      <c r="AY84" s="1071"/>
      <c r="AZ84" s="1071"/>
      <c r="BA84" s="1071"/>
      <c r="BB84" s="1071"/>
      <c r="BC84" s="1071"/>
      <c r="BD84" s="1071" t="s">
        <v>5214</v>
      </c>
      <c r="BE84" s="1642"/>
      <c r="BF84" s="1642"/>
      <c r="BG84" s="1642"/>
      <c r="BH84" s="1642"/>
      <c r="BI84" s="1642"/>
      <c r="BJ84" s="1642"/>
      <c r="BK84" s="1642"/>
      <c r="BL84" s="1642"/>
    </row>
    <row r="85" spans="1:64" s="1638" customFormat="1" ht="51" x14ac:dyDescent="0.25">
      <c r="A85" s="611">
        <v>56</v>
      </c>
      <c r="B85" s="498" t="s">
        <v>777</v>
      </c>
      <c r="C85" s="1146" t="s">
        <v>777</v>
      </c>
      <c r="D85" s="1030" t="s">
        <v>690</v>
      </c>
      <c r="E85" s="1030"/>
      <c r="F85" s="39" t="s">
        <v>5226</v>
      </c>
      <c r="G85" s="1064">
        <v>11336</v>
      </c>
      <c r="H85" s="1146" t="s">
        <v>777</v>
      </c>
      <c r="I85" s="1055" t="s">
        <v>5227</v>
      </c>
      <c r="J85" s="1055" t="s">
        <v>5228</v>
      </c>
      <c r="K85" s="1137">
        <v>41806</v>
      </c>
      <c r="L85" s="1090">
        <v>6500</v>
      </c>
      <c r="M85" s="1064">
        <v>11336</v>
      </c>
      <c r="N85" s="1137">
        <v>41806</v>
      </c>
      <c r="O85" s="1137">
        <v>42004</v>
      </c>
      <c r="P85" s="1055" t="s">
        <v>5007</v>
      </c>
      <c r="Q85" s="1055"/>
      <c r="R85" s="1090">
        <v>0</v>
      </c>
      <c r="S85" s="1090">
        <v>0</v>
      </c>
      <c r="T85" s="1055" t="s">
        <v>5229</v>
      </c>
      <c r="U85" s="1030" t="s">
        <v>677</v>
      </c>
      <c r="V85" s="1030" t="s">
        <v>677</v>
      </c>
      <c r="W85" s="1030" t="s">
        <v>677</v>
      </c>
      <c r="X85" s="1030" t="s">
        <v>677</v>
      </c>
      <c r="Y85" s="1030"/>
      <c r="Z85" s="1030"/>
      <c r="AA85" s="612">
        <v>0</v>
      </c>
      <c r="AB85" s="612">
        <v>0</v>
      </c>
      <c r="AC85" s="278">
        <v>0</v>
      </c>
      <c r="AD85" s="278">
        <v>0</v>
      </c>
      <c r="AE85" s="1162">
        <f>L85-AD85+AC85</f>
        <v>6500</v>
      </c>
      <c r="AF85" s="278">
        <v>0</v>
      </c>
      <c r="AG85" s="1090">
        <v>6500</v>
      </c>
      <c r="AH85" s="613">
        <f t="shared" si="3"/>
        <v>6500</v>
      </c>
      <c r="AI85" s="115"/>
      <c r="AJ85" s="107"/>
      <c r="AK85" s="107"/>
      <c r="AL85" s="1053"/>
      <c r="AM85" s="341" t="s">
        <v>5180</v>
      </c>
      <c r="AN85" s="524" t="s">
        <v>5181</v>
      </c>
      <c r="AO85" s="615">
        <v>11334</v>
      </c>
      <c r="AP85" s="616">
        <v>41815</v>
      </c>
      <c r="AQ85" s="1064">
        <v>11334</v>
      </c>
      <c r="AR85" s="616">
        <v>41815</v>
      </c>
      <c r="AS85" s="1030"/>
      <c r="AT85" s="165"/>
      <c r="AU85" s="165"/>
      <c r="AV85" s="165"/>
      <c r="AW85" s="165"/>
      <c r="AX85" s="165"/>
      <c r="AY85" s="165"/>
      <c r="AZ85" s="165"/>
      <c r="BA85" s="165"/>
      <c r="BB85" s="165"/>
      <c r="BC85" s="165"/>
      <c r="BD85" s="165"/>
    </row>
    <row r="86" spans="1:64" s="240" customFormat="1" ht="25.5" x14ac:dyDescent="0.25">
      <c r="A86" s="628">
        <v>57</v>
      </c>
      <c r="B86" s="71" t="s">
        <v>780</v>
      </c>
      <c r="C86" s="1031" t="s">
        <v>780</v>
      </c>
      <c r="D86" s="1030" t="s">
        <v>690</v>
      </c>
      <c r="E86" s="1030"/>
      <c r="F86" s="95" t="s">
        <v>5230</v>
      </c>
      <c r="G86" s="1053"/>
      <c r="H86" s="1031" t="s">
        <v>780</v>
      </c>
      <c r="I86" s="1049" t="s">
        <v>5230</v>
      </c>
      <c r="J86" s="1071"/>
      <c r="K86" s="1054"/>
      <c r="L86" s="638">
        <v>0</v>
      </c>
      <c r="M86" s="1053"/>
      <c r="N86" s="1054"/>
      <c r="O86" s="1054"/>
      <c r="P86" s="1030"/>
      <c r="Q86" s="1030"/>
      <c r="R86" s="278">
        <v>0</v>
      </c>
      <c r="S86" s="278">
        <v>0</v>
      </c>
      <c r="T86" s="1030"/>
      <c r="U86" s="1030" t="s">
        <v>677</v>
      </c>
      <c r="V86" s="1030" t="s">
        <v>677</v>
      </c>
      <c r="W86" s="1030" t="s">
        <v>677</v>
      </c>
      <c r="X86" s="1030" t="s">
        <v>677</v>
      </c>
      <c r="Y86" s="1030"/>
      <c r="Z86" s="1030"/>
      <c r="AA86" s="612">
        <v>0</v>
      </c>
      <c r="AB86" s="612">
        <v>0</v>
      </c>
      <c r="AC86" s="278">
        <v>0</v>
      </c>
      <c r="AD86" s="278">
        <v>0</v>
      </c>
      <c r="AE86" s="613">
        <f>L86-AD86+AC86</f>
        <v>0</v>
      </c>
      <c r="AF86" s="278">
        <v>0</v>
      </c>
      <c r="AG86" s="278">
        <v>0</v>
      </c>
      <c r="AH86" s="613">
        <f t="shared" si="3"/>
        <v>0</v>
      </c>
      <c r="AI86" s="115"/>
      <c r="AJ86" s="107"/>
      <c r="AK86" s="107"/>
      <c r="AL86" s="1053"/>
      <c r="AM86" s="1092"/>
      <c r="AN86" s="107"/>
      <c r="AO86" s="340"/>
      <c r="AP86" s="626"/>
      <c r="AQ86" s="1053"/>
      <c r="AR86" s="616"/>
      <c r="AS86" s="1030"/>
      <c r="AT86" s="165"/>
      <c r="AU86" s="165"/>
      <c r="AV86" s="165"/>
      <c r="AW86" s="165"/>
      <c r="AX86" s="165"/>
      <c r="AY86" s="165"/>
      <c r="AZ86" s="165"/>
      <c r="BA86" s="165"/>
      <c r="BB86" s="165"/>
      <c r="BC86" s="165"/>
      <c r="BD86" s="165"/>
    </row>
    <row r="87" spans="1:64" s="1638" customFormat="1" ht="25.5" x14ac:dyDescent="0.25">
      <c r="A87" s="611">
        <v>58</v>
      </c>
      <c r="B87" s="71" t="s">
        <v>787</v>
      </c>
      <c r="C87" s="1031" t="s">
        <v>787</v>
      </c>
      <c r="D87" s="1030" t="s">
        <v>690</v>
      </c>
      <c r="E87" s="1030"/>
      <c r="F87" s="95" t="s">
        <v>5230</v>
      </c>
      <c r="G87" s="1053"/>
      <c r="H87" s="1031" t="s">
        <v>787</v>
      </c>
      <c r="I87" s="1049" t="s">
        <v>5230</v>
      </c>
      <c r="J87" s="1030"/>
      <c r="K87" s="1054"/>
      <c r="L87" s="638">
        <v>0</v>
      </c>
      <c r="M87" s="1053"/>
      <c r="N87" s="1054"/>
      <c r="O87" s="1054"/>
      <c r="P87" s="1030"/>
      <c r="Q87" s="1030"/>
      <c r="R87" s="278">
        <v>0</v>
      </c>
      <c r="S87" s="278">
        <v>0</v>
      </c>
      <c r="T87" s="1030"/>
      <c r="U87" s="1030" t="s">
        <v>677</v>
      </c>
      <c r="V87" s="1030" t="s">
        <v>677</v>
      </c>
      <c r="W87" s="1030" t="s">
        <v>677</v>
      </c>
      <c r="X87" s="1030" t="s">
        <v>677</v>
      </c>
      <c r="Y87" s="1030"/>
      <c r="Z87" s="1030"/>
      <c r="AA87" s="612">
        <v>0</v>
      </c>
      <c r="AB87" s="612">
        <v>0</v>
      </c>
      <c r="AC87" s="278">
        <v>0</v>
      </c>
      <c r="AD87" s="278">
        <v>0</v>
      </c>
      <c r="AE87" s="613">
        <f t="shared" ref="AE87:AE94" si="5">L87-AD87+AC87</f>
        <v>0</v>
      </c>
      <c r="AF87" s="278">
        <v>0</v>
      </c>
      <c r="AG87" s="278">
        <v>0</v>
      </c>
      <c r="AH87" s="613">
        <f t="shared" si="3"/>
        <v>0</v>
      </c>
      <c r="AI87" s="115"/>
      <c r="AJ87" s="107"/>
      <c r="AK87" s="107"/>
      <c r="AL87" s="1053"/>
      <c r="AM87" s="1092"/>
      <c r="AN87" s="107"/>
      <c r="AO87" s="340"/>
      <c r="AP87" s="626"/>
      <c r="AQ87" s="1053"/>
      <c r="AR87" s="616"/>
      <c r="AS87" s="1030"/>
      <c r="AT87" s="165"/>
      <c r="AU87" s="165"/>
      <c r="AV87" s="165"/>
      <c r="AW87" s="165"/>
      <c r="AX87" s="165"/>
      <c r="AY87" s="165"/>
      <c r="AZ87" s="165"/>
      <c r="BA87" s="165"/>
      <c r="BB87" s="165"/>
      <c r="BC87" s="165"/>
      <c r="BD87" s="165"/>
    </row>
    <row r="88" spans="1:64" s="1638" customFormat="1" ht="25.5" x14ac:dyDescent="0.25">
      <c r="A88" s="611">
        <v>59</v>
      </c>
      <c r="B88" s="71" t="s">
        <v>792</v>
      </c>
      <c r="C88" s="1031" t="s">
        <v>792</v>
      </c>
      <c r="D88" s="1030" t="s">
        <v>690</v>
      </c>
      <c r="E88" s="1030"/>
      <c r="F88" s="95" t="s">
        <v>5230</v>
      </c>
      <c r="G88" s="1053"/>
      <c r="H88" s="1031" t="s">
        <v>792</v>
      </c>
      <c r="I88" s="1049" t="s">
        <v>5230</v>
      </c>
      <c r="J88" s="1030"/>
      <c r="K88" s="1054"/>
      <c r="L88" s="638">
        <v>0</v>
      </c>
      <c r="M88" s="1053"/>
      <c r="N88" s="1054"/>
      <c r="O88" s="1054"/>
      <c r="P88" s="1030"/>
      <c r="Q88" s="1030"/>
      <c r="R88" s="278">
        <v>0</v>
      </c>
      <c r="S88" s="278">
        <v>0</v>
      </c>
      <c r="T88" s="1030"/>
      <c r="U88" s="1030" t="s">
        <v>677</v>
      </c>
      <c r="V88" s="1030" t="s">
        <v>677</v>
      </c>
      <c r="W88" s="1030" t="s">
        <v>677</v>
      </c>
      <c r="X88" s="1030" t="s">
        <v>677</v>
      </c>
      <c r="Y88" s="1030"/>
      <c r="Z88" s="1030"/>
      <c r="AA88" s="612">
        <v>0</v>
      </c>
      <c r="AB88" s="612">
        <v>0</v>
      </c>
      <c r="AC88" s="278">
        <v>0</v>
      </c>
      <c r="AD88" s="278">
        <v>0</v>
      </c>
      <c r="AE88" s="613">
        <f t="shared" si="5"/>
        <v>0</v>
      </c>
      <c r="AF88" s="278">
        <v>0</v>
      </c>
      <c r="AG88" s="278">
        <v>0</v>
      </c>
      <c r="AH88" s="613">
        <f t="shared" si="3"/>
        <v>0</v>
      </c>
      <c r="AI88" s="115"/>
      <c r="AJ88" s="107"/>
      <c r="AK88" s="107"/>
      <c r="AL88" s="1053"/>
      <c r="AM88" s="1092"/>
      <c r="AN88" s="107"/>
      <c r="AO88" s="340"/>
      <c r="AP88" s="626"/>
      <c r="AQ88" s="1053"/>
      <c r="AR88" s="616"/>
      <c r="AS88" s="1030"/>
      <c r="AT88" s="165"/>
      <c r="AU88" s="165"/>
      <c r="AV88" s="165"/>
      <c r="AW88" s="165"/>
      <c r="AX88" s="165"/>
      <c r="AY88" s="165"/>
      <c r="AZ88" s="165"/>
      <c r="BA88" s="165"/>
      <c r="BB88" s="165"/>
      <c r="BC88" s="165"/>
      <c r="BD88" s="165"/>
    </row>
    <row r="89" spans="1:64" s="1646" customFormat="1" ht="38.25" x14ac:dyDescent="0.25">
      <c r="A89" s="611">
        <v>60</v>
      </c>
      <c r="B89" s="498" t="s">
        <v>795</v>
      </c>
      <c r="C89" s="1146" t="s">
        <v>795</v>
      </c>
      <c r="D89" s="1030" t="s">
        <v>690</v>
      </c>
      <c r="E89" s="1030"/>
      <c r="F89" s="630" t="s">
        <v>5231</v>
      </c>
      <c r="G89" s="1064">
        <v>11391</v>
      </c>
      <c r="H89" s="1146" t="s">
        <v>795</v>
      </c>
      <c r="I89" s="1055" t="s">
        <v>5232</v>
      </c>
      <c r="J89" s="1055" t="s">
        <v>5233</v>
      </c>
      <c r="K89" s="1137">
        <v>41800</v>
      </c>
      <c r="L89" s="1090">
        <v>7900</v>
      </c>
      <c r="M89" s="1064">
        <v>11391</v>
      </c>
      <c r="N89" s="1137">
        <v>41830</v>
      </c>
      <c r="O89" s="1137">
        <v>42004</v>
      </c>
      <c r="P89" s="1055" t="s">
        <v>5234</v>
      </c>
      <c r="Q89" s="1055"/>
      <c r="R89" s="1090">
        <v>0</v>
      </c>
      <c r="S89" s="1090">
        <v>0</v>
      </c>
      <c r="T89" s="1055" t="s">
        <v>408</v>
      </c>
      <c r="U89" s="1030" t="s">
        <v>677</v>
      </c>
      <c r="V89" s="1030" t="s">
        <v>677</v>
      </c>
      <c r="W89" s="1030" t="s">
        <v>677</v>
      </c>
      <c r="X89" s="1030" t="s">
        <v>677</v>
      </c>
      <c r="Y89" s="1030"/>
      <c r="Z89" s="1030"/>
      <c r="AA89" s="612">
        <v>0</v>
      </c>
      <c r="AB89" s="612">
        <v>0</v>
      </c>
      <c r="AC89" s="278">
        <v>0</v>
      </c>
      <c r="AD89" s="278">
        <v>0</v>
      </c>
      <c r="AE89" s="613">
        <f t="shared" si="5"/>
        <v>7900</v>
      </c>
      <c r="AF89" s="278">
        <v>0</v>
      </c>
      <c r="AG89" s="1090">
        <v>7900</v>
      </c>
      <c r="AH89" s="613">
        <f t="shared" si="3"/>
        <v>7900</v>
      </c>
      <c r="AI89" s="115"/>
      <c r="AJ89" s="107"/>
      <c r="AK89" s="107"/>
      <c r="AL89" s="1053"/>
      <c r="AM89" s="631" t="s">
        <v>5180</v>
      </c>
      <c r="AN89" s="632" t="s">
        <v>5181</v>
      </c>
      <c r="AO89" s="633">
        <v>11390</v>
      </c>
      <c r="AP89" s="634">
        <v>41893</v>
      </c>
      <c r="AQ89" s="1147">
        <v>11390</v>
      </c>
      <c r="AR89" s="634">
        <v>41893</v>
      </c>
      <c r="AS89" s="1030"/>
      <c r="AT89" s="165"/>
      <c r="AU89" s="165"/>
      <c r="AV89" s="165"/>
      <c r="AW89" s="165"/>
      <c r="AX89" s="165"/>
      <c r="AY89" s="165"/>
      <c r="AZ89" s="165"/>
      <c r="BA89" s="165"/>
      <c r="BB89" s="165"/>
      <c r="BC89" s="165"/>
      <c r="BD89" s="165"/>
    </row>
    <row r="90" spans="1:64" s="1646" customFormat="1" ht="38.25" x14ac:dyDescent="0.25">
      <c r="A90" s="611">
        <v>61</v>
      </c>
      <c r="B90" s="498" t="s">
        <v>798</v>
      </c>
      <c r="C90" s="1146" t="s">
        <v>798</v>
      </c>
      <c r="D90" s="1030" t="s">
        <v>690</v>
      </c>
      <c r="E90" s="1055"/>
      <c r="F90" s="630" t="s">
        <v>5235</v>
      </c>
      <c r="G90" s="1064">
        <v>11401</v>
      </c>
      <c r="H90" s="1146" t="s">
        <v>798</v>
      </c>
      <c r="I90" s="1055" t="s">
        <v>5201</v>
      </c>
      <c r="J90" s="1055" t="s">
        <v>5202</v>
      </c>
      <c r="K90" s="1137">
        <v>41724</v>
      </c>
      <c r="L90" s="1090">
        <v>1997956</v>
      </c>
      <c r="M90" s="1064">
        <v>11401</v>
      </c>
      <c r="N90" s="1137">
        <v>41908</v>
      </c>
      <c r="O90" s="1137">
        <v>42003</v>
      </c>
      <c r="P90" s="1055" t="s">
        <v>5234</v>
      </c>
      <c r="Q90" s="1055"/>
      <c r="R90" s="1090">
        <v>0</v>
      </c>
      <c r="S90" s="1090">
        <v>0</v>
      </c>
      <c r="T90" s="1055" t="s">
        <v>1438</v>
      </c>
      <c r="U90" s="1030" t="s">
        <v>677</v>
      </c>
      <c r="V90" s="1030" t="s">
        <v>677</v>
      </c>
      <c r="W90" s="1030" t="s">
        <v>677</v>
      </c>
      <c r="X90" s="1030" t="s">
        <v>677</v>
      </c>
      <c r="Y90" s="1030"/>
      <c r="Z90" s="1030"/>
      <c r="AA90" s="612">
        <v>0</v>
      </c>
      <c r="AB90" s="612">
        <v>0</v>
      </c>
      <c r="AC90" s="278">
        <v>0</v>
      </c>
      <c r="AD90" s="278">
        <v>0</v>
      </c>
      <c r="AE90" s="613">
        <f t="shared" si="5"/>
        <v>1997956</v>
      </c>
      <c r="AF90" s="278">
        <v>0</v>
      </c>
      <c r="AG90" s="1090">
        <v>843466</v>
      </c>
      <c r="AH90" s="613">
        <f t="shared" si="3"/>
        <v>843466</v>
      </c>
      <c r="AI90" s="619"/>
      <c r="AJ90" s="1064"/>
      <c r="AK90" s="614"/>
      <c r="AL90" s="1064"/>
      <c r="AM90" s="631" t="s">
        <v>5180</v>
      </c>
      <c r="AN90" s="635" t="s">
        <v>5236</v>
      </c>
      <c r="AO90" s="615">
        <v>11396</v>
      </c>
      <c r="AP90" s="616">
        <v>41901</v>
      </c>
      <c r="AQ90" s="1064">
        <v>11396</v>
      </c>
      <c r="AR90" s="616">
        <v>41901</v>
      </c>
      <c r="AS90" s="1030"/>
      <c r="AT90" s="165"/>
      <c r="AU90" s="165"/>
      <c r="AV90" s="165"/>
      <c r="AW90" s="165"/>
      <c r="AX90" s="165"/>
      <c r="AY90" s="165"/>
      <c r="AZ90" s="165"/>
      <c r="BA90" s="165"/>
      <c r="BB90" s="165"/>
      <c r="BC90" s="165"/>
      <c r="BD90" s="165"/>
    </row>
    <row r="91" spans="1:64" s="1646" customFormat="1" ht="63.75" x14ac:dyDescent="0.25">
      <c r="A91" s="611">
        <v>62</v>
      </c>
      <c r="B91" s="636" t="s">
        <v>804</v>
      </c>
      <c r="C91" s="1133" t="s">
        <v>804</v>
      </c>
      <c r="D91" s="1030" t="s">
        <v>690</v>
      </c>
      <c r="E91" s="1647"/>
      <c r="F91" s="510" t="s">
        <v>5237</v>
      </c>
      <c r="G91" s="1145">
        <v>11418</v>
      </c>
      <c r="H91" s="1133" t="s">
        <v>804</v>
      </c>
      <c r="I91" s="1133" t="s">
        <v>5238</v>
      </c>
      <c r="J91" s="1133" t="s">
        <v>5239</v>
      </c>
      <c r="K91" s="1134">
        <v>41907</v>
      </c>
      <c r="L91" s="1140">
        <v>7800</v>
      </c>
      <c r="M91" s="1145">
        <v>11418</v>
      </c>
      <c r="N91" s="1134">
        <v>41907</v>
      </c>
      <c r="O91" s="1137">
        <v>42004</v>
      </c>
      <c r="P91" s="1133" t="s">
        <v>5234</v>
      </c>
      <c r="Q91" s="1648"/>
      <c r="R91" s="1649">
        <v>0</v>
      </c>
      <c r="S91" s="1649">
        <v>0</v>
      </c>
      <c r="T91" s="1133" t="s">
        <v>158</v>
      </c>
      <c r="U91" s="1030" t="s">
        <v>677</v>
      </c>
      <c r="V91" s="1030" t="s">
        <v>677</v>
      </c>
      <c r="W91" s="1030" t="s">
        <v>677</v>
      </c>
      <c r="X91" s="1030" t="s">
        <v>677</v>
      </c>
      <c r="Y91" s="1647"/>
      <c r="Z91" s="1647"/>
      <c r="AA91" s="612">
        <v>0</v>
      </c>
      <c r="AB91" s="612">
        <v>0</v>
      </c>
      <c r="AC91" s="278">
        <v>0</v>
      </c>
      <c r="AD91" s="278">
        <v>0</v>
      </c>
      <c r="AE91" s="613">
        <f t="shared" si="5"/>
        <v>7800</v>
      </c>
      <c r="AF91" s="278">
        <v>0</v>
      </c>
      <c r="AG91" s="1090">
        <v>7800</v>
      </c>
      <c r="AH91" s="613">
        <f t="shared" si="3"/>
        <v>7800</v>
      </c>
      <c r="AI91" s="1647"/>
      <c r="AJ91" s="1647"/>
      <c r="AK91" s="1647"/>
      <c r="AL91" s="1647"/>
      <c r="AM91" s="631" t="s">
        <v>5180</v>
      </c>
      <c r="AN91" s="632" t="s">
        <v>5181</v>
      </c>
      <c r="AO91" s="615">
        <v>11412</v>
      </c>
      <c r="AP91" s="616">
        <v>41864</v>
      </c>
      <c r="AQ91" s="1064">
        <v>11412</v>
      </c>
      <c r="AR91" s="616">
        <v>41864</v>
      </c>
      <c r="AS91" s="1647"/>
      <c r="AT91" s="1647"/>
      <c r="AU91" s="1647"/>
      <c r="AV91" s="1647"/>
      <c r="AW91" s="1647"/>
      <c r="AX91" s="1647"/>
      <c r="AY91" s="1647"/>
      <c r="AZ91" s="1647"/>
      <c r="BA91" s="1647"/>
      <c r="BB91" s="1647"/>
      <c r="BC91" s="1647"/>
      <c r="BD91" s="1647"/>
    </row>
    <row r="92" spans="1:64" s="1646" customFormat="1" ht="25.5" x14ac:dyDescent="0.25">
      <c r="A92" s="611">
        <v>63</v>
      </c>
      <c r="B92" s="637" t="s">
        <v>807</v>
      </c>
      <c r="C92" s="1071" t="s">
        <v>807</v>
      </c>
      <c r="D92" s="1030" t="s">
        <v>690</v>
      </c>
      <c r="E92" s="1647"/>
      <c r="F92" s="95" t="s">
        <v>5230</v>
      </c>
      <c r="G92" s="100"/>
      <c r="H92" s="1071" t="s">
        <v>807</v>
      </c>
      <c r="I92" s="95" t="s">
        <v>5230</v>
      </c>
      <c r="J92" s="1071"/>
      <c r="K92" s="101"/>
      <c r="L92" s="638">
        <v>0</v>
      </c>
      <c r="M92" s="100"/>
      <c r="N92" s="101"/>
      <c r="O92" s="1054"/>
      <c r="P92" s="1071"/>
      <c r="Q92" s="1650"/>
      <c r="R92" s="1651">
        <v>0</v>
      </c>
      <c r="S92" s="1651">
        <v>0</v>
      </c>
      <c r="T92" s="1071"/>
      <c r="U92" s="1030" t="s">
        <v>677</v>
      </c>
      <c r="V92" s="1030" t="s">
        <v>677</v>
      </c>
      <c r="W92" s="1030" t="s">
        <v>677</v>
      </c>
      <c r="X92" s="1030" t="s">
        <v>677</v>
      </c>
      <c r="Y92" s="1650"/>
      <c r="Z92" s="1650"/>
      <c r="AA92" s="612">
        <v>0</v>
      </c>
      <c r="AB92" s="612">
        <v>0</v>
      </c>
      <c r="AC92" s="278">
        <v>0</v>
      </c>
      <c r="AD92" s="278">
        <v>0</v>
      </c>
      <c r="AE92" s="613">
        <f t="shared" si="5"/>
        <v>0</v>
      </c>
      <c r="AF92" s="278">
        <v>0</v>
      </c>
      <c r="AG92" s="1090">
        <v>0</v>
      </c>
      <c r="AH92" s="613">
        <f t="shared" si="3"/>
        <v>0</v>
      </c>
      <c r="AI92" s="1647"/>
      <c r="AJ92" s="1647"/>
      <c r="AK92" s="1647"/>
      <c r="AL92" s="1647"/>
      <c r="AM92" s="1648"/>
      <c r="AN92" s="1648"/>
      <c r="AO92" s="1648"/>
      <c r="AP92" s="1648"/>
      <c r="AQ92" s="1652"/>
      <c r="AR92" s="1648"/>
      <c r="AS92" s="1647"/>
      <c r="AT92" s="1647"/>
      <c r="AU92" s="1647"/>
      <c r="AV92" s="1647"/>
      <c r="AW92" s="1647"/>
      <c r="AX92" s="1647"/>
      <c r="AY92" s="1647"/>
      <c r="AZ92" s="1647"/>
      <c r="BA92" s="1647"/>
      <c r="BB92" s="1647"/>
      <c r="BC92" s="1647"/>
      <c r="BD92" s="1647"/>
    </row>
    <row r="93" spans="1:64" s="1646" customFormat="1" ht="25.5" x14ac:dyDescent="0.25">
      <c r="A93" s="611">
        <v>64</v>
      </c>
      <c r="B93" s="637" t="s">
        <v>810</v>
      </c>
      <c r="C93" s="1071" t="s">
        <v>810</v>
      </c>
      <c r="D93" s="1030" t="s">
        <v>690</v>
      </c>
      <c r="E93" s="1647"/>
      <c r="F93" s="95" t="s">
        <v>5230</v>
      </c>
      <c r="G93" s="100"/>
      <c r="H93" s="1071" t="s">
        <v>810</v>
      </c>
      <c r="I93" s="95" t="s">
        <v>5230</v>
      </c>
      <c r="J93" s="1071"/>
      <c r="K93" s="101"/>
      <c r="L93" s="638">
        <v>0</v>
      </c>
      <c r="M93" s="100"/>
      <c r="N93" s="101"/>
      <c r="O93" s="1054"/>
      <c r="P93" s="1071"/>
      <c r="Q93" s="1650"/>
      <c r="R93" s="1651">
        <v>0</v>
      </c>
      <c r="S93" s="1651">
        <v>0</v>
      </c>
      <c r="T93" s="1071"/>
      <c r="U93" s="1030" t="s">
        <v>677</v>
      </c>
      <c r="V93" s="1030" t="s">
        <v>677</v>
      </c>
      <c r="W93" s="1030" t="s">
        <v>677</v>
      </c>
      <c r="X93" s="1030" t="s">
        <v>677</v>
      </c>
      <c r="Y93" s="1650"/>
      <c r="Z93" s="1650"/>
      <c r="AA93" s="612">
        <v>0</v>
      </c>
      <c r="AB93" s="612">
        <v>0</v>
      </c>
      <c r="AC93" s="278">
        <v>0</v>
      </c>
      <c r="AD93" s="278">
        <v>0</v>
      </c>
      <c r="AE93" s="613">
        <f t="shared" si="5"/>
        <v>0</v>
      </c>
      <c r="AF93" s="278">
        <v>0</v>
      </c>
      <c r="AG93" s="1090">
        <v>0</v>
      </c>
      <c r="AH93" s="613">
        <f t="shared" ref="AH93:AH94" si="6">AF93+AG93</f>
        <v>0</v>
      </c>
      <c r="AI93" s="1647"/>
      <c r="AJ93" s="1647"/>
      <c r="AK93" s="1647"/>
      <c r="AL93" s="1647"/>
      <c r="AM93" s="1648"/>
      <c r="AN93" s="1648"/>
      <c r="AO93" s="1648"/>
      <c r="AP93" s="1648"/>
      <c r="AQ93" s="1652"/>
      <c r="AR93" s="1648"/>
      <c r="AS93" s="1647"/>
      <c r="AT93" s="1647"/>
      <c r="AU93" s="1647"/>
      <c r="AV93" s="1647"/>
      <c r="AW93" s="1647"/>
      <c r="AX93" s="1647"/>
      <c r="AY93" s="1647"/>
      <c r="AZ93" s="1647"/>
      <c r="BA93" s="1647"/>
      <c r="BB93" s="1647"/>
      <c r="BC93" s="1647"/>
      <c r="BD93" s="1647"/>
    </row>
    <row r="94" spans="1:64" s="1646" customFormat="1" ht="90" thickBot="1" x14ac:dyDescent="0.3">
      <c r="A94" s="1628">
        <v>65</v>
      </c>
      <c r="B94" s="1516" t="s">
        <v>811</v>
      </c>
      <c r="C94" s="1151" t="s">
        <v>811</v>
      </c>
      <c r="D94" s="1040" t="s">
        <v>690</v>
      </c>
      <c r="E94" s="1653"/>
      <c r="F94" s="1123" t="s">
        <v>5240</v>
      </c>
      <c r="G94" s="1629">
        <v>11445</v>
      </c>
      <c r="H94" s="1151" t="s">
        <v>811</v>
      </c>
      <c r="I94" s="1151" t="s">
        <v>5013</v>
      </c>
      <c r="J94" s="1151" t="s">
        <v>3965</v>
      </c>
      <c r="K94" s="1154">
        <v>41968</v>
      </c>
      <c r="L94" s="1630">
        <v>7150</v>
      </c>
      <c r="M94" s="1629">
        <v>11445</v>
      </c>
      <c r="N94" s="1154">
        <v>41970</v>
      </c>
      <c r="O94" s="1004">
        <v>42004</v>
      </c>
      <c r="P94" s="1151" t="s">
        <v>5234</v>
      </c>
      <c r="Q94" s="1654"/>
      <c r="R94" s="1655">
        <v>0</v>
      </c>
      <c r="S94" s="1655">
        <v>0</v>
      </c>
      <c r="T94" s="1151" t="s">
        <v>5241</v>
      </c>
      <c r="U94" s="1040" t="s">
        <v>677</v>
      </c>
      <c r="V94" s="1040" t="s">
        <v>677</v>
      </c>
      <c r="W94" s="1040" t="s">
        <v>677</v>
      </c>
      <c r="X94" s="1040" t="s">
        <v>677</v>
      </c>
      <c r="Y94" s="1653"/>
      <c r="Z94" s="1653"/>
      <c r="AA94" s="1631">
        <v>0</v>
      </c>
      <c r="AB94" s="1631">
        <v>0</v>
      </c>
      <c r="AC94" s="1120">
        <v>0</v>
      </c>
      <c r="AD94" s="1120">
        <v>0</v>
      </c>
      <c r="AE94" s="1391">
        <f t="shared" si="5"/>
        <v>7150</v>
      </c>
      <c r="AF94" s="1120">
        <v>0</v>
      </c>
      <c r="AG94" s="1118">
        <v>2416.65</v>
      </c>
      <c r="AH94" s="1632">
        <f t="shared" si="6"/>
        <v>2416.65</v>
      </c>
      <c r="AI94" s="1653"/>
      <c r="AJ94" s="1653"/>
      <c r="AK94" s="1653"/>
      <c r="AL94" s="1653"/>
      <c r="AM94" s="1633" t="s">
        <v>5180</v>
      </c>
      <c r="AN94" s="1634" t="s">
        <v>5181</v>
      </c>
      <c r="AO94" s="1629">
        <v>11443</v>
      </c>
      <c r="AP94" s="1154">
        <v>41968</v>
      </c>
      <c r="AQ94" s="1629">
        <v>11443</v>
      </c>
      <c r="AR94" s="1154">
        <v>41968</v>
      </c>
      <c r="AS94" s="1653"/>
      <c r="AT94" s="1653"/>
      <c r="AU94" s="1653"/>
      <c r="AV94" s="1653"/>
      <c r="AW94" s="1653"/>
      <c r="AX94" s="1653"/>
      <c r="AY94" s="1653"/>
      <c r="AZ94" s="1653"/>
      <c r="BA94" s="1653"/>
      <c r="BB94" s="1653"/>
      <c r="BC94" s="1653"/>
      <c r="BD94" s="1653"/>
    </row>
    <row r="95" spans="1:64" s="1638" customFormat="1" ht="13.5" thickBot="1" x14ac:dyDescent="0.3">
      <c r="A95" s="2118" t="s">
        <v>601</v>
      </c>
      <c r="B95" s="2119"/>
      <c r="C95" s="2119"/>
      <c r="D95" s="2119"/>
      <c r="E95" s="2119"/>
      <c r="F95" s="2119"/>
      <c r="G95" s="2119"/>
      <c r="H95" s="2119"/>
      <c r="I95" s="2119"/>
      <c r="J95" s="2119"/>
      <c r="K95" s="2119"/>
      <c r="L95" s="1656">
        <f>SUM(L27:L94)</f>
        <v>15937629.949999999</v>
      </c>
      <c r="M95" s="296"/>
      <c r="N95" s="296"/>
      <c r="O95" s="296"/>
      <c r="P95" s="296"/>
      <c r="Q95" s="296"/>
      <c r="R95" s="298">
        <f>SUM(R27:R94)</f>
        <v>2209560.2999999998</v>
      </c>
      <c r="S95" s="298">
        <f>SUM(S27:S94)</f>
        <v>88137</v>
      </c>
      <c r="T95" s="296"/>
      <c r="U95" s="296"/>
      <c r="V95" s="296"/>
      <c r="W95" s="296"/>
      <c r="X95" s="296"/>
      <c r="Y95" s="296"/>
      <c r="Z95" s="296"/>
      <c r="AA95" s="296"/>
      <c r="AB95" s="296"/>
      <c r="AC95" s="1657">
        <f t="shared" ref="AC95:AH95" si="7">SUM(AC27:AC94)</f>
        <v>599735.22</v>
      </c>
      <c r="AD95" s="1657">
        <f t="shared" si="7"/>
        <v>237538.08</v>
      </c>
      <c r="AE95" s="298">
        <f t="shared" si="7"/>
        <v>16299827.09</v>
      </c>
      <c r="AF95" s="298">
        <f t="shared" si="7"/>
        <v>2166018.16</v>
      </c>
      <c r="AG95" s="298">
        <f t="shared" si="7"/>
        <v>10825237.110000001</v>
      </c>
      <c r="AH95" s="298">
        <f t="shared" si="7"/>
        <v>12991255.270000001</v>
      </c>
      <c r="AI95" s="1658"/>
      <c r="AJ95" s="297"/>
      <c r="AK95" s="297"/>
      <c r="AL95" s="1658"/>
      <c r="AM95" s="1522"/>
      <c r="AN95" s="1659"/>
      <c r="AO95" s="1660"/>
      <c r="AP95" s="1661"/>
      <c r="AQ95" s="1659"/>
      <c r="AR95" s="1661"/>
      <c r="AS95" s="1084"/>
      <c r="AT95" s="1662"/>
      <c r="AU95" s="1662"/>
      <c r="AV95" s="1662"/>
      <c r="AW95" s="1662"/>
      <c r="AX95" s="1662"/>
      <c r="AY95" s="1662"/>
      <c r="AZ95" s="1662"/>
      <c r="BA95" s="1662"/>
      <c r="BB95" s="1662"/>
      <c r="BC95" s="1662"/>
      <c r="BD95" s="1663"/>
    </row>
    <row r="98" spans="1:39" s="1638" customFormat="1" ht="12.75" x14ac:dyDescent="0.25">
      <c r="A98" s="240" t="s">
        <v>7570</v>
      </c>
      <c r="B98" s="240"/>
      <c r="C98" s="240"/>
      <c r="D98" s="240"/>
      <c r="E98" s="240"/>
      <c r="F98" s="240"/>
      <c r="L98" s="223"/>
      <c r="AG98" s="1664"/>
      <c r="AM98" s="599"/>
    </row>
    <row r="99" spans="1:39" s="1638" customFormat="1" ht="12.75" x14ac:dyDescent="0.25">
      <c r="A99" s="1082" t="s">
        <v>7571</v>
      </c>
      <c r="B99" s="1082"/>
      <c r="C99" s="1082"/>
      <c r="D99" s="1082"/>
      <c r="E99" s="1082"/>
      <c r="F99" s="1082"/>
      <c r="AG99" s="1664"/>
      <c r="AM99" s="599"/>
    </row>
  </sheetData>
  <mergeCells count="30">
    <mergeCell ref="A22:BD22"/>
    <mergeCell ref="A23:A26"/>
    <mergeCell ref="B23:G24"/>
    <mergeCell ref="H23:AH23"/>
    <mergeCell ref="AI23:AL23"/>
    <mergeCell ref="AM23:AR23"/>
    <mergeCell ref="AS23:BD23"/>
    <mergeCell ref="H24:T24"/>
    <mergeCell ref="BB24:BD24"/>
    <mergeCell ref="AZ24:AZ25"/>
    <mergeCell ref="BA24:BA25"/>
    <mergeCell ref="AR24:AR25"/>
    <mergeCell ref="AP24:AP25"/>
    <mergeCell ref="AQ24:AQ25"/>
    <mergeCell ref="A9:BD9"/>
    <mergeCell ref="A11:BD11"/>
    <mergeCell ref="A95:K95"/>
    <mergeCell ref="AS24:AS25"/>
    <mergeCell ref="AT24:AT25"/>
    <mergeCell ref="AU24:AW24"/>
    <mergeCell ref="AX24:AY24"/>
    <mergeCell ref="U24:AD24"/>
    <mergeCell ref="AE24:AH24"/>
    <mergeCell ref="AI24:AI25"/>
    <mergeCell ref="AJ24:AJ25"/>
    <mergeCell ref="AK24:AK25"/>
    <mergeCell ref="AL24:AL25"/>
    <mergeCell ref="AM24:AM25"/>
    <mergeCell ref="AN24:AN25"/>
    <mergeCell ref="AO24:AO25"/>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33"/>
  <sheetViews>
    <sheetView workbookViewId="0">
      <selection activeCell="AB6" sqref="AB6"/>
    </sheetView>
  </sheetViews>
  <sheetFormatPr defaultRowHeight="15" x14ac:dyDescent="0.25"/>
  <cols>
    <col min="1" max="1" width="7.28515625" customWidth="1"/>
    <col min="2" max="2" width="14.28515625" customWidth="1"/>
    <col min="3" max="3" width="11.140625" customWidth="1"/>
    <col min="4" max="4" width="12.85546875" customWidth="1"/>
    <col min="6" max="6" width="45.42578125" customWidth="1"/>
    <col min="7" max="7" width="12.28515625" customWidth="1"/>
    <col min="8" max="8" width="11.42578125" customWidth="1"/>
    <col min="9" max="9" width="36.42578125" customWidth="1"/>
    <col min="10" max="10" width="16.7109375" customWidth="1"/>
    <col min="11" max="11" width="14.140625" customWidth="1"/>
    <col min="12" max="12" width="16.85546875" bestFit="1" customWidth="1"/>
    <col min="13" max="13" width="15.140625" customWidth="1"/>
    <col min="14" max="14" width="12.5703125" customWidth="1"/>
    <col min="15" max="15" width="11.28515625" customWidth="1"/>
    <col min="16" max="16" width="11.7109375" customWidth="1"/>
    <col min="17" max="17" width="18.5703125" customWidth="1"/>
    <col min="18" max="18" width="11.7109375" customWidth="1"/>
    <col min="19" max="19" width="13.42578125" customWidth="1"/>
    <col min="20" max="20" width="12.7109375" customWidth="1"/>
    <col min="21" max="21" width="13.5703125" customWidth="1"/>
    <col min="22" max="23" width="12.140625" customWidth="1"/>
    <col min="24" max="24" width="11.5703125" customWidth="1"/>
    <col min="25" max="26" width="10.140625" bestFit="1" customWidth="1"/>
    <col min="27" max="27" width="12.28515625" customWidth="1"/>
    <col min="28" max="28" width="12" customWidth="1"/>
    <col min="29" max="29" width="16.85546875" bestFit="1" customWidth="1"/>
    <col min="30" max="30" width="11.140625" customWidth="1"/>
    <col min="31" max="31" width="21.7109375" customWidth="1"/>
    <col min="32" max="34" width="16.85546875" bestFit="1" customWidth="1"/>
    <col min="35" max="35" width="10.85546875" customWidth="1"/>
    <col min="36" max="36" width="17.5703125" customWidth="1"/>
    <col min="37" max="37" width="17.42578125" customWidth="1"/>
    <col min="38" max="38" width="14.42578125" customWidth="1"/>
    <col min="39" max="39" width="16.140625" customWidth="1"/>
    <col min="40" max="40" width="16.5703125" customWidth="1"/>
    <col min="41" max="41" width="16.140625" customWidth="1"/>
    <col min="42" max="42" width="10.85546875" customWidth="1"/>
    <col min="43" max="43" width="13.7109375" customWidth="1"/>
    <col min="44" max="44" width="10" customWidth="1"/>
    <col min="45" max="45" width="9.85546875" customWidth="1"/>
    <col min="46" max="46" width="13.42578125" customWidth="1"/>
    <col min="52" max="52" width="12.85546875" customWidth="1"/>
    <col min="53" max="53" width="23.140625" bestFit="1" customWidth="1"/>
    <col min="54" max="54" width="6" bestFit="1" customWidth="1"/>
    <col min="55" max="55" width="8.42578125" bestFit="1" customWidth="1"/>
    <col min="56" max="56" width="7" bestFit="1"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239" customFormat="1" x14ac:dyDescent="0.25">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row>
    <row r="13" spans="1:56" s="369" customFormat="1" ht="15.75" x14ac:dyDescent="0.25">
      <c r="A13" s="2442" t="s">
        <v>1</v>
      </c>
      <c r="B13" s="2442"/>
      <c r="C13" s="2442"/>
      <c r="D13" s="2442"/>
      <c r="E13" s="2442"/>
      <c r="F13" s="2442"/>
      <c r="G13" s="2442"/>
      <c r="H13" s="2442"/>
      <c r="I13" s="2442"/>
      <c r="J13" s="2442"/>
      <c r="K13" s="2442"/>
      <c r="L13" s="2442"/>
      <c r="M13" s="2442"/>
      <c r="N13" s="2442"/>
      <c r="O13" s="2442"/>
      <c r="P13" s="2442"/>
      <c r="Q13" s="2442"/>
      <c r="R13" s="2442"/>
      <c r="S13" s="2442"/>
      <c r="T13" s="2442"/>
      <c r="U13" s="2442"/>
      <c r="V13" s="2442"/>
      <c r="W13" s="2442"/>
      <c r="X13" s="2442"/>
      <c r="Y13" s="2442"/>
      <c r="Z13" s="2442"/>
      <c r="AA13" s="2442"/>
      <c r="AB13" s="2442"/>
      <c r="AC13" s="2442"/>
      <c r="AD13" s="2442"/>
      <c r="AE13" s="2442"/>
      <c r="AF13" s="2442"/>
      <c r="AG13" s="2442"/>
      <c r="AH13" s="2442"/>
      <c r="AI13" s="2442"/>
      <c r="AJ13" s="2442"/>
      <c r="AK13" s="2442"/>
      <c r="AL13" s="2442"/>
      <c r="AM13" s="2442"/>
      <c r="AN13" s="2442"/>
      <c r="AO13" s="2442"/>
      <c r="AP13" s="2442"/>
      <c r="AQ13" s="2442"/>
      <c r="AR13" s="2442"/>
      <c r="AS13" s="2442"/>
    </row>
    <row r="14" spans="1:56" s="369" customFormat="1" ht="15.75" x14ac:dyDescent="0.25">
      <c r="A14" s="2442" t="s">
        <v>2</v>
      </c>
      <c r="B14" s="2442"/>
      <c r="C14" s="2442"/>
      <c r="D14" s="2442"/>
      <c r="E14" s="2442"/>
      <c r="F14" s="2442"/>
      <c r="G14" s="2442"/>
      <c r="H14" s="2442"/>
      <c r="I14" s="2442"/>
      <c r="J14" s="2442"/>
      <c r="K14" s="371"/>
      <c r="L14" s="371"/>
      <c r="M14" s="371"/>
      <c r="N14" s="371"/>
      <c r="O14" s="371"/>
      <c r="P14" s="371"/>
      <c r="Q14" s="371"/>
      <c r="R14" s="371"/>
      <c r="S14" s="371"/>
      <c r="T14" s="371"/>
      <c r="U14" s="371"/>
      <c r="V14" s="371"/>
      <c r="W14" s="371"/>
      <c r="X14" s="371"/>
      <c r="Y14" s="371"/>
      <c r="Z14" s="371"/>
      <c r="AA14" s="371"/>
      <c r="AB14" s="371"/>
      <c r="AC14" s="371"/>
      <c r="AD14" s="371"/>
      <c r="AE14" s="371"/>
      <c r="AF14" s="371"/>
      <c r="AG14" s="371"/>
      <c r="AH14" s="371"/>
      <c r="AI14" s="371"/>
      <c r="AJ14" s="371"/>
      <c r="AK14" s="371"/>
      <c r="AL14" s="371"/>
      <c r="AM14" s="371"/>
      <c r="AN14" s="371"/>
      <c r="AO14" s="371"/>
      <c r="AP14" s="371"/>
      <c r="AQ14" s="371"/>
      <c r="AR14" s="371"/>
      <c r="AS14" s="371"/>
    </row>
    <row r="15" spans="1:56" s="369" customFormat="1" ht="15.75" x14ac:dyDescent="0.25">
      <c r="A15" s="2442" t="s">
        <v>3</v>
      </c>
      <c r="B15" s="2442"/>
      <c r="C15" s="2442"/>
      <c r="D15" s="2442"/>
      <c r="E15" s="2442"/>
      <c r="F15" s="1093"/>
      <c r="G15" s="1093"/>
      <c r="H15" s="1093"/>
      <c r="I15" s="1093"/>
      <c r="J15" s="1093"/>
      <c r="K15" s="1093"/>
      <c r="L15" s="1093"/>
      <c r="M15" s="1093"/>
      <c r="N15" s="1093"/>
      <c r="O15" s="1093"/>
      <c r="P15" s="1093"/>
      <c r="Q15" s="1093"/>
      <c r="R15" s="1093"/>
      <c r="S15" s="1093"/>
      <c r="T15" s="1093"/>
      <c r="U15" s="1093"/>
      <c r="V15" s="1093"/>
      <c r="W15" s="1093"/>
      <c r="X15" s="1093"/>
      <c r="Y15" s="1093"/>
      <c r="Z15" s="1093"/>
      <c r="AA15" s="1093"/>
      <c r="AB15" s="1093"/>
      <c r="AC15" s="1093"/>
      <c r="AD15" s="1093"/>
      <c r="AE15" s="1093"/>
      <c r="AF15" s="1093"/>
      <c r="AG15" s="1093"/>
      <c r="AH15" s="1093"/>
      <c r="AI15" s="1093"/>
      <c r="AJ15" s="1093"/>
      <c r="AK15" s="1093"/>
      <c r="AL15" s="1093"/>
      <c r="AM15" s="1093"/>
      <c r="AN15" s="1093"/>
      <c r="AO15" s="1093"/>
      <c r="AP15" s="1093"/>
      <c r="AQ15" s="1093"/>
      <c r="AR15" s="1093"/>
      <c r="AS15" s="1093"/>
    </row>
    <row r="16" spans="1:56" s="369" customFormat="1" ht="15.75" x14ac:dyDescent="0.25">
      <c r="B16" s="370"/>
      <c r="C16" s="370"/>
      <c r="D16" s="370"/>
      <c r="E16" s="370"/>
      <c r="F16" s="370"/>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row>
    <row r="17" spans="1:56" s="369" customFormat="1" ht="15.75" x14ac:dyDescent="0.25">
      <c r="A17" s="2442" t="s">
        <v>7572</v>
      </c>
      <c r="B17" s="2442"/>
      <c r="C17" s="2442"/>
      <c r="D17" s="2442"/>
      <c r="E17" s="2442"/>
      <c r="F17" s="2442"/>
      <c r="G17" s="2442"/>
      <c r="H17" s="2442"/>
      <c r="I17" s="2442"/>
      <c r="J17" s="2442"/>
      <c r="K17" s="2442"/>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c r="AS17" s="2442"/>
    </row>
    <row r="18" spans="1:56" s="369" customFormat="1" ht="15.75" x14ac:dyDescent="0.25">
      <c r="A18" s="2442" t="s">
        <v>7567</v>
      </c>
      <c r="B18" s="2442"/>
      <c r="C18" s="2442"/>
      <c r="D18" s="2442"/>
      <c r="E18" s="2442"/>
      <c r="F18" s="2442"/>
      <c r="G18" s="2442"/>
      <c r="H18" s="2442"/>
      <c r="I18" s="2442"/>
      <c r="J18" s="2442"/>
      <c r="K18" s="2442"/>
      <c r="L18" s="2442"/>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c r="AS18" s="2442"/>
    </row>
    <row r="19" spans="1:56" s="369" customFormat="1" ht="15.75" x14ac:dyDescent="0.25">
      <c r="A19" s="2442" t="s">
        <v>7573</v>
      </c>
      <c r="B19" s="2442"/>
      <c r="C19" s="2442"/>
      <c r="D19" s="2442"/>
      <c r="E19" s="2442"/>
      <c r="F19" s="2442"/>
      <c r="G19" s="2442"/>
      <c r="H19" s="2442"/>
      <c r="I19" s="2442"/>
      <c r="J19" s="2442"/>
      <c r="K19" s="2442"/>
      <c r="L19" s="2442"/>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c r="AS19" s="2442"/>
    </row>
    <row r="20" spans="1:56" s="239" customFormat="1" x14ac:dyDescent="0.25">
      <c r="B20" s="241"/>
      <c r="C20" s="241"/>
      <c r="D20" s="241"/>
      <c r="E20" s="241"/>
      <c r="F20" s="6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row>
    <row r="21" spans="1:56" s="239" customFormat="1" ht="15.75" customHeight="1" thickBot="1" x14ac:dyDescent="0.3">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665"/>
      <c r="AM21" s="1665"/>
      <c r="AN21" s="1665"/>
      <c r="AO21" s="1665"/>
      <c r="AP21" s="1665"/>
      <c r="AQ21" s="1665"/>
      <c r="AR21" s="1665"/>
      <c r="AS21" s="1665"/>
      <c r="AT21" s="1665"/>
      <c r="AU21" s="1665"/>
      <c r="AV21" s="1665"/>
      <c r="AW21" s="1665"/>
      <c r="AX21" s="1665"/>
      <c r="AY21" s="1665"/>
      <c r="AZ21" s="1665"/>
      <c r="BA21" s="1665"/>
      <c r="BB21" s="1665"/>
      <c r="BC21" s="1665"/>
      <c r="BD21" s="1665"/>
    </row>
    <row r="22" spans="1:56" s="239" customFormat="1" ht="15.75" customHeight="1" x14ac:dyDescent="0.25">
      <c r="A22" s="2479" t="s">
        <v>5</v>
      </c>
      <c r="B22" s="2087" t="s">
        <v>6</v>
      </c>
      <c r="C22" s="2087"/>
      <c r="D22" s="2087"/>
      <c r="E22" s="2087"/>
      <c r="F22" s="2087"/>
      <c r="G22" s="2088"/>
      <c r="H22" s="2125" t="s">
        <v>7</v>
      </c>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056" t="s">
        <v>8</v>
      </c>
      <c r="AJ22" s="2049"/>
      <c r="AK22" s="2049"/>
      <c r="AL22" s="2051"/>
      <c r="AM22" s="2125" t="s">
        <v>9</v>
      </c>
      <c r="AN22" s="2126"/>
      <c r="AO22" s="2126"/>
      <c r="AP22" s="2126"/>
      <c r="AQ22" s="2126"/>
      <c r="AR22" s="2127"/>
      <c r="AS22" s="2128" t="s">
        <v>10</v>
      </c>
      <c r="AT22" s="2129"/>
      <c r="AU22" s="2129"/>
      <c r="AV22" s="2129"/>
      <c r="AW22" s="2129"/>
      <c r="AX22" s="2129"/>
      <c r="AY22" s="2129"/>
      <c r="AZ22" s="2129"/>
      <c r="BA22" s="2129"/>
      <c r="BB22" s="2129"/>
      <c r="BC22" s="2129"/>
      <c r="BD22" s="2130"/>
    </row>
    <row r="23" spans="1:56" s="239" customFormat="1" ht="15.75" customHeight="1" x14ac:dyDescent="0.25">
      <c r="A23" s="2480"/>
      <c r="B23" s="2090"/>
      <c r="C23" s="2090"/>
      <c r="D23" s="2090"/>
      <c r="E23" s="2090"/>
      <c r="F23" s="2090"/>
      <c r="G23" s="2091"/>
      <c r="H23" s="2101" t="s">
        <v>11</v>
      </c>
      <c r="I23" s="2102"/>
      <c r="J23" s="2102"/>
      <c r="K23" s="2102"/>
      <c r="L23" s="2102"/>
      <c r="M23" s="2102"/>
      <c r="N23" s="2102"/>
      <c r="O23" s="2102"/>
      <c r="P23" s="2102"/>
      <c r="Q23" s="2102"/>
      <c r="R23" s="2102"/>
      <c r="S23" s="2102"/>
      <c r="T23" s="2069"/>
      <c r="U23" s="2103" t="s">
        <v>12</v>
      </c>
      <c r="V23" s="2102"/>
      <c r="W23" s="2102"/>
      <c r="X23" s="2102"/>
      <c r="Y23" s="2102"/>
      <c r="Z23" s="2102"/>
      <c r="AA23" s="2102"/>
      <c r="AB23" s="2102"/>
      <c r="AC23" s="2102"/>
      <c r="AD23" s="2069"/>
      <c r="AE23" s="2103" t="s">
        <v>13</v>
      </c>
      <c r="AF23" s="2102"/>
      <c r="AG23" s="2102"/>
      <c r="AH23" s="2102"/>
      <c r="AI23" s="2112" t="s">
        <v>14</v>
      </c>
      <c r="AJ23" s="2114" t="s">
        <v>15</v>
      </c>
      <c r="AK23" s="2114" t="s">
        <v>16</v>
      </c>
      <c r="AL23" s="2116" t="s">
        <v>581</v>
      </c>
      <c r="AM23" s="2112" t="s">
        <v>18</v>
      </c>
      <c r="AN23" s="2114" t="s">
        <v>19</v>
      </c>
      <c r="AO23" s="2114" t="s">
        <v>20</v>
      </c>
      <c r="AP23" s="2114" t="s">
        <v>21</v>
      </c>
      <c r="AQ23" s="2114" t="s">
        <v>22</v>
      </c>
      <c r="AR23" s="2116" t="s">
        <v>21</v>
      </c>
      <c r="AS23" s="2112" t="s">
        <v>23</v>
      </c>
      <c r="AT23" s="2476" t="s">
        <v>24</v>
      </c>
      <c r="AU23" s="2111" t="s">
        <v>25</v>
      </c>
      <c r="AV23" s="2111"/>
      <c r="AW23" s="2111"/>
      <c r="AX23" s="2111" t="s">
        <v>26</v>
      </c>
      <c r="AY23" s="2111"/>
      <c r="AZ23" s="2476" t="s">
        <v>27</v>
      </c>
      <c r="BA23" s="2114" t="s">
        <v>28</v>
      </c>
      <c r="BB23" s="2111" t="s">
        <v>29</v>
      </c>
      <c r="BC23" s="2111"/>
      <c r="BD23" s="2131"/>
    </row>
    <row r="24" spans="1:56" s="239" customFormat="1" ht="38.25" x14ac:dyDescent="0.25">
      <c r="A24" s="2480"/>
      <c r="B24" s="464" t="s">
        <v>30</v>
      </c>
      <c r="C24" s="462" t="s">
        <v>31</v>
      </c>
      <c r="D24" s="462" t="s">
        <v>32</v>
      </c>
      <c r="E24" s="462" t="s">
        <v>23</v>
      </c>
      <c r="F24" s="462" t="s">
        <v>33</v>
      </c>
      <c r="G24" s="463" t="s">
        <v>34</v>
      </c>
      <c r="H24" s="6" t="s">
        <v>35</v>
      </c>
      <c r="I24" s="462" t="s">
        <v>36</v>
      </c>
      <c r="J24" s="462" t="s">
        <v>37</v>
      </c>
      <c r="K24" s="462" t="s">
        <v>38</v>
      </c>
      <c r="L24" s="642" t="s">
        <v>39</v>
      </c>
      <c r="M24" s="462" t="s">
        <v>40</v>
      </c>
      <c r="N24" s="462" t="s">
        <v>41</v>
      </c>
      <c r="O24" s="462" t="s">
        <v>42</v>
      </c>
      <c r="P24" s="462" t="s">
        <v>43</v>
      </c>
      <c r="Q24" s="462" t="s">
        <v>44</v>
      </c>
      <c r="R24" s="462" t="s">
        <v>45</v>
      </c>
      <c r="S24" s="462" t="s">
        <v>46</v>
      </c>
      <c r="T24" s="462" t="s">
        <v>47</v>
      </c>
      <c r="U24" s="462" t="s">
        <v>48</v>
      </c>
      <c r="V24" s="462" t="s">
        <v>38</v>
      </c>
      <c r="W24" s="462" t="s">
        <v>40</v>
      </c>
      <c r="X24" s="462" t="s">
        <v>49</v>
      </c>
      <c r="Y24" s="462" t="s">
        <v>41</v>
      </c>
      <c r="Z24" s="462" t="s">
        <v>42</v>
      </c>
      <c r="AA24" s="462" t="s">
        <v>50</v>
      </c>
      <c r="AB24" s="462" t="s">
        <v>51</v>
      </c>
      <c r="AC24" s="462" t="s">
        <v>52</v>
      </c>
      <c r="AD24" s="462" t="s">
        <v>53</v>
      </c>
      <c r="AE24" s="462" t="s">
        <v>54</v>
      </c>
      <c r="AF24" s="462" t="s">
        <v>55</v>
      </c>
      <c r="AG24" s="462" t="s">
        <v>56</v>
      </c>
      <c r="AH24" s="471" t="s">
        <v>57</v>
      </c>
      <c r="AI24" s="2113"/>
      <c r="AJ24" s="2115"/>
      <c r="AK24" s="2115"/>
      <c r="AL24" s="2117"/>
      <c r="AM24" s="2113"/>
      <c r="AN24" s="2115"/>
      <c r="AO24" s="2115"/>
      <c r="AP24" s="2115"/>
      <c r="AQ24" s="2115"/>
      <c r="AR24" s="2117"/>
      <c r="AS24" s="2113"/>
      <c r="AT24" s="2477"/>
      <c r="AU24" s="473" t="s">
        <v>58</v>
      </c>
      <c r="AV24" s="473" t="s">
        <v>59</v>
      </c>
      <c r="AW24" s="473" t="s">
        <v>60</v>
      </c>
      <c r="AX24" s="473" t="s">
        <v>61</v>
      </c>
      <c r="AY24" s="472" t="s">
        <v>62</v>
      </c>
      <c r="AZ24" s="2477"/>
      <c r="BA24" s="2115"/>
      <c r="BB24" s="473" t="s">
        <v>58</v>
      </c>
      <c r="BC24" s="473" t="s">
        <v>63</v>
      </c>
      <c r="BD24" s="474" t="s">
        <v>64</v>
      </c>
    </row>
    <row r="25" spans="1:56" s="239" customFormat="1" ht="15.75" thickBot="1" x14ac:dyDescent="0.3">
      <c r="A25" s="2481"/>
      <c r="B25" s="16" t="s">
        <v>65</v>
      </c>
      <c r="C25" s="11" t="s">
        <v>66</v>
      </c>
      <c r="D25" s="12" t="s">
        <v>67</v>
      </c>
      <c r="E25" s="11" t="s">
        <v>68</v>
      </c>
      <c r="F25" s="11" t="s">
        <v>69</v>
      </c>
      <c r="G25" s="13" t="s">
        <v>70</v>
      </c>
      <c r="H25" s="14" t="s">
        <v>71</v>
      </c>
      <c r="I25" s="11" t="s">
        <v>72</v>
      </c>
      <c r="J25" s="11" t="s">
        <v>73</v>
      </c>
      <c r="K25" s="11" t="s">
        <v>74</v>
      </c>
      <c r="L25" s="15" t="s">
        <v>75</v>
      </c>
      <c r="M25" s="11" t="s">
        <v>76</v>
      </c>
      <c r="N25" s="11" t="s">
        <v>77</v>
      </c>
      <c r="O25" s="11" t="s">
        <v>78</v>
      </c>
      <c r="P25" s="11" t="s">
        <v>79</v>
      </c>
      <c r="Q25" s="11" t="s">
        <v>80</v>
      </c>
      <c r="R25" s="11" t="s">
        <v>81</v>
      </c>
      <c r="S25" s="11" t="s">
        <v>82</v>
      </c>
      <c r="T25" s="11" t="s">
        <v>83</v>
      </c>
      <c r="U25" s="11" t="s">
        <v>84</v>
      </c>
      <c r="V25" s="11" t="s">
        <v>85</v>
      </c>
      <c r="W25" s="11" t="s">
        <v>86</v>
      </c>
      <c r="X25" s="11" t="s">
        <v>87</v>
      </c>
      <c r="Y25" s="11" t="s">
        <v>88</v>
      </c>
      <c r="Z25" s="11" t="s">
        <v>89</v>
      </c>
      <c r="AA25" s="11" t="s">
        <v>90</v>
      </c>
      <c r="AB25" s="11" t="s">
        <v>91</v>
      </c>
      <c r="AC25" s="11" t="s">
        <v>92</v>
      </c>
      <c r="AD25" s="11" t="s">
        <v>93</v>
      </c>
      <c r="AE25" s="11" t="s">
        <v>94</v>
      </c>
      <c r="AF25" s="11" t="s">
        <v>95</v>
      </c>
      <c r="AG25" s="247" t="s">
        <v>96</v>
      </c>
      <c r="AH25" s="248" t="s">
        <v>97</v>
      </c>
      <c r="AI25" s="10" t="s">
        <v>98</v>
      </c>
      <c r="AJ25" s="16" t="s">
        <v>99</v>
      </c>
      <c r="AK25" s="16" t="s">
        <v>100</v>
      </c>
      <c r="AL25" s="249" t="s">
        <v>101</v>
      </c>
      <c r="AM25" s="250" t="s">
        <v>102</v>
      </c>
      <c r="AN25" s="251" t="s">
        <v>103</v>
      </c>
      <c r="AO25" s="251" t="s">
        <v>104</v>
      </c>
      <c r="AP25" s="251" t="s">
        <v>105</v>
      </c>
      <c r="AQ25" s="251" t="s">
        <v>106</v>
      </c>
      <c r="AR25" s="252" t="s">
        <v>107</v>
      </c>
      <c r="AS25" s="253" t="s">
        <v>108</v>
      </c>
      <c r="AT25" s="251" t="s">
        <v>109</v>
      </c>
      <c r="AU25" s="251" t="s">
        <v>110</v>
      </c>
      <c r="AV25" s="251" t="s">
        <v>111</v>
      </c>
      <c r="AW25" s="252" t="s">
        <v>112</v>
      </c>
      <c r="AX25" s="252" t="s">
        <v>113</v>
      </c>
      <c r="AY25" s="252" t="s">
        <v>114</v>
      </c>
      <c r="AZ25" s="251" t="s">
        <v>115</v>
      </c>
      <c r="BA25" s="251" t="s">
        <v>116</v>
      </c>
      <c r="BB25" s="251" t="s">
        <v>117</v>
      </c>
      <c r="BC25" s="252" t="s">
        <v>118</v>
      </c>
      <c r="BD25" s="252" t="s">
        <v>119</v>
      </c>
    </row>
    <row r="26" spans="1:56" s="239" customFormat="1" ht="51" customHeight="1" x14ac:dyDescent="0.25">
      <c r="A26" s="2474">
        <v>1</v>
      </c>
      <c r="B26" s="2195" t="s">
        <v>5242</v>
      </c>
      <c r="C26" s="2021" t="s">
        <v>1067</v>
      </c>
      <c r="D26" s="2021" t="s">
        <v>1233</v>
      </c>
      <c r="E26" s="2021" t="s">
        <v>5243</v>
      </c>
      <c r="F26" s="2021" t="s">
        <v>5244</v>
      </c>
      <c r="G26" s="2197">
        <v>10745</v>
      </c>
      <c r="H26" s="2176" t="s">
        <v>5171</v>
      </c>
      <c r="I26" s="2252" t="s">
        <v>5245</v>
      </c>
      <c r="J26" s="2176" t="s">
        <v>5246</v>
      </c>
      <c r="K26" s="2176" t="s">
        <v>5247</v>
      </c>
      <c r="L26" s="2472">
        <v>3996943.2</v>
      </c>
      <c r="M26" s="2197">
        <v>10837</v>
      </c>
      <c r="N26" s="2033">
        <v>41095</v>
      </c>
      <c r="O26" s="2033">
        <v>41825</v>
      </c>
      <c r="P26" s="2176" t="s">
        <v>3905</v>
      </c>
      <c r="Q26" s="2021"/>
      <c r="R26" s="2021"/>
      <c r="S26" s="2021"/>
      <c r="T26" s="2021" t="s">
        <v>208</v>
      </c>
      <c r="U26" s="643" t="s">
        <v>5248</v>
      </c>
      <c r="V26" s="448">
        <v>41346</v>
      </c>
      <c r="W26" s="446">
        <v>11121</v>
      </c>
      <c r="X26" s="513" t="s">
        <v>5249</v>
      </c>
      <c r="Y26" s="440"/>
      <c r="Z26" s="440"/>
      <c r="AA26" s="440"/>
      <c r="AB26" s="440"/>
      <c r="AC26" s="478">
        <v>416910</v>
      </c>
      <c r="AD26" s="440"/>
      <c r="AE26" s="644">
        <v>7222888.0800000001</v>
      </c>
      <c r="AF26" s="478">
        <v>3397042.34</v>
      </c>
      <c r="AG26" s="478">
        <v>2600481.4500000002</v>
      </c>
      <c r="AH26" s="645">
        <v>5997523.79</v>
      </c>
      <c r="AI26" s="646"/>
      <c r="AJ26" s="647"/>
      <c r="AK26" s="647"/>
      <c r="AL26" s="648"/>
      <c r="AM26" s="646"/>
      <c r="AN26" s="649"/>
      <c r="AO26" s="649"/>
      <c r="AP26" s="649"/>
      <c r="AQ26" s="649"/>
      <c r="AR26" s="650"/>
      <c r="AS26" s="490"/>
      <c r="AT26" s="263"/>
      <c r="AU26" s="263"/>
      <c r="AV26" s="263"/>
      <c r="AW26" s="263"/>
      <c r="AX26" s="263"/>
      <c r="AY26" s="263"/>
      <c r="AZ26" s="263"/>
      <c r="BA26" s="263"/>
      <c r="BB26" s="263"/>
      <c r="BC26" s="263"/>
      <c r="BD26" s="264"/>
    </row>
    <row r="27" spans="1:56" s="239" customFormat="1" ht="51" x14ac:dyDescent="0.25">
      <c r="A27" s="2475"/>
      <c r="B27" s="2196"/>
      <c r="C27" s="1986"/>
      <c r="D27" s="1986"/>
      <c r="E27" s="1986"/>
      <c r="F27" s="1986"/>
      <c r="G27" s="1995"/>
      <c r="H27" s="1992"/>
      <c r="I27" s="2234"/>
      <c r="J27" s="1992"/>
      <c r="K27" s="1992"/>
      <c r="L27" s="2473"/>
      <c r="M27" s="1995"/>
      <c r="N27" s="1997"/>
      <c r="O27" s="1997"/>
      <c r="P27" s="1992"/>
      <c r="Q27" s="1986"/>
      <c r="R27" s="1986"/>
      <c r="S27" s="1986"/>
      <c r="T27" s="1986"/>
      <c r="U27" s="651" t="s">
        <v>5250</v>
      </c>
      <c r="V27" s="432">
        <v>41825</v>
      </c>
      <c r="W27" s="58" t="s">
        <v>5251</v>
      </c>
      <c r="X27" s="518" t="s">
        <v>5252</v>
      </c>
      <c r="Y27" s="432">
        <v>41826</v>
      </c>
      <c r="Z27" s="432">
        <v>42191</v>
      </c>
      <c r="AA27" s="429"/>
      <c r="AB27" s="429"/>
      <c r="AC27" s="476">
        <v>2809034.88</v>
      </c>
      <c r="AD27" s="429"/>
      <c r="AE27" s="644"/>
      <c r="AF27" s="476"/>
      <c r="AG27" s="476"/>
      <c r="AH27" s="645"/>
      <c r="AI27" s="179"/>
      <c r="AJ27" s="107"/>
      <c r="AK27" s="107"/>
      <c r="AL27" s="180"/>
      <c r="AM27" s="179"/>
      <c r="AN27" s="181"/>
      <c r="AO27" s="181"/>
      <c r="AP27" s="181"/>
      <c r="AQ27" s="181"/>
      <c r="AR27" s="182"/>
      <c r="AS27" s="468"/>
      <c r="AT27" s="165"/>
      <c r="AU27" s="165"/>
      <c r="AV27" s="165"/>
      <c r="AW27" s="165"/>
      <c r="AX27" s="165"/>
      <c r="AY27" s="165"/>
      <c r="AZ27" s="165"/>
      <c r="BA27" s="165"/>
      <c r="BB27" s="165"/>
      <c r="BC27" s="165"/>
      <c r="BD27" s="167"/>
    </row>
    <row r="28" spans="1:56" s="239" customFormat="1" ht="38.25" x14ac:dyDescent="0.25">
      <c r="A28" s="469">
        <v>2</v>
      </c>
      <c r="B28" s="468" t="s">
        <v>5253</v>
      </c>
      <c r="C28" s="429" t="s">
        <v>967</v>
      </c>
      <c r="D28" s="429" t="s">
        <v>1233</v>
      </c>
      <c r="E28" s="429" t="s">
        <v>5243</v>
      </c>
      <c r="F28" s="456" t="s">
        <v>5254</v>
      </c>
      <c r="G28" s="431">
        <v>11031</v>
      </c>
      <c r="H28" s="436" t="s">
        <v>3934</v>
      </c>
      <c r="I28" s="518" t="s">
        <v>5255</v>
      </c>
      <c r="J28" s="589" t="s">
        <v>5256</v>
      </c>
      <c r="K28" s="436" t="s">
        <v>5257</v>
      </c>
      <c r="L28" s="476">
        <v>26743955.039999999</v>
      </c>
      <c r="M28" s="431">
        <v>11186</v>
      </c>
      <c r="N28" s="432">
        <v>41640</v>
      </c>
      <c r="O28" s="432">
        <v>42370</v>
      </c>
      <c r="P28" s="436" t="s">
        <v>3905</v>
      </c>
      <c r="Q28" s="429"/>
      <c r="R28" s="429"/>
      <c r="S28" s="429"/>
      <c r="T28" s="429" t="s">
        <v>208</v>
      </c>
      <c r="U28" s="429"/>
      <c r="V28" s="432">
        <v>41640</v>
      </c>
      <c r="W28" s="429"/>
      <c r="X28" s="518"/>
      <c r="Y28" s="429"/>
      <c r="Z28" s="429"/>
      <c r="AA28" s="429"/>
      <c r="AB28" s="429"/>
      <c r="AC28" s="476"/>
      <c r="AD28" s="429"/>
      <c r="AE28" s="644"/>
      <c r="AF28" s="429"/>
      <c r="AG28" s="476">
        <v>10495472.949999999</v>
      </c>
      <c r="AH28" s="645"/>
      <c r="AI28" s="179"/>
      <c r="AJ28" s="107"/>
      <c r="AK28" s="107"/>
      <c r="AL28" s="180"/>
      <c r="AM28" s="179"/>
      <c r="AN28" s="181"/>
      <c r="AO28" s="181"/>
      <c r="AP28" s="181"/>
      <c r="AQ28" s="181"/>
      <c r="AR28" s="182"/>
      <c r="AS28" s="468"/>
      <c r="AT28" s="165"/>
      <c r="AU28" s="165"/>
      <c r="AV28" s="165"/>
      <c r="AW28" s="165"/>
      <c r="AX28" s="165"/>
      <c r="AY28" s="165"/>
      <c r="AZ28" s="165"/>
      <c r="BA28" s="165"/>
      <c r="BB28" s="165"/>
      <c r="BC28" s="165"/>
      <c r="BD28" s="167"/>
    </row>
    <row r="29" spans="1:56" s="239" customFormat="1" ht="38.25" x14ac:dyDescent="0.25">
      <c r="A29" s="469">
        <v>3</v>
      </c>
      <c r="B29" s="468"/>
      <c r="C29" s="429"/>
      <c r="D29" s="459" t="s">
        <v>1233</v>
      </c>
      <c r="E29" s="429" t="s">
        <v>5243</v>
      </c>
      <c r="F29" s="456" t="s">
        <v>5258</v>
      </c>
      <c r="G29" s="431">
        <v>10745</v>
      </c>
      <c r="H29" s="436"/>
      <c r="I29" s="518" t="s">
        <v>5259</v>
      </c>
      <c r="J29" s="589" t="s">
        <v>5260</v>
      </c>
      <c r="K29" s="436" t="s">
        <v>5261</v>
      </c>
      <c r="L29" s="569"/>
      <c r="M29" s="429"/>
      <c r="N29" s="432">
        <v>36305</v>
      </c>
      <c r="O29" s="432">
        <v>43610</v>
      </c>
      <c r="P29" s="436" t="s">
        <v>3905</v>
      </c>
      <c r="Q29" s="429"/>
      <c r="R29" s="429"/>
      <c r="S29" s="429"/>
      <c r="T29" s="429" t="s">
        <v>208</v>
      </c>
      <c r="U29" s="429"/>
      <c r="V29" s="432">
        <v>36305</v>
      </c>
      <c r="W29" s="429"/>
      <c r="X29" s="518"/>
      <c r="Y29" s="429"/>
      <c r="Z29" s="429"/>
      <c r="AA29" s="429"/>
      <c r="AB29" s="429"/>
      <c r="AC29" s="476"/>
      <c r="AD29" s="429"/>
      <c r="AE29" s="644"/>
      <c r="AF29" s="476">
        <v>5249483.6900000004</v>
      </c>
      <c r="AG29" s="476">
        <v>945478.28</v>
      </c>
      <c r="AH29" s="645"/>
      <c r="AI29" s="179"/>
      <c r="AJ29" s="107"/>
      <c r="AK29" s="107"/>
      <c r="AL29" s="180"/>
      <c r="AM29" s="179"/>
      <c r="AN29" s="181"/>
      <c r="AO29" s="181"/>
      <c r="AP29" s="181"/>
      <c r="AQ29" s="181"/>
      <c r="AR29" s="182"/>
      <c r="AS29" s="468"/>
      <c r="AT29" s="165"/>
      <c r="AU29" s="165"/>
      <c r="AV29" s="165"/>
      <c r="AW29" s="165"/>
      <c r="AX29" s="165"/>
      <c r="AY29" s="165"/>
      <c r="AZ29" s="165"/>
      <c r="BA29" s="165"/>
      <c r="BB29" s="165"/>
      <c r="BC29" s="165"/>
      <c r="BD29" s="167"/>
    </row>
    <row r="30" spans="1:56" s="239" customFormat="1" ht="51" x14ac:dyDescent="0.25">
      <c r="A30" s="469">
        <v>4</v>
      </c>
      <c r="B30" s="468" t="s">
        <v>1351</v>
      </c>
      <c r="C30" s="429" t="s">
        <v>1031</v>
      </c>
      <c r="D30" s="459" t="s">
        <v>5262</v>
      </c>
      <c r="E30" s="429" t="s">
        <v>5263</v>
      </c>
      <c r="F30" s="518" t="s">
        <v>5264</v>
      </c>
      <c r="G30" s="431">
        <v>11005</v>
      </c>
      <c r="H30" s="457" t="s">
        <v>986</v>
      </c>
      <c r="I30" s="518" t="s">
        <v>5265</v>
      </c>
      <c r="J30" s="589" t="s">
        <v>5266</v>
      </c>
      <c r="K30" s="436" t="s">
        <v>5267</v>
      </c>
      <c r="L30" s="476">
        <v>1205600</v>
      </c>
      <c r="M30" s="431">
        <v>11041</v>
      </c>
      <c r="N30" s="432">
        <v>41367</v>
      </c>
      <c r="O30" s="432">
        <v>41732</v>
      </c>
      <c r="P30" s="436" t="s">
        <v>3905</v>
      </c>
      <c r="Q30" s="429"/>
      <c r="R30" s="429"/>
      <c r="S30" s="429"/>
      <c r="T30" s="429" t="s">
        <v>316</v>
      </c>
      <c r="U30" s="429"/>
      <c r="V30" s="432">
        <v>41367</v>
      </c>
      <c r="W30" s="429"/>
      <c r="X30" s="518"/>
      <c r="Y30" s="429"/>
      <c r="Z30" s="429"/>
      <c r="AA30" s="429"/>
      <c r="AB30" s="429"/>
      <c r="AC30" s="652"/>
      <c r="AD30" s="429"/>
      <c r="AE30" s="476"/>
      <c r="AF30" s="476">
        <v>1026798.03</v>
      </c>
      <c r="AG30" s="476">
        <v>81911.45</v>
      </c>
      <c r="AH30" s="476">
        <v>1108709.48</v>
      </c>
      <c r="AI30" s="179"/>
      <c r="AJ30" s="107"/>
      <c r="AK30" s="107"/>
      <c r="AL30" s="180"/>
      <c r="AM30" s="179"/>
      <c r="AN30" s="181"/>
      <c r="AO30" s="181"/>
      <c r="AP30" s="181"/>
      <c r="AQ30" s="181"/>
      <c r="AR30" s="182"/>
      <c r="AS30" s="468"/>
      <c r="AT30" s="165"/>
      <c r="AU30" s="165"/>
      <c r="AV30" s="165"/>
      <c r="AW30" s="165"/>
      <c r="AX30" s="165"/>
      <c r="AY30" s="165"/>
      <c r="AZ30" s="165"/>
      <c r="BA30" s="165"/>
      <c r="BB30" s="165"/>
      <c r="BC30" s="165"/>
      <c r="BD30" s="167"/>
    </row>
    <row r="31" spans="1:56" s="239" customFormat="1" ht="25.5" customHeight="1" x14ac:dyDescent="0.25">
      <c r="A31" s="2191">
        <v>5</v>
      </c>
      <c r="B31" s="2194" t="s">
        <v>5268</v>
      </c>
      <c r="C31" s="1985" t="s">
        <v>5269</v>
      </c>
      <c r="D31" s="1985" t="s">
        <v>5262</v>
      </c>
      <c r="E31" s="1985" t="s">
        <v>5243</v>
      </c>
      <c r="F31" s="2233" t="s">
        <v>5270</v>
      </c>
      <c r="G31" s="1994">
        <v>10791</v>
      </c>
      <c r="H31" s="2011" t="s">
        <v>5271</v>
      </c>
      <c r="I31" s="2233" t="s">
        <v>5272</v>
      </c>
      <c r="J31" s="1991" t="s">
        <v>5273</v>
      </c>
      <c r="K31" s="1991" t="s">
        <v>5274</v>
      </c>
      <c r="L31" s="2142">
        <v>248600</v>
      </c>
      <c r="M31" s="1994">
        <v>10809</v>
      </c>
      <c r="N31" s="1996">
        <v>41061</v>
      </c>
      <c r="O31" s="1996">
        <v>41274</v>
      </c>
      <c r="P31" s="1991" t="s">
        <v>3905</v>
      </c>
      <c r="Q31" s="1985"/>
      <c r="R31" s="1985"/>
      <c r="S31" s="1985"/>
      <c r="T31" s="1985" t="s">
        <v>208</v>
      </c>
      <c r="U31" s="429"/>
      <c r="V31" s="432">
        <v>41061</v>
      </c>
      <c r="W31" s="429"/>
      <c r="X31" s="518"/>
      <c r="Y31" s="429"/>
      <c r="Z31" s="429"/>
      <c r="AA31" s="429"/>
      <c r="AB31" s="429"/>
      <c r="AC31" s="476"/>
      <c r="AD31" s="429"/>
      <c r="AE31" s="476">
        <v>820380</v>
      </c>
      <c r="AF31" s="476">
        <v>130270.8</v>
      </c>
      <c r="AG31" s="476">
        <v>234381.4</v>
      </c>
      <c r="AH31" s="476">
        <v>364652.2</v>
      </c>
      <c r="AI31" s="179"/>
      <c r="AJ31" s="107"/>
      <c r="AK31" s="107"/>
      <c r="AL31" s="180"/>
      <c r="AM31" s="179"/>
      <c r="AN31" s="181"/>
      <c r="AO31" s="181"/>
      <c r="AP31" s="181"/>
      <c r="AQ31" s="181"/>
      <c r="AR31" s="182"/>
      <c r="AS31" s="468"/>
      <c r="AT31" s="165"/>
      <c r="AU31" s="165"/>
      <c r="AV31" s="165"/>
      <c r="AW31" s="165"/>
      <c r="AX31" s="165"/>
      <c r="AY31" s="165"/>
      <c r="AZ31" s="165"/>
      <c r="BA31" s="165"/>
      <c r="BB31" s="165"/>
      <c r="BC31" s="165"/>
      <c r="BD31" s="167"/>
    </row>
    <row r="32" spans="1:56" s="239" customFormat="1" ht="51" x14ac:dyDescent="0.25">
      <c r="A32" s="2192"/>
      <c r="B32" s="2195"/>
      <c r="C32" s="2021"/>
      <c r="D32" s="2021"/>
      <c r="E32" s="2021"/>
      <c r="F32" s="2252"/>
      <c r="G32" s="2197"/>
      <c r="H32" s="2292"/>
      <c r="I32" s="2252"/>
      <c r="J32" s="2176"/>
      <c r="K32" s="2176"/>
      <c r="L32" s="2143"/>
      <c r="M32" s="2197"/>
      <c r="N32" s="2033"/>
      <c r="O32" s="2033"/>
      <c r="P32" s="2176"/>
      <c r="Q32" s="2021"/>
      <c r="R32" s="2021"/>
      <c r="S32" s="2021"/>
      <c r="T32" s="2021"/>
      <c r="U32" s="457" t="s">
        <v>5275</v>
      </c>
      <c r="V32" s="432">
        <v>41275</v>
      </c>
      <c r="W32" s="431">
        <v>10962</v>
      </c>
      <c r="X32" s="518" t="s">
        <v>5252</v>
      </c>
      <c r="Y32" s="432">
        <v>41275</v>
      </c>
      <c r="Z32" s="432">
        <v>41364</v>
      </c>
      <c r="AA32" s="429"/>
      <c r="AB32" s="429"/>
      <c r="AC32" s="476">
        <v>74580</v>
      </c>
      <c r="AD32" s="429"/>
      <c r="AE32" s="476"/>
      <c r="AF32" s="429"/>
      <c r="AG32" s="476"/>
      <c r="AH32" s="476"/>
      <c r="AI32" s="179"/>
      <c r="AJ32" s="107"/>
      <c r="AK32" s="107"/>
      <c r="AL32" s="180"/>
      <c r="AM32" s="179"/>
      <c r="AN32" s="181"/>
      <c r="AO32" s="181"/>
      <c r="AP32" s="181"/>
      <c r="AQ32" s="181"/>
      <c r="AR32" s="182"/>
      <c r="AS32" s="468"/>
      <c r="AT32" s="165"/>
      <c r="AU32" s="165"/>
      <c r="AV32" s="165"/>
      <c r="AW32" s="165"/>
      <c r="AX32" s="165"/>
      <c r="AY32" s="165"/>
      <c r="AZ32" s="165"/>
      <c r="BA32" s="165"/>
      <c r="BB32" s="165"/>
      <c r="BC32" s="165"/>
      <c r="BD32" s="167"/>
    </row>
    <row r="33" spans="1:56" s="239" customFormat="1" ht="51" x14ac:dyDescent="0.25">
      <c r="A33" s="2192"/>
      <c r="B33" s="2195"/>
      <c r="C33" s="2021"/>
      <c r="D33" s="2021"/>
      <c r="E33" s="2021"/>
      <c r="F33" s="2252"/>
      <c r="G33" s="2197"/>
      <c r="H33" s="2292"/>
      <c r="I33" s="2252"/>
      <c r="J33" s="2176"/>
      <c r="K33" s="2176"/>
      <c r="L33" s="2143"/>
      <c r="M33" s="2197"/>
      <c r="N33" s="2033"/>
      <c r="O33" s="2033"/>
      <c r="P33" s="2176"/>
      <c r="Q33" s="2021"/>
      <c r="R33" s="2021"/>
      <c r="S33" s="2021"/>
      <c r="T33" s="2021"/>
      <c r="U33" s="457" t="s">
        <v>5276</v>
      </c>
      <c r="V33" s="432">
        <v>41365</v>
      </c>
      <c r="W33" s="431">
        <v>11025</v>
      </c>
      <c r="X33" s="518" t="s">
        <v>5252</v>
      </c>
      <c r="Y33" s="432">
        <v>41365</v>
      </c>
      <c r="Z33" s="432">
        <v>41670</v>
      </c>
      <c r="AA33" s="429"/>
      <c r="AB33" s="429"/>
      <c r="AC33" s="476">
        <v>248600</v>
      </c>
      <c r="AD33" s="429"/>
      <c r="AE33" s="476"/>
      <c r="AF33" s="429"/>
      <c r="AG33" s="476"/>
      <c r="AH33" s="476"/>
      <c r="AI33" s="179"/>
      <c r="AJ33" s="107"/>
      <c r="AK33" s="107"/>
      <c r="AL33" s="180"/>
      <c r="AM33" s="179"/>
      <c r="AN33" s="181"/>
      <c r="AO33" s="181"/>
      <c r="AP33" s="181"/>
      <c r="AQ33" s="181"/>
      <c r="AR33" s="182"/>
      <c r="AS33" s="468"/>
      <c r="AT33" s="165"/>
      <c r="AU33" s="165"/>
      <c r="AV33" s="165"/>
      <c r="AW33" s="165"/>
      <c r="AX33" s="165"/>
      <c r="AY33" s="165"/>
      <c r="AZ33" s="165"/>
      <c r="BA33" s="165"/>
      <c r="BB33" s="165"/>
      <c r="BC33" s="165"/>
      <c r="BD33" s="167"/>
    </row>
    <row r="34" spans="1:56" s="239" customFormat="1" ht="51" x14ac:dyDescent="0.25">
      <c r="A34" s="2193"/>
      <c r="B34" s="2196"/>
      <c r="C34" s="1986"/>
      <c r="D34" s="1986"/>
      <c r="E34" s="1986"/>
      <c r="F34" s="2234"/>
      <c r="G34" s="1995"/>
      <c r="H34" s="2012"/>
      <c r="I34" s="2234"/>
      <c r="J34" s="1992"/>
      <c r="K34" s="1992"/>
      <c r="L34" s="2144"/>
      <c r="M34" s="1995"/>
      <c r="N34" s="1997"/>
      <c r="O34" s="1997"/>
      <c r="P34" s="1992"/>
      <c r="Q34" s="1986"/>
      <c r="R34" s="1986"/>
      <c r="S34" s="1986"/>
      <c r="T34" s="1986"/>
      <c r="U34" s="457" t="s">
        <v>5277</v>
      </c>
      <c r="V34" s="432">
        <v>41671</v>
      </c>
      <c r="W34" s="431">
        <v>11233</v>
      </c>
      <c r="X34" s="518" t="s">
        <v>5252</v>
      </c>
      <c r="Y34" s="432">
        <v>41671</v>
      </c>
      <c r="Z34" s="432">
        <v>41943</v>
      </c>
      <c r="AA34" s="429"/>
      <c r="AB34" s="429"/>
      <c r="AC34" s="476">
        <v>248600</v>
      </c>
      <c r="AD34" s="429"/>
      <c r="AE34" s="476"/>
      <c r="AF34" s="429"/>
      <c r="AG34" s="476"/>
      <c r="AH34" s="476"/>
      <c r="AI34" s="179"/>
      <c r="AJ34" s="107"/>
      <c r="AK34" s="107"/>
      <c r="AL34" s="180"/>
      <c r="AM34" s="179"/>
      <c r="AN34" s="181"/>
      <c r="AO34" s="181"/>
      <c r="AP34" s="181"/>
      <c r="AQ34" s="181"/>
      <c r="AR34" s="182"/>
      <c r="AS34" s="468"/>
      <c r="AT34" s="165"/>
      <c r="AU34" s="165"/>
      <c r="AV34" s="165"/>
      <c r="AW34" s="165"/>
      <c r="AX34" s="165"/>
      <c r="AY34" s="165"/>
      <c r="AZ34" s="165"/>
      <c r="BA34" s="165"/>
      <c r="BB34" s="165"/>
      <c r="BC34" s="165"/>
      <c r="BD34" s="167"/>
    </row>
    <row r="35" spans="1:56" s="239" customFormat="1" ht="25.5" customHeight="1" x14ac:dyDescent="0.25">
      <c r="A35" s="2191">
        <v>6</v>
      </c>
      <c r="B35" s="2194" t="s">
        <v>5278</v>
      </c>
      <c r="C35" s="1985" t="s">
        <v>5279</v>
      </c>
      <c r="D35" s="1985" t="s">
        <v>5262</v>
      </c>
      <c r="E35" s="1985" t="s">
        <v>5243</v>
      </c>
      <c r="F35" s="2233" t="s">
        <v>5280</v>
      </c>
      <c r="G35" s="1994">
        <v>10621</v>
      </c>
      <c r="H35" s="2011" t="s">
        <v>944</v>
      </c>
      <c r="I35" s="2233" t="s">
        <v>5281</v>
      </c>
      <c r="J35" s="1991" t="s">
        <v>5282</v>
      </c>
      <c r="K35" s="1996">
        <v>40819</v>
      </c>
      <c r="L35" s="2142">
        <v>65880</v>
      </c>
      <c r="M35" s="1994">
        <v>10801</v>
      </c>
      <c r="N35" s="1996">
        <v>40819</v>
      </c>
      <c r="O35" s="1996">
        <v>41550</v>
      </c>
      <c r="P35" s="1991" t="s">
        <v>3905</v>
      </c>
      <c r="Q35" s="1985"/>
      <c r="R35" s="1985"/>
      <c r="S35" s="1985"/>
      <c r="T35" s="1985" t="s">
        <v>158</v>
      </c>
      <c r="U35" s="429"/>
      <c r="V35" s="429"/>
      <c r="W35" s="429"/>
      <c r="X35" s="518"/>
      <c r="Y35" s="429"/>
      <c r="Z35" s="429"/>
      <c r="AA35" s="429"/>
      <c r="AB35" s="429"/>
      <c r="AC35" s="429"/>
      <c r="AD35" s="429"/>
      <c r="AE35" s="476">
        <v>208620</v>
      </c>
      <c r="AF35" s="476">
        <v>148230</v>
      </c>
      <c r="AG35" s="476">
        <v>54900</v>
      </c>
      <c r="AH35" s="476">
        <v>203130</v>
      </c>
      <c r="AI35" s="179"/>
      <c r="AJ35" s="107"/>
      <c r="AK35" s="107"/>
      <c r="AL35" s="180"/>
      <c r="AM35" s="179"/>
      <c r="AN35" s="181"/>
      <c r="AO35" s="181"/>
      <c r="AP35" s="181"/>
      <c r="AQ35" s="181"/>
      <c r="AR35" s="182"/>
      <c r="AS35" s="468"/>
      <c r="AT35" s="165"/>
      <c r="AU35" s="165"/>
      <c r="AV35" s="165"/>
      <c r="AW35" s="165"/>
      <c r="AX35" s="165"/>
      <c r="AY35" s="165"/>
      <c r="AZ35" s="165"/>
      <c r="BA35" s="165"/>
      <c r="BB35" s="165"/>
      <c r="BC35" s="165"/>
      <c r="BD35" s="167"/>
    </row>
    <row r="36" spans="1:56" s="239" customFormat="1" ht="51" x14ac:dyDescent="0.25">
      <c r="A36" s="2192"/>
      <c r="B36" s="2195"/>
      <c r="C36" s="2021"/>
      <c r="D36" s="2021"/>
      <c r="E36" s="2021"/>
      <c r="F36" s="2252"/>
      <c r="G36" s="2197"/>
      <c r="H36" s="2292"/>
      <c r="I36" s="2252"/>
      <c r="J36" s="2176"/>
      <c r="K36" s="2033"/>
      <c r="L36" s="2143"/>
      <c r="M36" s="2197"/>
      <c r="N36" s="2033"/>
      <c r="O36" s="2033"/>
      <c r="P36" s="2176"/>
      <c r="Q36" s="2021"/>
      <c r="R36" s="2021"/>
      <c r="S36" s="2021"/>
      <c r="T36" s="2021"/>
      <c r="U36" s="457" t="s">
        <v>5275</v>
      </c>
      <c r="V36" s="432">
        <v>41550</v>
      </c>
      <c r="W36" s="431">
        <v>10898</v>
      </c>
      <c r="X36" s="518" t="s">
        <v>5252</v>
      </c>
      <c r="Y36" s="432">
        <v>41185</v>
      </c>
      <c r="Z36" s="432">
        <v>41274</v>
      </c>
      <c r="AA36" s="70"/>
      <c r="AB36" s="429"/>
      <c r="AC36" s="476">
        <v>16470</v>
      </c>
      <c r="AD36" s="429"/>
      <c r="AE36" s="476"/>
      <c r="AF36" s="429"/>
      <c r="AG36" s="476"/>
      <c r="AH36" s="476"/>
      <c r="AI36" s="179"/>
      <c r="AJ36" s="107"/>
      <c r="AK36" s="107"/>
      <c r="AL36" s="180"/>
      <c r="AM36" s="179"/>
      <c r="AN36" s="181"/>
      <c r="AO36" s="181"/>
      <c r="AP36" s="181"/>
      <c r="AQ36" s="181"/>
      <c r="AR36" s="182"/>
      <c r="AS36" s="468"/>
      <c r="AT36" s="165"/>
      <c r="AU36" s="165"/>
      <c r="AV36" s="165"/>
      <c r="AW36" s="165"/>
      <c r="AX36" s="165"/>
      <c r="AY36" s="165"/>
      <c r="AZ36" s="165"/>
      <c r="BA36" s="165"/>
      <c r="BB36" s="165"/>
      <c r="BC36" s="165"/>
      <c r="BD36" s="167"/>
    </row>
    <row r="37" spans="1:56" s="239" customFormat="1" ht="51" x14ac:dyDescent="0.25">
      <c r="A37" s="2192"/>
      <c r="B37" s="2195"/>
      <c r="C37" s="2021"/>
      <c r="D37" s="2021"/>
      <c r="E37" s="2021"/>
      <c r="F37" s="2252"/>
      <c r="G37" s="2197"/>
      <c r="H37" s="2292"/>
      <c r="I37" s="2252"/>
      <c r="J37" s="2176"/>
      <c r="K37" s="2033"/>
      <c r="L37" s="2143"/>
      <c r="M37" s="2197"/>
      <c r="N37" s="2033"/>
      <c r="O37" s="2033"/>
      <c r="P37" s="2176"/>
      <c r="Q37" s="2021"/>
      <c r="R37" s="2021"/>
      <c r="S37" s="2021"/>
      <c r="T37" s="2021"/>
      <c r="U37" s="457" t="s">
        <v>5276</v>
      </c>
      <c r="V37" s="432">
        <v>41275</v>
      </c>
      <c r="W37" s="431">
        <v>10981</v>
      </c>
      <c r="X37" s="518" t="s">
        <v>5252</v>
      </c>
      <c r="Y37" s="432">
        <v>41275</v>
      </c>
      <c r="Z37" s="432">
        <v>41364</v>
      </c>
      <c r="AA37" s="70"/>
      <c r="AB37" s="429"/>
      <c r="AC37" s="476">
        <v>16470</v>
      </c>
      <c r="AD37" s="429"/>
      <c r="AE37" s="476"/>
      <c r="AF37" s="429"/>
      <c r="AG37" s="476"/>
      <c r="AH37" s="476"/>
      <c r="AI37" s="179"/>
      <c r="AJ37" s="107"/>
      <c r="AK37" s="107"/>
      <c r="AL37" s="180"/>
      <c r="AM37" s="179"/>
      <c r="AN37" s="181"/>
      <c r="AO37" s="181"/>
      <c r="AP37" s="181"/>
      <c r="AQ37" s="181"/>
      <c r="AR37" s="182"/>
      <c r="AS37" s="468"/>
      <c r="AT37" s="165"/>
      <c r="AU37" s="165"/>
      <c r="AV37" s="165"/>
      <c r="AW37" s="165"/>
      <c r="AX37" s="165"/>
      <c r="AY37" s="165"/>
      <c r="AZ37" s="165"/>
      <c r="BA37" s="165"/>
      <c r="BB37" s="165"/>
      <c r="BC37" s="165"/>
      <c r="BD37" s="167"/>
    </row>
    <row r="38" spans="1:56" s="239" customFormat="1" ht="51" x14ac:dyDescent="0.25">
      <c r="A38" s="2192"/>
      <c r="B38" s="2195"/>
      <c r="C38" s="2021"/>
      <c r="D38" s="2021"/>
      <c r="E38" s="2021"/>
      <c r="F38" s="2252"/>
      <c r="G38" s="2197"/>
      <c r="H38" s="2292"/>
      <c r="I38" s="2252"/>
      <c r="J38" s="2176"/>
      <c r="K38" s="2033"/>
      <c r="L38" s="2143"/>
      <c r="M38" s="2197"/>
      <c r="N38" s="2033"/>
      <c r="O38" s="2033"/>
      <c r="P38" s="2176"/>
      <c r="Q38" s="2021"/>
      <c r="R38" s="2021"/>
      <c r="S38" s="2021"/>
      <c r="T38" s="2021"/>
      <c r="U38" s="457" t="s">
        <v>5277</v>
      </c>
      <c r="V38" s="432">
        <v>41365</v>
      </c>
      <c r="W38" s="431">
        <v>11041</v>
      </c>
      <c r="X38" s="518" t="s">
        <v>5252</v>
      </c>
      <c r="Y38" s="432">
        <v>41365</v>
      </c>
      <c r="Z38" s="432">
        <v>41425</v>
      </c>
      <c r="AA38" s="70"/>
      <c r="AB38" s="429"/>
      <c r="AC38" s="476">
        <v>10980</v>
      </c>
      <c r="AD38" s="429"/>
      <c r="AE38" s="476"/>
      <c r="AF38" s="429"/>
      <c r="AG38" s="476"/>
      <c r="AH38" s="476"/>
      <c r="AI38" s="179"/>
      <c r="AJ38" s="107"/>
      <c r="AK38" s="107"/>
      <c r="AL38" s="180"/>
      <c r="AM38" s="179"/>
      <c r="AN38" s="181"/>
      <c r="AO38" s="181"/>
      <c r="AP38" s="181"/>
      <c r="AQ38" s="181"/>
      <c r="AR38" s="182"/>
      <c r="AS38" s="468"/>
      <c r="AT38" s="165"/>
      <c r="AU38" s="165"/>
      <c r="AV38" s="165"/>
      <c r="AW38" s="165"/>
      <c r="AX38" s="165"/>
      <c r="AY38" s="165"/>
      <c r="AZ38" s="165"/>
      <c r="BA38" s="165"/>
      <c r="BB38" s="165"/>
      <c r="BC38" s="165"/>
      <c r="BD38" s="167"/>
    </row>
    <row r="39" spans="1:56" s="239" customFormat="1" ht="51" x14ac:dyDescent="0.25">
      <c r="A39" s="2192"/>
      <c r="B39" s="2195"/>
      <c r="C39" s="2021"/>
      <c r="D39" s="2021"/>
      <c r="E39" s="2021"/>
      <c r="F39" s="2252"/>
      <c r="G39" s="2197"/>
      <c r="H39" s="2292"/>
      <c r="I39" s="2252"/>
      <c r="J39" s="2176"/>
      <c r="K39" s="2033"/>
      <c r="L39" s="2143"/>
      <c r="M39" s="2197"/>
      <c r="N39" s="2033"/>
      <c r="O39" s="2033"/>
      <c r="P39" s="2176"/>
      <c r="Q39" s="2021"/>
      <c r="R39" s="2021"/>
      <c r="S39" s="2021"/>
      <c r="T39" s="2021"/>
      <c r="U39" s="457" t="s">
        <v>5283</v>
      </c>
      <c r="V39" s="432">
        <v>41426</v>
      </c>
      <c r="W39" s="431">
        <v>11066</v>
      </c>
      <c r="X39" s="518" t="s">
        <v>5252</v>
      </c>
      <c r="Y39" s="432">
        <v>41426</v>
      </c>
      <c r="Z39" s="432">
        <v>41456</v>
      </c>
      <c r="AA39" s="70"/>
      <c r="AB39" s="429"/>
      <c r="AC39" s="476">
        <v>5490</v>
      </c>
      <c r="AD39" s="429"/>
      <c r="AE39" s="476"/>
      <c r="AF39" s="429"/>
      <c r="AG39" s="476"/>
      <c r="AH39" s="476"/>
      <c r="AI39" s="179"/>
      <c r="AJ39" s="107"/>
      <c r="AK39" s="107"/>
      <c r="AL39" s="180"/>
      <c r="AM39" s="179"/>
      <c r="AN39" s="181"/>
      <c r="AO39" s="181"/>
      <c r="AP39" s="181"/>
      <c r="AQ39" s="181"/>
      <c r="AR39" s="182"/>
      <c r="AS39" s="468"/>
      <c r="AT39" s="165"/>
      <c r="AU39" s="165"/>
      <c r="AV39" s="165"/>
      <c r="AW39" s="165"/>
      <c r="AX39" s="165"/>
      <c r="AY39" s="165"/>
      <c r="AZ39" s="165"/>
      <c r="BA39" s="165"/>
      <c r="BB39" s="165"/>
      <c r="BC39" s="165"/>
      <c r="BD39" s="167"/>
    </row>
    <row r="40" spans="1:56" s="239" customFormat="1" ht="51" x14ac:dyDescent="0.25">
      <c r="A40" s="2192"/>
      <c r="B40" s="2195"/>
      <c r="C40" s="2021"/>
      <c r="D40" s="2021"/>
      <c r="E40" s="2021"/>
      <c r="F40" s="2252"/>
      <c r="G40" s="2197"/>
      <c r="H40" s="2292"/>
      <c r="I40" s="2252"/>
      <c r="J40" s="2176"/>
      <c r="K40" s="2033"/>
      <c r="L40" s="2143"/>
      <c r="M40" s="2197"/>
      <c r="N40" s="2033"/>
      <c r="O40" s="2033"/>
      <c r="P40" s="2176"/>
      <c r="Q40" s="2021"/>
      <c r="R40" s="2021"/>
      <c r="S40" s="2021"/>
      <c r="T40" s="2021"/>
      <c r="U40" s="457" t="s">
        <v>5284</v>
      </c>
      <c r="V40" s="432">
        <v>41487</v>
      </c>
      <c r="W40" s="431">
        <v>11114</v>
      </c>
      <c r="X40" s="518" t="s">
        <v>5252</v>
      </c>
      <c r="Y40" s="432">
        <v>41487</v>
      </c>
      <c r="Z40" s="432">
        <v>41639</v>
      </c>
      <c r="AA40" s="70"/>
      <c r="AB40" s="429"/>
      <c r="AC40" s="476">
        <v>27450</v>
      </c>
      <c r="AD40" s="429"/>
      <c r="AE40" s="476"/>
      <c r="AF40" s="429"/>
      <c r="AG40" s="476"/>
      <c r="AH40" s="476"/>
      <c r="AI40" s="179"/>
      <c r="AJ40" s="107"/>
      <c r="AK40" s="107"/>
      <c r="AL40" s="180"/>
      <c r="AM40" s="179"/>
      <c r="AN40" s="181"/>
      <c r="AO40" s="181"/>
      <c r="AP40" s="181"/>
      <c r="AQ40" s="181"/>
      <c r="AR40" s="182"/>
      <c r="AS40" s="468"/>
      <c r="AT40" s="165"/>
      <c r="AU40" s="165"/>
      <c r="AV40" s="165"/>
      <c r="AW40" s="165"/>
      <c r="AX40" s="165"/>
      <c r="AY40" s="165"/>
      <c r="AZ40" s="165"/>
      <c r="BA40" s="165"/>
      <c r="BB40" s="165"/>
      <c r="BC40" s="165"/>
      <c r="BD40" s="167"/>
    </row>
    <row r="41" spans="1:56" s="239" customFormat="1" ht="51" x14ac:dyDescent="0.25">
      <c r="A41" s="2192"/>
      <c r="B41" s="2195"/>
      <c r="C41" s="2021"/>
      <c r="D41" s="2021"/>
      <c r="E41" s="2021"/>
      <c r="F41" s="2252"/>
      <c r="G41" s="2197"/>
      <c r="H41" s="2292"/>
      <c r="I41" s="2252"/>
      <c r="J41" s="2176"/>
      <c r="K41" s="2033"/>
      <c r="L41" s="2143"/>
      <c r="M41" s="2197"/>
      <c r="N41" s="2033"/>
      <c r="O41" s="2033"/>
      <c r="P41" s="2176"/>
      <c r="Q41" s="2021"/>
      <c r="R41" s="2021"/>
      <c r="S41" s="2021"/>
      <c r="T41" s="2021"/>
      <c r="U41" s="457" t="s">
        <v>5285</v>
      </c>
      <c r="V41" s="432">
        <v>41640</v>
      </c>
      <c r="W41" s="431">
        <v>11237</v>
      </c>
      <c r="X41" s="518" t="s">
        <v>5252</v>
      </c>
      <c r="Y41" s="432">
        <v>41640</v>
      </c>
      <c r="Z41" s="432">
        <v>41759</v>
      </c>
      <c r="AA41" s="70"/>
      <c r="AB41" s="429"/>
      <c r="AC41" s="476">
        <v>21960</v>
      </c>
      <c r="AD41" s="429"/>
      <c r="AE41" s="476"/>
      <c r="AF41" s="429"/>
      <c r="AG41" s="476"/>
      <c r="AH41" s="476"/>
      <c r="AI41" s="179"/>
      <c r="AJ41" s="107"/>
      <c r="AK41" s="107"/>
      <c r="AL41" s="180"/>
      <c r="AM41" s="179"/>
      <c r="AN41" s="181"/>
      <c r="AO41" s="181"/>
      <c r="AP41" s="181"/>
      <c r="AQ41" s="181"/>
      <c r="AR41" s="182"/>
      <c r="AS41" s="468"/>
      <c r="AT41" s="165"/>
      <c r="AU41" s="165"/>
      <c r="AV41" s="165"/>
      <c r="AW41" s="165"/>
      <c r="AX41" s="165"/>
      <c r="AY41" s="165"/>
      <c r="AZ41" s="165"/>
      <c r="BA41" s="165"/>
      <c r="BB41" s="165"/>
      <c r="BC41" s="165"/>
      <c r="BD41" s="167"/>
    </row>
    <row r="42" spans="1:56" s="239" customFormat="1" ht="51" x14ac:dyDescent="0.25">
      <c r="A42" s="2193"/>
      <c r="B42" s="2196"/>
      <c r="C42" s="1986"/>
      <c r="D42" s="1986"/>
      <c r="E42" s="1986"/>
      <c r="F42" s="2234"/>
      <c r="G42" s="1995"/>
      <c r="H42" s="2012"/>
      <c r="I42" s="2234"/>
      <c r="J42" s="1992"/>
      <c r="K42" s="1997"/>
      <c r="L42" s="2144"/>
      <c r="M42" s="1995"/>
      <c r="N42" s="1997"/>
      <c r="O42" s="1997"/>
      <c r="P42" s="1992"/>
      <c r="Q42" s="1986"/>
      <c r="R42" s="1986"/>
      <c r="S42" s="1986"/>
      <c r="T42" s="1986"/>
      <c r="U42" s="457" t="s">
        <v>5286</v>
      </c>
      <c r="V42" s="432">
        <v>41760</v>
      </c>
      <c r="W42" s="431">
        <v>11305</v>
      </c>
      <c r="X42" s="518" t="s">
        <v>5252</v>
      </c>
      <c r="Y42" s="432">
        <v>41760</v>
      </c>
      <c r="Z42" s="432">
        <v>42003</v>
      </c>
      <c r="AA42" s="70"/>
      <c r="AB42" s="429"/>
      <c r="AC42" s="476">
        <v>43920</v>
      </c>
      <c r="AD42" s="429"/>
      <c r="AE42" s="476"/>
      <c r="AF42" s="429"/>
      <c r="AG42" s="476"/>
      <c r="AH42" s="476"/>
      <c r="AI42" s="179"/>
      <c r="AJ42" s="107"/>
      <c r="AK42" s="107"/>
      <c r="AL42" s="180"/>
      <c r="AM42" s="179"/>
      <c r="AN42" s="181"/>
      <c r="AO42" s="181"/>
      <c r="AP42" s="181"/>
      <c r="AQ42" s="181"/>
      <c r="AR42" s="182"/>
      <c r="AS42" s="468"/>
      <c r="AT42" s="165"/>
      <c r="AU42" s="165"/>
      <c r="AV42" s="165"/>
      <c r="AW42" s="165"/>
      <c r="AX42" s="165"/>
      <c r="AY42" s="165"/>
      <c r="AZ42" s="165"/>
      <c r="BA42" s="165"/>
      <c r="BB42" s="165"/>
      <c r="BC42" s="165"/>
      <c r="BD42" s="167"/>
    </row>
    <row r="43" spans="1:56" s="239" customFormat="1" ht="25.5" customHeight="1" x14ac:dyDescent="0.25">
      <c r="A43" s="2191">
        <v>7</v>
      </c>
      <c r="B43" s="2194" t="s">
        <v>587</v>
      </c>
      <c r="C43" s="1985" t="s">
        <v>5287</v>
      </c>
      <c r="D43" s="2163" t="s">
        <v>5262</v>
      </c>
      <c r="E43" s="1985" t="s">
        <v>5288</v>
      </c>
      <c r="F43" s="1985" t="s">
        <v>5289</v>
      </c>
      <c r="G43" s="1994">
        <v>10215</v>
      </c>
      <c r="H43" s="2011" t="s">
        <v>1219</v>
      </c>
      <c r="I43" s="1985" t="s">
        <v>5290</v>
      </c>
      <c r="J43" s="1991" t="s">
        <v>5246</v>
      </c>
      <c r="K43" s="1991" t="s">
        <v>5291</v>
      </c>
      <c r="L43" s="2142">
        <v>592505</v>
      </c>
      <c r="M43" s="1994">
        <v>10273</v>
      </c>
      <c r="N43" s="1996">
        <v>40280</v>
      </c>
      <c r="O43" s="1996">
        <v>40589</v>
      </c>
      <c r="P43" s="1991" t="s">
        <v>3905</v>
      </c>
      <c r="Q43" s="1985"/>
      <c r="R43" s="1985"/>
      <c r="S43" s="1985"/>
      <c r="T43" s="1985" t="s">
        <v>208</v>
      </c>
      <c r="U43" s="429"/>
      <c r="V43" s="429"/>
      <c r="W43" s="429"/>
      <c r="X43" s="518"/>
      <c r="Y43" s="429"/>
      <c r="Z43" s="429"/>
      <c r="AA43" s="70"/>
      <c r="AB43" s="429"/>
      <c r="AC43" s="476"/>
      <c r="AD43" s="429"/>
      <c r="AE43" s="476">
        <v>3406903.75</v>
      </c>
      <c r="AF43" s="476">
        <v>2204888.65</v>
      </c>
      <c r="AG43" s="476">
        <v>705149.45</v>
      </c>
      <c r="AH43" s="476">
        <f>SUM(AF43:AG43)</f>
        <v>2910038.0999999996</v>
      </c>
      <c r="AI43" s="179"/>
      <c r="AJ43" s="107"/>
      <c r="AK43" s="107"/>
      <c r="AL43" s="180"/>
      <c r="AM43" s="179"/>
      <c r="AN43" s="181"/>
      <c r="AO43" s="181"/>
      <c r="AP43" s="181"/>
      <c r="AQ43" s="181"/>
      <c r="AR43" s="182"/>
      <c r="AS43" s="468"/>
      <c r="AT43" s="165"/>
      <c r="AU43" s="165"/>
      <c r="AV43" s="165"/>
      <c r="AW43" s="165"/>
      <c r="AX43" s="165"/>
      <c r="AY43" s="165"/>
      <c r="AZ43" s="165"/>
      <c r="BA43" s="165"/>
      <c r="BB43" s="165"/>
      <c r="BC43" s="165"/>
      <c r="BD43" s="167"/>
    </row>
    <row r="44" spans="1:56" s="239" customFormat="1" ht="51" x14ac:dyDescent="0.25">
      <c r="A44" s="2192"/>
      <c r="B44" s="2195"/>
      <c r="C44" s="2021"/>
      <c r="D44" s="2175"/>
      <c r="E44" s="2021"/>
      <c r="F44" s="2021"/>
      <c r="G44" s="2197"/>
      <c r="H44" s="2292"/>
      <c r="I44" s="2021"/>
      <c r="J44" s="2176"/>
      <c r="K44" s="2176"/>
      <c r="L44" s="2143"/>
      <c r="M44" s="2197"/>
      <c r="N44" s="2033"/>
      <c r="O44" s="2033"/>
      <c r="P44" s="2176"/>
      <c r="Q44" s="2021"/>
      <c r="R44" s="2021"/>
      <c r="S44" s="2021"/>
      <c r="T44" s="2021"/>
      <c r="U44" s="457" t="s">
        <v>5275</v>
      </c>
      <c r="V44" s="432">
        <v>40590</v>
      </c>
      <c r="W44" s="431">
        <v>10516</v>
      </c>
      <c r="X44" s="518" t="s">
        <v>5252</v>
      </c>
      <c r="Y44" s="432">
        <v>40590</v>
      </c>
      <c r="Z44" s="432">
        <v>40893</v>
      </c>
      <c r="AA44" s="429"/>
      <c r="AB44" s="429"/>
      <c r="AC44" s="476">
        <v>592505</v>
      </c>
      <c r="AD44" s="429"/>
      <c r="AE44" s="476"/>
      <c r="AF44" s="476"/>
      <c r="AG44" s="476"/>
      <c r="AH44" s="476"/>
      <c r="AI44" s="179"/>
      <c r="AJ44" s="107"/>
      <c r="AK44" s="107"/>
      <c r="AL44" s="180"/>
      <c r="AM44" s="179"/>
      <c r="AN44" s="181"/>
      <c r="AO44" s="181"/>
      <c r="AP44" s="181"/>
      <c r="AQ44" s="181"/>
      <c r="AR44" s="182"/>
      <c r="AS44" s="468"/>
      <c r="AT44" s="165"/>
      <c r="AU44" s="165"/>
      <c r="AV44" s="165"/>
      <c r="AW44" s="165"/>
      <c r="AX44" s="165"/>
      <c r="AY44" s="165"/>
      <c r="AZ44" s="165"/>
      <c r="BA44" s="165"/>
      <c r="BB44" s="165"/>
      <c r="BC44" s="165"/>
      <c r="BD44" s="167"/>
    </row>
    <row r="45" spans="1:56" s="239" customFormat="1" ht="51" x14ac:dyDescent="0.25">
      <c r="A45" s="2192"/>
      <c r="B45" s="2195"/>
      <c r="C45" s="2021"/>
      <c r="D45" s="2175"/>
      <c r="E45" s="2021"/>
      <c r="F45" s="2021"/>
      <c r="G45" s="2197"/>
      <c r="H45" s="2292"/>
      <c r="I45" s="2021"/>
      <c r="J45" s="2176"/>
      <c r="K45" s="2176"/>
      <c r="L45" s="2143"/>
      <c r="M45" s="2197"/>
      <c r="N45" s="2033"/>
      <c r="O45" s="2033"/>
      <c r="P45" s="2176"/>
      <c r="Q45" s="2021"/>
      <c r="R45" s="2021"/>
      <c r="S45" s="2021"/>
      <c r="T45" s="2021"/>
      <c r="U45" s="457" t="s">
        <v>5276</v>
      </c>
      <c r="V45" s="432">
        <v>40893</v>
      </c>
      <c r="W45" s="431">
        <v>10706</v>
      </c>
      <c r="X45" s="518" t="s">
        <v>5252</v>
      </c>
      <c r="Y45" s="432">
        <v>40893</v>
      </c>
      <c r="Z45" s="432">
        <v>41198</v>
      </c>
      <c r="AA45" s="429"/>
      <c r="AB45" s="429"/>
      <c r="AC45" s="476">
        <v>592505</v>
      </c>
      <c r="AD45" s="429"/>
      <c r="AE45" s="476"/>
      <c r="AF45" s="476"/>
      <c r="AG45" s="476"/>
      <c r="AH45" s="476"/>
      <c r="AI45" s="179"/>
      <c r="AJ45" s="107"/>
      <c r="AK45" s="107"/>
      <c r="AL45" s="180"/>
      <c r="AM45" s="179"/>
      <c r="AN45" s="181"/>
      <c r="AO45" s="181"/>
      <c r="AP45" s="181"/>
      <c r="AQ45" s="181"/>
      <c r="AR45" s="182"/>
      <c r="AS45" s="468"/>
      <c r="AT45" s="165"/>
      <c r="AU45" s="165"/>
      <c r="AV45" s="165"/>
      <c r="AW45" s="165"/>
      <c r="AX45" s="165"/>
      <c r="AY45" s="165"/>
      <c r="AZ45" s="165"/>
      <c r="BA45" s="165"/>
      <c r="BB45" s="165"/>
      <c r="BC45" s="165"/>
      <c r="BD45" s="167"/>
    </row>
    <row r="46" spans="1:56" s="239" customFormat="1" ht="25.5" x14ac:dyDescent="0.25">
      <c r="A46" s="2192"/>
      <c r="B46" s="2195"/>
      <c r="C46" s="2021"/>
      <c r="D46" s="2175"/>
      <c r="E46" s="2021"/>
      <c r="F46" s="2021"/>
      <c r="G46" s="2197"/>
      <c r="H46" s="2292"/>
      <c r="I46" s="2021"/>
      <c r="J46" s="2176"/>
      <c r="K46" s="2176"/>
      <c r="L46" s="2143"/>
      <c r="M46" s="2197"/>
      <c r="N46" s="2033"/>
      <c r="O46" s="2033"/>
      <c r="P46" s="2176"/>
      <c r="Q46" s="2021"/>
      <c r="R46" s="2021"/>
      <c r="S46" s="2021"/>
      <c r="T46" s="2021"/>
      <c r="U46" s="457" t="s">
        <v>5277</v>
      </c>
      <c r="V46" s="432">
        <v>41199</v>
      </c>
      <c r="W46" s="431">
        <v>10919</v>
      </c>
      <c r="X46" s="518" t="s">
        <v>5292</v>
      </c>
      <c r="Y46" s="432">
        <v>41199</v>
      </c>
      <c r="Z46" s="432">
        <v>41274</v>
      </c>
      <c r="AA46" s="429"/>
      <c r="AB46" s="429"/>
      <c r="AC46" s="476"/>
      <c r="AD46" s="429"/>
      <c r="AE46" s="476"/>
      <c r="AF46" s="476"/>
      <c r="AG46" s="476"/>
      <c r="AH46" s="476"/>
      <c r="AI46" s="179"/>
      <c r="AJ46" s="107"/>
      <c r="AK46" s="107"/>
      <c r="AL46" s="180"/>
      <c r="AM46" s="179"/>
      <c r="AN46" s="181"/>
      <c r="AO46" s="181"/>
      <c r="AP46" s="181"/>
      <c r="AQ46" s="181"/>
      <c r="AR46" s="182"/>
      <c r="AS46" s="468"/>
      <c r="AT46" s="165"/>
      <c r="AU46" s="165"/>
      <c r="AV46" s="165"/>
      <c r="AW46" s="165"/>
      <c r="AX46" s="165"/>
      <c r="AY46" s="165"/>
      <c r="AZ46" s="165"/>
      <c r="BA46" s="165"/>
      <c r="BB46" s="165"/>
      <c r="BC46" s="165"/>
      <c r="BD46" s="167"/>
    </row>
    <row r="47" spans="1:56" s="239" customFormat="1" ht="51" x14ac:dyDescent="0.25">
      <c r="A47" s="2192"/>
      <c r="B47" s="2195"/>
      <c r="C47" s="2021"/>
      <c r="D47" s="2175"/>
      <c r="E47" s="2021"/>
      <c r="F47" s="2021"/>
      <c r="G47" s="2197"/>
      <c r="H47" s="2292"/>
      <c r="I47" s="2021"/>
      <c r="J47" s="2176"/>
      <c r="K47" s="2176"/>
      <c r="L47" s="2143"/>
      <c r="M47" s="2197"/>
      <c r="N47" s="2033"/>
      <c r="O47" s="2033"/>
      <c r="P47" s="2176"/>
      <c r="Q47" s="2021"/>
      <c r="R47" s="2021"/>
      <c r="S47" s="2021"/>
      <c r="T47" s="2021"/>
      <c r="U47" s="457" t="s">
        <v>5283</v>
      </c>
      <c r="V47" s="432">
        <v>41275</v>
      </c>
      <c r="W47" s="431">
        <v>10981</v>
      </c>
      <c r="X47" s="518" t="s">
        <v>5252</v>
      </c>
      <c r="Y47" s="432">
        <v>41275</v>
      </c>
      <c r="Z47" s="432">
        <v>41364</v>
      </c>
      <c r="AA47" s="429"/>
      <c r="AB47" s="429"/>
      <c r="AC47" s="476">
        <v>177751.5</v>
      </c>
      <c r="AD47" s="429"/>
      <c r="AE47" s="476"/>
      <c r="AF47" s="476"/>
      <c r="AG47" s="476"/>
      <c r="AH47" s="476"/>
      <c r="AI47" s="179"/>
      <c r="AJ47" s="107"/>
      <c r="AK47" s="107"/>
      <c r="AL47" s="180"/>
      <c r="AM47" s="179"/>
      <c r="AN47" s="181"/>
      <c r="AO47" s="181"/>
      <c r="AP47" s="181"/>
      <c r="AQ47" s="181"/>
      <c r="AR47" s="182"/>
      <c r="AS47" s="468"/>
      <c r="AT47" s="165"/>
      <c r="AU47" s="165"/>
      <c r="AV47" s="165"/>
      <c r="AW47" s="165"/>
      <c r="AX47" s="165"/>
      <c r="AY47" s="165"/>
      <c r="AZ47" s="165"/>
      <c r="BA47" s="165"/>
      <c r="BB47" s="165"/>
      <c r="BC47" s="165"/>
      <c r="BD47" s="167"/>
    </row>
    <row r="48" spans="1:56" s="239" customFormat="1" ht="51" x14ac:dyDescent="0.25">
      <c r="A48" s="2192"/>
      <c r="B48" s="2195"/>
      <c r="C48" s="2021"/>
      <c r="D48" s="2175"/>
      <c r="E48" s="2021"/>
      <c r="F48" s="2021"/>
      <c r="G48" s="2197"/>
      <c r="H48" s="2292"/>
      <c r="I48" s="2021"/>
      <c r="J48" s="2176"/>
      <c r="K48" s="2176"/>
      <c r="L48" s="2143"/>
      <c r="M48" s="2197"/>
      <c r="N48" s="2033"/>
      <c r="O48" s="2033"/>
      <c r="P48" s="2176"/>
      <c r="Q48" s="2021"/>
      <c r="R48" s="2021"/>
      <c r="S48" s="2021"/>
      <c r="T48" s="2021"/>
      <c r="U48" s="457" t="s">
        <v>5284</v>
      </c>
      <c r="V48" s="432">
        <v>41365</v>
      </c>
      <c r="W48" s="431">
        <v>11025</v>
      </c>
      <c r="X48" s="518" t="s">
        <v>5252</v>
      </c>
      <c r="Y48" s="432">
        <v>41365</v>
      </c>
      <c r="Z48" s="432">
        <v>41486</v>
      </c>
      <c r="AA48" s="429"/>
      <c r="AB48" s="429"/>
      <c r="AC48" s="476">
        <v>237002</v>
      </c>
      <c r="AD48" s="429"/>
      <c r="AE48" s="476"/>
      <c r="AF48" s="476"/>
      <c r="AG48" s="476"/>
      <c r="AH48" s="476"/>
      <c r="AI48" s="179"/>
      <c r="AJ48" s="107"/>
      <c r="AK48" s="107"/>
      <c r="AL48" s="180"/>
      <c r="AM48" s="179"/>
      <c r="AN48" s="181"/>
      <c r="AO48" s="181"/>
      <c r="AP48" s="181"/>
      <c r="AQ48" s="181"/>
      <c r="AR48" s="182"/>
      <c r="AS48" s="468"/>
      <c r="AT48" s="165"/>
      <c r="AU48" s="165"/>
      <c r="AV48" s="165"/>
      <c r="AW48" s="165"/>
      <c r="AX48" s="165"/>
      <c r="AY48" s="165"/>
      <c r="AZ48" s="165"/>
      <c r="BA48" s="165"/>
      <c r="BB48" s="165"/>
      <c r="BC48" s="165"/>
      <c r="BD48" s="167"/>
    </row>
    <row r="49" spans="1:56" s="239" customFormat="1" ht="51" x14ac:dyDescent="0.25">
      <c r="A49" s="2192"/>
      <c r="B49" s="2195"/>
      <c r="C49" s="2021"/>
      <c r="D49" s="2175"/>
      <c r="E49" s="2021"/>
      <c r="F49" s="2021"/>
      <c r="G49" s="2197"/>
      <c r="H49" s="2292"/>
      <c r="I49" s="2021"/>
      <c r="J49" s="2176"/>
      <c r="K49" s="2176"/>
      <c r="L49" s="2143"/>
      <c r="M49" s="2197"/>
      <c r="N49" s="2033"/>
      <c r="O49" s="2033"/>
      <c r="P49" s="2176"/>
      <c r="Q49" s="2021"/>
      <c r="R49" s="2021"/>
      <c r="S49" s="2021"/>
      <c r="T49" s="2021"/>
      <c r="U49" s="457" t="s">
        <v>5285</v>
      </c>
      <c r="V49" s="432">
        <v>41487</v>
      </c>
      <c r="W49" s="431">
        <v>11108</v>
      </c>
      <c r="X49" s="518" t="s">
        <v>5252</v>
      </c>
      <c r="Y49" s="432">
        <v>41487</v>
      </c>
      <c r="Z49" s="432">
        <v>41547</v>
      </c>
      <c r="AA49" s="429"/>
      <c r="AB49" s="429"/>
      <c r="AC49" s="476">
        <v>118501</v>
      </c>
      <c r="AD49" s="429"/>
      <c r="AE49" s="476"/>
      <c r="AF49" s="476"/>
      <c r="AG49" s="476"/>
      <c r="AH49" s="476"/>
      <c r="AI49" s="179"/>
      <c r="AJ49" s="107"/>
      <c r="AK49" s="107"/>
      <c r="AL49" s="180"/>
      <c r="AM49" s="179"/>
      <c r="AN49" s="181"/>
      <c r="AO49" s="181"/>
      <c r="AP49" s="181"/>
      <c r="AQ49" s="181"/>
      <c r="AR49" s="182"/>
      <c r="AS49" s="468"/>
      <c r="AT49" s="165"/>
      <c r="AU49" s="165"/>
      <c r="AV49" s="165"/>
      <c r="AW49" s="165"/>
      <c r="AX49" s="165"/>
      <c r="AY49" s="165"/>
      <c r="AZ49" s="165"/>
      <c r="BA49" s="165"/>
      <c r="BB49" s="165"/>
      <c r="BC49" s="165"/>
      <c r="BD49" s="167"/>
    </row>
    <row r="50" spans="1:56" s="239" customFormat="1" ht="51" x14ac:dyDescent="0.25">
      <c r="A50" s="2192"/>
      <c r="B50" s="2195"/>
      <c r="C50" s="2021"/>
      <c r="D50" s="2175"/>
      <c r="E50" s="2021"/>
      <c r="F50" s="2021"/>
      <c r="G50" s="2197"/>
      <c r="H50" s="2292"/>
      <c r="I50" s="2021"/>
      <c r="J50" s="2176"/>
      <c r="K50" s="2176"/>
      <c r="L50" s="2143"/>
      <c r="M50" s="2197"/>
      <c r="N50" s="2033"/>
      <c r="O50" s="2033"/>
      <c r="P50" s="2176"/>
      <c r="Q50" s="2021"/>
      <c r="R50" s="2021"/>
      <c r="S50" s="2021"/>
      <c r="T50" s="2021"/>
      <c r="U50" s="457" t="s">
        <v>5286</v>
      </c>
      <c r="V50" s="432">
        <v>41548</v>
      </c>
      <c r="W50" s="431">
        <v>11166</v>
      </c>
      <c r="X50" s="518" t="s">
        <v>5252</v>
      </c>
      <c r="Y50" s="432">
        <v>41548</v>
      </c>
      <c r="Z50" s="432">
        <v>41639</v>
      </c>
      <c r="AA50" s="429"/>
      <c r="AB50" s="429"/>
      <c r="AC50" s="476">
        <v>177751.5</v>
      </c>
      <c r="AD50" s="429"/>
      <c r="AE50" s="476"/>
      <c r="AF50" s="476"/>
      <c r="AG50" s="476"/>
      <c r="AH50" s="476"/>
      <c r="AI50" s="179"/>
      <c r="AJ50" s="107"/>
      <c r="AK50" s="107"/>
      <c r="AL50" s="180"/>
      <c r="AM50" s="179"/>
      <c r="AN50" s="181"/>
      <c r="AO50" s="181"/>
      <c r="AP50" s="181"/>
      <c r="AQ50" s="181"/>
      <c r="AR50" s="182"/>
      <c r="AS50" s="468"/>
      <c r="AT50" s="165"/>
      <c r="AU50" s="165"/>
      <c r="AV50" s="165"/>
      <c r="AW50" s="165"/>
      <c r="AX50" s="165"/>
      <c r="AY50" s="165"/>
      <c r="AZ50" s="165"/>
      <c r="BA50" s="165"/>
      <c r="BB50" s="165"/>
      <c r="BC50" s="165"/>
      <c r="BD50" s="167"/>
    </row>
    <row r="51" spans="1:56" s="239" customFormat="1" ht="51" x14ac:dyDescent="0.25">
      <c r="A51" s="2192"/>
      <c r="B51" s="2195"/>
      <c r="C51" s="2021"/>
      <c r="D51" s="2175"/>
      <c r="E51" s="2021"/>
      <c r="F51" s="2021"/>
      <c r="G51" s="2197"/>
      <c r="H51" s="2292"/>
      <c r="I51" s="2021"/>
      <c r="J51" s="2176"/>
      <c r="K51" s="2176"/>
      <c r="L51" s="2143"/>
      <c r="M51" s="2197"/>
      <c r="N51" s="2033"/>
      <c r="O51" s="2033"/>
      <c r="P51" s="2176"/>
      <c r="Q51" s="2021"/>
      <c r="R51" s="2021"/>
      <c r="S51" s="2021"/>
      <c r="T51" s="2021"/>
      <c r="U51" s="457" t="s">
        <v>5293</v>
      </c>
      <c r="V51" s="432">
        <v>41640</v>
      </c>
      <c r="W51" s="431">
        <v>11233</v>
      </c>
      <c r="X51" s="518" t="s">
        <v>5252</v>
      </c>
      <c r="Y51" s="432">
        <v>41640</v>
      </c>
      <c r="Z51" s="432">
        <v>41943</v>
      </c>
      <c r="AA51" s="429"/>
      <c r="AB51" s="429"/>
      <c r="AC51" s="476">
        <v>592505</v>
      </c>
      <c r="AD51" s="429"/>
      <c r="AE51" s="476"/>
      <c r="AF51" s="476"/>
      <c r="AG51" s="476"/>
      <c r="AH51" s="476"/>
      <c r="AI51" s="179"/>
      <c r="AJ51" s="107"/>
      <c r="AK51" s="107"/>
      <c r="AL51" s="180"/>
      <c r="AM51" s="179"/>
      <c r="AN51" s="181"/>
      <c r="AO51" s="181"/>
      <c r="AP51" s="181"/>
      <c r="AQ51" s="181"/>
      <c r="AR51" s="182"/>
      <c r="AS51" s="468"/>
      <c r="AT51" s="165"/>
      <c r="AU51" s="165"/>
      <c r="AV51" s="165"/>
      <c r="AW51" s="165"/>
      <c r="AX51" s="165"/>
      <c r="AY51" s="165"/>
      <c r="AZ51" s="165"/>
      <c r="BA51" s="165"/>
      <c r="BB51" s="165"/>
      <c r="BC51" s="165"/>
      <c r="BD51" s="167"/>
    </row>
    <row r="52" spans="1:56" s="239" customFormat="1" ht="51" x14ac:dyDescent="0.25">
      <c r="A52" s="2193"/>
      <c r="B52" s="2196"/>
      <c r="C52" s="1986"/>
      <c r="D52" s="2164"/>
      <c r="E52" s="1986"/>
      <c r="F52" s="1986"/>
      <c r="G52" s="1995"/>
      <c r="H52" s="2012"/>
      <c r="I52" s="1986"/>
      <c r="J52" s="1992"/>
      <c r="K52" s="1992"/>
      <c r="L52" s="2144"/>
      <c r="M52" s="1995"/>
      <c r="N52" s="1997"/>
      <c r="O52" s="1997"/>
      <c r="P52" s="1992"/>
      <c r="Q52" s="1986"/>
      <c r="R52" s="1986"/>
      <c r="S52" s="1986"/>
      <c r="T52" s="1986"/>
      <c r="U52" s="457" t="s">
        <v>5294</v>
      </c>
      <c r="V52" s="432">
        <v>41944</v>
      </c>
      <c r="W52" s="431">
        <v>11448</v>
      </c>
      <c r="X52" s="518" t="s">
        <v>5252</v>
      </c>
      <c r="Y52" s="432">
        <v>41944</v>
      </c>
      <c r="Z52" s="432">
        <v>42110</v>
      </c>
      <c r="AA52" s="429"/>
      <c r="AB52" s="429"/>
      <c r="AC52" s="476">
        <v>325877.75</v>
      </c>
      <c r="AD52" s="429"/>
      <c r="AE52" s="476"/>
      <c r="AF52" s="476"/>
      <c r="AG52" s="476"/>
      <c r="AH52" s="476"/>
      <c r="AI52" s="179"/>
      <c r="AJ52" s="107"/>
      <c r="AK52" s="107"/>
      <c r="AL52" s="180"/>
      <c r="AM52" s="179"/>
      <c r="AN52" s="181"/>
      <c r="AO52" s="181"/>
      <c r="AP52" s="181"/>
      <c r="AQ52" s="181"/>
      <c r="AR52" s="182"/>
      <c r="AS52" s="468"/>
      <c r="AT52" s="165"/>
      <c r="AU52" s="165"/>
      <c r="AV52" s="165"/>
      <c r="AW52" s="165"/>
      <c r="AX52" s="165"/>
      <c r="AY52" s="165"/>
      <c r="AZ52" s="165"/>
      <c r="BA52" s="165"/>
      <c r="BB52" s="165"/>
      <c r="BC52" s="165"/>
      <c r="BD52" s="167"/>
    </row>
    <row r="53" spans="1:56" s="239" customFormat="1" ht="25.5" customHeight="1" x14ac:dyDescent="0.25">
      <c r="A53" s="2191">
        <v>8</v>
      </c>
      <c r="B53" s="2194" t="s">
        <v>587</v>
      </c>
      <c r="C53" s="1985" t="s">
        <v>5287</v>
      </c>
      <c r="D53" s="2163" t="s">
        <v>5262</v>
      </c>
      <c r="E53" s="1985" t="s">
        <v>5288</v>
      </c>
      <c r="F53" s="1985" t="s">
        <v>5295</v>
      </c>
      <c r="G53" s="1994">
        <v>10215</v>
      </c>
      <c r="H53" s="2460" t="s">
        <v>167</v>
      </c>
      <c r="I53" s="2451" t="s">
        <v>5296</v>
      </c>
      <c r="J53" s="1991" t="s">
        <v>5297</v>
      </c>
      <c r="K53" s="1991" t="s">
        <v>5291</v>
      </c>
      <c r="L53" s="2463">
        <v>853298</v>
      </c>
      <c r="M53" s="2454">
        <v>10273</v>
      </c>
      <c r="N53" s="2457">
        <v>40284</v>
      </c>
      <c r="O53" s="2457">
        <v>40590</v>
      </c>
      <c r="P53" s="1991" t="s">
        <v>3905</v>
      </c>
      <c r="Q53" s="1985"/>
      <c r="R53" s="1985"/>
      <c r="S53" s="1985"/>
      <c r="T53" s="1985" t="s">
        <v>208</v>
      </c>
      <c r="U53" s="429"/>
      <c r="V53" s="429"/>
      <c r="W53" s="429"/>
      <c r="X53" s="518"/>
      <c r="Y53" s="429"/>
      <c r="Z53" s="429"/>
      <c r="AA53" s="429"/>
      <c r="AB53" s="429"/>
      <c r="AC53" s="653"/>
      <c r="AD53" s="429"/>
      <c r="AE53" s="653">
        <v>5759761.5</v>
      </c>
      <c r="AF53" s="476">
        <v>3836376.41</v>
      </c>
      <c r="AG53" s="654">
        <v>2983283.05</v>
      </c>
      <c r="AH53" s="655">
        <f>SUM(AF53:AG53)</f>
        <v>6819659.46</v>
      </c>
      <c r="AI53" s="179"/>
      <c r="AJ53" s="107"/>
      <c r="AK53" s="107"/>
      <c r="AL53" s="180"/>
      <c r="AM53" s="179"/>
      <c r="AN53" s="181"/>
      <c r="AO53" s="181"/>
      <c r="AP53" s="181"/>
      <c r="AQ53" s="181"/>
      <c r="AR53" s="182"/>
      <c r="AS53" s="468"/>
      <c r="AT53" s="165"/>
      <c r="AU53" s="165"/>
      <c r="AV53" s="165"/>
      <c r="AW53" s="165"/>
      <c r="AX53" s="165"/>
      <c r="AY53" s="165"/>
      <c r="AZ53" s="165"/>
      <c r="BA53" s="165"/>
      <c r="BB53" s="165"/>
      <c r="BC53" s="165"/>
      <c r="BD53" s="167"/>
    </row>
    <row r="54" spans="1:56" s="239" customFormat="1" ht="51" x14ac:dyDescent="0.25">
      <c r="A54" s="2192"/>
      <c r="B54" s="2195"/>
      <c r="C54" s="2021"/>
      <c r="D54" s="2175"/>
      <c r="E54" s="2021"/>
      <c r="F54" s="2021"/>
      <c r="G54" s="2197"/>
      <c r="H54" s="2461"/>
      <c r="I54" s="2452"/>
      <c r="J54" s="2176"/>
      <c r="K54" s="2176"/>
      <c r="L54" s="2464"/>
      <c r="M54" s="2455"/>
      <c r="N54" s="2458"/>
      <c r="O54" s="2458"/>
      <c r="P54" s="2176"/>
      <c r="Q54" s="2021"/>
      <c r="R54" s="2021"/>
      <c r="S54" s="2021"/>
      <c r="T54" s="2021"/>
      <c r="U54" s="457" t="s">
        <v>5275</v>
      </c>
      <c r="V54" s="509">
        <v>40590</v>
      </c>
      <c r="W54" s="508">
        <v>10518</v>
      </c>
      <c r="X54" s="518" t="s">
        <v>5252</v>
      </c>
      <c r="Y54" s="509">
        <v>40590</v>
      </c>
      <c r="Z54" s="509">
        <v>40893</v>
      </c>
      <c r="AA54" s="429"/>
      <c r="AB54" s="429"/>
      <c r="AC54" s="653">
        <v>853298</v>
      </c>
      <c r="AD54" s="429"/>
      <c r="AE54" s="653"/>
      <c r="AF54" s="476"/>
      <c r="AG54" s="654"/>
      <c r="AH54" s="653"/>
      <c r="AI54" s="179"/>
      <c r="AJ54" s="107"/>
      <c r="AK54" s="107"/>
      <c r="AL54" s="180"/>
      <c r="AM54" s="179"/>
      <c r="AN54" s="181"/>
      <c r="AO54" s="181"/>
      <c r="AP54" s="181"/>
      <c r="AQ54" s="181"/>
      <c r="AR54" s="182"/>
      <c r="AS54" s="468"/>
      <c r="AT54" s="165"/>
      <c r="AU54" s="165"/>
      <c r="AV54" s="165"/>
      <c r="AW54" s="165"/>
      <c r="AX54" s="165"/>
      <c r="AY54" s="165"/>
      <c r="AZ54" s="165"/>
      <c r="BA54" s="165"/>
      <c r="BB54" s="165"/>
      <c r="BC54" s="165"/>
      <c r="BD54" s="167"/>
    </row>
    <row r="55" spans="1:56" s="239" customFormat="1" ht="51" x14ac:dyDescent="0.25">
      <c r="A55" s="2192"/>
      <c r="B55" s="2195"/>
      <c r="C55" s="2021"/>
      <c r="D55" s="2175"/>
      <c r="E55" s="2021"/>
      <c r="F55" s="2021"/>
      <c r="G55" s="2197"/>
      <c r="H55" s="2461"/>
      <c r="I55" s="2452"/>
      <c r="J55" s="2176"/>
      <c r="K55" s="2176"/>
      <c r="L55" s="2464"/>
      <c r="M55" s="2455"/>
      <c r="N55" s="2458"/>
      <c r="O55" s="2458"/>
      <c r="P55" s="2176"/>
      <c r="Q55" s="2021"/>
      <c r="R55" s="2021"/>
      <c r="S55" s="2021"/>
      <c r="T55" s="2021"/>
      <c r="U55" s="457" t="s">
        <v>5276</v>
      </c>
      <c r="V55" s="509">
        <v>40894</v>
      </c>
      <c r="W55" s="508">
        <v>10719</v>
      </c>
      <c r="X55" s="518" t="s">
        <v>5252</v>
      </c>
      <c r="Y55" s="509">
        <v>40894</v>
      </c>
      <c r="Z55" s="509">
        <v>41199</v>
      </c>
      <c r="AA55" s="429"/>
      <c r="AB55" s="429"/>
      <c r="AC55" s="653">
        <v>853298</v>
      </c>
      <c r="AD55" s="429"/>
      <c r="AE55" s="653"/>
      <c r="AF55" s="429"/>
      <c r="AG55" s="654"/>
      <c r="AH55" s="653"/>
      <c r="AI55" s="179"/>
      <c r="AJ55" s="107"/>
      <c r="AK55" s="107"/>
      <c r="AL55" s="180"/>
      <c r="AM55" s="179"/>
      <c r="AN55" s="181"/>
      <c r="AO55" s="181"/>
      <c r="AP55" s="181"/>
      <c r="AQ55" s="181"/>
      <c r="AR55" s="182"/>
      <c r="AS55" s="468"/>
      <c r="AT55" s="165"/>
      <c r="AU55" s="165"/>
      <c r="AV55" s="165"/>
      <c r="AW55" s="165"/>
      <c r="AX55" s="165"/>
      <c r="AY55" s="165"/>
      <c r="AZ55" s="165"/>
      <c r="BA55" s="165"/>
      <c r="BB55" s="165"/>
      <c r="BC55" s="165"/>
      <c r="BD55" s="167"/>
    </row>
    <row r="56" spans="1:56" s="239" customFormat="1" ht="51" x14ac:dyDescent="0.25">
      <c r="A56" s="2192"/>
      <c r="B56" s="2195"/>
      <c r="C56" s="2021"/>
      <c r="D56" s="2175"/>
      <c r="E56" s="2021"/>
      <c r="F56" s="2021"/>
      <c r="G56" s="2197"/>
      <c r="H56" s="2461"/>
      <c r="I56" s="2452"/>
      <c r="J56" s="2176"/>
      <c r="K56" s="2176"/>
      <c r="L56" s="2464"/>
      <c r="M56" s="2455"/>
      <c r="N56" s="2458"/>
      <c r="O56" s="2458"/>
      <c r="P56" s="2176"/>
      <c r="Q56" s="2021"/>
      <c r="R56" s="2021"/>
      <c r="S56" s="2021"/>
      <c r="T56" s="2021"/>
      <c r="U56" s="457" t="s">
        <v>5277</v>
      </c>
      <c r="V56" s="509">
        <v>41200</v>
      </c>
      <c r="W56" s="508">
        <v>10919</v>
      </c>
      <c r="X56" s="518" t="s">
        <v>5252</v>
      </c>
      <c r="Y56" s="509">
        <v>41200</v>
      </c>
      <c r="Z56" s="509">
        <v>41274</v>
      </c>
      <c r="AA56" s="429"/>
      <c r="AB56" s="429"/>
      <c r="AC56" s="653">
        <v>853298</v>
      </c>
      <c r="AD56" s="429"/>
      <c r="AE56" s="653"/>
      <c r="AF56" s="429"/>
      <c r="AG56" s="654"/>
      <c r="AH56" s="653"/>
      <c r="AI56" s="179"/>
      <c r="AJ56" s="107"/>
      <c r="AK56" s="107"/>
      <c r="AL56" s="180"/>
      <c r="AM56" s="179"/>
      <c r="AN56" s="181"/>
      <c r="AO56" s="181"/>
      <c r="AP56" s="181"/>
      <c r="AQ56" s="181"/>
      <c r="AR56" s="182"/>
      <c r="AS56" s="468"/>
      <c r="AT56" s="165"/>
      <c r="AU56" s="165"/>
      <c r="AV56" s="165"/>
      <c r="AW56" s="165"/>
      <c r="AX56" s="165"/>
      <c r="AY56" s="165"/>
      <c r="AZ56" s="165"/>
      <c r="BA56" s="165"/>
      <c r="BB56" s="165"/>
      <c r="BC56" s="165"/>
      <c r="BD56" s="167"/>
    </row>
    <row r="57" spans="1:56" s="239" customFormat="1" ht="51" x14ac:dyDescent="0.25">
      <c r="A57" s="2192"/>
      <c r="B57" s="2195"/>
      <c r="C57" s="2021"/>
      <c r="D57" s="2175"/>
      <c r="E57" s="2021"/>
      <c r="F57" s="2021"/>
      <c r="G57" s="2197"/>
      <c r="H57" s="2461"/>
      <c r="I57" s="2452"/>
      <c r="J57" s="2176"/>
      <c r="K57" s="2176"/>
      <c r="L57" s="2464"/>
      <c r="M57" s="2455"/>
      <c r="N57" s="2458"/>
      <c r="O57" s="2458"/>
      <c r="P57" s="2176"/>
      <c r="Q57" s="2021"/>
      <c r="R57" s="2021"/>
      <c r="S57" s="2021"/>
      <c r="T57" s="2021"/>
      <c r="U57" s="457" t="s">
        <v>5283</v>
      </c>
      <c r="V57" s="509">
        <v>41275</v>
      </c>
      <c r="W57" s="508">
        <v>10961</v>
      </c>
      <c r="X57" s="518" t="s">
        <v>5252</v>
      </c>
      <c r="Y57" s="509">
        <v>41275</v>
      </c>
      <c r="Z57" s="509">
        <v>41364</v>
      </c>
      <c r="AA57" s="429"/>
      <c r="AB57" s="429"/>
      <c r="AC57" s="653">
        <v>255989.4</v>
      </c>
      <c r="AD57" s="429"/>
      <c r="AE57" s="653"/>
      <c r="AF57" s="429"/>
      <c r="AG57" s="654"/>
      <c r="AH57" s="653"/>
      <c r="AI57" s="179"/>
      <c r="AJ57" s="107"/>
      <c r="AK57" s="107"/>
      <c r="AL57" s="180"/>
      <c r="AM57" s="179"/>
      <c r="AN57" s="181"/>
      <c r="AO57" s="181"/>
      <c r="AP57" s="181"/>
      <c r="AQ57" s="181"/>
      <c r="AR57" s="182"/>
      <c r="AS57" s="468"/>
      <c r="AT57" s="165"/>
      <c r="AU57" s="165"/>
      <c r="AV57" s="165"/>
      <c r="AW57" s="165"/>
      <c r="AX57" s="165"/>
      <c r="AY57" s="165"/>
      <c r="AZ57" s="165"/>
      <c r="BA57" s="165"/>
      <c r="BB57" s="165"/>
      <c r="BC57" s="165"/>
      <c r="BD57" s="167"/>
    </row>
    <row r="58" spans="1:56" s="239" customFormat="1" ht="51" x14ac:dyDescent="0.25">
      <c r="A58" s="2192"/>
      <c r="B58" s="2195"/>
      <c r="C58" s="2021"/>
      <c r="D58" s="2175"/>
      <c r="E58" s="2021"/>
      <c r="F58" s="2021"/>
      <c r="G58" s="2197"/>
      <c r="H58" s="2461"/>
      <c r="I58" s="2452"/>
      <c r="J58" s="2176"/>
      <c r="K58" s="2176"/>
      <c r="L58" s="2464"/>
      <c r="M58" s="2455"/>
      <c r="N58" s="2458"/>
      <c r="O58" s="2458"/>
      <c r="P58" s="2176"/>
      <c r="Q58" s="2021"/>
      <c r="R58" s="2021"/>
      <c r="S58" s="2021"/>
      <c r="T58" s="2021"/>
      <c r="U58" s="457" t="s">
        <v>5284</v>
      </c>
      <c r="V58" s="509">
        <v>41365</v>
      </c>
      <c r="W58" s="508">
        <v>11028</v>
      </c>
      <c r="X58" s="518" t="s">
        <v>5252</v>
      </c>
      <c r="Y58" s="509">
        <v>41365</v>
      </c>
      <c r="Z58" s="509">
        <v>41486</v>
      </c>
      <c r="AA58" s="429"/>
      <c r="AB58" s="429"/>
      <c r="AC58" s="653">
        <v>341319.2</v>
      </c>
      <c r="AD58" s="429"/>
      <c r="AE58" s="653"/>
      <c r="AF58" s="429"/>
      <c r="AG58" s="654"/>
      <c r="AH58" s="653"/>
      <c r="AI58" s="179"/>
      <c r="AJ58" s="107"/>
      <c r="AK58" s="107"/>
      <c r="AL58" s="180"/>
      <c r="AM58" s="179"/>
      <c r="AN58" s="181"/>
      <c r="AO58" s="181"/>
      <c r="AP58" s="181"/>
      <c r="AQ58" s="181"/>
      <c r="AR58" s="182"/>
      <c r="AS58" s="468"/>
      <c r="AT58" s="165"/>
      <c r="AU58" s="165"/>
      <c r="AV58" s="165"/>
      <c r="AW58" s="165"/>
      <c r="AX58" s="165"/>
      <c r="AY58" s="165"/>
      <c r="AZ58" s="165"/>
      <c r="BA58" s="165"/>
      <c r="BB58" s="165"/>
      <c r="BC58" s="165"/>
      <c r="BD58" s="167"/>
    </row>
    <row r="59" spans="1:56" s="239" customFormat="1" ht="51" x14ac:dyDescent="0.25">
      <c r="A59" s="2192"/>
      <c r="B59" s="2195"/>
      <c r="C59" s="2021"/>
      <c r="D59" s="2175"/>
      <c r="E59" s="2021"/>
      <c r="F59" s="2021"/>
      <c r="G59" s="2197"/>
      <c r="H59" s="2461"/>
      <c r="I59" s="2452"/>
      <c r="J59" s="2176"/>
      <c r="K59" s="2176"/>
      <c r="L59" s="2464"/>
      <c r="M59" s="2455"/>
      <c r="N59" s="2458"/>
      <c r="O59" s="2458"/>
      <c r="P59" s="2176"/>
      <c r="Q59" s="2021"/>
      <c r="R59" s="2021"/>
      <c r="S59" s="2021"/>
      <c r="T59" s="2021"/>
      <c r="U59" s="457" t="s">
        <v>5285</v>
      </c>
      <c r="V59" s="509">
        <v>41487</v>
      </c>
      <c r="W59" s="508">
        <v>11121</v>
      </c>
      <c r="X59" s="518" t="s">
        <v>5252</v>
      </c>
      <c r="Y59" s="509">
        <v>41487</v>
      </c>
      <c r="Z59" s="509">
        <v>41547</v>
      </c>
      <c r="AA59" s="429"/>
      <c r="AB59" s="429"/>
      <c r="AC59" s="653">
        <v>170659.6</v>
      </c>
      <c r="AD59" s="429"/>
      <c r="AE59" s="653"/>
      <c r="AF59" s="429"/>
      <c r="AG59" s="654"/>
      <c r="AH59" s="653"/>
      <c r="AI59" s="179"/>
      <c r="AJ59" s="107"/>
      <c r="AK59" s="107"/>
      <c r="AL59" s="180"/>
      <c r="AM59" s="179"/>
      <c r="AN59" s="181"/>
      <c r="AO59" s="181"/>
      <c r="AP59" s="181"/>
      <c r="AQ59" s="181"/>
      <c r="AR59" s="182"/>
      <c r="AS59" s="468"/>
      <c r="AT59" s="165"/>
      <c r="AU59" s="165"/>
      <c r="AV59" s="165"/>
      <c r="AW59" s="165"/>
      <c r="AX59" s="165"/>
      <c r="AY59" s="165"/>
      <c r="AZ59" s="165"/>
      <c r="BA59" s="165"/>
      <c r="BB59" s="165"/>
      <c r="BC59" s="165"/>
      <c r="BD59" s="167"/>
    </row>
    <row r="60" spans="1:56" s="239" customFormat="1" ht="51" x14ac:dyDescent="0.25">
      <c r="A60" s="2192"/>
      <c r="B60" s="2195"/>
      <c r="C60" s="2021"/>
      <c r="D60" s="2175"/>
      <c r="E60" s="2021"/>
      <c r="F60" s="2021"/>
      <c r="G60" s="2197"/>
      <c r="H60" s="2461"/>
      <c r="I60" s="2452"/>
      <c r="J60" s="2176"/>
      <c r="K60" s="2176"/>
      <c r="L60" s="2464"/>
      <c r="M60" s="2455"/>
      <c r="N60" s="2458"/>
      <c r="O60" s="2458"/>
      <c r="P60" s="2176"/>
      <c r="Q60" s="2021"/>
      <c r="R60" s="2021"/>
      <c r="S60" s="2021"/>
      <c r="T60" s="2021"/>
      <c r="U60" s="457" t="s">
        <v>5286</v>
      </c>
      <c r="V60" s="509">
        <v>41548</v>
      </c>
      <c r="W60" s="508">
        <v>11166</v>
      </c>
      <c r="X60" s="518" t="s">
        <v>5252</v>
      </c>
      <c r="Y60" s="509">
        <v>41548</v>
      </c>
      <c r="Z60" s="509">
        <v>41639</v>
      </c>
      <c r="AA60" s="429"/>
      <c r="AB60" s="429"/>
      <c r="AC60" s="653">
        <v>255989.4</v>
      </c>
      <c r="AD60" s="429"/>
      <c r="AE60" s="653"/>
      <c r="AF60" s="429"/>
      <c r="AG60" s="654"/>
      <c r="AH60" s="653"/>
      <c r="AI60" s="179"/>
      <c r="AJ60" s="107"/>
      <c r="AK60" s="107"/>
      <c r="AL60" s="180"/>
      <c r="AM60" s="179"/>
      <c r="AN60" s="181"/>
      <c r="AO60" s="181"/>
      <c r="AP60" s="181"/>
      <c r="AQ60" s="181"/>
      <c r="AR60" s="182"/>
      <c r="AS60" s="468"/>
      <c r="AT60" s="165"/>
      <c r="AU60" s="165"/>
      <c r="AV60" s="165"/>
      <c r="AW60" s="165"/>
      <c r="AX60" s="165"/>
      <c r="AY60" s="165"/>
      <c r="AZ60" s="165"/>
      <c r="BA60" s="165"/>
      <c r="BB60" s="165"/>
      <c r="BC60" s="165"/>
      <c r="BD60" s="167"/>
    </row>
    <row r="61" spans="1:56" s="239" customFormat="1" ht="51" x14ac:dyDescent="0.25">
      <c r="A61" s="2192"/>
      <c r="B61" s="2195"/>
      <c r="C61" s="2021"/>
      <c r="D61" s="2175"/>
      <c r="E61" s="2021"/>
      <c r="F61" s="2021"/>
      <c r="G61" s="2197"/>
      <c r="H61" s="2461"/>
      <c r="I61" s="2452"/>
      <c r="J61" s="2176"/>
      <c r="K61" s="2176"/>
      <c r="L61" s="2464"/>
      <c r="M61" s="2455"/>
      <c r="N61" s="2458"/>
      <c r="O61" s="2458"/>
      <c r="P61" s="2176"/>
      <c r="Q61" s="2021"/>
      <c r="R61" s="2021"/>
      <c r="S61" s="2021"/>
      <c r="T61" s="2021"/>
      <c r="U61" s="656" t="s">
        <v>5293</v>
      </c>
      <c r="V61" s="509">
        <v>41640</v>
      </c>
      <c r="W61" s="508">
        <v>11233</v>
      </c>
      <c r="X61" s="518" t="s">
        <v>5252</v>
      </c>
      <c r="Y61" s="509">
        <v>41640</v>
      </c>
      <c r="Z61" s="509">
        <v>41943</v>
      </c>
      <c r="AA61" s="429"/>
      <c r="AB61" s="429"/>
      <c r="AC61" s="653">
        <v>853298</v>
      </c>
      <c r="AD61" s="429"/>
      <c r="AE61" s="653"/>
      <c r="AF61" s="429"/>
      <c r="AG61" s="654"/>
      <c r="AH61" s="653"/>
      <c r="AI61" s="179"/>
      <c r="AJ61" s="107"/>
      <c r="AK61" s="107"/>
      <c r="AL61" s="180"/>
      <c r="AM61" s="179"/>
      <c r="AN61" s="181"/>
      <c r="AO61" s="181"/>
      <c r="AP61" s="181"/>
      <c r="AQ61" s="181"/>
      <c r="AR61" s="182"/>
      <c r="AS61" s="468"/>
      <c r="AT61" s="165"/>
      <c r="AU61" s="165"/>
      <c r="AV61" s="165"/>
      <c r="AW61" s="165"/>
      <c r="AX61" s="165"/>
      <c r="AY61" s="165"/>
      <c r="AZ61" s="165"/>
      <c r="BA61" s="165"/>
      <c r="BB61" s="165"/>
      <c r="BC61" s="165"/>
      <c r="BD61" s="167"/>
    </row>
    <row r="62" spans="1:56" s="239" customFormat="1" ht="51" x14ac:dyDescent="0.25">
      <c r="A62" s="2193"/>
      <c r="B62" s="2196"/>
      <c r="C62" s="1986"/>
      <c r="D62" s="2164"/>
      <c r="E62" s="1986"/>
      <c r="F62" s="1986"/>
      <c r="G62" s="1995"/>
      <c r="H62" s="2462"/>
      <c r="I62" s="2453"/>
      <c r="J62" s="1992"/>
      <c r="K62" s="1992"/>
      <c r="L62" s="2465"/>
      <c r="M62" s="2456"/>
      <c r="N62" s="2459"/>
      <c r="O62" s="2459"/>
      <c r="P62" s="1992"/>
      <c r="Q62" s="1986"/>
      <c r="R62" s="1986"/>
      <c r="S62" s="1986"/>
      <c r="T62" s="1986"/>
      <c r="U62" s="656" t="s">
        <v>5294</v>
      </c>
      <c r="V62" s="509">
        <v>41944</v>
      </c>
      <c r="W62" s="508">
        <v>11447</v>
      </c>
      <c r="X62" s="518" t="s">
        <v>5252</v>
      </c>
      <c r="Y62" s="509">
        <v>41944</v>
      </c>
      <c r="Z62" s="509">
        <v>42110</v>
      </c>
      <c r="AA62" s="429"/>
      <c r="AB62" s="429"/>
      <c r="AC62" s="653">
        <v>469313.9</v>
      </c>
      <c r="AD62" s="429"/>
      <c r="AE62" s="653"/>
      <c r="AF62" s="429"/>
      <c r="AG62" s="654"/>
      <c r="AH62" s="653"/>
      <c r="AI62" s="179"/>
      <c r="AJ62" s="107"/>
      <c r="AK62" s="107"/>
      <c r="AL62" s="180"/>
      <c r="AM62" s="179"/>
      <c r="AN62" s="181"/>
      <c r="AO62" s="181"/>
      <c r="AP62" s="181"/>
      <c r="AQ62" s="181"/>
      <c r="AR62" s="182"/>
      <c r="AS62" s="468"/>
      <c r="AT62" s="165"/>
      <c r="AU62" s="165"/>
      <c r="AV62" s="165"/>
      <c r="AW62" s="165"/>
      <c r="AX62" s="165"/>
      <c r="AY62" s="165"/>
      <c r="AZ62" s="165"/>
      <c r="BA62" s="165"/>
      <c r="BB62" s="165"/>
      <c r="BC62" s="165"/>
      <c r="BD62" s="167"/>
    </row>
    <row r="63" spans="1:56" s="239" customFormat="1" ht="25.5" customHeight="1" x14ac:dyDescent="0.25">
      <c r="A63" s="2191">
        <v>9</v>
      </c>
      <c r="B63" s="2466" t="s">
        <v>5298</v>
      </c>
      <c r="C63" s="1985" t="s">
        <v>5299</v>
      </c>
      <c r="D63" s="1985" t="s">
        <v>5262</v>
      </c>
      <c r="E63" s="1985" t="s">
        <v>168</v>
      </c>
      <c r="F63" s="2454" t="s">
        <v>5300</v>
      </c>
      <c r="G63" s="2454">
        <v>10833</v>
      </c>
      <c r="H63" s="2460" t="s">
        <v>5301</v>
      </c>
      <c r="I63" s="2451" t="s">
        <v>5302</v>
      </c>
      <c r="J63" s="1991" t="s">
        <v>5303</v>
      </c>
      <c r="K63" s="1991" t="s">
        <v>5304</v>
      </c>
      <c r="L63" s="2463">
        <v>592505</v>
      </c>
      <c r="M63" s="2454">
        <v>10864</v>
      </c>
      <c r="N63" s="2457">
        <v>41115</v>
      </c>
      <c r="O63" s="2457">
        <v>41274</v>
      </c>
      <c r="P63" s="1991" t="s">
        <v>3905</v>
      </c>
      <c r="Q63" s="1985"/>
      <c r="R63" s="1985"/>
      <c r="S63" s="1985"/>
      <c r="T63" s="2451" t="s">
        <v>5305</v>
      </c>
      <c r="U63" s="429"/>
      <c r="V63" s="429"/>
      <c r="W63" s="429"/>
      <c r="X63" s="518"/>
      <c r="Y63" s="429"/>
      <c r="Z63" s="429"/>
      <c r="AA63" s="429"/>
      <c r="AB63" s="429"/>
      <c r="AC63" s="522"/>
      <c r="AD63" s="429"/>
      <c r="AE63" s="653">
        <v>2062505</v>
      </c>
      <c r="AF63" s="476">
        <v>699090.54</v>
      </c>
      <c r="AG63" s="654">
        <v>183286.66</v>
      </c>
      <c r="AH63" s="653">
        <v>882377.2</v>
      </c>
      <c r="AI63" s="179"/>
      <c r="AJ63" s="107"/>
      <c r="AK63" s="107"/>
      <c r="AL63" s="180"/>
      <c r="AM63" s="179"/>
      <c r="AN63" s="181"/>
      <c r="AO63" s="181"/>
      <c r="AP63" s="181"/>
      <c r="AQ63" s="181"/>
      <c r="AR63" s="182"/>
      <c r="AS63" s="468"/>
      <c r="AT63" s="165"/>
      <c r="AU63" s="165"/>
      <c r="AV63" s="165"/>
      <c r="AW63" s="165"/>
      <c r="AX63" s="165"/>
      <c r="AY63" s="165"/>
      <c r="AZ63" s="165"/>
      <c r="BA63" s="165"/>
      <c r="BB63" s="165"/>
      <c r="BC63" s="165"/>
      <c r="BD63" s="167"/>
    </row>
    <row r="64" spans="1:56" s="239" customFormat="1" ht="25.5" x14ac:dyDescent="0.25">
      <c r="A64" s="2192"/>
      <c r="B64" s="2467"/>
      <c r="C64" s="2021"/>
      <c r="D64" s="2021"/>
      <c r="E64" s="2021"/>
      <c r="F64" s="2455"/>
      <c r="G64" s="2455"/>
      <c r="H64" s="2461"/>
      <c r="I64" s="2452"/>
      <c r="J64" s="2176"/>
      <c r="K64" s="2176"/>
      <c r="L64" s="2464"/>
      <c r="M64" s="2455"/>
      <c r="N64" s="2458"/>
      <c r="O64" s="2458"/>
      <c r="P64" s="2176"/>
      <c r="Q64" s="2021"/>
      <c r="R64" s="2021"/>
      <c r="S64" s="2021"/>
      <c r="T64" s="2452"/>
      <c r="U64" s="457" t="s">
        <v>5275</v>
      </c>
      <c r="V64" s="509">
        <v>41275</v>
      </c>
      <c r="W64" s="508">
        <v>10990</v>
      </c>
      <c r="X64" s="518" t="s">
        <v>5306</v>
      </c>
      <c r="Y64" s="509">
        <v>41275</v>
      </c>
      <c r="Z64" s="509">
        <v>41364</v>
      </c>
      <c r="AA64" s="429"/>
      <c r="AB64" s="429"/>
      <c r="AC64" s="522"/>
      <c r="AD64" s="429"/>
      <c r="AE64" s="521"/>
      <c r="AF64" s="429"/>
      <c r="AG64" s="654"/>
      <c r="AH64" s="521"/>
      <c r="AI64" s="179"/>
      <c r="AJ64" s="107"/>
      <c r="AK64" s="107"/>
      <c r="AL64" s="180"/>
      <c r="AM64" s="179"/>
      <c r="AN64" s="181"/>
      <c r="AO64" s="181"/>
      <c r="AP64" s="181"/>
      <c r="AQ64" s="181"/>
      <c r="AR64" s="182"/>
      <c r="AS64" s="468"/>
      <c r="AT64" s="165"/>
      <c r="AU64" s="165"/>
      <c r="AV64" s="165"/>
      <c r="AW64" s="165"/>
      <c r="AX64" s="165"/>
      <c r="AY64" s="165"/>
      <c r="AZ64" s="165"/>
      <c r="BA64" s="165"/>
      <c r="BB64" s="165"/>
      <c r="BC64" s="165"/>
      <c r="BD64" s="167"/>
    </row>
    <row r="65" spans="1:56" s="239" customFormat="1" ht="51" x14ac:dyDescent="0.25">
      <c r="A65" s="2192"/>
      <c r="B65" s="2467"/>
      <c r="C65" s="2021"/>
      <c r="D65" s="2021"/>
      <c r="E65" s="2021"/>
      <c r="F65" s="2455"/>
      <c r="G65" s="2455"/>
      <c r="H65" s="2461"/>
      <c r="I65" s="2452"/>
      <c r="J65" s="2176"/>
      <c r="K65" s="2176"/>
      <c r="L65" s="2464"/>
      <c r="M65" s="2455"/>
      <c r="N65" s="2458"/>
      <c r="O65" s="2458"/>
      <c r="P65" s="2176"/>
      <c r="Q65" s="2021"/>
      <c r="R65" s="2021"/>
      <c r="S65" s="2021"/>
      <c r="T65" s="2452"/>
      <c r="U65" s="457" t="s">
        <v>5276</v>
      </c>
      <c r="V65" s="509">
        <v>41365</v>
      </c>
      <c r="W65" s="508">
        <v>11026</v>
      </c>
      <c r="X65" s="518" t="s">
        <v>5252</v>
      </c>
      <c r="Y65" s="509">
        <v>41365</v>
      </c>
      <c r="Z65" s="509">
        <v>41608</v>
      </c>
      <c r="AA65" s="429"/>
      <c r="AB65" s="429"/>
      <c r="AC65" s="653">
        <v>560000</v>
      </c>
      <c r="AD65" s="429"/>
      <c r="AE65" s="521"/>
      <c r="AF65" s="429"/>
      <c r="AG65" s="654"/>
      <c r="AH65" s="521"/>
      <c r="AI65" s="179"/>
      <c r="AJ65" s="107"/>
      <c r="AK65" s="107"/>
      <c r="AL65" s="180"/>
      <c r="AM65" s="179"/>
      <c r="AN65" s="181"/>
      <c r="AO65" s="181"/>
      <c r="AP65" s="181"/>
      <c r="AQ65" s="181"/>
      <c r="AR65" s="182"/>
      <c r="AS65" s="468"/>
      <c r="AT65" s="165"/>
      <c r="AU65" s="165"/>
      <c r="AV65" s="165"/>
      <c r="AW65" s="165"/>
      <c r="AX65" s="165"/>
      <c r="AY65" s="165"/>
      <c r="AZ65" s="165"/>
      <c r="BA65" s="165"/>
      <c r="BB65" s="165"/>
      <c r="BC65" s="165"/>
      <c r="BD65" s="167"/>
    </row>
    <row r="66" spans="1:56" s="239" customFormat="1" ht="51" x14ac:dyDescent="0.25">
      <c r="A66" s="2192"/>
      <c r="B66" s="2467"/>
      <c r="C66" s="2021"/>
      <c r="D66" s="2021"/>
      <c r="E66" s="2021"/>
      <c r="F66" s="2455"/>
      <c r="G66" s="2455"/>
      <c r="H66" s="2461"/>
      <c r="I66" s="2452"/>
      <c r="J66" s="2176"/>
      <c r="K66" s="2176"/>
      <c r="L66" s="2464"/>
      <c r="M66" s="2455"/>
      <c r="N66" s="2458"/>
      <c r="O66" s="2458"/>
      <c r="P66" s="2176"/>
      <c r="Q66" s="2021"/>
      <c r="R66" s="2021"/>
      <c r="S66" s="2021"/>
      <c r="T66" s="2452"/>
      <c r="U66" s="457" t="s">
        <v>5277</v>
      </c>
      <c r="V66" s="509">
        <v>41609</v>
      </c>
      <c r="W66" s="508">
        <v>11235</v>
      </c>
      <c r="X66" s="518" t="s">
        <v>5252</v>
      </c>
      <c r="Y66" s="509">
        <v>41609</v>
      </c>
      <c r="Z66" s="509">
        <v>41790</v>
      </c>
      <c r="AA66" s="429"/>
      <c r="AB66" s="429"/>
      <c r="AC66" s="653">
        <v>420000</v>
      </c>
      <c r="AD66" s="429"/>
      <c r="AE66" s="521"/>
      <c r="AF66" s="429"/>
      <c r="AG66" s="654"/>
      <c r="AH66" s="521"/>
      <c r="AI66" s="179"/>
      <c r="AJ66" s="107"/>
      <c r="AK66" s="107"/>
      <c r="AL66" s="180"/>
      <c r="AM66" s="179"/>
      <c r="AN66" s="181"/>
      <c r="AO66" s="181"/>
      <c r="AP66" s="181"/>
      <c r="AQ66" s="181"/>
      <c r="AR66" s="182"/>
      <c r="AS66" s="468"/>
      <c r="AT66" s="165"/>
      <c r="AU66" s="165"/>
      <c r="AV66" s="165"/>
      <c r="AW66" s="165"/>
      <c r="AX66" s="165"/>
      <c r="AY66" s="165"/>
      <c r="AZ66" s="165"/>
      <c r="BA66" s="165"/>
      <c r="BB66" s="165"/>
      <c r="BC66" s="165"/>
      <c r="BD66" s="167"/>
    </row>
    <row r="67" spans="1:56" s="239" customFormat="1" ht="51" x14ac:dyDescent="0.25">
      <c r="A67" s="2193"/>
      <c r="B67" s="2468"/>
      <c r="C67" s="1986"/>
      <c r="D67" s="1986"/>
      <c r="E67" s="1986"/>
      <c r="F67" s="2456"/>
      <c r="G67" s="2456"/>
      <c r="H67" s="2462"/>
      <c r="I67" s="2453"/>
      <c r="J67" s="1992"/>
      <c r="K67" s="1992"/>
      <c r="L67" s="2465"/>
      <c r="M67" s="2456"/>
      <c r="N67" s="2459"/>
      <c r="O67" s="2459"/>
      <c r="P67" s="1992"/>
      <c r="Q67" s="1986"/>
      <c r="R67" s="1986"/>
      <c r="S67" s="1986"/>
      <c r="T67" s="2453"/>
      <c r="U67" s="457" t="s">
        <v>5283</v>
      </c>
      <c r="V67" s="509">
        <v>41791</v>
      </c>
      <c r="W67" s="508">
        <v>11321</v>
      </c>
      <c r="X67" s="518" t="s">
        <v>5252</v>
      </c>
      <c r="Y67" s="509">
        <v>41791</v>
      </c>
      <c r="Z67" s="509">
        <v>42004</v>
      </c>
      <c r="AA67" s="429"/>
      <c r="AB67" s="429"/>
      <c r="AC67" s="653">
        <v>490000</v>
      </c>
      <c r="AD67" s="429"/>
      <c r="AE67" s="653"/>
      <c r="AF67" s="429"/>
      <c r="AG67" s="654"/>
      <c r="AH67" s="653"/>
      <c r="AI67" s="179"/>
      <c r="AJ67" s="107"/>
      <c r="AK67" s="107"/>
      <c r="AL67" s="180"/>
      <c r="AM67" s="179"/>
      <c r="AN67" s="181"/>
      <c r="AO67" s="181"/>
      <c r="AP67" s="181"/>
      <c r="AQ67" s="181"/>
      <c r="AR67" s="182"/>
      <c r="AS67" s="468"/>
      <c r="AT67" s="165"/>
      <c r="AU67" s="165"/>
      <c r="AV67" s="165"/>
      <c r="AW67" s="165"/>
      <c r="AX67" s="165"/>
      <c r="AY67" s="165"/>
      <c r="AZ67" s="165"/>
      <c r="BA67" s="165"/>
      <c r="BB67" s="165"/>
      <c r="BC67" s="165"/>
      <c r="BD67" s="167"/>
    </row>
    <row r="68" spans="1:56" s="239" customFormat="1" ht="25.5" customHeight="1" x14ac:dyDescent="0.25">
      <c r="A68" s="2191">
        <v>10</v>
      </c>
      <c r="B68" s="2466" t="s">
        <v>5307</v>
      </c>
      <c r="C68" s="2469" t="s">
        <v>5269</v>
      </c>
      <c r="D68" s="1985" t="s">
        <v>5262</v>
      </c>
      <c r="E68" s="1985" t="s">
        <v>5243</v>
      </c>
      <c r="F68" s="2454" t="s">
        <v>5308</v>
      </c>
      <c r="G68" s="2454">
        <v>10791</v>
      </c>
      <c r="H68" s="2460" t="s">
        <v>5309</v>
      </c>
      <c r="I68" s="2451" t="s">
        <v>5310</v>
      </c>
      <c r="J68" s="1991" t="s">
        <v>5311</v>
      </c>
      <c r="K68" s="1991" t="s">
        <v>5312</v>
      </c>
      <c r="L68" s="2463">
        <v>449280</v>
      </c>
      <c r="M68" s="2454">
        <v>10809</v>
      </c>
      <c r="N68" s="2457">
        <v>41053</v>
      </c>
      <c r="O68" s="2457">
        <v>41274</v>
      </c>
      <c r="P68" s="1991" t="s">
        <v>3905</v>
      </c>
      <c r="Q68" s="1985"/>
      <c r="R68" s="1985"/>
      <c r="S68" s="1985"/>
      <c r="T68" s="2451" t="s">
        <v>208</v>
      </c>
      <c r="U68" s="429"/>
      <c r="V68" s="429"/>
      <c r="W68" s="429"/>
      <c r="X68" s="518"/>
      <c r="Y68" s="429"/>
      <c r="Z68" s="429"/>
      <c r="AA68" s="429"/>
      <c r="AB68" s="429"/>
      <c r="AC68" s="653"/>
      <c r="AD68" s="429"/>
      <c r="AE68" s="653">
        <v>1127692.8</v>
      </c>
      <c r="AF68" s="476">
        <v>815049.6</v>
      </c>
      <c r="AG68" s="654">
        <v>131395.20000000001</v>
      </c>
      <c r="AH68" s="654">
        <v>946444.80000000005</v>
      </c>
      <c r="AI68" s="179"/>
      <c r="AJ68" s="107"/>
      <c r="AK68" s="107"/>
      <c r="AL68" s="180"/>
      <c r="AM68" s="179"/>
      <c r="AN68" s="181"/>
      <c r="AO68" s="181"/>
      <c r="AP68" s="181"/>
      <c r="AQ68" s="181"/>
      <c r="AR68" s="182"/>
      <c r="AS68" s="468"/>
      <c r="AT68" s="165"/>
      <c r="AU68" s="165"/>
      <c r="AV68" s="165"/>
      <c r="AW68" s="165"/>
      <c r="AX68" s="165"/>
      <c r="AY68" s="165"/>
      <c r="AZ68" s="165"/>
      <c r="BA68" s="165"/>
      <c r="BB68" s="165"/>
      <c r="BC68" s="165"/>
      <c r="BD68" s="167"/>
    </row>
    <row r="69" spans="1:56" s="239" customFormat="1" ht="51" x14ac:dyDescent="0.25">
      <c r="A69" s="2192"/>
      <c r="B69" s="2467"/>
      <c r="C69" s="2470"/>
      <c r="D69" s="2021"/>
      <c r="E69" s="2021"/>
      <c r="F69" s="2455"/>
      <c r="G69" s="2455"/>
      <c r="H69" s="2461"/>
      <c r="I69" s="2452"/>
      <c r="J69" s="2176"/>
      <c r="K69" s="2176"/>
      <c r="L69" s="2464"/>
      <c r="M69" s="2455"/>
      <c r="N69" s="2458"/>
      <c r="O69" s="2458"/>
      <c r="P69" s="2176"/>
      <c r="Q69" s="2021"/>
      <c r="R69" s="2021"/>
      <c r="S69" s="2021"/>
      <c r="T69" s="2452"/>
      <c r="U69" s="457" t="s">
        <v>5275</v>
      </c>
      <c r="V69" s="509">
        <v>41275</v>
      </c>
      <c r="W69" s="508">
        <v>10964</v>
      </c>
      <c r="X69" s="518" t="s">
        <v>5252</v>
      </c>
      <c r="Y69" s="509">
        <v>41275</v>
      </c>
      <c r="Z69" s="509">
        <v>41364</v>
      </c>
      <c r="AA69" s="429"/>
      <c r="AB69" s="429"/>
      <c r="AC69" s="653">
        <v>134784</v>
      </c>
      <c r="AD69" s="429"/>
      <c r="AE69" s="653"/>
      <c r="AF69" s="476"/>
      <c r="AG69" s="654"/>
      <c r="AH69" s="654"/>
      <c r="AI69" s="179"/>
      <c r="AJ69" s="107"/>
      <c r="AK69" s="107"/>
      <c r="AL69" s="180"/>
      <c r="AM69" s="179"/>
      <c r="AN69" s="181"/>
      <c r="AO69" s="181"/>
      <c r="AP69" s="181"/>
      <c r="AQ69" s="181"/>
      <c r="AR69" s="182"/>
      <c r="AS69" s="468"/>
      <c r="AT69" s="165"/>
      <c r="AU69" s="165"/>
      <c r="AV69" s="165"/>
      <c r="AW69" s="165"/>
      <c r="AX69" s="165"/>
      <c r="AY69" s="165"/>
      <c r="AZ69" s="165"/>
      <c r="BA69" s="165"/>
      <c r="BB69" s="165"/>
      <c r="BC69" s="165"/>
      <c r="BD69" s="167"/>
    </row>
    <row r="70" spans="1:56" s="239" customFormat="1" ht="51" x14ac:dyDescent="0.25">
      <c r="A70" s="2192"/>
      <c r="B70" s="2467"/>
      <c r="C70" s="2470"/>
      <c r="D70" s="2021"/>
      <c r="E70" s="2021"/>
      <c r="F70" s="2455"/>
      <c r="G70" s="2455"/>
      <c r="H70" s="2461"/>
      <c r="I70" s="2452"/>
      <c r="J70" s="2176"/>
      <c r="K70" s="2176"/>
      <c r="L70" s="2464"/>
      <c r="M70" s="2455"/>
      <c r="N70" s="2458"/>
      <c r="O70" s="2458"/>
      <c r="P70" s="2176"/>
      <c r="Q70" s="2021"/>
      <c r="R70" s="2021"/>
      <c r="S70" s="2021"/>
      <c r="T70" s="2452"/>
      <c r="U70" s="457" t="s">
        <v>5276</v>
      </c>
      <c r="V70" s="509">
        <v>41365</v>
      </c>
      <c r="W70" s="508">
        <v>11021</v>
      </c>
      <c r="X70" s="518" t="s">
        <v>5252</v>
      </c>
      <c r="Y70" s="509">
        <v>41365</v>
      </c>
      <c r="Z70" s="509">
        <v>41425</v>
      </c>
      <c r="AA70" s="429"/>
      <c r="AB70" s="429"/>
      <c r="AC70" s="653">
        <v>89856</v>
      </c>
      <c r="AD70" s="429"/>
      <c r="AE70" s="653"/>
      <c r="AF70" s="476"/>
      <c r="AG70" s="654"/>
      <c r="AH70" s="654"/>
      <c r="AI70" s="179"/>
      <c r="AJ70" s="107"/>
      <c r="AK70" s="107"/>
      <c r="AL70" s="180"/>
      <c r="AM70" s="179"/>
      <c r="AN70" s="181"/>
      <c r="AO70" s="181"/>
      <c r="AP70" s="181"/>
      <c r="AQ70" s="181"/>
      <c r="AR70" s="182"/>
      <c r="AS70" s="468"/>
      <c r="AT70" s="165"/>
      <c r="AU70" s="165"/>
      <c r="AV70" s="165"/>
      <c r="AW70" s="165"/>
      <c r="AX70" s="165"/>
      <c r="AY70" s="165"/>
      <c r="AZ70" s="165"/>
      <c r="BA70" s="165"/>
      <c r="BB70" s="165"/>
      <c r="BC70" s="165"/>
      <c r="BD70" s="167"/>
    </row>
    <row r="71" spans="1:56" s="239" customFormat="1" ht="51" x14ac:dyDescent="0.25">
      <c r="A71" s="2192"/>
      <c r="B71" s="2467"/>
      <c r="C71" s="2470"/>
      <c r="D71" s="2021"/>
      <c r="E71" s="2021"/>
      <c r="F71" s="2455"/>
      <c r="G71" s="2455"/>
      <c r="H71" s="2461"/>
      <c r="I71" s="2452"/>
      <c r="J71" s="2176"/>
      <c r="K71" s="2176"/>
      <c r="L71" s="2464"/>
      <c r="M71" s="2455"/>
      <c r="N71" s="2458"/>
      <c r="O71" s="2458"/>
      <c r="P71" s="2176"/>
      <c r="Q71" s="2021"/>
      <c r="R71" s="2021"/>
      <c r="S71" s="2021"/>
      <c r="T71" s="2452"/>
      <c r="U71" s="457" t="s">
        <v>5277</v>
      </c>
      <c r="V71" s="509">
        <v>41426</v>
      </c>
      <c r="W71" s="508">
        <v>11068</v>
      </c>
      <c r="X71" s="518" t="s">
        <v>5252</v>
      </c>
      <c r="Y71" s="509">
        <v>41426</v>
      </c>
      <c r="Z71" s="509">
        <v>41486</v>
      </c>
      <c r="AA71" s="429"/>
      <c r="AB71" s="429"/>
      <c r="AC71" s="653">
        <v>89856</v>
      </c>
      <c r="AD71" s="429"/>
      <c r="AE71" s="653"/>
      <c r="AF71" s="476"/>
      <c r="AG71" s="654"/>
      <c r="AH71" s="654"/>
      <c r="AI71" s="179"/>
      <c r="AJ71" s="107"/>
      <c r="AK71" s="107"/>
      <c r="AL71" s="180"/>
      <c r="AM71" s="179"/>
      <c r="AN71" s="181"/>
      <c r="AO71" s="181"/>
      <c r="AP71" s="181"/>
      <c r="AQ71" s="181"/>
      <c r="AR71" s="182"/>
      <c r="AS71" s="468"/>
      <c r="AT71" s="165"/>
      <c r="AU71" s="165"/>
      <c r="AV71" s="165"/>
      <c r="AW71" s="165"/>
      <c r="AX71" s="165"/>
      <c r="AY71" s="165"/>
      <c r="AZ71" s="165"/>
      <c r="BA71" s="165"/>
      <c r="BB71" s="165"/>
      <c r="BC71" s="165"/>
      <c r="BD71" s="167"/>
    </row>
    <row r="72" spans="1:56" s="239" customFormat="1" ht="51" x14ac:dyDescent="0.25">
      <c r="A72" s="2192"/>
      <c r="B72" s="2467"/>
      <c r="C72" s="2470"/>
      <c r="D72" s="2021"/>
      <c r="E72" s="2021"/>
      <c r="F72" s="2455"/>
      <c r="G72" s="2455"/>
      <c r="H72" s="2461"/>
      <c r="I72" s="2452"/>
      <c r="J72" s="2176"/>
      <c r="K72" s="2176"/>
      <c r="L72" s="2464"/>
      <c r="M72" s="2455"/>
      <c r="N72" s="2458"/>
      <c r="O72" s="2458"/>
      <c r="P72" s="2176"/>
      <c r="Q72" s="2021"/>
      <c r="R72" s="2021"/>
      <c r="S72" s="2021"/>
      <c r="T72" s="2452"/>
      <c r="U72" s="457" t="s">
        <v>5283</v>
      </c>
      <c r="V72" s="509">
        <v>41487</v>
      </c>
      <c r="W72" s="508">
        <v>11118</v>
      </c>
      <c r="X72" s="518" t="s">
        <v>5252</v>
      </c>
      <c r="Y72" s="509">
        <v>41487</v>
      </c>
      <c r="Z72" s="509">
        <v>41576</v>
      </c>
      <c r="AA72" s="429"/>
      <c r="AB72" s="429"/>
      <c r="AC72" s="653">
        <v>134784</v>
      </c>
      <c r="AD72" s="429"/>
      <c r="AE72" s="653"/>
      <c r="AF72" s="476"/>
      <c r="AG72" s="654"/>
      <c r="AH72" s="654"/>
      <c r="AI72" s="179"/>
      <c r="AJ72" s="107"/>
      <c r="AK72" s="107"/>
      <c r="AL72" s="180"/>
      <c r="AM72" s="179"/>
      <c r="AN72" s="181"/>
      <c r="AO72" s="181"/>
      <c r="AP72" s="181"/>
      <c r="AQ72" s="181"/>
      <c r="AR72" s="182"/>
      <c r="AS72" s="468"/>
      <c r="AT72" s="165"/>
      <c r="AU72" s="165"/>
      <c r="AV72" s="165"/>
      <c r="AW72" s="165"/>
      <c r="AX72" s="165"/>
      <c r="AY72" s="165"/>
      <c r="AZ72" s="165"/>
      <c r="BA72" s="165"/>
      <c r="BB72" s="165"/>
      <c r="BC72" s="165"/>
      <c r="BD72" s="167"/>
    </row>
    <row r="73" spans="1:56" s="239" customFormat="1" ht="51" x14ac:dyDescent="0.25">
      <c r="A73" s="2192"/>
      <c r="B73" s="2467"/>
      <c r="C73" s="2470"/>
      <c r="D73" s="2021"/>
      <c r="E73" s="2021"/>
      <c r="F73" s="2455"/>
      <c r="G73" s="2455"/>
      <c r="H73" s="2461"/>
      <c r="I73" s="2452"/>
      <c r="J73" s="2176"/>
      <c r="K73" s="2176"/>
      <c r="L73" s="2464"/>
      <c r="M73" s="2455"/>
      <c r="N73" s="2458"/>
      <c r="O73" s="2458"/>
      <c r="P73" s="2176"/>
      <c r="Q73" s="2021"/>
      <c r="R73" s="2021"/>
      <c r="S73" s="2021"/>
      <c r="T73" s="2452"/>
      <c r="U73" s="457" t="s">
        <v>5284</v>
      </c>
      <c r="V73" s="509">
        <v>41577</v>
      </c>
      <c r="W73" s="508">
        <v>11204</v>
      </c>
      <c r="X73" s="518" t="s">
        <v>5252</v>
      </c>
      <c r="Y73" s="509">
        <v>41577</v>
      </c>
      <c r="Z73" s="509">
        <v>41301</v>
      </c>
      <c r="AA73" s="429"/>
      <c r="AB73" s="429"/>
      <c r="AC73" s="653">
        <v>134784</v>
      </c>
      <c r="AD73" s="429"/>
      <c r="AE73" s="653"/>
      <c r="AF73" s="476"/>
      <c r="AG73" s="654"/>
      <c r="AH73" s="654"/>
      <c r="AI73" s="179"/>
      <c r="AJ73" s="107"/>
      <c r="AK73" s="107"/>
      <c r="AL73" s="180"/>
      <c r="AM73" s="179"/>
      <c r="AN73" s="181"/>
      <c r="AO73" s="181"/>
      <c r="AP73" s="181"/>
      <c r="AQ73" s="181"/>
      <c r="AR73" s="182"/>
      <c r="AS73" s="468"/>
      <c r="AT73" s="165"/>
      <c r="AU73" s="165"/>
      <c r="AV73" s="165"/>
      <c r="AW73" s="165"/>
      <c r="AX73" s="165"/>
      <c r="AY73" s="165"/>
      <c r="AZ73" s="165"/>
      <c r="BA73" s="165"/>
      <c r="BB73" s="165"/>
      <c r="BC73" s="165"/>
      <c r="BD73" s="167"/>
    </row>
    <row r="74" spans="1:56" s="239" customFormat="1" ht="51" x14ac:dyDescent="0.25">
      <c r="A74" s="2193"/>
      <c r="B74" s="2468"/>
      <c r="C74" s="2471"/>
      <c r="D74" s="1986"/>
      <c r="E74" s="1986"/>
      <c r="F74" s="2456"/>
      <c r="G74" s="2456"/>
      <c r="H74" s="2462"/>
      <c r="I74" s="2453"/>
      <c r="J74" s="1992"/>
      <c r="K74" s="1992"/>
      <c r="L74" s="2465"/>
      <c r="M74" s="2456"/>
      <c r="N74" s="2459"/>
      <c r="O74" s="2459"/>
      <c r="P74" s="1992"/>
      <c r="Q74" s="1986"/>
      <c r="R74" s="1986"/>
      <c r="S74" s="1986"/>
      <c r="T74" s="2453"/>
      <c r="U74" s="457" t="s">
        <v>5285</v>
      </c>
      <c r="V74" s="509">
        <v>41667</v>
      </c>
      <c r="W74" s="508">
        <v>11233</v>
      </c>
      <c r="X74" s="518" t="s">
        <v>5252</v>
      </c>
      <c r="Y74" s="509">
        <v>41667</v>
      </c>
      <c r="Z74" s="509">
        <v>41729</v>
      </c>
      <c r="AA74" s="429"/>
      <c r="AB74" s="429"/>
      <c r="AC74" s="653">
        <v>94348.800000000003</v>
      </c>
      <c r="AD74" s="429"/>
      <c r="AE74" s="653"/>
      <c r="AF74" s="476"/>
      <c r="AG74" s="654"/>
      <c r="AH74" s="654"/>
      <c r="AI74" s="179"/>
      <c r="AJ74" s="107"/>
      <c r="AK74" s="107"/>
      <c r="AL74" s="180"/>
      <c r="AM74" s="179"/>
      <c r="AN74" s="181"/>
      <c r="AO74" s="181"/>
      <c r="AP74" s="181"/>
      <c r="AQ74" s="181"/>
      <c r="AR74" s="182"/>
      <c r="AS74" s="468"/>
      <c r="AT74" s="165"/>
      <c r="AU74" s="165"/>
      <c r="AV74" s="165"/>
      <c r="AW74" s="165"/>
      <c r="AX74" s="165"/>
      <c r="AY74" s="165"/>
      <c r="AZ74" s="165"/>
      <c r="BA74" s="165"/>
      <c r="BB74" s="165"/>
      <c r="BC74" s="165"/>
      <c r="BD74" s="167"/>
    </row>
    <row r="75" spans="1:56" s="239" customFormat="1" ht="38.25" x14ac:dyDescent="0.25">
      <c r="A75" s="469">
        <v>11</v>
      </c>
      <c r="B75" s="468" t="s">
        <v>5313</v>
      </c>
      <c r="C75" s="429" t="s">
        <v>5314</v>
      </c>
      <c r="D75" s="429" t="s">
        <v>935</v>
      </c>
      <c r="E75" s="429" t="s">
        <v>5243</v>
      </c>
      <c r="F75" s="518" t="s">
        <v>5315</v>
      </c>
      <c r="G75" s="431">
        <v>11038</v>
      </c>
      <c r="H75" s="457" t="s">
        <v>1007</v>
      </c>
      <c r="I75" s="518" t="s">
        <v>5316</v>
      </c>
      <c r="J75" s="589" t="s">
        <v>5317</v>
      </c>
      <c r="K75" s="432">
        <v>41518</v>
      </c>
      <c r="L75" s="476">
        <v>44160</v>
      </c>
      <c r="M75" s="431">
        <v>11150</v>
      </c>
      <c r="N75" s="432">
        <v>41518</v>
      </c>
      <c r="O75" s="432">
        <v>41884</v>
      </c>
      <c r="P75" s="436" t="s">
        <v>3905</v>
      </c>
      <c r="Q75" s="429"/>
      <c r="R75" s="429"/>
      <c r="S75" s="429"/>
      <c r="T75" s="429" t="s">
        <v>208</v>
      </c>
      <c r="U75" s="457"/>
      <c r="V75" s="429"/>
      <c r="W75" s="508"/>
      <c r="X75" s="518"/>
      <c r="Y75" s="509"/>
      <c r="Z75" s="509"/>
      <c r="AA75" s="429"/>
      <c r="AB75" s="429"/>
      <c r="AC75" s="476"/>
      <c r="AD75" s="429"/>
      <c r="AE75" s="476"/>
      <c r="AF75" s="476">
        <v>11040</v>
      </c>
      <c r="AG75" s="476">
        <v>16682.669999999998</v>
      </c>
      <c r="AH75" s="654">
        <f>SUM(AF75:AG75)</f>
        <v>27722.67</v>
      </c>
      <c r="AI75" s="179"/>
      <c r="AJ75" s="107"/>
      <c r="AK75" s="107"/>
      <c r="AL75" s="180"/>
      <c r="AM75" s="179"/>
      <c r="AN75" s="181"/>
      <c r="AO75" s="181"/>
      <c r="AP75" s="181"/>
      <c r="AQ75" s="181"/>
      <c r="AR75" s="182"/>
      <c r="AS75" s="468"/>
      <c r="AT75" s="165"/>
      <c r="AU75" s="165"/>
      <c r="AV75" s="165"/>
      <c r="AW75" s="165"/>
      <c r="AX75" s="165"/>
      <c r="AY75" s="165"/>
      <c r="AZ75" s="165"/>
      <c r="BA75" s="165"/>
      <c r="BB75" s="165"/>
      <c r="BC75" s="165"/>
      <c r="BD75" s="167"/>
    </row>
    <row r="76" spans="1:56" s="239" customFormat="1" ht="38.25" x14ac:dyDescent="0.25">
      <c r="A76" s="469">
        <v>12</v>
      </c>
      <c r="B76" s="468" t="s">
        <v>1488</v>
      </c>
      <c r="C76" s="429" t="s">
        <v>344</v>
      </c>
      <c r="D76" s="429" t="s">
        <v>935</v>
      </c>
      <c r="E76" s="429" t="s">
        <v>5243</v>
      </c>
      <c r="F76" s="518" t="s">
        <v>5318</v>
      </c>
      <c r="G76" s="431">
        <v>11048</v>
      </c>
      <c r="H76" s="457" t="s">
        <v>4702</v>
      </c>
      <c r="I76" s="518" t="s">
        <v>5316</v>
      </c>
      <c r="J76" s="589" t="s">
        <v>5317</v>
      </c>
      <c r="K76" s="432">
        <v>41548</v>
      </c>
      <c r="L76" s="476">
        <v>49341.599999999999</v>
      </c>
      <c r="M76" s="431">
        <v>11168</v>
      </c>
      <c r="N76" s="432">
        <v>41548</v>
      </c>
      <c r="O76" s="432">
        <v>41913</v>
      </c>
      <c r="P76" s="436" t="s">
        <v>3905</v>
      </c>
      <c r="Q76" s="429"/>
      <c r="R76" s="429"/>
      <c r="S76" s="429"/>
      <c r="T76" s="429" t="s">
        <v>208</v>
      </c>
      <c r="U76" s="457"/>
      <c r="V76" s="429"/>
      <c r="W76" s="508"/>
      <c r="X76" s="518"/>
      <c r="Y76" s="509"/>
      <c r="Z76" s="509"/>
      <c r="AA76" s="429"/>
      <c r="AB76" s="429"/>
      <c r="AC76" s="476" t="s">
        <v>593</v>
      </c>
      <c r="AD76" s="429"/>
      <c r="AE76" s="476"/>
      <c r="AF76" s="476">
        <v>6914.72</v>
      </c>
      <c r="AG76" s="476">
        <v>22717.11</v>
      </c>
      <c r="AH76" s="654">
        <f>SUM(AF76:AG76)</f>
        <v>29631.83</v>
      </c>
      <c r="AI76" s="179"/>
      <c r="AJ76" s="107"/>
      <c r="AK76" s="107"/>
      <c r="AL76" s="180"/>
      <c r="AM76" s="179"/>
      <c r="AN76" s="181"/>
      <c r="AO76" s="181"/>
      <c r="AP76" s="181"/>
      <c r="AQ76" s="181"/>
      <c r="AR76" s="182"/>
      <c r="AS76" s="468"/>
      <c r="AT76" s="165"/>
      <c r="AU76" s="165"/>
      <c r="AV76" s="165"/>
      <c r="AW76" s="165"/>
      <c r="AX76" s="165"/>
      <c r="AY76" s="165"/>
      <c r="AZ76" s="165"/>
      <c r="BA76" s="165"/>
      <c r="BB76" s="165"/>
      <c r="BC76" s="165"/>
      <c r="BD76" s="167"/>
    </row>
    <row r="77" spans="1:56" s="239" customFormat="1" ht="38.25" x14ac:dyDescent="0.25">
      <c r="A77" s="469">
        <v>13</v>
      </c>
      <c r="B77" s="468" t="s">
        <v>1488</v>
      </c>
      <c r="C77" s="429" t="s">
        <v>344</v>
      </c>
      <c r="D77" s="429" t="s">
        <v>935</v>
      </c>
      <c r="E77" s="429" t="s">
        <v>5243</v>
      </c>
      <c r="F77" s="518" t="s">
        <v>5318</v>
      </c>
      <c r="G77" s="431">
        <v>11048</v>
      </c>
      <c r="H77" s="457" t="s">
        <v>1570</v>
      </c>
      <c r="I77" s="518" t="s">
        <v>5316</v>
      </c>
      <c r="J77" s="589" t="s">
        <v>5317</v>
      </c>
      <c r="K77" s="432">
        <v>41548</v>
      </c>
      <c r="L77" s="476">
        <v>49605.599999999999</v>
      </c>
      <c r="M77" s="431">
        <v>11168</v>
      </c>
      <c r="N77" s="432">
        <v>41548</v>
      </c>
      <c r="O77" s="432">
        <v>41913</v>
      </c>
      <c r="P77" s="436" t="s">
        <v>3905</v>
      </c>
      <c r="Q77" s="429"/>
      <c r="R77" s="429"/>
      <c r="S77" s="429"/>
      <c r="T77" s="429" t="s">
        <v>208</v>
      </c>
      <c r="U77" s="457"/>
      <c r="V77" s="429"/>
      <c r="W77" s="508"/>
      <c r="X77" s="518"/>
      <c r="Y77" s="509"/>
      <c r="Z77" s="509"/>
      <c r="AA77" s="429"/>
      <c r="AB77" s="429"/>
      <c r="AC77" s="476"/>
      <c r="AD77" s="429"/>
      <c r="AE77" s="476"/>
      <c r="AF77" s="476">
        <v>6887.92</v>
      </c>
      <c r="AG77" s="476">
        <v>22353.24</v>
      </c>
      <c r="AH77" s="654">
        <f>SUM(AF77:AG77)</f>
        <v>29241.160000000003</v>
      </c>
      <c r="AI77" s="179"/>
      <c r="AJ77" s="107"/>
      <c r="AK77" s="107"/>
      <c r="AL77" s="180"/>
      <c r="AM77" s="179"/>
      <c r="AN77" s="181"/>
      <c r="AO77" s="181"/>
      <c r="AP77" s="181"/>
      <c r="AQ77" s="181"/>
      <c r="AR77" s="182"/>
      <c r="AS77" s="468"/>
      <c r="AT77" s="165"/>
      <c r="AU77" s="165"/>
      <c r="AV77" s="165"/>
      <c r="AW77" s="165"/>
      <c r="AX77" s="165"/>
      <c r="AY77" s="165"/>
      <c r="AZ77" s="165"/>
      <c r="BA77" s="165"/>
      <c r="BB77" s="165"/>
      <c r="BC77" s="165"/>
      <c r="BD77" s="167"/>
    </row>
    <row r="78" spans="1:56" s="239" customFormat="1" ht="38.25" x14ac:dyDescent="0.25">
      <c r="A78" s="469">
        <v>14</v>
      </c>
      <c r="B78" s="468" t="s">
        <v>1488</v>
      </c>
      <c r="C78" s="429" t="s">
        <v>344</v>
      </c>
      <c r="D78" s="429" t="s">
        <v>935</v>
      </c>
      <c r="E78" s="429" t="s">
        <v>5243</v>
      </c>
      <c r="F78" s="518" t="s">
        <v>5318</v>
      </c>
      <c r="G78" s="431">
        <v>11048</v>
      </c>
      <c r="H78" s="457" t="s">
        <v>4790</v>
      </c>
      <c r="I78" s="518" t="s">
        <v>5316</v>
      </c>
      <c r="J78" s="589" t="s">
        <v>5317</v>
      </c>
      <c r="K78" s="432">
        <v>41548</v>
      </c>
      <c r="L78" s="476">
        <v>49605.599999999999</v>
      </c>
      <c r="M78" s="431">
        <v>11168</v>
      </c>
      <c r="N78" s="432">
        <v>41548</v>
      </c>
      <c r="O78" s="432">
        <v>41913</v>
      </c>
      <c r="P78" s="436" t="s">
        <v>3905</v>
      </c>
      <c r="Q78" s="429"/>
      <c r="R78" s="429"/>
      <c r="S78" s="429"/>
      <c r="T78" s="429" t="s">
        <v>208</v>
      </c>
      <c r="U78" s="457"/>
      <c r="V78" s="429"/>
      <c r="W78" s="508"/>
      <c r="X78" s="518"/>
      <c r="Y78" s="509"/>
      <c r="Z78" s="509"/>
      <c r="AA78" s="429"/>
      <c r="AB78" s="429"/>
      <c r="AC78" s="476"/>
      <c r="AD78" s="429"/>
      <c r="AE78" s="476"/>
      <c r="AF78" s="476">
        <v>6867.75</v>
      </c>
      <c r="AG78" s="476">
        <v>27470.98</v>
      </c>
      <c r="AH78" s="654">
        <f>SUM(AF78:AG78)</f>
        <v>34338.729999999996</v>
      </c>
      <c r="AI78" s="179"/>
      <c r="AJ78" s="107"/>
      <c r="AK78" s="107"/>
      <c r="AL78" s="180"/>
      <c r="AM78" s="179"/>
      <c r="AN78" s="181"/>
      <c r="AO78" s="181"/>
      <c r="AP78" s="181"/>
      <c r="AQ78" s="181"/>
      <c r="AR78" s="182"/>
      <c r="AS78" s="468"/>
      <c r="AT78" s="165"/>
      <c r="AU78" s="165"/>
      <c r="AV78" s="165"/>
      <c r="AW78" s="165"/>
      <c r="AX78" s="165"/>
      <c r="AY78" s="165"/>
      <c r="AZ78" s="165"/>
      <c r="BA78" s="165"/>
      <c r="BB78" s="165"/>
      <c r="BC78" s="165"/>
      <c r="BD78" s="167"/>
    </row>
    <row r="79" spans="1:56" s="239" customFormat="1" ht="38.25" x14ac:dyDescent="0.25">
      <c r="A79" s="469">
        <v>15</v>
      </c>
      <c r="B79" s="468" t="s">
        <v>1488</v>
      </c>
      <c r="C79" s="429" t="s">
        <v>344</v>
      </c>
      <c r="D79" s="429" t="s">
        <v>935</v>
      </c>
      <c r="E79" s="429" t="s">
        <v>5243</v>
      </c>
      <c r="F79" s="518" t="s">
        <v>5318</v>
      </c>
      <c r="G79" s="431">
        <v>11048</v>
      </c>
      <c r="H79" s="457" t="s">
        <v>4740</v>
      </c>
      <c r="I79" s="518" t="s">
        <v>5316</v>
      </c>
      <c r="J79" s="589" t="s">
        <v>5317</v>
      </c>
      <c r="K79" s="432">
        <v>41548</v>
      </c>
      <c r="L79" s="476">
        <v>49605.599999999999</v>
      </c>
      <c r="M79" s="431">
        <v>11168</v>
      </c>
      <c r="N79" s="432">
        <v>41548</v>
      </c>
      <c r="O79" s="432">
        <v>41913</v>
      </c>
      <c r="P79" s="436" t="s">
        <v>3905</v>
      </c>
      <c r="Q79" s="429"/>
      <c r="R79" s="429"/>
      <c r="S79" s="429"/>
      <c r="T79" s="429" t="s">
        <v>208</v>
      </c>
      <c r="U79" s="457"/>
      <c r="V79" s="429"/>
      <c r="W79" s="508"/>
      <c r="X79" s="518"/>
      <c r="Y79" s="509"/>
      <c r="Z79" s="509"/>
      <c r="AA79" s="429"/>
      <c r="AB79" s="429"/>
      <c r="AC79" s="476"/>
      <c r="AD79" s="429"/>
      <c r="AE79" s="476"/>
      <c r="AF79" s="476">
        <v>6848.35</v>
      </c>
      <c r="AG79" s="476">
        <v>22134.62</v>
      </c>
      <c r="AH79" s="654">
        <f>SUM(AF79:AG79)</f>
        <v>28982.97</v>
      </c>
      <c r="AI79" s="179"/>
      <c r="AJ79" s="107"/>
      <c r="AK79" s="107"/>
      <c r="AL79" s="180"/>
      <c r="AM79" s="179"/>
      <c r="AN79" s="181"/>
      <c r="AO79" s="181"/>
      <c r="AP79" s="181"/>
      <c r="AQ79" s="181"/>
      <c r="AR79" s="182"/>
      <c r="AS79" s="468"/>
      <c r="AT79" s="165"/>
      <c r="AU79" s="165"/>
      <c r="AV79" s="165"/>
      <c r="AW79" s="165"/>
      <c r="AX79" s="165"/>
      <c r="AY79" s="165"/>
      <c r="AZ79" s="165"/>
      <c r="BA79" s="165"/>
      <c r="BB79" s="165"/>
      <c r="BC79" s="165"/>
      <c r="BD79" s="167"/>
    </row>
    <row r="80" spans="1:56" s="239" customFormat="1" ht="51" x14ac:dyDescent="0.25">
      <c r="A80" s="469">
        <v>16</v>
      </c>
      <c r="B80" s="468" t="s">
        <v>5313</v>
      </c>
      <c r="C80" s="429" t="s">
        <v>5314</v>
      </c>
      <c r="D80" s="429" t="s">
        <v>935</v>
      </c>
      <c r="E80" s="429" t="s">
        <v>5243</v>
      </c>
      <c r="F80" s="518" t="s">
        <v>5318</v>
      </c>
      <c r="G80" s="431">
        <v>11038</v>
      </c>
      <c r="H80" s="457" t="s">
        <v>2122</v>
      </c>
      <c r="I80" s="518" t="s">
        <v>5316</v>
      </c>
      <c r="J80" s="589" t="s">
        <v>5317</v>
      </c>
      <c r="K80" s="432">
        <v>41613</v>
      </c>
      <c r="L80" s="476">
        <v>44400</v>
      </c>
      <c r="M80" s="431">
        <v>11222</v>
      </c>
      <c r="N80" s="432">
        <v>41613</v>
      </c>
      <c r="O80" s="432">
        <v>42343</v>
      </c>
      <c r="P80" s="436" t="s">
        <v>3905</v>
      </c>
      <c r="Q80" s="429"/>
      <c r="R80" s="429"/>
      <c r="S80" s="429"/>
      <c r="T80" s="429" t="s">
        <v>208</v>
      </c>
      <c r="U80" s="457" t="s">
        <v>5275</v>
      </c>
      <c r="V80" s="509">
        <v>41979</v>
      </c>
      <c r="W80" s="657">
        <v>11494</v>
      </c>
      <c r="X80" s="518" t="s">
        <v>5252</v>
      </c>
      <c r="Y80" s="509">
        <v>41979</v>
      </c>
      <c r="Z80" s="509">
        <v>42068</v>
      </c>
      <c r="AA80" s="429"/>
      <c r="AB80" s="429"/>
      <c r="AC80" s="476">
        <v>3700</v>
      </c>
      <c r="AD80" s="429"/>
      <c r="AE80" s="476">
        <v>48100</v>
      </c>
      <c r="AF80" s="476"/>
      <c r="AG80" s="476">
        <v>40700</v>
      </c>
      <c r="AH80" s="654"/>
      <c r="AI80" s="179"/>
      <c r="AJ80" s="107"/>
      <c r="AK80" s="107"/>
      <c r="AL80" s="180"/>
      <c r="AM80" s="179"/>
      <c r="AN80" s="181"/>
      <c r="AO80" s="181"/>
      <c r="AP80" s="181"/>
      <c r="AQ80" s="181"/>
      <c r="AR80" s="182"/>
      <c r="AS80" s="468"/>
      <c r="AT80" s="165"/>
      <c r="AU80" s="165"/>
      <c r="AV80" s="165"/>
      <c r="AW80" s="165"/>
      <c r="AX80" s="165"/>
      <c r="AY80" s="165"/>
      <c r="AZ80" s="165"/>
      <c r="BA80" s="165"/>
      <c r="BB80" s="165"/>
      <c r="BC80" s="165"/>
      <c r="BD80" s="167"/>
    </row>
    <row r="81" spans="1:56" s="239" customFormat="1" ht="38.25" x14ac:dyDescent="0.25">
      <c r="A81" s="469">
        <v>17</v>
      </c>
      <c r="B81" s="468" t="s">
        <v>1488</v>
      </c>
      <c r="C81" s="429" t="s">
        <v>344</v>
      </c>
      <c r="D81" s="429" t="s">
        <v>935</v>
      </c>
      <c r="E81" s="429" t="s">
        <v>5243</v>
      </c>
      <c r="F81" s="518" t="s">
        <v>5318</v>
      </c>
      <c r="G81" s="431">
        <v>11043</v>
      </c>
      <c r="H81" s="457" t="s">
        <v>5319</v>
      </c>
      <c r="I81" s="518" t="s">
        <v>5316</v>
      </c>
      <c r="J81" s="589" t="s">
        <v>5317</v>
      </c>
      <c r="K81" s="432">
        <v>41610</v>
      </c>
      <c r="L81" s="476">
        <v>49605.599999999999</v>
      </c>
      <c r="M81" s="431">
        <v>11220</v>
      </c>
      <c r="N81" s="432">
        <v>41610</v>
      </c>
      <c r="O81" s="432">
        <v>41975</v>
      </c>
      <c r="P81" s="436" t="s">
        <v>3905</v>
      </c>
      <c r="Q81" s="429"/>
      <c r="R81" s="429"/>
      <c r="S81" s="429"/>
      <c r="T81" s="429" t="s">
        <v>208</v>
      </c>
      <c r="U81" s="457"/>
      <c r="V81" s="429"/>
      <c r="W81" s="508"/>
      <c r="X81" s="518"/>
      <c r="Y81" s="509"/>
      <c r="Z81" s="509"/>
      <c r="AA81" s="429"/>
      <c r="AB81" s="429"/>
      <c r="AC81" s="476"/>
      <c r="AD81" s="429"/>
      <c r="AE81" s="476"/>
      <c r="AF81" s="476"/>
      <c r="AG81" s="476">
        <v>23619.03</v>
      </c>
      <c r="AH81" s="654"/>
      <c r="AI81" s="179"/>
      <c r="AJ81" s="107"/>
      <c r="AK81" s="107"/>
      <c r="AL81" s="180"/>
      <c r="AM81" s="179"/>
      <c r="AN81" s="181"/>
      <c r="AO81" s="181"/>
      <c r="AP81" s="181"/>
      <c r="AQ81" s="181"/>
      <c r="AR81" s="182"/>
      <c r="AS81" s="468"/>
      <c r="AT81" s="165"/>
      <c r="AU81" s="165"/>
      <c r="AV81" s="165"/>
      <c r="AW81" s="165"/>
      <c r="AX81" s="165"/>
      <c r="AY81" s="165"/>
      <c r="AZ81" s="165"/>
      <c r="BA81" s="165"/>
      <c r="BB81" s="165"/>
      <c r="BC81" s="165"/>
      <c r="BD81" s="167"/>
    </row>
    <row r="82" spans="1:56" s="239" customFormat="1" ht="38.25" x14ac:dyDescent="0.25">
      <c r="A82" s="469">
        <v>18</v>
      </c>
      <c r="B82" s="468" t="s">
        <v>5313</v>
      </c>
      <c r="C82" s="429" t="s">
        <v>5314</v>
      </c>
      <c r="D82" s="429" t="s">
        <v>935</v>
      </c>
      <c r="E82" s="429" t="s">
        <v>5243</v>
      </c>
      <c r="F82" s="518" t="s">
        <v>5315</v>
      </c>
      <c r="G82" s="431">
        <v>11038</v>
      </c>
      <c r="H82" s="457" t="s">
        <v>675</v>
      </c>
      <c r="I82" s="518" t="s">
        <v>5316</v>
      </c>
      <c r="J82" s="589" t="s">
        <v>5317</v>
      </c>
      <c r="K82" s="432">
        <v>41641</v>
      </c>
      <c r="L82" s="476">
        <v>44400</v>
      </c>
      <c r="M82" s="431">
        <v>11222</v>
      </c>
      <c r="N82" s="432">
        <v>41641</v>
      </c>
      <c r="O82" s="432">
        <v>42006</v>
      </c>
      <c r="P82" s="436" t="s">
        <v>3905</v>
      </c>
      <c r="Q82" s="429"/>
      <c r="R82" s="429"/>
      <c r="S82" s="429"/>
      <c r="T82" s="429" t="s">
        <v>208</v>
      </c>
      <c r="U82" s="457"/>
      <c r="V82" s="429"/>
      <c r="W82" s="508"/>
      <c r="X82" s="518"/>
      <c r="Y82" s="509"/>
      <c r="Z82" s="509"/>
      <c r="AA82" s="429"/>
      <c r="AB82" s="429"/>
      <c r="AC82" s="476"/>
      <c r="AD82" s="429"/>
      <c r="AE82" s="476"/>
      <c r="AF82" s="476"/>
      <c r="AG82" s="476">
        <v>13073.33</v>
      </c>
      <c r="AH82" s="654"/>
      <c r="AI82" s="179"/>
      <c r="AJ82" s="107"/>
      <c r="AK82" s="107"/>
      <c r="AL82" s="180"/>
      <c r="AM82" s="179"/>
      <c r="AN82" s="181"/>
      <c r="AO82" s="181"/>
      <c r="AP82" s="181"/>
      <c r="AQ82" s="181"/>
      <c r="AR82" s="182"/>
      <c r="AS82" s="468"/>
      <c r="AT82" s="165"/>
      <c r="AU82" s="165"/>
      <c r="AV82" s="165"/>
      <c r="AW82" s="165"/>
      <c r="AX82" s="165"/>
      <c r="AY82" s="165"/>
      <c r="AZ82" s="165"/>
      <c r="BA82" s="165"/>
      <c r="BB82" s="165"/>
      <c r="BC82" s="165"/>
      <c r="BD82" s="167"/>
    </row>
    <row r="83" spans="1:56" s="239" customFormat="1" ht="38.25" x14ac:dyDescent="0.25">
      <c r="A83" s="469">
        <v>19</v>
      </c>
      <c r="B83" s="468" t="s">
        <v>1488</v>
      </c>
      <c r="C83" s="429" t="s">
        <v>344</v>
      </c>
      <c r="D83" s="429" t="s">
        <v>935</v>
      </c>
      <c r="E83" s="429" t="s">
        <v>5243</v>
      </c>
      <c r="F83" s="518" t="s">
        <v>5315</v>
      </c>
      <c r="G83" s="431">
        <v>11043</v>
      </c>
      <c r="H83" s="457" t="s">
        <v>686</v>
      </c>
      <c r="I83" s="518" t="s">
        <v>5316</v>
      </c>
      <c r="J83" s="589" t="s">
        <v>5317</v>
      </c>
      <c r="K83" s="432">
        <v>41641</v>
      </c>
      <c r="L83" s="476">
        <v>45000</v>
      </c>
      <c r="M83" s="431">
        <v>11222</v>
      </c>
      <c r="N83" s="432">
        <v>41641</v>
      </c>
      <c r="O83" s="432">
        <v>42006</v>
      </c>
      <c r="P83" s="436" t="s">
        <v>3905</v>
      </c>
      <c r="Q83" s="429"/>
      <c r="R83" s="429"/>
      <c r="S83" s="429"/>
      <c r="T83" s="429" t="s">
        <v>208</v>
      </c>
      <c r="U83" s="457"/>
      <c r="V83" s="429"/>
      <c r="W83" s="508"/>
      <c r="X83" s="518"/>
      <c r="Y83" s="509"/>
      <c r="Z83" s="509"/>
      <c r="AA83" s="429"/>
      <c r="AB83" s="429"/>
      <c r="AC83" s="476"/>
      <c r="AD83" s="429"/>
      <c r="AE83" s="476"/>
      <c r="AF83" s="476"/>
      <c r="AG83" s="476">
        <v>9500</v>
      </c>
      <c r="AH83" s="654"/>
      <c r="AI83" s="179"/>
      <c r="AJ83" s="107"/>
      <c r="AK83" s="107"/>
      <c r="AL83" s="180"/>
      <c r="AM83" s="179"/>
      <c r="AN83" s="181"/>
      <c r="AO83" s="181"/>
      <c r="AP83" s="181"/>
      <c r="AQ83" s="181"/>
      <c r="AR83" s="182"/>
      <c r="AS83" s="468"/>
      <c r="AT83" s="165"/>
      <c r="AU83" s="165"/>
      <c r="AV83" s="165"/>
      <c r="AW83" s="165"/>
      <c r="AX83" s="165"/>
      <c r="AY83" s="165"/>
      <c r="AZ83" s="165"/>
      <c r="BA83" s="165"/>
      <c r="BB83" s="165"/>
      <c r="BC83" s="165"/>
      <c r="BD83" s="167"/>
    </row>
    <row r="84" spans="1:56" s="239" customFormat="1" ht="38.25" x14ac:dyDescent="0.25">
      <c r="A84" s="469">
        <v>20</v>
      </c>
      <c r="B84" s="468" t="s">
        <v>2678</v>
      </c>
      <c r="C84" s="429" t="s">
        <v>5320</v>
      </c>
      <c r="D84" s="429" t="s">
        <v>935</v>
      </c>
      <c r="E84" s="429" t="s">
        <v>5321</v>
      </c>
      <c r="F84" s="518" t="s">
        <v>5322</v>
      </c>
      <c r="G84" s="431">
        <v>10967</v>
      </c>
      <c r="H84" s="457" t="s">
        <v>757</v>
      </c>
      <c r="I84" s="518" t="s">
        <v>5316</v>
      </c>
      <c r="J84" s="589" t="s">
        <v>5317</v>
      </c>
      <c r="K84" s="432">
        <v>41641</v>
      </c>
      <c r="L84" s="476">
        <v>166320</v>
      </c>
      <c r="M84" s="431">
        <v>11223</v>
      </c>
      <c r="N84" s="432">
        <v>41641</v>
      </c>
      <c r="O84" s="432">
        <v>42006</v>
      </c>
      <c r="P84" s="436" t="s">
        <v>3905</v>
      </c>
      <c r="Q84" s="429"/>
      <c r="R84" s="429"/>
      <c r="S84" s="429"/>
      <c r="T84" s="429" t="s">
        <v>208</v>
      </c>
      <c r="U84" s="457"/>
      <c r="V84" s="429"/>
      <c r="W84" s="508"/>
      <c r="X84" s="518"/>
      <c r="Y84" s="509"/>
      <c r="Z84" s="509"/>
      <c r="AA84" s="429"/>
      <c r="AB84" s="429"/>
      <c r="AC84" s="476"/>
      <c r="AD84" s="429"/>
      <c r="AE84" s="476"/>
      <c r="AF84" s="476"/>
      <c r="AG84" s="476">
        <v>3750</v>
      </c>
      <c r="AH84" s="654"/>
      <c r="AI84" s="179"/>
      <c r="AJ84" s="107"/>
      <c r="AK84" s="107"/>
      <c r="AL84" s="180"/>
      <c r="AM84" s="179"/>
      <c r="AN84" s="181"/>
      <c r="AO84" s="181"/>
      <c r="AP84" s="181"/>
      <c r="AQ84" s="181"/>
      <c r="AR84" s="182"/>
      <c r="AS84" s="468"/>
      <c r="AT84" s="165"/>
      <c r="AU84" s="165"/>
      <c r="AV84" s="165"/>
      <c r="AW84" s="165"/>
      <c r="AX84" s="165"/>
      <c r="AY84" s="165"/>
      <c r="AZ84" s="165"/>
      <c r="BA84" s="165"/>
      <c r="BB84" s="165"/>
      <c r="BC84" s="165"/>
      <c r="BD84" s="167"/>
    </row>
    <row r="85" spans="1:56" s="239" customFormat="1" ht="38.25" x14ac:dyDescent="0.25">
      <c r="A85" s="469">
        <v>21</v>
      </c>
      <c r="B85" s="468" t="s">
        <v>683</v>
      </c>
      <c r="C85" s="429" t="s">
        <v>704</v>
      </c>
      <c r="D85" s="429" t="s">
        <v>935</v>
      </c>
      <c r="E85" s="429" t="s">
        <v>5243</v>
      </c>
      <c r="F85" s="518" t="s">
        <v>1157</v>
      </c>
      <c r="G85" s="431">
        <v>11235</v>
      </c>
      <c r="H85" s="457" t="s">
        <v>1719</v>
      </c>
      <c r="I85" s="518" t="s">
        <v>5323</v>
      </c>
      <c r="J85" s="589" t="s">
        <v>789</v>
      </c>
      <c r="K85" s="436" t="s">
        <v>5324</v>
      </c>
      <c r="L85" s="476">
        <v>59500</v>
      </c>
      <c r="M85" s="431">
        <v>11278</v>
      </c>
      <c r="N85" s="57">
        <v>41732</v>
      </c>
      <c r="O85" s="57">
        <v>42097</v>
      </c>
      <c r="P85" s="436" t="s">
        <v>3905</v>
      </c>
      <c r="Q85" s="429"/>
      <c r="R85" s="429"/>
      <c r="S85" s="429"/>
      <c r="T85" s="429" t="s">
        <v>316</v>
      </c>
      <c r="U85" s="457"/>
      <c r="V85" s="429"/>
      <c r="W85" s="508"/>
      <c r="X85" s="518"/>
      <c r="Y85" s="509"/>
      <c r="Z85" s="509"/>
      <c r="AA85" s="429"/>
      <c r="AB85" s="429"/>
      <c r="AC85" s="476"/>
      <c r="AD85" s="429"/>
      <c r="AE85" s="476"/>
      <c r="AF85" s="476"/>
      <c r="AG85" s="476">
        <v>35700</v>
      </c>
      <c r="AH85" s="654"/>
      <c r="AI85" s="179"/>
      <c r="AJ85" s="107"/>
      <c r="AK85" s="107"/>
      <c r="AL85" s="180"/>
      <c r="AM85" s="179"/>
      <c r="AN85" s="181"/>
      <c r="AO85" s="181"/>
      <c r="AP85" s="181"/>
      <c r="AQ85" s="181"/>
      <c r="AR85" s="182"/>
      <c r="AS85" s="468"/>
      <c r="AT85" s="165"/>
      <c r="AU85" s="165"/>
      <c r="AV85" s="165"/>
      <c r="AW85" s="165"/>
      <c r="AX85" s="165"/>
      <c r="AY85" s="165"/>
      <c r="AZ85" s="165"/>
      <c r="BA85" s="165"/>
      <c r="BB85" s="165"/>
      <c r="BC85" s="165"/>
      <c r="BD85" s="167"/>
    </row>
    <row r="86" spans="1:56" s="239" customFormat="1" ht="51" x14ac:dyDescent="0.25">
      <c r="A86" s="469">
        <v>22</v>
      </c>
      <c r="B86" s="468" t="s">
        <v>5313</v>
      </c>
      <c r="C86" s="429" t="s">
        <v>5314</v>
      </c>
      <c r="D86" s="429" t="s">
        <v>935</v>
      </c>
      <c r="E86" s="429" t="s">
        <v>5243</v>
      </c>
      <c r="F86" s="518" t="s">
        <v>5315</v>
      </c>
      <c r="G86" s="429">
        <v>11038</v>
      </c>
      <c r="H86" s="457" t="s">
        <v>1019</v>
      </c>
      <c r="I86" s="518" t="s">
        <v>5325</v>
      </c>
      <c r="J86" s="589" t="s">
        <v>5326</v>
      </c>
      <c r="K86" s="432">
        <v>41456</v>
      </c>
      <c r="L86" s="476">
        <v>41520</v>
      </c>
      <c r="M86" s="431">
        <v>11107</v>
      </c>
      <c r="N86" s="432">
        <v>41456</v>
      </c>
      <c r="O86" s="432">
        <v>41821</v>
      </c>
      <c r="P86" s="436" t="s">
        <v>3905</v>
      </c>
      <c r="Q86" s="429"/>
      <c r="R86" s="429"/>
      <c r="S86" s="429"/>
      <c r="T86" s="429" t="s">
        <v>158</v>
      </c>
      <c r="U86" s="457" t="s">
        <v>5275</v>
      </c>
      <c r="V86" s="509">
        <v>41979</v>
      </c>
      <c r="W86" s="431">
        <v>11372</v>
      </c>
      <c r="X86" s="518" t="s">
        <v>5327</v>
      </c>
      <c r="Y86" s="509">
        <v>41979</v>
      </c>
      <c r="Z86" s="432">
        <v>42004</v>
      </c>
      <c r="AA86" s="429"/>
      <c r="AB86" s="429"/>
      <c r="AC86" s="476">
        <v>20760</v>
      </c>
      <c r="AD86" s="429"/>
      <c r="AE86" s="476">
        <v>62280</v>
      </c>
      <c r="AF86" s="476">
        <v>20760</v>
      </c>
      <c r="AG86" s="476">
        <v>28141.33</v>
      </c>
      <c r="AH86" s="654">
        <f>SUM(AF86:AG86)</f>
        <v>48901.33</v>
      </c>
      <c r="AI86" s="179"/>
      <c r="AJ86" s="107"/>
      <c r="AK86" s="107"/>
      <c r="AL86" s="180"/>
      <c r="AM86" s="179"/>
      <c r="AN86" s="181"/>
      <c r="AO86" s="181"/>
      <c r="AP86" s="181"/>
      <c r="AQ86" s="181"/>
      <c r="AR86" s="182"/>
      <c r="AS86" s="468"/>
      <c r="AT86" s="165"/>
      <c r="AU86" s="165"/>
      <c r="AV86" s="165"/>
      <c r="AW86" s="165"/>
      <c r="AX86" s="165"/>
      <c r="AY86" s="165"/>
      <c r="AZ86" s="165"/>
      <c r="BA86" s="165"/>
      <c r="BB86" s="165"/>
      <c r="BC86" s="165"/>
      <c r="BD86" s="167"/>
    </row>
    <row r="87" spans="1:56" s="239" customFormat="1" ht="38.25" x14ac:dyDescent="0.25">
      <c r="A87" s="469">
        <v>23</v>
      </c>
      <c r="B87" s="468" t="s">
        <v>1495</v>
      </c>
      <c r="C87" s="429" t="s">
        <v>2729</v>
      </c>
      <c r="D87" s="429" t="s">
        <v>935</v>
      </c>
      <c r="E87" s="429" t="s">
        <v>5243</v>
      </c>
      <c r="F87" s="518" t="s">
        <v>5328</v>
      </c>
      <c r="G87" s="431">
        <v>11043</v>
      </c>
      <c r="H87" s="457" t="s">
        <v>2727</v>
      </c>
      <c r="I87" s="518" t="s">
        <v>5329</v>
      </c>
      <c r="J87" s="589" t="s">
        <v>5330</v>
      </c>
      <c r="K87" s="432">
        <v>41821</v>
      </c>
      <c r="L87" s="476">
        <v>17999.88</v>
      </c>
      <c r="M87" s="431">
        <v>11107</v>
      </c>
      <c r="N87" s="432">
        <v>41821</v>
      </c>
      <c r="O87" s="432">
        <v>41821</v>
      </c>
      <c r="P87" s="436" t="s">
        <v>3905</v>
      </c>
      <c r="Q87" s="429"/>
      <c r="R87" s="429"/>
      <c r="S87" s="429"/>
      <c r="T87" s="429" t="s">
        <v>158</v>
      </c>
      <c r="U87" s="457"/>
      <c r="V87" s="429"/>
      <c r="W87" s="508"/>
      <c r="X87" s="518"/>
      <c r="Y87" s="509"/>
      <c r="Z87" s="509"/>
      <c r="AA87" s="429"/>
      <c r="AB87" s="429"/>
      <c r="AC87" s="476"/>
      <c r="AD87" s="429"/>
      <c r="AE87" s="476"/>
      <c r="AF87" s="476">
        <v>8899.94</v>
      </c>
      <c r="AG87" s="476">
        <v>7499.95</v>
      </c>
      <c r="AH87" s="654">
        <f>SUM(AF87:AG87)</f>
        <v>16399.89</v>
      </c>
      <c r="AI87" s="179"/>
      <c r="AJ87" s="107"/>
      <c r="AK87" s="107"/>
      <c r="AL87" s="180"/>
      <c r="AM87" s="179"/>
      <c r="AN87" s="181"/>
      <c r="AO87" s="181"/>
      <c r="AP87" s="181"/>
      <c r="AQ87" s="181"/>
      <c r="AR87" s="182"/>
      <c r="AS87" s="468"/>
      <c r="AT87" s="165"/>
      <c r="AU87" s="165"/>
      <c r="AV87" s="165"/>
      <c r="AW87" s="165"/>
      <c r="AX87" s="165"/>
      <c r="AY87" s="165"/>
      <c r="AZ87" s="165"/>
      <c r="BA87" s="165"/>
      <c r="BB87" s="165"/>
      <c r="BC87" s="165"/>
      <c r="BD87" s="167"/>
    </row>
    <row r="88" spans="1:56" s="239" customFormat="1" ht="38.25" x14ac:dyDescent="0.25">
      <c r="A88" s="469">
        <v>24</v>
      </c>
      <c r="B88" s="468" t="s">
        <v>5331</v>
      </c>
      <c r="C88" s="429" t="s">
        <v>686</v>
      </c>
      <c r="D88" s="429" t="s">
        <v>935</v>
      </c>
      <c r="E88" s="429" t="s">
        <v>5243</v>
      </c>
      <c r="F88" s="518" t="s">
        <v>5328</v>
      </c>
      <c r="G88" s="431">
        <v>11211</v>
      </c>
      <c r="H88" s="457" t="s">
        <v>1759</v>
      </c>
      <c r="I88" s="518" t="s">
        <v>5332</v>
      </c>
      <c r="J88" s="589" t="s">
        <v>5333</v>
      </c>
      <c r="K88" s="436" t="s">
        <v>5334</v>
      </c>
      <c r="L88" s="476">
        <v>18000</v>
      </c>
      <c r="M88" s="431">
        <v>11325</v>
      </c>
      <c r="N88" s="432">
        <v>41794</v>
      </c>
      <c r="O88" s="432">
        <v>42159</v>
      </c>
      <c r="P88" s="436" t="s">
        <v>3905</v>
      </c>
      <c r="Q88" s="429"/>
      <c r="R88" s="429"/>
      <c r="S88" s="429"/>
      <c r="T88" s="429" t="s">
        <v>158</v>
      </c>
      <c r="U88" s="457"/>
      <c r="V88" s="429"/>
      <c r="W88" s="508"/>
      <c r="X88" s="518"/>
      <c r="Y88" s="509"/>
      <c r="Z88" s="509"/>
      <c r="AA88" s="429"/>
      <c r="AB88" s="429"/>
      <c r="AC88" s="476"/>
      <c r="AD88" s="429"/>
      <c r="AE88" s="476"/>
      <c r="AF88" s="476"/>
      <c r="AG88" s="476">
        <v>7350</v>
      </c>
      <c r="AH88" s="654"/>
      <c r="AI88" s="179"/>
      <c r="AJ88" s="107"/>
      <c r="AK88" s="107"/>
      <c r="AL88" s="180"/>
      <c r="AM88" s="179"/>
      <c r="AN88" s="181"/>
      <c r="AO88" s="181"/>
      <c r="AP88" s="181"/>
      <c r="AQ88" s="181"/>
      <c r="AR88" s="182"/>
      <c r="AS88" s="468"/>
      <c r="AT88" s="165"/>
      <c r="AU88" s="165"/>
      <c r="AV88" s="165"/>
      <c r="AW88" s="165"/>
      <c r="AX88" s="165"/>
      <c r="AY88" s="165"/>
      <c r="AZ88" s="165"/>
      <c r="BA88" s="165"/>
      <c r="BB88" s="165"/>
      <c r="BC88" s="165"/>
      <c r="BD88" s="167"/>
    </row>
    <row r="89" spans="1:56" s="239" customFormat="1" ht="51" x14ac:dyDescent="0.25">
      <c r="A89" s="469">
        <v>25</v>
      </c>
      <c r="B89" s="468" t="s">
        <v>5313</v>
      </c>
      <c r="C89" s="429" t="s">
        <v>5314</v>
      </c>
      <c r="D89" s="429" t="s">
        <v>935</v>
      </c>
      <c r="E89" s="429" t="s">
        <v>5243</v>
      </c>
      <c r="F89" s="518" t="s">
        <v>5315</v>
      </c>
      <c r="G89" s="431">
        <v>11038</v>
      </c>
      <c r="H89" s="457" t="s">
        <v>1451</v>
      </c>
      <c r="I89" s="518" t="s">
        <v>5335</v>
      </c>
      <c r="J89" s="589" t="s">
        <v>5336</v>
      </c>
      <c r="K89" s="432">
        <v>41487</v>
      </c>
      <c r="L89" s="476">
        <v>43320</v>
      </c>
      <c r="M89" s="431">
        <v>11129</v>
      </c>
      <c r="N89" s="432">
        <v>41487</v>
      </c>
      <c r="O89" s="432">
        <v>41852</v>
      </c>
      <c r="P89" s="436" t="s">
        <v>3905</v>
      </c>
      <c r="Q89" s="429"/>
      <c r="R89" s="429"/>
      <c r="S89" s="429"/>
      <c r="T89" s="429" t="s">
        <v>158</v>
      </c>
      <c r="U89" s="457" t="s">
        <v>5275</v>
      </c>
      <c r="V89" s="432">
        <v>41852</v>
      </c>
      <c r="W89" s="431">
        <v>11374</v>
      </c>
      <c r="X89" s="518" t="s">
        <v>5252</v>
      </c>
      <c r="Y89" s="432">
        <v>41852</v>
      </c>
      <c r="Z89" s="509">
        <v>42004</v>
      </c>
      <c r="AA89" s="429"/>
      <c r="AB89" s="429"/>
      <c r="AC89" s="476">
        <v>18050</v>
      </c>
      <c r="AD89" s="429"/>
      <c r="AE89" s="476">
        <v>61370</v>
      </c>
      <c r="AF89" s="476">
        <v>18050</v>
      </c>
      <c r="AG89" s="476">
        <v>35979.67</v>
      </c>
      <c r="AH89" s="654">
        <f>SUM(AF89:AG89)</f>
        <v>54029.67</v>
      </c>
      <c r="AI89" s="179"/>
      <c r="AJ89" s="107"/>
      <c r="AK89" s="107"/>
      <c r="AL89" s="180"/>
      <c r="AM89" s="179"/>
      <c r="AN89" s="181"/>
      <c r="AO89" s="181"/>
      <c r="AP89" s="181"/>
      <c r="AQ89" s="181"/>
      <c r="AR89" s="182"/>
      <c r="AS89" s="468"/>
      <c r="AT89" s="165"/>
      <c r="AU89" s="165"/>
      <c r="AV89" s="165"/>
      <c r="AW89" s="165"/>
      <c r="AX89" s="165"/>
      <c r="AY89" s="165"/>
      <c r="AZ89" s="165"/>
      <c r="BA89" s="165"/>
      <c r="BB89" s="165"/>
      <c r="BC89" s="165"/>
      <c r="BD89" s="167"/>
    </row>
    <row r="90" spans="1:56" s="239" customFormat="1" ht="25.5" customHeight="1" x14ac:dyDescent="0.25">
      <c r="A90" s="2191">
        <v>26</v>
      </c>
      <c r="B90" s="2194" t="s">
        <v>5313</v>
      </c>
      <c r="C90" s="1985" t="s">
        <v>5314</v>
      </c>
      <c r="D90" s="1985" t="s">
        <v>935</v>
      </c>
      <c r="E90" s="1985" t="s">
        <v>5243</v>
      </c>
      <c r="F90" s="1985" t="s">
        <v>5315</v>
      </c>
      <c r="G90" s="1994">
        <v>11038</v>
      </c>
      <c r="H90" s="2011" t="s">
        <v>1056</v>
      </c>
      <c r="I90" s="2233" t="s">
        <v>5337</v>
      </c>
      <c r="J90" s="1991" t="s">
        <v>5338</v>
      </c>
      <c r="K90" s="1996">
        <v>41463</v>
      </c>
      <c r="L90" s="2142">
        <v>42000</v>
      </c>
      <c r="M90" s="1994">
        <v>11107</v>
      </c>
      <c r="N90" s="1996">
        <v>41463</v>
      </c>
      <c r="O90" s="1996">
        <v>41828</v>
      </c>
      <c r="P90" s="1991" t="s">
        <v>3905</v>
      </c>
      <c r="Q90" s="1985"/>
      <c r="R90" s="1985"/>
      <c r="S90" s="1985"/>
      <c r="T90" s="1985" t="s">
        <v>158</v>
      </c>
      <c r="U90" s="457" t="s">
        <v>5275</v>
      </c>
      <c r="V90" s="432">
        <v>41829</v>
      </c>
      <c r="W90" s="431">
        <v>11371</v>
      </c>
      <c r="X90" s="518" t="s">
        <v>5252</v>
      </c>
      <c r="Y90" s="432">
        <v>41829</v>
      </c>
      <c r="Z90" s="432">
        <v>41982</v>
      </c>
      <c r="AA90" s="429"/>
      <c r="AB90" s="429"/>
      <c r="AC90" s="476">
        <v>17500</v>
      </c>
      <c r="AD90" s="429"/>
      <c r="AE90" s="476">
        <v>66500</v>
      </c>
      <c r="AF90" s="476">
        <v>20183.330000000002</v>
      </c>
      <c r="AG90" s="476">
        <v>35000</v>
      </c>
      <c r="AH90" s="654">
        <f>SUM(AF90:AG90)</f>
        <v>55183.33</v>
      </c>
      <c r="AI90" s="179"/>
      <c r="AJ90" s="107"/>
      <c r="AK90" s="107"/>
      <c r="AL90" s="180"/>
      <c r="AM90" s="179"/>
      <c r="AN90" s="181"/>
      <c r="AO90" s="181"/>
      <c r="AP90" s="181"/>
      <c r="AQ90" s="181"/>
      <c r="AR90" s="182"/>
      <c r="AS90" s="468"/>
      <c r="AT90" s="165"/>
      <c r="AU90" s="165"/>
      <c r="AV90" s="165"/>
      <c r="AW90" s="165"/>
      <c r="AX90" s="165"/>
      <c r="AY90" s="165"/>
      <c r="AZ90" s="165"/>
      <c r="BA90" s="165"/>
      <c r="BB90" s="165"/>
      <c r="BC90" s="165"/>
      <c r="BD90" s="167"/>
    </row>
    <row r="91" spans="1:56" s="239" customFormat="1" ht="51" x14ac:dyDescent="0.25">
      <c r="A91" s="2193"/>
      <c r="B91" s="2196"/>
      <c r="C91" s="1986"/>
      <c r="D91" s="1986"/>
      <c r="E91" s="1986"/>
      <c r="F91" s="1986"/>
      <c r="G91" s="1995"/>
      <c r="H91" s="2012"/>
      <c r="I91" s="2234"/>
      <c r="J91" s="1992"/>
      <c r="K91" s="1997"/>
      <c r="L91" s="2144"/>
      <c r="M91" s="1995"/>
      <c r="N91" s="1997"/>
      <c r="O91" s="1997"/>
      <c r="P91" s="1992"/>
      <c r="Q91" s="1986"/>
      <c r="R91" s="1986"/>
      <c r="S91" s="1986"/>
      <c r="T91" s="1986"/>
      <c r="U91" s="457" t="s">
        <v>5276</v>
      </c>
      <c r="V91" s="432">
        <v>41983</v>
      </c>
      <c r="W91" s="431">
        <v>11495</v>
      </c>
      <c r="X91" s="518" t="s">
        <v>5252</v>
      </c>
      <c r="Y91" s="432">
        <v>41983</v>
      </c>
      <c r="Z91" s="432">
        <v>42072</v>
      </c>
      <c r="AA91" s="429"/>
      <c r="AB91" s="429"/>
      <c r="AC91" s="476">
        <v>7000</v>
      </c>
      <c r="AD91" s="429"/>
      <c r="AE91" s="476"/>
      <c r="AF91" s="476"/>
      <c r="AG91" s="476"/>
      <c r="AH91" s="654"/>
      <c r="AI91" s="179"/>
      <c r="AJ91" s="107"/>
      <c r="AK91" s="107"/>
      <c r="AL91" s="180"/>
      <c r="AM91" s="179"/>
      <c r="AN91" s="181"/>
      <c r="AO91" s="181"/>
      <c r="AP91" s="181"/>
      <c r="AQ91" s="181"/>
      <c r="AR91" s="182"/>
      <c r="AS91" s="468"/>
      <c r="AT91" s="165"/>
      <c r="AU91" s="165"/>
      <c r="AV91" s="165"/>
      <c r="AW91" s="165"/>
      <c r="AX91" s="165"/>
      <c r="AY91" s="165"/>
      <c r="AZ91" s="165"/>
      <c r="BA91" s="165"/>
      <c r="BB91" s="165"/>
      <c r="BC91" s="165"/>
      <c r="BD91" s="167"/>
    </row>
    <row r="92" spans="1:56" s="239" customFormat="1" ht="38.25" x14ac:dyDescent="0.25">
      <c r="A92" s="469">
        <v>27</v>
      </c>
      <c r="B92" s="468" t="s">
        <v>5313</v>
      </c>
      <c r="C92" s="429" t="s">
        <v>5314</v>
      </c>
      <c r="D92" s="429" t="s">
        <v>935</v>
      </c>
      <c r="E92" s="429" t="s">
        <v>5243</v>
      </c>
      <c r="F92" s="518" t="s">
        <v>5315</v>
      </c>
      <c r="G92" s="431">
        <v>11038</v>
      </c>
      <c r="H92" s="457" t="s">
        <v>383</v>
      </c>
      <c r="I92" s="518" t="s">
        <v>5339</v>
      </c>
      <c r="J92" s="589" t="s">
        <v>5340</v>
      </c>
      <c r="K92" s="432">
        <v>41761</v>
      </c>
      <c r="L92" s="476">
        <v>40080</v>
      </c>
      <c r="M92" s="431">
        <v>11305</v>
      </c>
      <c r="N92" s="432">
        <v>41761</v>
      </c>
      <c r="O92" s="432">
        <v>42126</v>
      </c>
      <c r="P92" s="436" t="s">
        <v>3905</v>
      </c>
      <c r="Q92" s="429"/>
      <c r="R92" s="429"/>
      <c r="S92" s="429"/>
      <c r="T92" s="429" t="s">
        <v>158</v>
      </c>
      <c r="U92" s="457"/>
      <c r="V92" s="429"/>
      <c r="W92" s="508"/>
      <c r="X92" s="518"/>
      <c r="Y92" s="509"/>
      <c r="Z92" s="509"/>
      <c r="AA92" s="429"/>
      <c r="AB92" s="429"/>
      <c r="AC92" s="476"/>
      <c r="AD92" s="429"/>
      <c r="AE92" s="476"/>
      <c r="AF92" s="476"/>
      <c r="AG92" s="476">
        <v>20380</v>
      </c>
      <c r="AH92" s="654"/>
      <c r="AI92" s="179"/>
      <c r="AJ92" s="107"/>
      <c r="AK92" s="107"/>
      <c r="AL92" s="180"/>
      <c r="AM92" s="179"/>
      <c r="AN92" s="181"/>
      <c r="AO92" s="181"/>
      <c r="AP92" s="181"/>
      <c r="AQ92" s="181"/>
      <c r="AR92" s="182"/>
      <c r="AS92" s="468"/>
      <c r="AT92" s="165"/>
      <c r="AU92" s="165"/>
      <c r="AV92" s="165"/>
      <c r="AW92" s="165"/>
      <c r="AX92" s="165"/>
      <c r="AY92" s="165"/>
      <c r="AZ92" s="165"/>
      <c r="BA92" s="165"/>
      <c r="BB92" s="165"/>
      <c r="BC92" s="165"/>
      <c r="BD92" s="167"/>
    </row>
    <row r="93" spans="1:56" s="239" customFormat="1" ht="38.25" x14ac:dyDescent="0.25">
      <c r="A93" s="469">
        <v>28</v>
      </c>
      <c r="B93" s="468" t="s">
        <v>5313</v>
      </c>
      <c r="C93" s="429" t="s">
        <v>5314</v>
      </c>
      <c r="D93" s="429" t="s">
        <v>935</v>
      </c>
      <c r="E93" s="429" t="s">
        <v>5243</v>
      </c>
      <c r="F93" s="518" t="s">
        <v>5315</v>
      </c>
      <c r="G93" s="431">
        <v>11038</v>
      </c>
      <c r="H93" s="457" t="s">
        <v>975</v>
      </c>
      <c r="I93" s="518" t="s">
        <v>5341</v>
      </c>
      <c r="J93" s="589" t="s">
        <v>1048</v>
      </c>
      <c r="K93" s="432">
        <v>41456</v>
      </c>
      <c r="L93" s="658">
        <v>40800</v>
      </c>
      <c r="M93" s="429">
        <v>11107</v>
      </c>
      <c r="N93" s="432">
        <v>41456</v>
      </c>
      <c r="O93" s="432">
        <v>41821</v>
      </c>
      <c r="P93" s="436" t="s">
        <v>3905</v>
      </c>
      <c r="Q93" s="429"/>
      <c r="R93" s="429"/>
      <c r="S93" s="429"/>
      <c r="T93" s="429" t="s">
        <v>158</v>
      </c>
      <c r="U93" s="457"/>
      <c r="V93" s="429"/>
      <c r="W93" s="508"/>
      <c r="X93" s="518"/>
      <c r="Y93" s="509"/>
      <c r="Z93" s="509"/>
      <c r="AA93" s="429"/>
      <c r="AB93" s="429"/>
      <c r="AC93" s="476"/>
      <c r="AD93" s="429"/>
      <c r="AE93" s="476"/>
      <c r="AF93" s="476">
        <v>20286.669999999998</v>
      </c>
      <c r="AG93" s="476">
        <v>17000</v>
      </c>
      <c r="AH93" s="654">
        <f>SUM(AF93:AG93)</f>
        <v>37286.67</v>
      </c>
      <c r="AI93" s="179"/>
      <c r="AJ93" s="107"/>
      <c r="AK93" s="107"/>
      <c r="AL93" s="180"/>
      <c r="AM93" s="179"/>
      <c r="AN93" s="181"/>
      <c r="AO93" s="181"/>
      <c r="AP93" s="181"/>
      <c r="AQ93" s="181"/>
      <c r="AR93" s="182"/>
      <c r="AS93" s="468"/>
      <c r="AT93" s="165"/>
      <c r="AU93" s="165"/>
      <c r="AV93" s="165"/>
      <c r="AW93" s="165"/>
      <c r="AX93" s="165"/>
      <c r="AY93" s="165"/>
      <c r="AZ93" s="165"/>
      <c r="BA93" s="165"/>
      <c r="BB93" s="165"/>
      <c r="BC93" s="165"/>
      <c r="BD93" s="167"/>
    </row>
    <row r="94" spans="1:56" s="239" customFormat="1" ht="51" x14ac:dyDescent="0.25">
      <c r="A94" s="469">
        <v>29</v>
      </c>
      <c r="B94" s="468" t="s">
        <v>5342</v>
      </c>
      <c r="C94" s="429" t="s">
        <v>1382</v>
      </c>
      <c r="D94" s="429" t="s">
        <v>935</v>
      </c>
      <c r="E94" s="429" t="s">
        <v>5288</v>
      </c>
      <c r="F94" s="518" t="s">
        <v>5343</v>
      </c>
      <c r="G94" s="431">
        <v>11062</v>
      </c>
      <c r="H94" s="457" t="s">
        <v>1608</v>
      </c>
      <c r="I94" s="518" t="s">
        <v>5344</v>
      </c>
      <c r="J94" s="589" t="s">
        <v>5345</v>
      </c>
      <c r="K94" s="436" t="s">
        <v>5346</v>
      </c>
      <c r="L94" s="476">
        <v>5208000</v>
      </c>
      <c r="M94" s="431">
        <v>11139</v>
      </c>
      <c r="N94" s="432">
        <v>41548</v>
      </c>
      <c r="O94" s="432">
        <v>41913</v>
      </c>
      <c r="P94" s="436" t="s">
        <v>3905</v>
      </c>
      <c r="Q94" s="429"/>
      <c r="R94" s="429"/>
      <c r="S94" s="429"/>
      <c r="T94" s="429" t="s">
        <v>208</v>
      </c>
      <c r="U94" s="457" t="s">
        <v>5275</v>
      </c>
      <c r="V94" s="432">
        <v>41914</v>
      </c>
      <c r="W94" s="431">
        <v>11425</v>
      </c>
      <c r="X94" s="518" t="s">
        <v>5252</v>
      </c>
      <c r="Y94" s="432">
        <v>41914</v>
      </c>
      <c r="Z94" s="432">
        <v>42278</v>
      </c>
      <c r="AA94" s="429"/>
      <c r="AB94" s="429"/>
      <c r="AC94" s="476">
        <v>5208000</v>
      </c>
      <c r="AD94" s="429"/>
      <c r="AE94" s="476">
        <v>10416000</v>
      </c>
      <c r="AF94" s="476">
        <v>1041704.78</v>
      </c>
      <c r="AG94" s="476">
        <v>5400453.2699999996</v>
      </c>
      <c r="AH94" s="654">
        <f>SUM(AF94:AG94)</f>
        <v>6442158.0499999998</v>
      </c>
      <c r="AI94" s="179"/>
      <c r="AJ94" s="107"/>
      <c r="AK94" s="107"/>
      <c r="AL94" s="180"/>
      <c r="AM94" s="179"/>
      <c r="AN94" s="181"/>
      <c r="AO94" s="181"/>
      <c r="AP94" s="181"/>
      <c r="AQ94" s="181"/>
      <c r="AR94" s="182"/>
      <c r="AS94" s="468"/>
      <c r="AT94" s="165"/>
      <c r="AU94" s="165"/>
      <c r="AV94" s="165"/>
      <c r="AW94" s="165"/>
      <c r="AX94" s="165"/>
      <c r="AY94" s="165"/>
      <c r="AZ94" s="165"/>
      <c r="BA94" s="165"/>
      <c r="BB94" s="165"/>
      <c r="BC94" s="165"/>
      <c r="BD94" s="167"/>
    </row>
    <row r="95" spans="1:56" s="239" customFormat="1" ht="51" x14ac:dyDescent="0.25">
      <c r="A95" s="469">
        <v>30</v>
      </c>
      <c r="B95" s="468" t="s">
        <v>1488</v>
      </c>
      <c r="C95" s="429" t="s">
        <v>344</v>
      </c>
      <c r="D95" s="429" t="s">
        <v>935</v>
      </c>
      <c r="E95" s="429" t="s">
        <v>5243</v>
      </c>
      <c r="F95" s="518" t="s">
        <v>5318</v>
      </c>
      <c r="G95" s="431">
        <v>11048</v>
      </c>
      <c r="H95" s="457" t="s">
        <v>1317</v>
      </c>
      <c r="I95" s="518" t="s">
        <v>5347</v>
      </c>
      <c r="J95" s="589" t="s">
        <v>5348</v>
      </c>
      <c r="K95" s="432">
        <v>41548</v>
      </c>
      <c r="L95" s="476">
        <v>49104</v>
      </c>
      <c r="M95" s="431">
        <v>11168</v>
      </c>
      <c r="N95" s="432">
        <v>41548</v>
      </c>
      <c r="O95" s="432">
        <v>41913</v>
      </c>
      <c r="P95" s="436" t="s">
        <v>3905</v>
      </c>
      <c r="Q95" s="429"/>
      <c r="R95" s="429"/>
      <c r="S95" s="429"/>
      <c r="T95" s="429" t="s">
        <v>158</v>
      </c>
      <c r="U95" s="457" t="s">
        <v>5275</v>
      </c>
      <c r="V95" s="432">
        <v>41913</v>
      </c>
      <c r="W95" s="431">
        <v>11419</v>
      </c>
      <c r="X95" s="518" t="s">
        <v>5252</v>
      </c>
      <c r="Y95" s="432">
        <v>41913</v>
      </c>
      <c r="Z95" s="432">
        <v>42005</v>
      </c>
      <c r="AA95" s="429"/>
      <c r="AB95" s="429"/>
      <c r="AC95" s="476">
        <v>12276</v>
      </c>
      <c r="AD95" s="429"/>
      <c r="AE95" s="476">
        <v>61380</v>
      </c>
      <c r="AF95" s="476">
        <v>10295.1</v>
      </c>
      <c r="AG95" s="476">
        <v>32029.200000000001</v>
      </c>
      <c r="AH95" s="654">
        <f>SUM(AF95:AG95)</f>
        <v>42324.3</v>
      </c>
      <c r="AI95" s="179"/>
      <c r="AJ95" s="107"/>
      <c r="AK95" s="107"/>
      <c r="AL95" s="180"/>
      <c r="AM95" s="179"/>
      <c r="AN95" s="181"/>
      <c r="AO95" s="181"/>
      <c r="AP95" s="181"/>
      <c r="AQ95" s="181"/>
      <c r="AR95" s="182"/>
      <c r="AS95" s="468"/>
      <c r="AT95" s="165"/>
      <c r="AU95" s="165"/>
      <c r="AV95" s="165"/>
      <c r="AW95" s="165"/>
      <c r="AX95" s="165"/>
      <c r="AY95" s="165"/>
      <c r="AZ95" s="165"/>
      <c r="BA95" s="165"/>
      <c r="BB95" s="165"/>
      <c r="BC95" s="165"/>
      <c r="BD95" s="167"/>
    </row>
    <row r="96" spans="1:56" s="239" customFormat="1" ht="51" x14ac:dyDescent="0.25">
      <c r="A96" s="469">
        <v>31</v>
      </c>
      <c r="B96" s="468" t="s">
        <v>5048</v>
      </c>
      <c r="C96" s="429" t="s">
        <v>2701</v>
      </c>
      <c r="D96" s="429" t="s">
        <v>935</v>
      </c>
      <c r="E96" s="429" t="s">
        <v>5263</v>
      </c>
      <c r="F96" s="518" t="s">
        <v>5264</v>
      </c>
      <c r="G96" s="431">
        <v>10202</v>
      </c>
      <c r="H96" s="457" t="s">
        <v>823</v>
      </c>
      <c r="I96" s="518" t="s">
        <v>5349</v>
      </c>
      <c r="J96" s="589" t="s">
        <v>1011</v>
      </c>
      <c r="K96" s="436" t="s">
        <v>5350</v>
      </c>
      <c r="L96" s="476">
        <v>1787858.39</v>
      </c>
      <c r="M96" s="431">
        <v>11224</v>
      </c>
      <c r="N96" s="432">
        <v>41649</v>
      </c>
      <c r="O96" s="432">
        <v>42014</v>
      </c>
      <c r="P96" s="436" t="s">
        <v>3905</v>
      </c>
      <c r="Q96" s="429"/>
      <c r="R96" s="429"/>
      <c r="S96" s="429"/>
      <c r="T96" s="429" t="s">
        <v>316</v>
      </c>
      <c r="U96" s="457"/>
      <c r="V96" s="429"/>
      <c r="W96" s="508"/>
      <c r="X96" s="518"/>
      <c r="Y96" s="509"/>
      <c r="Z96" s="509"/>
      <c r="AA96" s="429"/>
      <c r="AB96" s="429"/>
      <c r="AC96" s="476"/>
      <c r="AD96" s="429"/>
      <c r="AE96" s="476"/>
      <c r="AF96" s="476"/>
      <c r="AG96" s="476">
        <v>674921.5</v>
      </c>
      <c r="AH96" s="654"/>
      <c r="AI96" s="179"/>
      <c r="AJ96" s="107"/>
      <c r="AK96" s="107"/>
      <c r="AL96" s="180"/>
      <c r="AM96" s="179"/>
      <c r="AN96" s="181"/>
      <c r="AO96" s="181"/>
      <c r="AP96" s="181"/>
      <c r="AQ96" s="181"/>
      <c r="AR96" s="182"/>
      <c r="AS96" s="468"/>
      <c r="AT96" s="165"/>
      <c r="AU96" s="165"/>
      <c r="AV96" s="165"/>
      <c r="AW96" s="165"/>
      <c r="AX96" s="165"/>
      <c r="AY96" s="165"/>
      <c r="AZ96" s="165"/>
      <c r="BA96" s="165"/>
      <c r="BB96" s="165"/>
      <c r="BC96" s="165"/>
      <c r="BD96" s="167"/>
    </row>
    <row r="97" spans="1:56" s="239" customFormat="1" ht="38.25" x14ac:dyDescent="0.25">
      <c r="A97" s="469">
        <v>32</v>
      </c>
      <c r="B97" s="468" t="s">
        <v>2678</v>
      </c>
      <c r="C97" s="429" t="s">
        <v>5320</v>
      </c>
      <c r="D97" s="429" t="s">
        <v>935</v>
      </c>
      <c r="E97" s="429" t="s">
        <v>5321</v>
      </c>
      <c r="F97" s="518" t="s">
        <v>5351</v>
      </c>
      <c r="G97" s="431">
        <v>11038</v>
      </c>
      <c r="H97" s="457" t="s">
        <v>349</v>
      </c>
      <c r="I97" s="518" t="s">
        <v>5352</v>
      </c>
      <c r="J97" s="589" t="s">
        <v>1927</v>
      </c>
      <c r="K97" s="432">
        <v>41640</v>
      </c>
      <c r="L97" s="476">
        <v>118800</v>
      </c>
      <c r="M97" s="431">
        <v>11222</v>
      </c>
      <c r="N97" s="432">
        <v>41640</v>
      </c>
      <c r="O97" s="432">
        <v>42005</v>
      </c>
      <c r="P97" s="436" t="s">
        <v>3905</v>
      </c>
      <c r="Q97" s="429"/>
      <c r="R97" s="429"/>
      <c r="S97" s="429"/>
      <c r="T97" s="429" t="s">
        <v>208</v>
      </c>
      <c r="U97" s="457"/>
      <c r="V97" s="429"/>
      <c r="W97" s="508"/>
      <c r="X97" s="518"/>
      <c r="Y97" s="509"/>
      <c r="Z97" s="509"/>
      <c r="AA97" s="429"/>
      <c r="AB97" s="429"/>
      <c r="AC97" s="476"/>
      <c r="AD97" s="429"/>
      <c r="AE97" s="476"/>
      <c r="AF97" s="476"/>
      <c r="AG97" s="476">
        <v>38500.61</v>
      </c>
      <c r="AH97" s="654"/>
      <c r="AI97" s="179"/>
      <c r="AJ97" s="107"/>
      <c r="AK97" s="107"/>
      <c r="AL97" s="180"/>
      <c r="AM97" s="179"/>
      <c r="AN97" s="181"/>
      <c r="AO97" s="181"/>
      <c r="AP97" s="181"/>
      <c r="AQ97" s="181"/>
      <c r="AR97" s="182"/>
      <c r="AS97" s="468"/>
      <c r="AT97" s="165"/>
      <c r="AU97" s="165"/>
      <c r="AV97" s="165"/>
      <c r="AW97" s="165"/>
      <c r="AX97" s="165"/>
      <c r="AY97" s="165"/>
      <c r="AZ97" s="165"/>
      <c r="BA97" s="165"/>
      <c r="BB97" s="165"/>
      <c r="BC97" s="165"/>
      <c r="BD97" s="167"/>
    </row>
    <row r="98" spans="1:56" s="239" customFormat="1" ht="51" x14ac:dyDescent="0.25">
      <c r="A98" s="469">
        <v>33</v>
      </c>
      <c r="B98" s="468" t="s">
        <v>2678</v>
      </c>
      <c r="C98" s="429" t="s">
        <v>5320</v>
      </c>
      <c r="D98" s="429" t="s">
        <v>935</v>
      </c>
      <c r="E98" s="429" t="s">
        <v>5321</v>
      </c>
      <c r="F98" s="518" t="s">
        <v>5351</v>
      </c>
      <c r="G98" s="431">
        <v>11038</v>
      </c>
      <c r="H98" s="457" t="s">
        <v>4162</v>
      </c>
      <c r="I98" s="518" t="s">
        <v>5353</v>
      </c>
      <c r="J98" s="589" t="s">
        <v>5354</v>
      </c>
      <c r="K98" s="432">
        <v>41548</v>
      </c>
      <c r="L98" s="476">
        <v>126720</v>
      </c>
      <c r="M98" s="431">
        <v>11219</v>
      </c>
      <c r="N98" s="432">
        <v>41548</v>
      </c>
      <c r="O98" s="432">
        <v>41913</v>
      </c>
      <c r="P98" s="436" t="s">
        <v>3905</v>
      </c>
      <c r="Q98" s="429"/>
      <c r="R98" s="429"/>
      <c r="S98" s="429"/>
      <c r="T98" s="429" t="s">
        <v>158</v>
      </c>
      <c r="U98" s="457" t="s">
        <v>5275</v>
      </c>
      <c r="V98" s="432">
        <v>41914</v>
      </c>
      <c r="W98" s="431">
        <v>11427</v>
      </c>
      <c r="X98" s="518" t="s">
        <v>5252</v>
      </c>
      <c r="Y98" s="432">
        <v>41914</v>
      </c>
      <c r="Z98" s="432">
        <v>42005</v>
      </c>
      <c r="AA98" s="429"/>
      <c r="AB98" s="429"/>
      <c r="AC98" s="476">
        <v>31680</v>
      </c>
      <c r="AD98" s="429"/>
      <c r="AE98" s="476">
        <v>158400</v>
      </c>
      <c r="AF98" s="476">
        <v>27576</v>
      </c>
      <c r="AG98" s="476">
        <v>94560</v>
      </c>
      <c r="AH98" s="654">
        <f>SUM(AF98:AG98)</f>
        <v>122136</v>
      </c>
      <c r="AI98" s="179"/>
      <c r="AJ98" s="107"/>
      <c r="AK98" s="107"/>
      <c r="AL98" s="180"/>
      <c r="AM98" s="179"/>
      <c r="AN98" s="181"/>
      <c r="AO98" s="181"/>
      <c r="AP98" s="181"/>
      <c r="AQ98" s="181"/>
      <c r="AR98" s="182"/>
      <c r="AS98" s="468"/>
      <c r="AT98" s="165"/>
      <c r="AU98" s="165"/>
      <c r="AV98" s="165"/>
      <c r="AW98" s="165"/>
      <c r="AX98" s="165"/>
      <c r="AY98" s="165"/>
      <c r="AZ98" s="165"/>
      <c r="BA98" s="165"/>
      <c r="BB98" s="165"/>
      <c r="BC98" s="165"/>
      <c r="BD98" s="167"/>
    </row>
    <row r="99" spans="1:56" s="239" customFormat="1" ht="38.25" x14ac:dyDescent="0.25">
      <c r="A99" s="469">
        <v>34</v>
      </c>
      <c r="B99" s="468" t="s">
        <v>1495</v>
      </c>
      <c r="C99" s="429" t="s">
        <v>2729</v>
      </c>
      <c r="D99" s="429" t="s">
        <v>935</v>
      </c>
      <c r="E99" s="429" t="s">
        <v>5243</v>
      </c>
      <c r="F99" s="518" t="s">
        <v>5328</v>
      </c>
      <c r="G99" s="431">
        <v>11043</v>
      </c>
      <c r="H99" s="457" t="s">
        <v>1081</v>
      </c>
      <c r="I99" s="518" t="s">
        <v>5355</v>
      </c>
      <c r="J99" s="589" t="s">
        <v>5356</v>
      </c>
      <c r="K99" s="436" t="s">
        <v>5357</v>
      </c>
      <c r="L99" s="476">
        <v>18972</v>
      </c>
      <c r="M99" s="431">
        <v>11340</v>
      </c>
      <c r="N99" s="432">
        <v>41813</v>
      </c>
      <c r="O99" s="432">
        <v>42178</v>
      </c>
      <c r="P99" s="436" t="s">
        <v>3905</v>
      </c>
      <c r="Q99" s="429"/>
      <c r="R99" s="429"/>
      <c r="S99" s="429"/>
      <c r="T99" s="429" t="s">
        <v>158</v>
      </c>
      <c r="U99" s="457"/>
      <c r="V99" s="429"/>
      <c r="W99" s="508"/>
      <c r="X99" s="518"/>
      <c r="Y99" s="509"/>
      <c r="Z99" s="509"/>
      <c r="AA99" s="429"/>
      <c r="AB99" s="429"/>
      <c r="AC99" s="476"/>
      <c r="AD99" s="429"/>
      <c r="AE99" s="476"/>
      <c r="AF99" s="476"/>
      <c r="AG99" s="476">
        <v>6745.6</v>
      </c>
      <c r="AH99" s="654"/>
      <c r="AI99" s="179"/>
      <c r="AJ99" s="107"/>
      <c r="AK99" s="107"/>
      <c r="AL99" s="180"/>
      <c r="AM99" s="179"/>
      <c r="AN99" s="181"/>
      <c r="AO99" s="181"/>
      <c r="AP99" s="181"/>
      <c r="AQ99" s="181"/>
      <c r="AR99" s="182"/>
      <c r="AS99" s="468"/>
      <c r="AT99" s="165"/>
      <c r="AU99" s="165"/>
      <c r="AV99" s="165"/>
      <c r="AW99" s="165"/>
      <c r="AX99" s="165"/>
      <c r="AY99" s="165"/>
      <c r="AZ99" s="165"/>
      <c r="BA99" s="165"/>
      <c r="BB99" s="165"/>
      <c r="BC99" s="165"/>
      <c r="BD99" s="167"/>
    </row>
    <row r="100" spans="1:56" s="239" customFormat="1" ht="38.25" x14ac:dyDescent="0.25">
      <c r="A100" s="469">
        <v>35</v>
      </c>
      <c r="B100" s="468" t="s">
        <v>683</v>
      </c>
      <c r="C100" s="429" t="s">
        <v>704</v>
      </c>
      <c r="D100" s="429" t="s">
        <v>935</v>
      </c>
      <c r="E100" s="429" t="s">
        <v>5243</v>
      </c>
      <c r="F100" s="518" t="s">
        <v>1157</v>
      </c>
      <c r="G100" s="431">
        <v>11225</v>
      </c>
      <c r="H100" s="457" t="s">
        <v>1715</v>
      </c>
      <c r="I100" s="518" t="s">
        <v>5358</v>
      </c>
      <c r="J100" s="589" t="s">
        <v>1830</v>
      </c>
      <c r="K100" s="436" t="s">
        <v>5324</v>
      </c>
      <c r="L100" s="476">
        <v>23300</v>
      </c>
      <c r="M100" s="431">
        <v>11282</v>
      </c>
      <c r="N100" s="432">
        <v>41732</v>
      </c>
      <c r="O100" s="432">
        <v>42097</v>
      </c>
      <c r="P100" s="436" t="s">
        <v>3905</v>
      </c>
      <c r="Q100" s="429"/>
      <c r="R100" s="429"/>
      <c r="S100" s="429"/>
      <c r="T100" s="429" t="s">
        <v>158</v>
      </c>
      <c r="U100" s="457"/>
      <c r="V100" s="429"/>
      <c r="W100" s="508"/>
      <c r="X100" s="518"/>
      <c r="Y100" s="509"/>
      <c r="Z100" s="509"/>
      <c r="AA100" s="429"/>
      <c r="AB100" s="429"/>
      <c r="AC100" s="476"/>
      <c r="AD100" s="429"/>
      <c r="AE100" s="476"/>
      <c r="AF100" s="476"/>
      <c r="AG100" s="476">
        <v>11650</v>
      </c>
      <c r="AH100" s="654"/>
      <c r="AI100" s="179"/>
      <c r="AJ100" s="107"/>
      <c r="AK100" s="107"/>
      <c r="AL100" s="180"/>
      <c r="AM100" s="179"/>
      <c r="AN100" s="181"/>
      <c r="AO100" s="181"/>
      <c r="AP100" s="181"/>
      <c r="AQ100" s="181"/>
      <c r="AR100" s="182"/>
      <c r="AS100" s="468"/>
      <c r="AT100" s="165"/>
      <c r="AU100" s="165"/>
      <c r="AV100" s="165"/>
      <c r="AW100" s="165"/>
      <c r="AX100" s="165"/>
      <c r="AY100" s="165"/>
      <c r="AZ100" s="165"/>
      <c r="BA100" s="165"/>
      <c r="BB100" s="165"/>
      <c r="BC100" s="165"/>
      <c r="BD100" s="167"/>
    </row>
    <row r="101" spans="1:56" s="239" customFormat="1" ht="38.25" x14ac:dyDescent="0.25">
      <c r="A101" s="469">
        <v>36</v>
      </c>
      <c r="B101" s="468" t="s">
        <v>5313</v>
      </c>
      <c r="C101" s="429" t="s">
        <v>5314</v>
      </c>
      <c r="D101" s="429" t="s">
        <v>935</v>
      </c>
      <c r="E101" s="429" t="s">
        <v>5243</v>
      </c>
      <c r="F101" s="518" t="s">
        <v>5315</v>
      </c>
      <c r="G101" s="431">
        <v>11038</v>
      </c>
      <c r="H101" s="457" t="s">
        <v>4339</v>
      </c>
      <c r="I101" s="456" t="s">
        <v>5359</v>
      </c>
      <c r="J101" s="589" t="s">
        <v>5360</v>
      </c>
      <c r="K101" s="432">
        <v>41519</v>
      </c>
      <c r="L101" s="476">
        <v>43800</v>
      </c>
      <c r="M101" s="431">
        <v>11150</v>
      </c>
      <c r="N101" s="432">
        <v>41519</v>
      </c>
      <c r="O101" s="432">
        <v>41884</v>
      </c>
      <c r="P101" s="436" t="s">
        <v>3905</v>
      </c>
      <c r="Q101" s="429"/>
      <c r="R101" s="429"/>
      <c r="S101" s="429"/>
      <c r="T101" s="429" t="s">
        <v>208</v>
      </c>
      <c r="U101" s="457"/>
      <c r="V101" s="429"/>
      <c r="W101" s="508"/>
      <c r="X101" s="518"/>
      <c r="Y101" s="509"/>
      <c r="Z101" s="509"/>
      <c r="AA101" s="429"/>
      <c r="AB101" s="429"/>
      <c r="AC101" s="476"/>
      <c r="AD101" s="429"/>
      <c r="AE101" s="476"/>
      <c r="AF101" s="476">
        <v>10950</v>
      </c>
      <c r="AG101" s="476">
        <v>17641.669999999998</v>
      </c>
      <c r="AH101" s="654">
        <f>SUM(AF101:AG101)</f>
        <v>28591.67</v>
      </c>
      <c r="AI101" s="179"/>
      <c r="AJ101" s="107"/>
      <c r="AK101" s="107"/>
      <c r="AL101" s="180"/>
      <c r="AM101" s="179"/>
      <c r="AN101" s="181"/>
      <c r="AO101" s="181"/>
      <c r="AP101" s="181"/>
      <c r="AQ101" s="181"/>
      <c r="AR101" s="182"/>
      <c r="AS101" s="468"/>
      <c r="AT101" s="165"/>
      <c r="AU101" s="165"/>
      <c r="AV101" s="165"/>
      <c r="AW101" s="165"/>
      <c r="AX101" s="165"/>
      <c r="AY101" s="165"/>
      <c r="AZ101" s="165"/>
      <c r="BA101" s="165"/>
      <c r="BB101" s="165"/>
      <c r="BC101" s="165"/>
      <c r="BD101" s="167"/>
    </row>
    <row r="102" spans="1:56" s="239" customFormat="1" ht="51" x14ac:dyDescent="0.25">
      <c r="A102" s="469">
        <v>37</v>
      </c>
      <c r="B102" s="468" t="s">
        <v>5313</v>
      </c>
      <c r="C102" s="429" t="s">
        <v>5314</v>
      </c>
      <c r="D102" s="429" t="s">
        <v>935</v>
      </c>
      <c r="E102" s="429" t="s">
        <v>5243</v>
      </c>
      <c r="F102" s="518" t="s">
        <v>5315</v>
      </c>
      <c r="G102" s="431">
        <v>11038</v>
      </c>
      <c r="H102" s="457" t="s">
        <v>1295</v>
      </c>
      <c r="I102" s="456" t="s">
        <v>5359</v>
      </c>
      <c r="J102" s="589" t="s">
        <v>5360</v>
      </c>
      <c r="K102" s="432">
        <v>41519</v>
      </c>
      <c r="L102" s="476">
        <v>44280</v>
      </c>
      <c r="M102" s="431">
        <v>11150</v>
      </c>
      <c r="N102" s="432">
        <v>41519</v>
      </c>
      <c r="O102" s="432">
        <v>41884</v>
      </c>
      <c r="P102" s="436" t="s">
        <v>3905</v>
      </c>
      <c r="Q102" s="429"/>
      <c r="R102" s="429"/>
      <c r="S102" s="429"/>
      <c r="T102" s="429" t="s">
        <v>208</v>
      </c>
      <c r="U102" s="457" t="s">
        <v>5275</v>
      </c>
      <c r="V102" s="432">
        <v>41885</v>
      </c>
      <c r="W102" s="431">
        <v>11447</v>
      </c>
      <c r="X102" s="518" t="s">
        <v>5252</v>
      </c>
      <c r="Y102" s="432">
        <v>41885</v>
      </c>
      <c r="Z102" s="432">
        <v>42006</v>
      </c>
      <c r="AA102" s="429"/>
      <c r="AB102" s="429"/>
      <c r="AC102" s="476">
        <v>14760</v>
      </c>
      <c r="AD102" s="429"/>
      <c r="AE102" s="476">
        <v>59040</v>
      </c>
      <c r="AF102" s="476">
        <v>11070</v>
      </c>
      <c r="AG102" s="476">
        <v>23275</v>
      </c>
      <c r="AH102" s="654">
        <f>SUM(AF102:AG102)</f>
        <v>34345</v>
      </c>
      <c r="AI102" s="179"/>
      <c r="AJ102" s="107"/>
      <c r="AK102" s="107"/>
      <c r="AL102" s="180"/>
      <c r="AM102" s="179"/>
      <c r="AN102" s="181"/>
      <c r="AO102" s="181"/>
      <c r="AP102" s="181"/>
      <c r="AQ102" s="181"/>
      <c r="AR102" s="182"/>
      <c r="AS102" s="468"/>
      <c r="AT102" s="165"/>
      <c r="AU102" s="165"/>
      <c r="AV102" s="165"/>
      <c r="AW102" s="165"/>
      <c r="AX102" s="165"/>
      <c r="AY102" s="165"/>
      <c r="AZ102" s="165"/>
      <c r="BA102" s="165"/>
      <c r="BB102" s="165"/>
      <c r="BC102" s="165"/>
      <c r="BD102" s="167"/>
    </row>
    <row r="103" spans="1:56" s="239" customFormat="1" ht="38.25" x14ac:dyDescent="0.25">
      <c r="A103" s="469">
        <v>38</v>
      </c>
      <c r="B103" s="468" t="s">
        <v>5313</v>
      </c>
      <c r="C103" s="429" t="s">
        <v>5314</v>
      </c>
      <c r="D103" s="429" t="s">
        <v>935</v>
      </c>
      <c r="E103" s="429" t="s">
        <v>5243</v>
      </c>
      <c r="F103" s="518" t="s">
        <v>5315</v>
      </c>
      <c r="G103" s="431">
        <v>11038</v>
      </c>
      <c r="H103" s="457" t="s">
        <v>683</v>
      </c>
      <c r="I103" s="456" t="s">
        <v>5359</v>
      </c>
      <c r="J103" s="589" t="s">
        <v>5360</v>
      </c>
      <c r="K103" s="432">
        <v>41641</v>
      </c>
      <c r="L103" s="476">
        <v>45000</v>
      </c>
      <c r="M103" s="431">
        <v>11222</v>
      </c>
      <c r="N103" s="432">
        <v>41641</v>
      </c>
      <c r="O103" s="432">
        <v>42005</v>
      </c>
      <c r="P103" s="436" t="s">
        <v>3905</v>
      </c>
      <c r="Q103" s="429"/>
      <c r="R103" s="429"/>
      <c r="S103" s="429"/>
      <c r="T103" s="429" t="s">
        <v>208</v>
      </c>
      <c r="U103" s="457"/>
      <c r="V103" s="429"/>
      <c r="W103" s="508"/>
      <c r="X103" s="518"/>
      <c r="Y103" s="509"/>
      <c r="Z103" s="509"/>
      <c r="AA103" s="429"/>
      <c r="AB103" s="429"/>
      <c r="AC103" s="476"/>
      <c r="AD103" s="429"/>
      <c r="AE103" s="476"/>
      <c r="AF103" s="476"/>
      <c r="AG103" s="476">
        <v>37500</v>
      </c>
      <c r="AH103" s="654"/>
      <c r="AI103" s="179"/>
      <c r="AJ103" s="107"/>
      <c r="AK103" s="107"/>
      <c r="AL103" s="180"/>
      <c r="AM103" s="179"/>
      <c r="AN103" s="181"/>
      <c r="AO103" s="181"/>
      <c r="AP103" s="181"/>
      <c r="AQ103" s="181"/>
      <c r="AR103" s="182"/>
      <c r="AS103" s="468"/>
      <c r="AT103" s="165"/>
      <c r="AU103" s="165"/>
      <c r="AV103" s="165"/>
      <c r="AW103" s="165"/>
      <c r="AX103" s="165"/>
      <c r="AY103" s="165"/>
      <c r="AZ103" s="165"/>
      <c r="BA103" s="165"/>
      <c r="BB103" s="165"/>
      <c r="BC103" s="165"/>
      <c r="BD103" s="167"/>
    </row>
    <row r="104" spans="1:56" s="239" customFormat="1" ht="38.25" x14ac:dyDescent="0.25">
      <c r="A104" s="469">
        <v>39</v>
      </c>
      <c r="B104" s="468" t="s">
        <v>2678</v>
      </c>
      <c r="C104" s="429" t="s">
        <v>5320</v>
      </c>
      <c r="D104" s="429" t="s">
        <v>935</v>
      </c>
      <c r="E104" s="429" t="s">
        <v>5321</v>
      </c>
      <c r="F104" s="518" t="s">
        <v>5322</v>
      </c>
      <c r="G104" s="431">
        <v>11038</v>
      </c>
      <c r="H104" s="457" t="s">
        <v>787</v>
      </c>
      <c r="I104" s="456" t="s">
        <v>5359</v>
      </c>
      <c r="J104" s="589" t="s">
        <v>5360</v>
      </c>
      <c r="K104" s="432">
        <v>41641</v>
      </c>
      <c r="L104" s="476">
        <v>191280</v>
      </c>
      <c r="M104" s="431">
        <v>11222</v>
      </c>
      <c r="N104" s="432">
        <v>41641</v>
      </c>
      <c r="O104" s="432">
        <v>42005</v>
      </c>
      <c r="P104" s="436" t="s">
        <v>3905</v>
      </c>
      <c r="Q104" s="429"/>
      <c r="R104" s="429"/>
      <c r="S104" s="429"/>
      <c r="T104" s="429" t="s">
        <v>208</v>
      </c>
      <c r="U104" s="457"/>
      <c r="V104" s="429"/>
      <c r="W104" s="508"/>
      <c r="X104" s="518"/>
      <c r="Y104" s="509"/>
      <c r="Z104" s="509"/>
      <c r="AA104" s="429"/>
      <c r="AB104" s="429"/>
      <c r="AC104" s="476"/>
      <c r="AD104" s="429"/>
      <c r="AE104" s="476"/>
      <c r="AF104" s="476"/>
      <c r="AG104" s="476">
        <v>103275.26</v>
      </c>
      <c r="AH104" s="654"/>
      <c r="AI104" s="179"/>
      <c r="AJ104" s="107"/>
      <c r="AK104" s="107"/>
      <c r="AL104" s="180"/>
      <c r="AM104" s="179"/>
      <c r="AN104" s="181"/>
      <c r="AO104" s="181"/>
      <c r="AP104" s="181"/>
      <c r="AQ104" s="181"/>
      <c r="AR104" s="182"/>
      <c r="AS104" s="468"/>
      <c r="AT104" s="165"/>
      <c r="AU104" s="165"/>
      <c r="AV104" s="165"/>
      <c r="AW104" s="165"/>
      <c r="AX104" s="165"/>
      <c r="AY104" s="165"/>
      <c r="AZ104" s="165"/>
      <c r="BA104" s="165"/>
      <c r="BB104" s="165"/>
      <c r="BC104" s="165"/>
      <c r="BD104" s="167"/>
    </row>
    <row r="105" spans="1:56" s="239" customFormat="1" ht="38.25" x14ac:dyDescent="0.25">
      <c r="A105" s="469">
        <v>40</v>
      </c>
      <c r="B105" s="468" t="s">
        <v>683</v>
      </c>
      <c r="C105" s="429" t="s">
        <v>704</v>
      </c>
      <c r="D105" s="429" t="s">
        <v>935</v>
      </c>
      <c r="E105" s="429" t="s">
        <v>5243</v>
      </c>
      <c r="F105" s="518" t="s">
        <v>5361</v>
      </c>
      <c r="G105" s="431">
        <v>11225</v>
      </c>
      <c r="H105" s="457" t="s">
        <v>1712</v>
      </c>
      <c r="I105" s="456" t="s">
        <v>5362</v>
      </c>
      <c r="J105" s="589" t="s">
        <v>5047</v>
      </c>
      <c r="K105" s="436" t="s">
        <v>5324</v>
      </c>
      <c r="L105" s="476">
        <v>14150</v>
      </c>
      <c r="M105" s="431">
        <v>11278</v>
      </c>
      <c r="N105" s="57" t="s">
        <v>5363</v>
      </c>
      <c r="O105" s="432">
        <v>42097</v>
      </c>
      <c r="P105" s="436" t="s">
        <v>3905</v>
      </c>
      <c r="Q105" s="429"/>
      <c r="R105" s="429"/>
      <c r="S105" s="429"/>
      <c r="T105" s="429" t="s">
        <v>5364</v>
      </c>
      <c r="U105" s="457"/>
      <c r="V105" s="429"/>
      <c r="W105" s="508"/>
      <c r="X105" s="518"/>
      <c r="Y105" s="509"/>
      <c r="Z105" s="509"/>
      <c r="AA105" s="429"/>
      <c r="AB105" s="429"/>
      <c r="AC105" s="476"/>
      <c r="AD105" s="429"/>
      <c r="AE105" s="476"/>
      <c r="AF105" s="476"/>
      <c r="AG105" s="476">
        <v>7075</v>
      </c>
      <c r="AH105" s="654"/>
      <c r="AI105" s="179"/>
      <c r="AJ105" s="107"/>
      <c r="AK105" s="107"/>
      <c r="AL105" s="180"/>
      <c r="AM105" s="179"/>
      <c r="AN105" s="181"/>
      <c r="AO105" s="181"/>
      <c r="AP105" s="181"/>
      <c r="AQ105" s="181"/>
      <c r="AR105" s="182"/>
      <c r="AS105" s="468"/>
      <c r="AT105" s="165"/>
      <c r="AU105" s="165"/>
      <c r="AV105" s="165"/>
      <c r="AW105" s="165"/>
      <c r="AX105" s="165"/>
      <c r="AY105" s="165"/>
      <c r="AZ105" s="165"/>
      <c r="BA105" s="165"/>
      <c r="BB105" s="165"/>
      <c r="BC105" s="165"/>
      <c r="BD105" s="167"/>
    </row>
    <row r="106" spans="1:56" s="239" customFormat="1" ht="38.25" x14ac:dyDescent="0.25">
      <c r="A106" s="469">
        <v>41</v>
      </c>
      <c r="B106" s="468" t="s">
        <v>5365</v>
      </c>
      <c r="C106" s="429" t="s">
        <v>5366</v>
      </c>
      <c r="D106" s="429" t="s">
        <v>935</v>
      </c>
      <c r="E106" s="429" t="s">
        <v>5321</v>
      </c>
      <c r="F106" s="518" t="s">
        <v>5318</v>
      </c>
      <c r="G106" s="431">
        <v>11198</v>
      </c>
      <c r="H106" s="457" t="s">
        <v>1677</v>
      </c>
      <c r="I106" s="456" t="s">
        <v>5367</v>
      </c>
      <c r="J106" s="589" t="s">
        <v>5368</v>
      </c>
      <c r="K106" s="436" t="s">
        <v>5369</v>
      </c>
      <c r="L106" s="476">
        <v>38992.800000000003</v>
      </c>
      <c r="M106" s="431">
        <v>11261</v>
      </c>
      <c r="N106" s="432">
        <v>41675</v>
      </c>
      <c r="O106" s="432">
        <v>42040</v>
      </c>
      <c r="P106" s="436" t="s">
        <v>3905</v>
      </c>
      <c r="Q106" s="429"/>
      <c r="R106" s="429"/>
      <c r="S106" s="429"/>
      <c r="T106" s="429" t="s">
        <v>208</v>
      </c>
      <c r="U106" s="457"/>
      <c r="V106" s="429"/>
      <c r="W106" s="508"/>
      <c r="X106" s="518"/>
      <c r="Y106" s="509"/>
      <c r="Z106" s="509"/>
      <c r="AA106" s="429"/>
      <c r="AB106" s="429"/>
      <c r="AC106" s="476"/>
      <c r="AD106" s="429"/>
      <c r="AE106" s="476"/>
      <c r="AF106" s="476"/>
      <c r="AG106" s="476">
        <v>6616.96</v>
      </c>
      <c r="AH106" s="654"/>
      <c r="AI106" s="179"/>
      <c r="AJ106" s="107"/>
      <c r="AK106" s="107"/>
      <c r="AL106" s="180"/>
      <c r="AM106" s="179"/>
      <c r="AN106" s="181"/>
      <c r="AO106" s="181"/>
      <c r="AP106" s="181"/>
      <c r="AQ106" s="181"/>
      <c r="AR106" s="182"/>
      <c r="AS106" s="468"/>
      <c r="AT106" s="165"/>
      <c r="AU106" s="165"/>
      <c r="AV106" s="165"/>
      <c r="AW106" s="165"/>
      <c r="AX106" s="165"/>
      <c r="AY106" s="165"/>
      <c r="AZ106" s="165"/>
      <c r="BA106" s="165"/>
      <c r="BB106" s="165"/>
      <c r="BC106" s="165"/>
      <c r="BD106" s="167"/>
    </row>
    <row r="107" spans="1:56" s="239" customFormat="1" ht="38.25" x14ac:dyDescent="0.25">
      <c r="A107" s="469">
        <v>42</v>
      </c>
      <c r="B107" s="468" t="s">
        <v>2678</v>
      </c>
      <c r="C107" s="429" t="s">
        <v>5320</v>
      </c>
      <c r="D107" s="429" t="s">
        <v>935</v>
      </c>
      <c r="E107" s="429" t="s">
        <v>5321</v>
      </c>
      <c r="F107" s="518" t="s">
        <v>5370</v>
      </c>
      <c r="G107" s="431">
        <v>11038</v>
      </c>
      <c r="H107" s="457" t="s">
        <v>750</v>
      </c>
      <c r="I107" s="456" t="s">
        <v>5371</v>
      </c>
      <c r="J107" s="589" t="s">
        <v>5372</v>
      </c>
      <c r="K107" s="432">
        <v>41641</v>
      </c>
      <c r="L107" s="476">
        <v>269208</v>
      </c>
      <c r="M107" s="431">
        <v>11273</v>
      </c>
      <c r="N107" s="432">
        <v>41641</v>
      </c>
      <c r="O107" s="432">
        <v>42006</v>
      </c>
      <c r="P107" s="436" t="s">
        <v>3905</v>
      </c>
      <c r="Q107" s="429"/>
      <c r="R107" s="429"/>
      <c r="S107" s="429"/>
      <c r="T107" s="429" t="s">
        <v>208</v>
      </c>
      <c r="U107" s="457"/>
      <c r="V107" s="429"/>
      <c r="W107" s="508"/>
      <c r="X107" s="518"/>
      <c r="Y107" s="509"/>
      <c r="Z107" s="509"/>
      <c r="AA107" s="429"/>
      <c r="AB107" s="429"/>
      <c r="AC107" s="476"/>
      <c r="AD107" s="429"/>
      <c r="AE107" s="476"/>
      <c r="AF107" s="476"/>
      <c r="AG107" s="476">
        <v>16500.2</v>
      </c>
      <c r="AH107" s="654"/>
      <c r="AI107" s="179"/>
      <c r="AJ107" s="107"/>
      <c r="AK107" s="107"/>
      <c r="AL107" s="180"/>
      <c r="AM107" s="179"/>
      <c r="AN107" s="181"/>
      <c r="AO107" s="181"/>
      <c r="AP107" s="181"/>
      <c r="AQ107" s="181"/>
      <c r="AR107" s="182"/>
      <c r="AS107" s="468"/>
      <c r="AT107" s="165"/>
      <c r="AU107" s="165"/>
      <c r="AV107" s="165"/>
      <c r="AW107" s="165"/>
      <c r="AX107" s="165"/>
      <c r="AY107" s="165"/>
      <c r="AZ107" s="165"/>
      <c r="BA107" s="165"/>
      <c r="BB107" s="165"/>
      <c r="BC107" s="165"/>
      <c r="BD107" s="167"/>
    </row>
    <row r="108" spans="1:56" s="239" customFormat="1" ht="38.25" x14ac:dyDescent="0.25">
      <c r="A108" s="469">
        <v>43</v>
      </c>
      <c r="B108" s="468" t="s">
        <v>2678</v>
      </c>
      <c r="C108" s="429" t="s">
        <v>5320</v>
      </c>
      <c r="D108" s="429" t="s">
        <v>935</v>
      </c>
      <c r="E108" s="429" t="s">
        <v>5321</v>
      </c>
      <c r="F108" s="518" t="s">
        <v>5322</v>
      </c>
      <c r="G108" s="431">
        <v>11038</v>
      </c>
      <c r="H108" s="457" t="s">
        <v>308</v>
      </c>
      <c r="I108" s="456" t="s">
        <v>5371</v>
      </c>
      <c r="J108" s="589" t="s">
        <v>5372</v>
      </c>
      <c r="K108" s="432">
        <v>41641</v>
      </c>
      <c r="L108" s="476">
        <v>166320</v>
      </c>
      <c r="M108" s="431">
        <v>11223</v>
      </c>
      <c r="N108" s="432">
        <v>41641</v>
      </c>
      <c r="O108" s="432">
        <v>42006</v>
      </c>
      <c r="P108" s="436" t="s">
        <v>3905</v>
      </c>
      <c r="Q108" s="429"/>
      <c r="R108" s="429"/>
      <c r="S108" s="429"/>
      <c r="T108" s="429" t="s">
        <v>208</v>
      </c>
      <c r="U108" s="457"/>
      <c r="V108" s="429"/>
      <c r="W108" s="508"/>
      <c r="X108" s="518"/>
      <c r="Y108" s="509"/>
      <c r="Z108" s="509"/>
      <c r="AA108" s="429"/>
      <c r="AB108" s="429"/>
      <c r="AC108" s="476"/>
      <c r="AD108" s="429"/>
      <c r="AE108" s="476"/>
      <c r="AF108" s="476"/>
      <c r="AG108" s="476">
        <v>106202.25</v>
      </c>
      <c r="AH108" s="654"/>
      <c r="AI108" s="179"/>
      <c r="AJ108" s="107"/>
      <c r="AK108" s="107"/>
      <c r="AL108" s="180"/>
      <c r="AM108" s="179"/>
      <c r="AN108" s="181"/>
      <c r="AO108" s="181"/>
      <c r="AP108" s="181"/>
      <c r="AQ108" s="181"/>
      <c r="AR108" s="182"/>
      <c r="AS108" s="468"/>
      <c r="AT108" s="165"/>
      <c r="AU108" s="165"/>
      <c r="AV108" s="165"/>
      <c r="AW108" s="165"/>
      <c r="AX108" s="165"/>
      <c r="AY108" s="165"/>
      <c r="AZ108" s="165"/>
      <c r="BA108" s="165"/>
      <c r="BB108" s="165"/>
      <c r="BC108" s="165"/>
      <c r="BD108" s="167"/>
    </row>
    <row r="109" spans="1:56" s="239" customFormat="1" ht="38.25" x14ac:dyDescent="0.25">
      <c r="A109" s="469">
        <v>44</v>
      </c>
      <c r="B109" s="468" t="s">
        <v>1488</v>
      </c>
      <c r="C109" s="429" t="s">
        <v>344</v>
      </c>
      <c r="D109" s="429" t="s">
        <v>935</v>
      </c>
      <c r="E109" s="429" t="s">
        <v>5321</v>
      </c>
      <c r="F109" s="518" t="s">
        <v>5318</v>
      </c>
      <c r="G109" s="431">
        <v>11043</v>
      </c>
      <c r="H109" s="457" t="s">
        <v>5373</v>
      </c>
      <c r="I109" s="456" t="s">
        <v>5374</v>
      </c>
      <c r="J109" s="589" t="s">
        <v>5375</v>
      </c>
      <c r="K109" s="432">
        <v>41610</v>
      </c>
      <c r="L109" s="476">
        <v>51480</v>
      </c>
      <c r="M109" s="431">
        <v>11215</v>
      </c>
      <c r="N109" s="432">
        <v>41610</v>
      </c>
      <c r="O109" s="432">
        <v>41975</v>
      </c>
      <c r="P109" s="436" t="s">
        <v>3905</v>
      </c>
      <c r="Q109" s="429"/>
      <c r="R109" s="429"/>
      <c r="S109" s="429"/>
      <c r="T109" s="429" t="s">
        <v>158</v>
      </c>
      <c r="U109" s="457"/>
      <c r="V109" s="429"/>
      <c r="W109" s="508"/>
      <c r="X109" s="518"/>
      <c r="Y109" s="509"/>
      <c r="Z109" s="509"/>
      <c r="AA109" s="429"/>
      <c r="AB109" s="429"/>
      <c r="AC109" s="476"/>
      <c r="AD109" s="429"/>
      <c r="AE109" s="476"/>
      <c r="AF109" s="476">
        <v>3510</v>
      </c>
      <c r="AG109" s="476">
        <v>20923.5</v>
      </c>
      <c r="AH109" s="654">
        <f>SUM(AF109:AG109)</f>
        <v>24433.5</v>
      </c>
      <c r="AI109" s="179"/>
      <c r="AJ109" s="107"/>
      <c r="AK109" s="107"/>
      <c r="AL109" s="180"/>
      <c r="AM109" s="179"/>
      <c r="AN109" s="181"/>
      <c r="AO109" s="181"/>
      <c r="AP109" s="181"/>
      <c r="AQ109" s="181"/>
      <c r="AR109" s="182"/>
      <c r="AS109" s="468"/>
      <c r="AT109" s="165"/>
      <c r="AU109" s="165"/>
      <c r="AV109" s="165"/>
      <c r="AW109" s="165"/>
      <c r="AX109" s="165"/>
      <c r="AY109" s="165"/>
      <c r="AZ109" s="165"/>
      <c r="BA109" s="165"/>
      <c r="BB109" s="165"/>
      <c r="BC109" s="165"/>
      <c r="BD109" s="167"/>
    </row>
    <row r="110" spans="1:56" s="239" customFormat="1" ht="38.25" x14ac:dyDescent="0.25">
      <c r="A110" s="469">
        <v>45</v>
      </c>
      <c r="B110" s="468" t="s">
        <v>1488</v>
      </c>
      <c r="C110" s="429" t="s">
        <v>344</v>
      </c>
      <c r="D110" s="429" t="s">
        <v>935</v>
      </c>
      <c r="E110" s="429" t="s">
        <v>5321</v>
      </c>
      <c r="F110" s="518" t="s">
        <v>5318</v>
      </c>
      <c r="G110" s="431">
        <v>11043</v>
      </c>
      <c r="H110" s="457" t="s">
        <v>728</v>
      </c>
      <c r="I110" s="456" t="s">
        <v>5376</v>
      </c>
      <c r="J110" s="589" t="s">
        <v>5377</v>
      </c>
      <c r="K110" s="432">
        <v>41548</v>
      </c>
      <c r="L110" s="476">
        <v>47256</v>
      </c>
      <c r="M110" s="431">
        <v>11175</v>
      </c>
      <c r="N110" s="432">
        <v>41548</v>
      </c>
      <c r="O110" s="432">
        <v>41913</v>
      </c>
      <c r="P110" s="436" t="s">
        <v>3905</v>
      </c>
      <c r="Q110" s="429"/>
      <c r="R110" s="429"/>
      <c r="S110" s="429"/>
      <c r="T110" s="429" t="s">
        <v>208</v>
      </c>
      <c r="U110" s="457"/>
      <c r="V110" s="429"/>
      <c r="W110" s="508"/>
      <c r="X110" s="518"/>
      <c r="Y110" s="509"/>
      <c r="Z110" s="509"/>
      <c r="AA110" s="429"/>
      <c r="AB110" s="429"/>
      <c r="AC110" s="476"/>
      <c r="AD110" s="429"/>
      <c r="AE110" s="476"/>
      <c r="AF110" s="476">
        <v>6533.5</v>
      </c>
      <c r="AG110" s="476">
        <v>22607.7</v>
      </c>
      <c r="AH110" s="654">
        <f>SUM(AF110:AG110)</f>
        <v>29141.200000000001</v>
      </c>
      <c r="AI110" s="179"/>
      <c r="AJ110" s="107"/>
      <c r="AK110" s="107"/>
      <c r="AL110" s="180"/>
      <c r="AM110" s="179"/>
      <c r="AN110" s="181"/>
      <c r="AO110" s="181"/>
      <c r="AP110" s="181"/>
      <c r="AQ110" s="181"/>
      <c r="AR110" s="182"/>
      <c r="AS110" s="468"/>
      <c r="AT110" s="165"/>
      <c r="AU110" s="165"/>
      <c r="AV110" s="165"/>
      <c r="AW110" s="165"/>
      <c r="AX110" s="165"/>
      <c r="AY110" s="165"/>
      <c r="AZ110" s="165"/>
      <c r="BA110" s="165"/>
      <c r="BB110" s="165"/>
      <c r="BC110" s="165"/>
      <c r="BD110" s="167"/>
    </row>
    <row r="111" spans="1:56" s="239" customFormat="1" ht="38.25" x14ac:dyDescent="0.25">
      <c r="A111" s="469">
        <v>46</v>
      </c>
      <c r="B111" s="468" t="s">
        <v>1488</v>
      </c>
      <c r="C111" s="429" t="s">
        <v>344</v>
      </c>
      <c r="D111" s="429" t="s">
        <v>935</v>
      </c>
      <c r="E111" s="429" t="s">
        <v>5243</v>
      </c>
      <c r="F111" s="518" t="s">
        <v>5378</v>
      </c>
      <c r="G111" s="431">
        <v>11043</v>
      </c>
      <c r="H111" s="480" t="s">
        <v>741</v>
      </c>
      <c r="I111" s="456" t="s">
        <v>5376</v>
      </c>
      <c r="J111" s="589" t="s">
        <v>5377</v>
      </c>
      <c r="K111" s="432">
        <v>41641</v>
      </c>
      <c r="L111" s="476">
        <v>82800</v>
      </c>
      <c r="M111" s="431">
        <v>11223</v>
      </c>
      <c r="N111" s="432">
        <v>41641</v>
      </c>
      <c r="O111" s="432">
        <v>42006</v>
      </c>
      <c r="P111" s="436" t="s">
        <v>3905</v>
      </c>
      <c r="Q111" s="429"/>
      <c r="R111" s="429"/>
      <c r="S111" s="429"/>
      <c r="T111" s="429" t="s">
        <v>208</v>
      </c>
      <c r="U111" s="457"/>
      <c r="V111" s="429"/>
      <c r="W111" s="508"/>
      <c r="X111" s="518"/>
      <c r="Y111" s="509"/>
      <c r="Z111" s="509"/>
      <c r="AA111" s="429"/>
      <c r="AB111" s="429"/>
      <c r="AC111" s="476"/>
      <c r="AD111" s="429"/>
      <c r="AE111" s="476"/>
      <c r="AF111" s="476"/>
      <c r="AG111" s="476">
        <v>24150</v>
      </c>
      <c r="AH111" s="654"/>
      <c r="AI111" s="179"/>
      <c r="AJ111" s="107"/>
      <c r="AK111" s="107"/>
      <c r="AL111" s="180"/>
      <c r="AM111" s="179"/>
      <c r="AN111" s="181"/>
      <c r="AO111" s="181"/>
      <c r="AP111" s="181"/>
      <c r="AQ111" s="181"/>
      <c r="AR111" s="182"/>
      <c r="AS111" s="468"/>
      <c r="AT111" s="165"/>
      <c r="AU111" s="165"/>
      <c r="AV111" s="165"/>
      <c r="AW111" s="165"/>
      <c r="AX111" s="165"/>
      <c r="AY111" s="165"/>
      <c r="AZ111" s="165"/>
      <c r="BA111" s="165"/>
      <c r="BB111" s="165"/>
      <c r="BC111" s="165"/>
      <c r="BD111" s="167"/>
    </row>
    <row r="112" spans="1:56" s="239" customFormat="1" ht="38.25" x14ac:dyDescent="0.25">
      <c r="A112" s="469">
        <v>47</v>
      </c>
      <c r="B112" s="468" t="s">
        <v>2678</v>
      </c>
      <c r="C112" s="429" t="s">
        <v>5320</v>
      </c>
      <c r="D112" s="429" t="s">
        <v>935</v>
      </c>
      <c r="E112" s="429" t="s">
        <v>5321</v>
      </c>
      <c r="F112" s="518" t="s">
        <v>5322</v>
      </c>
      <c r="G112" s="431">
        <v>11038</v>
      </c>
      <c r="H112" s="480" t="s">
        <v>792</v>
      </c>
      <c r="I112" s="456" t="s">
        <v>5376</v>
      </c>
      <c r="J112" s="589" t="s">
        <v>5377</v>
      </c>
      <c r="K112" s="432">
        <v>41641</v>
      </c>
      <c r="L112" s="476">
        <v>191280</v>
      </c>
      <c r="M112" s="431">
        <v>11223</v>
      </c>
      <c r="N112" s="432">
        <v>41641</v>
      </c>
      <c r="O112" s="432">
        <v>42006</v>
      </c>
      <c r="P112" s="436" t="s">
        <v>3905</v>
      </c>
      <c r="Q112" s="429"/>
      <c r="R112" s="429"/>
      <c r="S112" s="429"/>
      <c r="T112" s="429" t="s">
        <v>208</v>
      </c>
      <c r="U112" s="457"/>
      <c r="V112" s="429"/>
      <c r="W112" s="508"/>
      <c r="X112" s="518"/>
      <c r="Y112" s="509"/>
      <c r="Z112" s="509"/>
      <c r="AA112" s="429"/>
      <c r="AB112" s="429"/>
      <c r="AC112" s="476"/>
      <c r="AD112" s="429"/>
      <c r="AE112" s="476"/>
      <c r="AF112" s="476"/>
      <c r="AG112" s="476">
        <v>63790.29</v>
      </c>
      <c r="AH112" s="654"/>
      <c r="AI112" s="179"/>
      <c r="AJ112" s="107"/>
      <c r="AK112" s="107"/>
      <c r="AL112" s="180"/>
      <c r="AM112" s="179"/>
      <c r="AN112" s="181"/>
      <c r="AO112" s="181"/>
      <c r="AP112" s="181"/>
      <c r="AQ112" s="181"/>
      <c r="AR112" s="182"/>
      <c r="AS112" s="468"/>
      <c r="AT112" s="165"/>
      <c r="AU112" s="165"/>
      <c r="AV112" s="165"/>
      <c r="AW112" s="165"/>
      <c r="AX112" s="165"/>
      <c r="AY112" s="165"/>
      <c r="AZ112" s="165"/>
      <c r="BA112" s="165"/>
      <c r="BB112" s="165"/>
      <c r="BC112" s="165"/>
      <c r="BD112" s="167"/>
    </row>
    <row r="113" spans="1:56" s="239" customFormat="1" ht="38.25" x14ac:dyDescent="0.25">
      <c r="A113" s="469">
        <v>48</v>
      </c>
      <c r="B113" s="468" t="s">
        <v>2678</v>
      </c>
      <c r="C113" s="429" t="s">
        <v>5320</v>
      </c>
      <c r="D113" s="429" t="s">
        <v>935</v>
      </c>
      <c r="E113" s="429" t="s">
        <v>5321</v>
      </c>
      <c r="F113" s="518" t="s">
        <v>5351</v>
      </c>
      <c r="G113" s="431">
        <v>11038</v>
      </c>
      <c r="H113" s="457" t="s">
        <v>795</v>
      </c>
      <c r="I113" s="456" t="s">
        <v>5376</v>
      </c>
      <c r="J113" s="589" t="s">
        <v>5377</v>
      </c>
      <c r="K113" s="432">
        <v>41641</v>
      </c>
      <c r="L113" s="476">
        <v>98400</v>
      </c>
      <c r="M113" s="431">
        <v>11222</v>
      </c>
      <c r="N113" s="432">
        <v>41641</v>
      </c>
      <c r="O113" s="432">
        <v>42006</v>
      </c>
      <c r="P113" s="436" t="s">
        <v>3905</v>
      </c>
      <c r="Q113" s="429"/>
      <c r="R113" s="429"/>
      <c r="S113" s="429"/>
      <c r="T113" s="429" t="s">
        <v>208</v>
      </c>
      <c r="U113" s="457"/>
      <c r="V113" s="429"/>
      <c r="W113" s="508"/>
      <c r="X113" s="518"/>
      <c r="Y113" s="509"/>
      <c r="Z113" s="509"/>
      <c r="AA113" s="429"/>
      <c r="AB113" s="429"/>
      <c r="AC113" s="476"/>
      <c r="AD113" s="429"/>
      <c r="AE113" s="476"/>
      <c r="AF113" s="476"/>
      <c r="AG113" s="476">
        <v>73258.8</v>
      </c>
      <c r="AH113" s="654"/>
      <c r="AI113" s="179"/>
      <c r="AJ113" s="107"/>
      <c r="AK113" s="107"/>
      <c r="AL113" s="180"/>
      <c r="AM113" s="179"/>
      <c r="AN113" s="181"/>
      <c r="AO113" s="181"/>
      <c r="AP113" s="181"/>
      <c r="AQ113" s="181"/>
      <c r="AR113" s="182"/>
      <c r="AS113" s="468"/>
      <c r="AT113" s="165"/>
      <c r="AU113" s="165"/>
      <c r="AV113" s="165"/>
      <c r="AW113" s="165"/>
      <c r="AX113" s="165"/>
      <c r="AY113" s="165"/>
      <c r="AZ113" s="165"/>
      <c r="BA113" s="165"/>
      <c r="BB113" s="165"/>
      <c r="BC113" s="165"/>
      <c r="BD113" s="167"/>
    </row>
    <row r="114" spans="1:56" s="239" customFormat="1" ht="38.25" x14ac:dyDescent="0.25">
      <c r="A114" s="469">
        <v>49</v>
      </c>
      <c r="B114" s="468" t="s">
        <v>2678</v>
      </c>
      <c r="C114" s="429" t="s">
        <v>5320</v>
      </c>
      <c r="D114" s="429" t="s">
        <v>935</v>
      </c>
      <c r="E114" s="429" t="s">
        <v>5321</v>
      </c>
      <c r="F114" s="518" t="s">
        <v>5351</v>
      </c>
      <c r="G114" s="431">
        <v>11038</v>
      </c>
      <c r="H114" s="457" t="s">
        <v>811</v>
      </c>
      <c r="I114" s="456" t="s">
        <v>5376</v>
      </c>
      <c r="J114" s="589" t="s">
        <v>5377</v>
      </c>
      <c r="K114" s="432">
        <v>41641</v>
      </c>
      <c r="L114" s="476">
        <v>139200</v>
      </c>
      <c r="M114" s="431">
        <v>11223</v>
      </c>
      <c r="N114" s="432">
        <v>41641</v>
      </c>
      <c r="O114" s="432">
        <v>42006</v>
      </c>
      <c r="P114" s="436" t="s">
        <v>3905</v>
      </c>
      <c r="Q114" s="429"/>
      <c r="R114" s="429"/>
      <c r="S114" s="429"/>
      <c r="T114" s="429" t="s">
        <v>208</v>
      </c>
      <c r="U114" s="457"/>
      <c r="V114" s="429"/>
      <c r="W114" s="508"/>
      <c r="X114" s="518"/>
      <c r="Y114" s="509"/>
      <c r="Z114" s="509"/>
      <c r="AA114" s="429"/>
      <c r="AB114" s="429"/>
      <c r="AC114" s="476"/>
      <c r="AD114" s="429"/>
      <c r="AE114" s="476"/>
      <c r="AF114" s="476"/>
      <c r="AG114" s="476">
        <v>105485.18</v>
      </c>
      <c r="AH114" s="654"/>
      <c r="AI114" s="179"/>
      <c r="AJ114" s="107"/>
      <c r="AK114" s="107"/>
      <c r="AL114" s="180"/>
      <c r="AM114" s="179"/>
      <c r="AN114" s="181"/>
      <c r="AO114" s="181"/>
      <c r="AP114" s="181"/>
      <c r="AQ114" s="181"/>
      <c r="AR114" s="182"/>
      <c r="AS114" s="468"/>
      <c r="AT114" s="165"/>
      <c r="AU114" s="165"/>
      <c r="AV114" s="165"/>
      <c r="AW114" s="165"/>
      <c r="AX114" s="165"/>
      <c r="AY114" s="165"/>
      <c r="AZ114" s="165"/>
      <c r="BA114" s="165"/>
      <c r="BB114" s="165"/>
      <c r="BC114" s="165"/>
      <c r="BD114" s="167"/>
    </row>
    <row r="115" spans="1:56" s="239" customFormat="1" ht="38.25" x14ac:dyDescent="0.25">
      <c r="A115" s="469">
        <v>50</v>
      </c>
      <c r="B115" s="468" t="s">
        <v>2678</v>
      </c>
      <c r="C115" s="429" t="s">
        <v>5320</v>
      </c>
      <c r="D115" s="429" t="s">
        <v>935</v>
      </c>
      <c r="E115" s="429" t="s">
        <v>5321</v>
      </c>
      <c r="F115" s="518" t="s">
        <v>5379</v>
      </c>
      <c r="G115" s="431">
        <v>11038</v>
      </c>
      <c r="H115" s="457" t="s">
        <v>814</v>
      </c>
      <c r="I115" s="456" t="s">
        <v>5376</v>
      </c>
      <c r="J115" s="589" t="s">
        <v>5377</v>
      </c>
      <c r="K115" s="432">
        <v>41641</v>
      </c>
      <c r="L115" s="476">
        <v>307200</v>
      </c>
      <c r="M115" s="431">
        <v>11223</v>
      </c>
      <c r="N115" s="432">
        <v>41641</v>
      </c>
      <c r="O115" s="432">
        <v>42006</v>
      </c>
      <c r="P115" s="436" t="s">
        <v>3905</v>
      </c>
      <c r="Q115" s="429"/>
      <c r="R115" s="429"/>
      <c r="S115" s="429"/>
      <c r="T115" s="429" t="s">
        <v>208</v>
      </c>
      <c r="U115" s="457"/>
      <c r="V115" s="429"/>
      <c r="W115" s="508"/>
      <c r="X115" s="518"/>
      <c r="Y115" s="509"/>
      <c r="Z115" s="509"/>
      <c r="AA115" s="429"/>
      <c r="AB115" s="429"/>
      <c r="AC115" s="476"/>
      <c r="AD115" s="429"/>
      <c r="AE115" s="476"/>
      <c r="AF115" s="476"/>
      <c r="AG115" s="476">
        <v>253516.79999999999</v>
      </c>
      <c r="AH115" s="654"/>
      <c r="AI115" s="179"/>
      <c r="AJ115" s="107"/>
      <c r="AK115" s="107"/>
      <c r="AL115" s="180"/>
      <c r="AM115" s="179"/>
      <c r="AN115" s="181"/>
      <c r="AO115" s="181"/>
      <c r="AP115" s="181"/>
      <c r="AQ115" s="181"/>
      <c r="AR115" s="182"/>
      <c r="AS115" s="468"/>
      <c r="AT115" s="165"/>
      <c r="AU115" s="165"/>
      <c r="AV115" s="165"/>
      <c r="AW115" s="165"/>
      <c r="AX115" s="165"/>
      <c r="AY115" s="165"/>
      <c r="AZ115" s="165"/>
      <c r="BA115" s="165"/>
      <c r="BB115" s="165"/>
      <c r="BC115" s="165"/>
      <c r="BD115" s="167"/>
    </row>
    <row r="116" spans="1:56" s="239" customFormat="1" ht="38.25" x14ac:dyDescent="0.25">
      <c r="A116" s="469">
        <v>51</v>
      </c>
      <c r="B116" s="468" t="s">
        <v>2678</v>
      </c>
      <c r="C116" s="429" t="s">
        <v>5320</v>
      </c>
      <c r="D116" s="429" t="s">
        <v>935</v>
      </c>
      <c r="E116" s="429" t="s">
        <v>5321</v>
      </c>
      <c r="F116" s="518" t="s">
        <v>5370</v>
      </c>
      <c r="G116" s="431">
        <v>11038</v>
      </c>
      <c r="H116" s="457" t="s">
        <v>828</v>
      </c>
      <c r="I116" s="456" t="s">
        <v>5376</v>
      </c>
      <c r="J116" s="589" t="s">
        <v>5377</v>
      </c>
      <c r="K116" s="432">
        <v>41649</v>
      </c>
      <c r="L116" s="476">
        <v>311520</v>
      </c>
      <c r="M116" s="431">
        <v>11247</v>
      </c>
      <c r="N116" s="432">
        <v>41649</v>
      </c>
      <c r="O116" s="432">
        <v>42014</v>
      </c>
      <c r="P116" s="436" t="s">
        <v>3905</v>
      </c>
      <c r="Q116" s="429"/>
      <c r="R116" s="429"/>
      <c r="S116" s="429"/>
      <c r="T116" s="429" t="s">
        <v>208</v>
      </c>
      <c r="U116" s="457"/>
      <c r="V116" s="429"/>
      <c r="W116" s="508"/>
      <c r="X116" s="518"/>
      <c r="Y116" s="509"/>
      <c r="Z116" s="509"/>
      <c r="AA116" s="429"/>
      <c r="AB116" s="429"/>
      <c r="AC116" s="476"/>
      <c r="AD116" s="429"/>
      <c r="AE116" s="476"/>
      <c r="AF116" s="476"/>
      <c r="AG116" s="476">
        <v>213157.56</v>
      </c>
      <c r="AH116" s="654"/>
      <c r="AI116" s="179"/>
      <c r="AJ116" s="107"/>
      <c r="AK116" s="107"/>
      <c r="AL116" s="180"/>
      <c r="AM116" s="179"/>
      <c r="AN116" s="181"/>
      <c r="AO116" s="181"/>
      <c r="AP116" s="181"/>
      <c r="AQ116" s="181"/>
      <c r="AR116" s="182"/>
      <c r="AS116" s="468"/>
      <c r="AT116" s="165"/>
      <c r="AU116" s="165"/>
      <c r="AV116" s="165"/>
      <c r="AW116" s="165"/>
      <c r="AX116" s="165"/>
      <c r="AY116" s="165"/>
      <c r="AZ116" s="165"/>
      <c r="BA116" s="165"/>
      <c r="BB116" s="165"/>
      <c r="BC116" s="165"/>
      <c r="BD116" s="167"/>
    </row>
    <row r="117" spans="1:56" s="239" customFormat="1" ht="38.25" x14ac:dyDescent="0.25">
      <c r="A117" s="469">
        <v>52</v>
      </c>
      <c r="B117" s="468" t="s">
        <v>2678</v>
      </c>
      <c r="C117" s="429" t="s">
        <v>5320</v>
      </c>
      <c r="D117" s="429" t="s">
        <v>935</v>
      </c>
      <c r="E117" s="429" t="s">
        <v>5321</v>
      </c>
      <c r="F117" s="518" t="s">
        <v>5379</v>
      </c>
      <c r="G117" s="431">
        <v>11038</v>
      </c>
      <c r="H117" s="457" t="s">
        <v>832</v>
      </c>
      <c r="I117" s="456" t="s">
        <v>5376</v>
      </c>
      <c r="J117" s="589" t="s">
        <v>5377</v>
      </c>
      <c r="K117" s="436" t="s">
        <v>5350</v>
      </c>
      <c r="L117" s="476">
        <v>359760</v>
      </c>
      <c r="M117" s="431">
        <v>11247</v>
      </c>
      <c r="N117" s="432">
        <v>41649</v>
      </c>
      <c r="O117" s="432">
        <v>42014</v>
      </c>
      <c r="P117" s="436" t="s">
        <v>3905</v>
      </c>
      <c r="Q117" s="429"/>
      <c r="R117" s="429"/>
      <c r="S117" s="429"/>
      <c r="T117" s="429" t="s">
        <v>208</v>
      </c>
      <c r="U117" s="457"/>
      <c r="V117" s="429"/>
      <c r="W117" s="508"/>
      <c r="X117" s="518"/>
      <c r="Y117" s="509"/>
      <c r="Z117" s="509"/>
      <c r="AA117" s="429"/>
      <c r="AB117" s="429"/>
      <c r="AC117" s="476"/>
      <c r="AD117" s="429"/>
      <c r="AE117" s="476"/>
      <c r="AF117" s="476"/>
      <c r="AG117" s="476">
        <v>67035.28</v>
      </c>
      <c r="AH117" s="654"/>
      <c r="AI117" s="179"/>
      <c r="AJ117" s="107"/>
      <c r="AK117" s="107"/>
      <c r="AL117" s="180"/>
      <c r="AM117" s="179"/>
      <c r="AN117" s="181"/>
      <c r="AO117" s="181"/>
      <c r="AP117" s="181"/>
      <c r="AQ117" s="181"/>
      <c r="AR117" s="182"/>
      <c r="AS117" s="468"/>
      <c r="AT117" s="165"/>
      <c r="AU117" s="165"/>
      <c r="AV117" s="165"/>
      <c r="AW117" s="165"/>
      <c r="AX117" s="165"/>
      <c r="AY117" s="165"/>
      <c r="AZ117" s="165"/>
      <c r="BA117" s="165"/>
      <c r="BB117" s="165"/>
      <c r="BC117" s="165"/>
      <c r="BD117" s="167"/>
    </row>
    <row r="118" spans="1:56" s="239" customFormat="1" ht="38.25" x14ac:dyDescent="0.25">
      <c r="A118" s="469">
        <v>53</v>
      </c>
      <c r="B118" s="468" t="s">
        <v>1488</v>
      </c>
      <c r="C118" s="429" t="s">
        <v>344</v>
      </c>
      <c r="D118" s="429" t="s">
        <v>935</v>
      </c>
      <c r="E118" s="429" t="s">
        <v>5321</v>
      </c>
      <c r="F118" s="518" t="s">
        <v>5318</v>
      </c>
      <c r="G118" s="431">
        <v>11043</v>
      </c>
      <c r="H118" s="457" t="s">
        <v>1639</v>
      </c>
      <c r="I118" s="518" t="s">
        <v>5380</v>
      </c>
      <c r="J118" s="589" t="s">
        <v>5381</v>
      </c>
      <c r="K118" s="432">
        <v>41548</v>
      </c>
      <c r="L118" s="476">
        <v>49579.199999999997</v>
      </c>
      <c r="M118" s="431">
        <v>11168</v>
      </c>
      <c r="N118" s="432">
        <v>41548</v>
      </c>
      <c r="O118" s="432">
        <v>41913</v>
      </c>
      <c r="P118" s="436" t="s">
        <v>3905</v>
      </c>
      <c r="Q118" s="429"/>
      <c r="R118" s="429"/>
      <c r="S118" s="429"/>
      <c r="T118" s="429" t="s">
        <v>208</v>
      </c>
      <c r="U118" s="457"/>
      <c r="V118" s="429"/>
      <c r="W118" s="508"/>
      <c r="X118" s="518"/>
      <c r="Y118" s="509"/>
      <c r="Z118" s="509"/>
      <c r="AA118" s="429"/>
      <c r="AB118" s="429"/>
      <c r="AC118" s="476"/>
      <c r="AD118" s="429"/>
      <c r="AE118" s="476"/>
      <c r="AF118" s="476">
        <v>6503.81</v>
      </c>
      <c r="AG118" s="476">
        <v>18811.29</v>
      </c>
      <c r="AH118" s="654">
        <f t="shared" ref="AH118:AH123" si="0">SUM(AF118:AG118)</f>
        <v>25315.100000000002</v>
      </c>
      <c r="AI118" s="179"/>
      <c r="AJ118" s="107"/>
      <c r="AK118" s="107"/>
      <c r="AL118" s="180"/>
      <c r="AM118" s="179"/>
      <c r="AN118" s="181"/>
      <c r="AO118" s="181"/>
      <c r="AP118" s="181"/>
      <c r="AQ118" s="181"/>
      <c r="AR118" s="182"/>
      <c r="AS118" s="468"/>
      <c r="AT118" s="165"/>
      <c r="AU118" s="165"/>
      <c r="AV118" s="165"/>
      <c r="AW118" s="165"/>
      <c r="AX118" s="165"/>
      <c r="AY118" s="165"/>
      <c r="AZ118" s="165"/>
      <c r="BA118" s="165"/>
      <c r="BB118" s="165"/>
      <c r="BC118" s="165"/>
      <c r="BD118" s="167"/>
    </row>
    <row r="119" spans="1:56" s="239" customFormat="1" ht="51" x14ac:dyDescent="0.25">
      <c r="A119" s="469">
        <v>54</v>
      </c>
      <c r="B119" s="468" t="s">
        <v>1488</v>
      </c>
      <c r="C119" s="429" t="s">
        <v>344</v>
      </c>
      <c r="D119" s="429" t="s">
        <v>935</v>
      </c>
      <c r="E119" s="429" t="s">
        <v>5321</v>
      </c>
      <c r="F119" s="518" t="s">
        <v>5318</v>
      </c>
      <c r="G119" s="431">
        <v>11043</v>
      </c>
      <c r="H119" s="457" t="s">
        <v>1631</v>
      </c>
      <c r="I119" s="518" t="s">
        <v>5380</v>
      </c>
      <c r="J119" s="589" t="s">
        <v>5381</v>
      </c>
      <c r="K119" s="432">
        <v>41548</v>
      </c>
      <c r="L119" s="476">
        <v>49579.199999999997</v>
      </c>
      <c r="M119" s="431">
        <v>11168</v>
      </c>
      <c r="N119" s="432">
        <v>41548</v>
      </c>
      <c r="O119" s="432">
        <v>41913</v>
      </c>
      <c r="P119" s="436" t="s">
        <v>3905</v>
      </c>
      <c r="Q119" s="429"/>
      <c r="R119" s="429"/>
      <c r="S119" s="429"/>
      <c r="T119" s="429" t="s">
        <v>208</v>
      </c>
      <c r="U119" s="457" t="s">
        <v>5275</v>
      </c>
      <c r="V119" s="432">
        <v>41914</v>
      </c>
      <c r="W119" s="431">
        <v>11421</v>
      </c>
      <c r="X119" s="518" t="s">
        <v>5252</v>
      </c>
      <c r="Y119" s="432">
        <v>41914</v>
      </c>
      <c r="Z119" s="432">
        <v>42005</v>
      </c>
      <c r="AA119" s="429"/>
      <c r="AB119" s="429"/>
      <c r="AC119" s="476">
        <v>12394.8</v>
      </c>
      <c r="AD119" s="429"/>
      <c r="AE119" s="476">
        <v>61974</v>
      </c>
      <c r="AF119" s="476">
        <v>6835.92</v>
      </c>
      <c r="AG119" s="476">
        <v>32658.42</v>
      </c>
      <c r="AH119" s="654">
        <f t="shared" si="0"/>
        <v>39494.339999999997</v>
      </c>
      <c r="AI119" s="179"/>
      <c r="AJ119" s="107"/>
      <c r="AK119" s="107"/>
      <c r="AL119" s="180"/>
      <c r="AM119" s="179"/>
      <c r="AN119" s="181"/>
      <c r="AO119" s="181"/>
      <c r="AP119" s="181"/>
      <c r="AQ119" s="181"/>
      <c r="AR119" s="182"/>
      <c r="AS119" s="468"/>
      <c r="AT119" s="165"/>
      <c r="AU119" s="165"/>
      <c r="AV119" s="165"/>
      <c r="AW119" s="165"/>
      <c r="AX119" s="165"/>
      <c r="AY119" s="165"/>
      <c r="AZ119" s="165"/>
      <c r="BA119" s="165"/>
      <c r="BB119" s="165"/>
      <c r="BC119" s="165"/>
      <c r="BD119" s="167"/>
    </row>
    <row r="120" spans="1:56" s="239" customFormat="1" ht="51" x14ac:dyDescent="0.25">
      <c r="A120" s="469">
        <v>55</v>
      </c>
      <c r="B120" s="468" t="s">
        <v>1488</v>
      </c>
      <c r="C120" s="429" t="s">
        <v>344</v>
      </c>
      <c r="D120" s="429" t="s">
        <v>935</v>
      </c>
      <c r="E120" s="429" t="s">
        <v>5321</v>
      </c>
      <c r="F120" s="518" t="s">
        <v>5318</v>
      </c>
      <c r="G120" s="431">
        <v>11043</v>
      </c>
      <c r="H120" s="457" t="s">
        <v>2259</v>
      </c>
      <c r="I120" s="518" t="s">
        <v>5380</v>
      </c>
      <c r="J120" s="589" t="s">
        <v>5381</v>
      </c>
      <c r="K120" s="432">
        <v>41548</v>
      </c>
      <c r="L120" s="476">
        <v>49579.199999999997</v>
      </c>
      <c r="M120" s="431">
        <v>11168</v>
      </c>
      <c r="N120" s="432">
        <v>41548</v>
      </c>
      <c r="O120" s="432">
        <v>41913</v>
      </c>
      <c r="P120" s="436" t="s">
        <v>3905</v>
      </c>
      <c r="Q120" s="429"/>
      <c r="R120" s="429"/>
      <c r="S120" s="429"/>
      <c r="T120" s="429" t="s">
        <v>208</v>
      </c>
      <c r="U120" s="457" t="s">
        <v>5275</v>
      </c>
      <c r="V120" s="432">
        <v>41914</v>
      </c>
      <c r="W120" s="431">
        <v>11419</v>
      </c>
      <c r="X120" s="518" t="s">
        <v>5252</v>
      </c>
      <c r="Y120" s="432">
        <v>41914</v>
      </c>
      <c r="Z120" s="432">
        <v>42005</v>
      </c>
      <c r="AA120" s="429"/>
      <c r="AB120" s="429"/>
      <c r="AC120" s="476">
        <v>12394.8</v>
      </c>
      <c r="AD120" s="429"/>
      <c r="AE120" s="476">
        <v>61974</v>
      </c>
      <c r="AF120" s="476">
        <v>6835.92</v>
      </c>
      <c r="AG120" s="476">
        <v>38311.199999999997</v>
      </c>
      <c r="AH120" s="654">
        <f t="shared" si="0"/>
        <v>45147.119999999995</v>
      </c>
      <c r="AI120" s="179"/>
      <c r="AJ120" s="107"/>
      <c r="AK120" s="107"/>
      <c r="AL120" s="180"/>
      <c r="AM120" s="179"/>
      <c r="AN120" s="181"/>
      <c r="AO120" s="181"/>
      <c r="AP120" s="181"/>
      <c r="AQ120" s="181"/>
      <c r="AR120" s="182"/>
      <c r="AS120" s="468"/>
      <c r="AT120" s="165"/>
      <c r="AU120" s="165"/>
      <c r="AV120" s="165"/>
      <c r="AW120" s="165"/>
      <c r="AX120" s="165"/>
      <c r="AY120" s="165"/>
      <c r="AZ120" s="165"/>
      <c r="BA120" s="165"/>
      <c r="BB120" s="165"/>
      <c r="BC120" s="165"/>
      <c r="BD120" s="167"/>
    </row>
    <row r="121" spans="1:56" s="239" customFormat="1" ht="51" x14ac:dyDescent="0.25">
      <c r="A121" s="469">
        <v>56</v>
      </c>
      <c r="B121" s="468" t="s">
        <v>1488</v>
      </c>
      <c r="C121" s="429" t="s">
        <v>344</v>
      </c>
      <c r="D121" s="429" t="s">
        <v>935</v>
      </c>
      <c r="E121" s="429" t="s">
        <v>5321</v>
      </c>
      <c r="F121" s="518" t="s">
        <v>5318</v>
      </c>
      <c r="G121" s="431">
        <v>11043</v>
      </c>
      <c r="H121" s="457" t="s">
        <v>727</v>
      </c>
      <c r="I121" s="518" t="s">
        <v>5380</v>
      </c>
      <c r="J121" s="589" t="s">
        <v>5381</v>
      </c>
      <c r="K121" s="432">
        <v>41548</v>
      </c>
      <c r="L121" s="476">
        <v>49579.199999999997</v>
      </c>
      <c r="M121" s="431">
        <v>11168</v>
      </c>
      <c r="N121" s="432">
        <v>41548</v>
      </c>
      <c r="O121" s="432">
        <v>41913</v>
      </c>
      <c r="P121" s="436" t="s">
        <v>3905</v>
      </c>
      <c r="Q121" s="429"/>
      <c r="R121" s="429"/>
      <c r="S121" s="429"/>
      <c r="T121" s="429" t="s">
        <v>208</v>
      </c>
      <c r="U121" s="457" t="s">
        <v>5275</v>
      </c>
      <c r="V121" s="432">
        <v>41914</v>
      </c>
      <c r="W121" s="431">
        <v>11421</v>
      </c>
      <c r="X121" s="518" t="s">
        <v>5252</v>
      </c>
      <c r="Y121" s="432">
        <v>41914</v>
      </c>
      <c r="Z121" s="432">
        <v>42005</v>
      </c>
      <c r="AA121" s="429"/>
      <c r="AB121" s="429"/>
      <c r="AC121" s="476">
        <v>12394.8</v>
      </c>
      <c r="AD121" s="429"/>
      <c r="AE121" s="476">
        <v>61974</v>
      </c>
      <c r="AF121" s="476">
        <v>6835.92</v>
      </c>
      <c r="AG121" s="476">
        <v>39729.089999999997</v>
      </c>
      <c r="AH121" s="654">
        <f t="shared" si="0"/>
        <v>46565.009999999995</v>
      </c>
      <c r="AI121" s="179"/>
      <c r="AJ121" s="107"/>
      <c r="AK121" s="107"/>
      <c r="AL121" s="180"/>
      <c r="AM121" s="179"/>
      <c r="AN121" s="181"/>
      <c r="AO121" s="181"/>
      <c r="AP121" s="181"/>
      <c r="AQ121" s="181"/>
      <c r="AR121" s="182"/>
      <c r="AS121" s="468"/>
      <c r="AT121" s="165"/>
      <c r="AU121" s="165"/>
      <c r="AV121" s="165"/>
      <c r="AW121" s="165"/>
      <c r="AX121" s="165"/>
      <c r="AY121" s="165"/>
      <c r="AZ121" s="165"/>
      <c r="BA121" s="165"/>
      <c r="BB121" s="165"/>
      <c r="BC121" s="165"/>
      <c r="BD121" s="167"/>
    </row>
    <row r="122" spans="1:56" s="239" customFormat="1" ht="51" x14ac:dyDescent="0.25">
      <c r="A122" s="469">
        <v>57</v>
      </c>
      <c r="B122" s="468" t="s">
        <v>1488</v>
      </c>
      <c r="C122" s="429" t="s">
        <v>344</v>
      </c>
      <c r="D122" s="429" t="s">
        <v>935</v>
      </c>
      <c r="E122" s="429" t="s">
        <v>5321</v>
      </c>
      <c r="F122" s="518" t="s">
        <v>5318</v>
      </c>
      <c r="G122" s="431">
        <v>11043</v>
      </c>
      <c r="H122" s="457" t="s">
        <v>4747</v>
      </c>
      <c r="I122" s="518" t="s">
        <v>5380</v>
      </c>
      <c r="J122" s="589" t="s">
        <v>5381</v>
      </c>
      <c r="K122" s="432">
        <v>41548</v>
      </c>
      <c r="L122" s="476">
        <v>49579.199999999997</v>
      </c>
      <c r="M122" s="431">
        <v>11168</v>
      </c>
      <c r="N122" s="432">
        <v>41548</v>
      </c>
      <c r="O122" s="432">
        <v>41913</v>
      </c>
      <c r="P122" s="436" t="s">
        <v>3905</v>
      </c>
      <c r="Q122" s="429"/>
      <c r="R122" s="429"/>
      <c r="S122" s="429"/>
      <c r="T122" s="429" t="s">
        <v>208</v>
      </c>
      <c r="U122" s="457" t="s">
        <v>5275</v>
      </c>
      <c r="V122" s="432">
        <v>41914</v>
      </c>
      <c r="W122" s="431">
        <v>11419</v>
      </c>
      <c r="X122" s="518" t="s">
        <v>5252</v>
      </c>
      <c r="Y122" s="432">
        <v>41914</v>
      </c>
      <c r="Z122" s="432">
        <v>42005</v>
      </c>
      <c r="AA122" s="429"/>
      <c r="AB122" s="429"/>
      <c r="AC122" s="476">
        <v>12394.8</v>
      </c>
      <c r="AD122" s="429"/>
      <c r="AE122" s="476">
        <v>61974</v>
      </c>
      <c r="AF122" s="476">
        <v>6760.8</v>
      </c>
      <c r="AG122" s="476">
        <v>33710.1</v>
      </c>
      <c r="AH122" s="654">
        <f t="shared" si="0"/>
        <v>40470.9</v>
      </c>
      <c r="AI122" s="179"/>
      <c r="AJ122" s="107"/>
      <c r="AK122" s="107"/>
      <c r="AL122" s="180"/>
      <c r="AM122" s="179"/>
      <c r="AN122" s="181"/>
      <c r="AO122" s="181"/>
      <c r="AP122" s="181"/>
      <c r="AQ122" s="181"/>
      <c r="AR122" s="182"/>
      <c r="AS122" s="468"/>
      <c r="AT122" s="165"/>
      <c r="AU122" s="165"/>
      <c r="AV122" s="165"/>
      <c r="AW122" s="165"/>
      <c r="AX122" s="165"/>
      <c r="AY122" s="165"/>
      <c r="AZ122" s="165"/>
      <c r="BA122" s="165"/>
      <c r="BB122" s="165"/>
      <c r="BC122" s="165"/>
      <c r="BD122" s="167"/>
    </row>
    <row r="123" spans="1:56" s="239" customFormat="1" ht="51" x14ac:dyDescent="0.25">
      <c r="A123" s="469">
        <v>58</v>
      </c>
      <c r="B123" s="468" t="s">
        <v>1488</v>
      </c>
      <c r="C123" s="429" t="s">
        <v>344</v>
      </c>
      <c r="D123" s="429" t="s">
        <v>935</v>
      </c>
      <c r="E123" s="429" t="s">
        <v>5321</v>
      </c>
      <c r="F123" s="518" t="s">
        <v>5318</v>
      </c>
      <c r="G123" s="431">
        <v>11043</v>
      </c>
      <c r="H123" s="457" t="s">
        <v>4734</v>
      </c>
      <c r="I123" s="518" t="s">
        <v>5380</v>
      </c>
      <c r="J123" s="589" t="s">
        <v>5381</v>
      </c>
      <c r="K123" s="432">
        <v>41548</v>
      </c>
      <c r="L123" s="476">
        <v>49579.199999999997</v>
      </c>
      <c r="M123" s="431">
        <v>11168</v>
      </c>
      <c r="N123" s="432">
        <v>41548</v>
      </c>
      <c r="O123" s="432">
        <v>41913</v>
      </c>
      <c r="P123" s="436" t="s">
        <v>3905</v>
      </c>
      <c r="Q123" s="429"/>
      <c r="R123" s="429"/>
      <c r="S123" s="429"/>
      <c r="T123" s="429" t="s">
        <v>208</v>
      </c>
      <c r="U123" s="457" t="s">
        <v>5275</v>
      </c>
      <c r="V123" s="432">
        <v>41914</v>
      </c>
      <c r="W123" s="431">
        <v>11419</v>
      </c>
      <c r="X123" s="518" t="s">
        <v>5252</v>
      </c>
      <c r="Y123" s="432">
        <v>41914</v>
      </c>
      <c r="Z123" s="432">
        <v>42005</v>
      </c>
      <c r="AA123" s="429"/>
      <c r="AB123" s="429"/>
      <c r="AC123" s="476">
        <v>12394.8</v>
      </c>
      <c r="AD123" s="429"/>
      <c r="AE123" s="476">
        <v>61974</v>
      </c>
      <c r="AF123" s="476">
        <v>6835.92</v>
      </c>
      <c r="AG123" s="476">
        <v>37503.660000000003</v>
      </c>
      <c r="AH123" s="654">
        <f t="shared" si="0"/>
        <v>44339.58</v>
      </c>
      <c r="AI123" s="179"/>
      <c r="AJ123" s="107"/>
      <c r="AK123" s="107"/>
      <c r="AL123" s="180"/>
      <c r="AM123" s="179"/>
      <c r="AN123" s="181"/>
      <c r="AO123" s="181"/>
      <c r="AP123" s="181"/>
      <c r="AQ123" s="181"/>
      <c r="AR123" s="182"/>
      <c r="AS123" s="468"/>
      <c r="AT123" s="165"/>
      <c r="AU123" s="165"/>
      <c r="AV123" s="165"/>
      <c r="AW123" s="165"/>
      <c r="AX123" s="165"/>
      <c r="AY123" s="165"/>
      <c r="AZ123" s="165"/>
      <c r="BA123" s="165"/>
      <c r="BB123" s="165"/>
      <c r="BC123" s="165"/>
      <c r="BD123" s="167"/>
    </row>
    <row r="124" spans="1:56" s="239" customFormat="1" ht="38.25" x14ac:dyDescent="0.25">
      <c r="A124" s="469">
        <v>59</v>
      </c>
      <c r="B124" s="468" t="s">
        <v>1488</v>
      </c>
      <c r="C124" s="429" t="s">
        <v>344</v>
      </c>
      <c r="D124" s="429" t="s">
        <v>935</v>
      </c>
      <c r="E124" s="429" t="s">
        <v>5321</v>
      </c>
      <c r="F124" s="518" t="s">
        <v>5318</v>
      </c>
      <c r="G124" s="431">
        <v>11043</v>
      </c>
      <c r="H124" s="457" t="s">
        <v>5320</v>
      </c>
      <c r="I124" s="518" t="s">
        <v>5380</v>
      </c>
      <c r="J124" s="589" t="s">
        <v>5381</v>
      </c>
      <c r="K124" s="432">
        <v>41610</v>
      </c>
      <c r="L124" s="476">
        <v>52536</v>
      </c>
      <c r="M124" s="431">
        <v>11215</v>
      </c>
      <c r="N124" s="432">
        <v>41610</v>
      </c>
      <c r="O124" s="432">
        <v>42340</v>
      </c>
      <c r="P124" s="436" t="s">
        <v>3905</v>
      </c>
      <c r="Q124" s="429"/>
      <c r="R124" s="429"/>
      <c r="S124" s="429"/>
      <c r="T124" s="429" t="s">
        <v>208</v>
      </c>
      <c r="U124" s="457"/>
      <c r="V124" s="429"/>
      <c r="W124" s="508"/>
      <c r="X124" s="518"/>
      <c r="Y124" s="509"/>
      <c r="Z124" s="509"/>
      <c r="AA124" s="429"/>
      <c r="AB124" s="429"/>
      <c r="AC124" s="476"/>
      <c r="AD124" s="429"/>
      <c r="AE124" s="476"/>
      <c r="AF124" s="476"/>
      <c r="AG124" s="476">
        <v>28143.55</v>
      </c>
      <c r="AH124" s="654"/>
      <c r="AI124" s="179"/>
      <c r="AJ124" s="107"/>
      <c r="AK124" s="107"/>
      <c r="AL124" s="180"/>
      <c r="AM124" s="179"/>
      <c r="AN124" s="181"/>
      <c r="AO124" s="181"/>
      <c r="AP124" s="181"/>
      <c r="AQ124" s="181"/>
      <c r="AR124" s="182"/>
      <c r="AS124" s="468"/>
      <c r="AT124" s="165"/>
      <c r="AU124" s="165"/>
      <c r="AV124" s="165"/>
      <c r="AW124" s="165"/>
      <c r="AX124" s="165"/>
      <c r="AY124" s="165"/>
      <c r="AZ124" s="165"/>
      <c r="BA124" s="165"/>
      <c r="BB124" s="165"/>
      <c r="BC124" s="165"/>
      <c r="BD124" s="167"/>
    </row>
    <row r="125" spans="1:56" s="239" customFormat="1" ht="51" x14ac:dyDescent="0.25">
      <c r="A125" s="469">
        <v>60</v>
      </c>
      <c r="B125" s="468" t="s">
        <v>1488</v>
      </c>
      <c r="C125" s="429" t="s">
        <v>344</v>
      </c>
      <c r="D125" s="429" t="s">
        <v>935</v>
      </c>
      <c r="E125" s="429" t="s">
        <v>5321</v>
      </c>
      <c r="F125" s="518" t="s">
        <v>5318</v>
      </c>
      <c r="G125" s="431">
        <v>11043</v>
      </c>
      <c r="H125" s="457" t="s">
        <v>5314</v>
      </c>
      <c r="I125" s="518" t="s">
        <v>5380</v>
      </c>
      <c r="J125" s="589" t="s">
        <v>5381</v>
      </c>
      <c r="K125" s="432">
        <v>41610</v>
      </c>
      <c r="L125" s="476">
        <v>52536</v>
      </c>
      <c r="M125" s="431">
        <v>11215</v>
      </c>
      <c r="N125" s="432">
        <v>41610</v>
      </c>
      <c r="O125" s="432">
        <v>42340</v>
      </c>
      <c r="P125" s="436" t="s">
        <v>3905</v>
      </c>
      <c r="Q125" s="429"/>
      <c r="R125" s="429"/>
      <c r="S125" s="429"/>
      <c r="T125" s="429" t="s">
        <v>208</v>
      </c>
      <c r="U125" s="457" t="s">
        <v>5275</v>
      </c>
      <c r="V125" s="509">
        <v>41976</v>
      </c>
      <c r="W125" s="508">
        <v>11485</v>
      </c>
      <c r="X125" s="518" t="s">
        <v>5252</v>
      </c>
      <c r="Y125" s="509">
        <v>41976</v>
      </c>
      <c r="Z125" s="509">
        <v>42037</v>
      </c>
      <c r="AA125" s="429"/>
      <c r="AB125" s="429"/>
      <c r="AC125" s="476">
        <v>8756</v>
      </c>
      <c r="AD125" s="429"/>
      <c r="AE125" s="476">
        <v>61292</v>
      </c>
      <c r="AF125" s="476"/>
      <c r="AG125" s="476">
        <v>39758.21</v>
      </c>
      <c r="AH125" s="654"/>
      <c r="AI125" s="179"/>
      <c r="AJ125" s="107"/>
      <c r="AK125" s="107"/>
      <c r="AL125" s="180"/>
      <c r="AM125" s="179"/>
      <c r="AN125" s="181"/>
      <c r="AO125" s="181"/>
      <c r="AP125" s="181"/>
      <c r="AQ125" s="181"/>
      <c r="AR125" s="182"/>
      <c r="AS125" s="468"/>
      <c r="AT125" s="165"/>
      <c r="AU125" s="165"/>
      <c r="AV125" s="165"/>
      <c r="AW125" s="165"/>
      <c r="AX125" s="165"/>
      <c r="AY125" s="165"/>
      <c r="AZ125" s="165"/>
      <c r="BA125" s="165"/>
      <c r="BB125" s="165"/>
      <c r="BC125" s="165"/>
      <c r="BD125" s="167"/>
    </row>
    <row r="126" spans="1:56" s="239" customFormat="1" ht="51" x14ac:dyDescent="0.25">
      <c r="A126" s="469">
        <v>61</v>
      </c>
      <c r="B126" s="468" t="s">
        <v>1488</v>
      </c>
      <c r="C126" s="429" t="s">
        <v>344</v>
      </c>
      <c r="D126" s="429" t="s">
        <v>935</v>
      </c>
      <c r="E126" s="429" t="s">
        <v>5321</v>
      </c>
      <c r="F126" s="518" t="s">
        <v>5318</v>
      </c>
      <c r="G126" s="431">
        <v>11043</v>
      </c>
      <c r="H126" s="457" t="s">
        <v>2811</v>
      </c>
      <c r="I126" s="518" t="s">
        <v>5380</v>
      </c>
      <c r="J126" s="589" t="s">
        <v>5381</v>
      </c>
      <c r="K126" s="432">
        <v>41610</v>
      </c>
      <c r="L126" s="476">
        <v>52536</v>
      </c>
      <c r="M126" s="431">
        <v>11215</v>
      </c>
      <c r="N126" s="432">
        <v>41610</v>
      </c>
      <c r="O126" s="432">
        <v>42340</v>
      </c>
      <c r="P126" s="436" t="s">
        <v>3905</v>
      </c>
      <c r="Q126" s="429"/>
      <c r="R126" s="429"/>
      <c r="S126" s="429"/>
      <c r="T126" s="429" t="s">
        <v>208</v>
      </c>
      <c r="U126" s="457" t="s">
        <v>5275</v>
      </c>
      <c r="V126" s="509">
        <v>41976</v>
      </c>
      <c r="W126" s="508">
        <v>11485</v>
      </c>
      <c r="X126" s="518" t="s">
        <v>5252</v>
      </c>
      <c r="Y126" s="509">
        <v>41976</v>
      </c>
      <c r="Z126" s="509">
        <v>42037</v>
      </c>
      <c r="AA126" s="429"/>
      <c r="AB126" s="429"/>
      <c r="AC126" s="476">
        <v>8756</v>
      </c>
      <c r="AD126" s="429"/>
      <c r="AE126" s="476">
        <v>61292</v>
      </c>
      <c r="AF126" s="476"/>
      <c r="AG126" s="476">
        <v>36277.699999999997</v>
      </c>
      <c r="AH126" s="654"/>
      <c r="AI126" s="179"/>
      <c r="AJ126" s="107"/>
      <c r="AK126" s="107"/>
      <c r="AL126" s="180"/>
      <c r="AM126" s="179"/>
      <c r="AN126" s="181"/>
      <c r="AO126" s="181"/>
      <c r="AP126" s="181"/>
      <c r="AQ126" s="181"/>
      <c r="AR126" s="182"/>
      <c r="AS126" s="468"/>
      <c r="AT126" s="165"/>
      <c r="AU126" s="165"/>
      <c r="AV126" s="165"/>
      <c r="AW126" s="165"/>
      <c r="AX126" s="165"/>
      <c r="AY126" s="165"/>
      <c r="AZ126" s="165"/>
      <c r="BA126" s="165"/>
      <c r="BB126" s="165"/>
      <c r="BC126" s="165"/>
      <c r="BD126" s="167"/>
    </row>
    <row r="127" spans="1:56" s="239" customFormat="1" ht="38.25" x14ac:dyDescent="0.25">
      <c r="A127" s="469">
        <v>62</v>
      </c>
      <c r="B127" s="468" t="s">
        <v>1488</v>
      </c>
      <c r="C127" s="429" t="s">
        <v>344</v>
      </c>
      <c r="D127" s="429" t="s">
        <v>935</v>
      </c>
      <c r="E127" s="429" t="s">
        <v>5321</v>
      </c>
      <c r="F127" s="518" t="s">
        <v>5318</v>
      </c>
      <c r="G127" s="431">
        <v>11043</v>
      </c>
      <c r="H127" s="457" t="s">
        <v>1504</v>
      </c>
      <c r="I127" s="518" t="s">
        <v>5380</v>
      </c>
      <c r="J127" s="589" t="s">
        <v>5381</v>
      </c>
      <c r="K127" s="432">
        <v>41610</v>
      </c>
      <c r="L127" s="476">
        <v>52536</v>
      </c>
      <c r="M127" s="431">
        <v>11215</v>
      </c>
      <c r="N127" s="432">
        <v>41610</v>
      </c>
      <c r="O127" s="432">
        <v>42340</v>
      </c>
      <c r="P127" s="436" t="s">
        <v>3905</v>
      </c>
      <c r="Q127" s="429"/>
      <c r="R127" s="429"/>
      <c r="S127" s="429"/>
      <c r="T127" s="429" t="s">
        <v>208</v>
      </c>
      <c r="U127" s="457"/>
      <c r="V127" s="429"/>
      <c r="W127" s="508"/>
      <c r="X127" s="518"/>
      <c r="Y127" s="509"/>
      <c r="Z127" s="509"/>
      <c r="AA127" s="429"/>
      <c r="AB127" s="429"/>
      <c r="AC127" s="476"/>
      <c r="AD127" s="429"/>
      <c r="AE127" s="659"/>
      <c r="AF127" s="476"/>
      <c r="AG127" s="476">
        <v>25531.7</v>
      </c>
      <c r="AH127" s="654"/>
      <c r="AI127" s="179"/>
      <c r="AJ127" s="107"/>
      <c r="AK127" s="107"/>
      <c r="AL127" s="180"/>
      <c r="AM127" s="179"/>
      <c r="AN127" s="181"/>
      <c r="AO127" s="181"/>
      <c r="AP127" s="181"/>
      <c r="AQ127" s="181"/>
      <c r="AR127" s="182"/>
      <c r="AS127" s="468"/>
      <c r="AT127" s="165"/>
      <c r="AU127" s="165"/>
      <c r="AV127" s="165"/>
      <c r="AW127" s="165"/>
      <c r="AX127" s="165"/>
      <c r="AY127" s="165"/>
      <c r="AZ127" s="165"/>
      <c r="BA127" s="165"/>
      <c r="BB127" s="165"/>
      <c r="BC127" s="165"/>
      <c r="BD127" s="167"/>
    </row>
    <row r="128" spans="1:56" s="239" customFormat="1" ht="38.25" x14ac:dyDescent="0.25">
      <c r="A128" s="469">
        <v>63</v>
      </c>
      <c r="B128" s="468" t="s">
        <v>1488</v>
      </c>
      <c r="C128" s="429" t="s">
        <v>344</v>
      </c>
      <c r="D128" s="429" t="s">
        <v>935</v>
      </c>
      <c r="E128" s="429" t="s">
        <v>5243</v>
      </c>
      <c r="F128" s="518" t="s">
        <v>5378</v>
      </c>
      <c r="G128" s="431">
        <v>11043</v>
      </c>
      <c r="H128" s="457" t="s">
        <v>680</v>
      </c>
      <c r="I128" s="518" t="s">
        <v>5380</v>
      </c>
      <c r="J128" s="589" t="s">
        <v>5381</v>
      </c>
      <c r="K128" s="432">
        <v>41641</v>
      </c>
      <c r="L128" s="476">
        <v>72000</v>
      </c>
      <c r="M128" s="431">
        <v>11223</v>
      </c>
      <c r="N128" s="432">
        <v>41641</v>
      </c>
      <c r="O128" s="432">
        <v>42006</v>
      </c>
      <c r="P128" s="436" t="s">
        <v>3905</v>
      </c>
      <c r="Q128" s="429"/>
      <c r="R128" s="429"/>
      <c r="S128" s="429"/>
      <c r="T128" s="429" t="s">
        <v>208</v>
      </c>
      <c r="U128" s="457"/>
      <c r="V128" s="429"/>
      <c r="W128" s="508"/>
      <c r="X128" s="518"/>
      <c r="Y128" s="509"/>
      <c r="Z128" s="509"/>
      <c r="AA128" s="429"/>
      <c r="AB128" s="429"/>
      <c r="AC128" s="476"/>
      <c r="AD128" s="429"/>
      <c r="AE128" s="659"/>
      <c r="AF128" s="476"/>
      <c r="AG128" s="476">
        <v>21000</v>
      </c>
      <c r="AH128" s="654"/>
      <c r="AI128" s="179"/>
      <c r="AJ128" s="107"/>
      <c r="AK128" s="107"/>
      <c r="AL128" s="180"/>
      <c r="AM128" s="179"/>
      <c r="AN128" s="181"/>
      <c r="AO128" s="181"/>
      <c r="AP128" s="181"/>
      <c r="AQ128" s="181"/>
      <c r="AR128" s="182"/>
      <c r="AS128" s="468"/>
      <c r="AT128" s="165"/>
      <c r="AU128" s="165"/>
      <c r="AV128" s="165"/>
      <c r="AW128" s="165"/>
      <c r="AX128" s="165"/>
      <c r="AY128" s="165"/>
      <c r="AZ128" s="165"/>
      <c r="BA128" s="165"/>
      <c r="BB128" s="165"/>
      <c r="BC128" s="165"/>
      <c r="BD128" s="167"/>
    </row>
    <row r="129" spans="1:56" s="239" customFormat="1" ht="51" x14ac:dyDescent="0.25">
      <c r="A129" s="469">
        <v>64</v>
      </c>
      <c r="B129" s="468" t="s">
        <v>5313</v>
      </c>
      <c r="C129" s="429" t="s">
        <v>5314</v>
      </c>
      <c r="D129" s="429" t="s">
        <v>935</v>
      </c>
      <c r="E129" s="429" t="s">
        <v>5243</v>
      </c>
      <c r="F129" s="518" t="s">
        <v>5315</v>
      </c>
      <c r="G129" s="431">
        <v>11043</v>
      </c>
      <c r="H129" s="457" t="s">
        <v>1775</v>
      </c>
      <c r="I129" s="518" t="s">
        <v>5382</v>
      </c>
      <c r="J129" s="589" t="s">
        <v>5383</v>
      </c>
      <c r="K129" s="432">
        <v>41519</v>
      </c>
      <c r="L129" s="476">
        <v>44340</v>
      </c>
      <c r="M129" s="431">
        <v>11148</v>
      </c>
      <c r="N129" s="432">
        <v>41519</v>
      </c>
      <c r="O129" s="432">
        <v>41884</v>
      </c>
      <c r="P129" s="436" t="s">
        <v>3905</v>
      </c>
      <c r="Q129" s="429"/>
      <c r="R129" s="429"/>
      <c r="S129" s="429"/>
      <c r="T129" s="429" t="s">
        <v>158</v>
      </c>
      <c r="U129" s="457" t="s">
        <v>5275</v>
      </c>
      <c r="V129" s="432">
        <v>41884</v>
      </c>
      <c r="W129" s="431">
        <v>11419</v>
      </c>
      <c r="X129" s="518" t="s">
        <v>5252</v>
      </c>
      <c r="Y129" s="432">
        <v>41884</v>
      </c>
      <c r="Z129" s="432">
        <v>42249</v>
      </c>
      <c r="AA129" s="429"/>
      <c r="AB129" s="429"/>
      <c r="AC129" s="476">
        <v>11085</v>
      </c>
      <c r="AD129" s="429"/>
      <c r="AE129" s="476">
        <v>55425</v>
      </c>
      <c r="AF129" s="476">
        <v>11085</v>
      </c>
      <c r="AG129" s="476">
        <v>36950</v>
      </c>
      <c r="AH129" s="654">
        <f>SUM(AF129:AG129)</f>
        <v>48035</v>
      </c>
      <c r="AI129" s="179"/>
      <c r="AJ129" s="107"/>
      <c r="AK129" s="107"/>
      <c r="AL129" s="180"/>
      <c r="AM129" s="179"/>
      <c r="AN129" s="181"/>
      <c r="AO129" s="181"/>
      <c r="AP129" s="181"/>
      <c r="AQ129" s="181"/>
      <c r="AR129" s="182"/>
      <c r="AS129" s="468"/>
      <c r="AT129" s="165"/>
      <c r="AU129" s="165"/>
      <c r="AV129" s="165"/>
      <c r="AW129" s="165"/>
      <c r="AX129" s="165"/>
      <c r="AY129" s="165"/>
      <c r="AZ129" s="165"/>
      <c r="BA129" s="165"/>
      <c r="BB129" s="165"/>
      <c r="BC129" s="165"/>
      <c r="BD129" s="167"/>
    </row>
    <row r="130" spans="1:56" s="239" customFormat="1" ht="51" x14ac:dyDescent="0.25">
      <c r="A130" s="469">
        <v>65</v>
      </c>
      <c r="B130" s="468" t="s">
        <v>1495</v>
      </c>
      <c r="C130" s="429" t="s">
        <v>2729</v>
      </c>
      <c r="D130" s="429" t="s">
        <v>935</v>
      </c>
      <c r="E130" s="429" t="s">
        <v>5243</v>
      </c>
      <c r="F130" s="518" t="s">
        <v>5328</v>
      </c>
      <c r="G130" s="431">
        <v>11043</v>
      </c>
      <c r="H130" s="457" t="s">
        <v>1070</v>
      </c>
      <c r="I130" s="518" t="s">
        <v>5384</v>
      </c>
      <c r="J130" s="589" t="s">
        <v>5385</v>
      </c>
      <c r="K130" s="432">
        <v>41456</v>
      </c>
      <c r="L130" s="476">
        <v>19788</v>
      </c>
      <c r="M130" s="431">
        <v>11107</v>
      </c>
      <c r="N130" s="432">
        <v>41456</v>
      </c>
      <c r="O130" s="432">
        <v>41821</v>
      </c>
      <c r="P130" s="436" t="s">
        <v>3905</v>
      </c>
      <c r="Q130" s="429"/>
      <c r="R130" s="429"/>
      <c r="S130" s="429"/>
      <c r="T130" s="429" t="s">
        <v>158</v>
      </c>
      <c r="U130" s="457" t="s">
        <v>5275</v>
      </c>
      <c r="V130" s="432">
        <v>41822</v>
      </c>
      <c r="W130" s="431">
        <v>11371</v>
      </c>
      <c r="X130" s="518" t="s">
        <v>5252</v>
      </c>
      <c r="Y130" s="432">
        <v>41822</v>
      </c>
      <c r="Z130" s="432">
        <v>42004</v>
      </c>
      <c r="AA130" s="429"/>
      <c r="AB130" s="429"/>
      <c r="AC130" s="476">
        <v>9894</v>
      </c>
      <c r="AD130" s="429"/>
      <c r="AE130" s="476">
        <v>29682</v>
      </c>
      <c r="AF130" s="476">
        <v>9784.07</v>
      </c>
      <c r="AG130" s="476">
        <v>16490</v>
      </c>
      <c r="AH130" s="654">
        <f>SUM(AF130:AG130)</f>
        <v>26274.07</v>
      </c>
      <c r="AI130" s="179"/>
      <c r="AJ130" s="107"/>
      <c r="AK130" s="107"/>
      <c r="AL130" s="180"/>
      <c r="AM130" s="179"/>
      <c r="AN130" s="181"/>
      <c r="AO130" s="181"/>
      <c r="AP130" s="181"/>
      <c r="AQ130" s="181"/>
      <c r="AR130" s="182"/>
      <c r="AS130" s="468"/>
      <c r="AT130" s="165"/>
      <c r="AU130" s="165"/>
      <c r="AV130" s="165"/>
      <c r="AW130" s="165"/>
      <c r="AX130" s="165"/>
      <c r="AY130" s="165"/>
      <c r="AZ130" s="165"/>
      <c r="BA130" s="165"/>
      <c r="BB130" s="165"/>
      <c r="BC130" s="165"/>
      <c r="BD130" s="167"/>
    </row>
    <row r="131" spans="1:56" s="239" customFormat="1" ht="51" x14ac:dyDescent="0.25">
      <c r="A131" s="469">
        <v>66</v>
      </c>
      <c r="B131" s="468" t="s">
        <v>5342</v>
      </c>
      <c r="C131" s="429" t="s">
        <v>1382</v>
      </c>
      <c r="D131" s="429" t="s">
        <v>935</v>
      </c>
      <c r="E131" s="429" t="s">
        <v>5243</v>
      </c>
      <c r="F131" s="518" t="s">
        <v>5386</v>
      </c>
      <c r="G131" s="431">
        <v>11062</v>
      </c>
      <c r="H131" s="457" t="s">
        <v>1289</v>
      </c>
      <c r="I131" s="518" t="s">
        <v>5387</v>
      </c>
      <c r="J131" s="589" t="s">
        <v>5388</v>
      </c>
      <c r="K131" s="436" t="s">
        <v>5346</v>
      </c>
      <c r="L131" s="476">
        <v>2604000</v>
      </c>
      <c r="M131" s="431">
        <v>11140</v>
      </c>
      <c r="N131" s="432">
        <v>41548</v>
      </c>
      <c r="O131" s="432">
        <v>41913</v>
      </c>
      <c r="P131" s="436" t="s">
        <v>3905</v>
      </c>
      <c r="Q131" s="429"/>
      <c r="R131" s="429"/>
      <c r="S131" s="429"/>
      <c r="T131" s="429" t="s">
        <v>208</v>
      </c>
      <c r="U131" s="457" t="s">
        <v>5275</v>
      </c>
      <c r="V131" s="432">
        <v>41914</v>
      </c>
      <c r="W131" s="431">
        <v>11447</v>
      </c>
      <c r="X131" s="518" t="s">
        <v>5252</v>
      </c>
      <c r="Y131" s="432">
        <v>41914</v>
      </c>
      <c r="Z131" s="432">
        <v>42278</v>
      </c>
      <c r="AA131" s="429"/>
      <c r="AB131" s="429"/>
      <c r="AC131" s="476">
        <v>2604000</v>
      </c>
      <c r="AD131" s="429"/>
      <c r="AE131" s="476">
        <v>5208000</v>
      </c>
      <c r="AF131" s="476">
        <v>167512.84</v>
      </c>
      <c r="AG131" s="476">
        <v>1836025.43</v>
      </c>
      <c r="AH131" s="654">
        <f>SUM(AF131:AG131)</f>
        <v>2003538.27</v>
      </c>
      <c r="AI131" s="179"/>
      <c r="AJ131" s="107"/>
      <c r="AK131" s="107"/>
      <c r="AL131" s="180"/>
      <c r="AM131" s="179"/>
      <c r="AN131" s="181"/>
      <c r="AO131" s="181"/>
      <c r="AP131" s="181"/>
      <c r="AQ131" s="181"/>
      <c r="AR131" s="182"/>
      <c r="AS131" s="468"/>
      <c r="AT131" s="165"/>
      <c r="AU131" s="165"/>
      <c r="AV131" s="165"/>
      <c r="AW131" s="165"/>
      <c r="AX131" s="165"/>
      <c r="AY131" s="165"/>
      <c r="AZ131" s="165"/>
      <c r="BA131" s="165"/>
      <c r="BB131" s="165"/>
      <c r="BC131" s="165"/>
      <c r="BD131" s="167"/>
    </row>
    <row r="132" spans="1:56" s="239" customFormat="1" ht="38.25" x14ac:dyDescent="0.25">
      <c r="A132" s="469">
        <v>67</v>
      </c>
      <c r="B132" s="468" t="s">
        <v>5313</v>
      </c>
      <c r="C132" s="429" t="s">
        <v>5314</v>
      </c>
      <c r="D132" s="429" t="s">
        <v>935</v>
      </c>
      <c r="E132" s="429" t="s">
        <v>5243</v>
      </c>
      <c r="F132" s="518" t="s">
        <v>5315</v>
      </c>
      <c r="G132" s="431">
        <v>11043</v>
      </c>
      <c r="H132" s="457" t="s">
        <v>716</v>
      </c>
      <c r="I132" s="518" t="s">
        <v>5389</v>
      </c>
      <c r="J132" s="589" t="s">
        <v>5390</v>
      </c>
      <c r="K132" s="432">
        <v>41641</v>
      </c>
      <c r="L132" s="476">
        <v>45300</v>
      </c>
      <c r="M132" s="431">
        <v>11222</v>
      </c>
      <c r="N132" s="432">
        <v>41641</v>
      </c>
      <c r="O132" s="432">
        <v>42006</v>
      </c>
      <c r="P132" s="436" t="s">
        <v>3905</v>
      </c>
      <c r="Q132" s="429"/>
      <c r="R132" s="429"/>
      <c r="S132" s="429"/>
      <c r="T132" s="429" t="s">
        <v>158</v>
      </c>
      <c r="U132" s="457"/>
      <c r="V132" s="429"/>
      <c r="W132" s="508"/>
      <c r="X132" s="518"/>
      <c r="Y132" s="509"/>
      <c r="Z132" s="509"/>
      <c r="AA132" s="429"/>
      <c r="AB132" s="429"/>
      <c r="AC132" s="476"/>
      <c r="AD132" s="429"/>
      <c r="AE132" s="476"/>
      <c r="AF132" s="476"/>
      <c r="AG132" s="476">
        <v>32213.33</v>
      </c>
      <c r="AH132" s="654"/>
      <c r="AI132" s="179"/>
      <c r="AJ132" s="107"/>
      <c r="AK132" s="107"/>
      <c r="AL132" s="180"/>
      <c r="AM132" s="179"/>
      <c r="AN132" s="181"/>
      <c r="AO132" s="181"/>
      <c r="AP132" s="181"/>
      <c r="AQ132" s="181"/>
      <c r="AR132" s="182"/>
      <c r="AS132" s="468"/>
      <c r="AT132" s="165"/>
      <c r="AU132" s="165"/>
      <c r="AV132" s="165"/>
      <c r="AW132" s="165"/>
      <c r="AX132" s="165"/>
      <c r="AY132" s="165"/>
      <c r="AZ132" s="165"/>
      <c r="BA132" s="165"/>
      <c r="BB132" s="165"/>
      <c r="BC132" s="165"/>
      <c r="BD132" s="167"/>
    </row>
    <row r="133" spans="1:56" s="239" customFormat="1" ht="38.25" x14ac:dyDescent="0.25">
      <c r="A133" s="469">
        <v>68</v>
      </c>
      <c r="B133" s="468" t="s">
        <v>1488</v>
      </c>
      <c r="C133" s="429" t="s">
        <v>344</v>
      </c>
      <c r="D133" s="429" t="s">
        <v>935</v>
      </c>
      <c r="E133" s="429" t="s">
        <v>5243</v>
      </c>
      <c r="F133" s="518" t="s">
        <v>5378</v>
      </c>
      <c r="G133" s="431">
        <v>11043</v>
      </c>
      <c r="H133" s="457" t="s">
        <v>388</v>
      </c>
      <c r="I133" s="518" t="s">
        <v>5391</v>
      </c>
      <c r="J133" s="589" t="s">
        <v>5392</v>
      </c>
      <c r="K133" s="432">
        <v>41641</v>
      </c>
      <c r="L133" s="476">
        <v>77880</v>
      </c>
      <c r="M133" s="431">
        <v>11222</v>
      </c>
      <c r="N133" s="432">
        <v>41641</v>
      </c>
      <c r="O133" s="432">
        <v>42006</v>
      </c>
      <c r="P133" s="436" t="s">
        <v>3905</v>
      </c>
      <c r="Q133" s="429"/>
      <c r="R133" s="429"/>
      <c r="S133" s="429"/>
      <c r="T133" s="429" t="s">
        <v>158</v>
      </c>
      <c r="U133" s="457"/>
      <c r="V133" s="429"/>
      <c r="W133" s="508"/>
      <c r="X133" s="518"/>
      <c r="Y133" s="509"/>
      <c r="Z133" s="509"/>
      <c r="AA133" s="429"/>
      <c r="AB133" s="429"/>
      <c r="AC133" s="476"/>
      <c r="AD133" s="429"/>
      <c r="AE133" s="476"/>
      <c r="AF133" s="476"/>
      <c r="AG133" s="476">
        <v>22715</v>
      </c>
      <c r="AH133" s="654"/>
      <c r="AI133" s="179"/>
      <c r="AJ133" s="107"/>
      <c r="AK133" s="107"/>
      <c r="AL133" s="180"/>
      <c r="AM133" s="179"/>
      <c r="AN133" s="181"/>
      <c r="AO133" s="181"/>
      <c r="AP133" s="181"/>
      <c r="AQ133" s="181"/>
      <c r="AR133" s="182"/>
      <c r="AS133" s="468"/>
      <c r="AT133" s="165"/>
      <c r="AU133" s="165"/>
      <c r="AV133" s="165"/>
      <c r="AW133" s="165"/>
      <c r="AX133" s="165"/>
      <c r="AY133" s="165"/>
      <c r="AZ133" s="165"/>
      <c r="BA133" s="165"/>
      <c r="BB133" s="165"/>
      <c r="BC133" s="165"/>
      <c r="BD133" s="167"/>
    </row>
    <row r="134" spans="1:56" s="239" customFormat="1" ht="38.25" x14ac:dyDescent="0.25">
      <c r="A134" s="469">
        <v>69</v>
      </c>
      <c r="B134" s="468" t="s">
        <v>2139</v>
      </c>
      <c r="C134" s="429" t="s">
        <v>744</v>
      </c>
      <c r="D134" s="429" t="s">
        <v>935</v>
      </c>
      <c r="E134" s="429" t="s">
        <v>5243</v>
      </c>
      <c r="F134" s="518" t="s">
        <v>5393</v>
      </c>
      <c r="G134" s="431">
        <v>11222</v>
      </c>
      <c r="H134" s="457" t="s">
        <v>1741</v>
      </c>
      <c r="I134" s="518" t="s">
        <v>5394</v>
      </c>
      <c r="J134" s="589" t="s">
        <v>380</v>
      </c>
      <c r="K134" s="436" t="s">
        <v>5395</v>
      </c>
      <c r="L134" s="476">
        <v>8900</v>
      </c>
      <c r="M134" s="431">
        <v>11318</v>
      </c>
      <c r="N134" s="432">
        <v>41759</v>
      </c>
      <c r="O134" s="432">
        <v>42124</v>
      </c>
      <c r="P134" s="436" t="s">
        <v>3905</v>
      </c>
      <c r="Q134" s="429"/>
      <c r="R134" s="429"/>
      <c r="S134" s="429"/>
      <c r="T134" s="466" t="s">
        <v>5305</v>
      </c>
      <c r="U134" s="457"/>
      <c r="V134" s="429"/>
      <c r="W134" s="508"/>
      <c r="X134" s="518"/>
      <c r="Y134" s="509"/>
      <c r="Z134" s="509"/>
      <c r="AA134" s="429"/>
      <c r="AB134" s="429"/>
      <c r="AC134" s="476"/>
      <c r="AD134" s="429"/>
      <c r="AE134" s="476"/>
      <c r="AF134" s="476"/>
      <c r="AG134" s="476">
        <v>7013.2</v>
      </c>
      <c r="AH134" s="654"/>
      <c r="AI134" s="179"/>
      <c r="AJ134" s="107"/>
      <c r="AK134" s="107"/>
      <c r="AL134" s="180"/>
      <c r="AM134" s="179"/>
      <c r="AN134" s="181"/>
      <c r="AO134" s="181"/>
      <c r="AP134" s="181"/>
      <c r="AQ134" s="181"/>
      <c r="AR134" s="182"/>
      <c r="AS134" s="468"/>
      <c r="AT134" s="165"/>
      <c r="AU134" s="165"/>
      <c r="AV134" s="165"/>
      <c r="AW134" s="165"/>
      <c r="AX134" s="165"/>
      <c r="AY134" s="165"/>
      <c r="AZ134" s="165"/>
      <c r="BA134" s="165"/>
      <c r="BB134" s="165"/>
      <c r="BC134" s="165"/>
      <c r="BD134" s="167"/>
    </row>
    <row r="135" spans="1:56" s="239" customFormat="1" ht="38.25" x14ac:dyDescent="0.25">
      <c r="A135" s="469">
        <v>70</v>
      </c>
      <c r="B135" s="468" t="s">
        <v>5396</v>
      </c>
      <c r="C135" s="429" t="s">
        <v>5397</v>
      </c>
      <c r="D135" s="429" t="s">
        <v>935</v>
      </c>
      <c r="E135" s="429" t="s">
        <v>5243</v>
      </c>
      <c r="F135" s="518" t="s">
        <v>5398</v>
      </c>
      <c r="G135" s="77">
        <v>11152</v>
      </c>
      <c r="H135" s="457" t="s">
        <v>837</v>
      </c>
      <c r="I135" s="518" t="s">
        <v>5399</v>
      </c>
      <c r="J135" s="589" t="s">
        <v>537</v>
      </c>
      <c r="K135" s="436" t="s">
        <v>5400</v>
      </c>
      <c r="L135" s="476">
        <v>416400</v>
      </c>
      <c r="M135" s="431">
        <v>11248</v>
      </c>
      <c r="N135" s="432">
        <v>41674</v>
      </c>
      <c r="O135" s="432">
        <v>42039</v>
      </c>
      <c r="P135" s="436" t="s">
        <v>3905</v>
      </c>
      <c r="Q135" s="429"/>
      <c r="R135" s="429"/>
      <c r="S135" s="429"/>
      <c r="T135" s="429" t="s">
        <v>316</v>
      </c>
      <c r="U135" s="457"/>
      <c r="V135" s="429"/>
      <c r="W135" s="508"/>
      <c r="X135" s="518"/>
      <c r="Y135" s="509"/>
      <c r="Z135" s="509"/>
      <c r="AA135" s="429"/>
      <c r="AB135" s="429"/>
      <c r="AC135" s="476"/>
      <c r="AD135" s="429"/>
      <c r="AE135" s="476"/>
      <c r="AF135" s="476"/>
      <c r="AG135" s="476">
        <v>129990</v>
      </c>
      <c r="AH135" s="654"/>
      <c r="AI135" s="179"/>
      <c r="AJ135" s="107"/>
      <c r="AK135" s="107"/>
      <c r="AL135" s="180"/>
      <c r="AM135" s="179"/>
      <c r="AN135" s="181"/>
      <c r="AO135" s="181"/>
      <c r="AP135" s="181"/>
      <c r="AQ135" s="181"/>
      <c r="AR135" s="182"/>
      <c r="AS135" s="468"/>
      <c r="AT135" s="165"/>
      <c r="AU135" s="165"/>
      <c r="AV135" s="165"/>
      <c r="AW135" s="165"/>
      <c r="AX135" s="165"/>
      <c r="AY135" s="165"/>
      <c r="AZ135" s="165"/>
      <c r="BA135" s="165"/>
      <c r="BB135" s="165"/>
      <c r="BC135" s="165"/>
      <c r="BD135" s="167"/>
    </row>
    <row r="136" spans="1:56" s="239" customFormat="1" ht="51" x14ac:dyDescent="0.25">
      <c r="A136" s="469">
        <v>71</v>
      </c>
      <c r="B136" s="468" t="s">
        <v>5313</v>
      </c>
      <c r="C136" s="429" t="s">
        <v>5314</v>
      </c>
      <c r="D136" s="429" t="s">
        <v>935</v>
      </c>
      <c r="E136" s="429" t="s">
        <v>5243</v>
      </c>
      <c r="F136" s="518" t="s">
        <v>5315</v>
      </c>
      <c r="G136" s="431">
        <v>11038</v>
      </c>
      <c r="H136" s="457" t="s">
        <v>1006</v>
      </c>
      <c r="I136" s="518" t="s">
        <v>5401</v>
      </c>
      <c r="J136" s="589" t="s">
        <v>5402</v>
      </c>
      <c r="K136" s="432">
        <v>41456</v>
      </c>
      <c r="L136" s="476">
        <v>40020</v>
      </c>
      <c r="M136" s="431">
        <v>11107</v>
      </c>
      <c r="N136" s="432">
        <v>41456</v>
      </c>
      <c r="O136" s="432">
        <v>41821</v>
      </c>
      <c r="P136" s="436" t="s">
        <v>3905</v>
      </c>
      <c r="Q136" s="429"/>
      <c r="R136" s="429"/>
      <c r="S136" s="429"/>
      <c r="T136" s="429" t="s">
        <v>158</v>
      </c>
      <c r="U136" s="457" t="s">
        <v>5275</v>
      </c>
      <c r="V136" s="432">
        <v>41822</v>
      </c>
      <c r="W136" s="431">
        <v>11374</v>
      </c>
      <c r="X136" s="518" t="s">
        <v>5252</v>
      </c>
      <c r="Y136" s="432">
        <v>41822</v>
      </c>
      <c r="Z136" s="432">
        <v>42004</v>
      </c>
      <c r="AA136" s="429"/>
      <c r="AB136" s="429"/>
      <c r="AC136" s="476">
        <v>20010</v>
      </c>
      <c r="AD136" s="429"/>
      <c r="AE136" s="476">
        <v>60030</v>
      </c>
      <c r="AF136" s="476">
        <v>20010</v>
      </c>
      <c r="AG136" s="336">
        <v>33350</v>
      </c>
      <c r="AH136" s="654">
        <f>SUM(AF136:AG136)</f>
        <v>53360</v>
      </c>
      <c r="AI136" s="179"/>
      <c r="AJ136" s="107"/>
      <c r="AK136" s="107"/>
      <c r="AL136" s="180"/>
      <c r="AM136" s="179"/>
      <c r="AN136" s="181"/>
      <c r="AO136" s="181"/>
      <c r="AP136" s="181"/>
      <c r="AQ136" s="181"/>
      <c r="AR136" s="182"/>
      <c r="AS136" s="468"/>
      <c r="AT136" s="165"/>
      <c r="AU136" s="165"/>
      <c r="AV136" s="165"/>
      <c r="AW136" s="165"/>
      <c r="AX136" s="165"/>
      <c r="AY136" s="165"/>
      <c r="AZ136" s="165"/>
      <c r="BA136" s="165"/>
      <c r="BB136" s="165"/>
      <c r="BC136" s="165"/>
      <c r="BD136" s="167"/>
    </row>
    <row r="137" spans="1:56" s="239" customFormat="1" ht="38.25" x14ac:dyDescent="0.25">
      <c r="A137" s="469">
        <v>72</v>
      </c>
      <c r="B137" s="468" t="s">
        <v>2678</v>
      </c>
      <c r="C137" s="429" t="s">
        <v>5320</v>
      </c>
      <c r="D137" s="429" t="s">
        <v>935</v>
      </c>
      <c r="E137" s="429" t="s">
        <v>5321</v>
      </c>
      <c r="F137" s="518" t="s">
        <v>5322</v>
      </c>
      <c r="G137" s="431">
        <v>11038</v>
      </c>
      <c r="H137" s="457" t="s">
        <v>765</v>
      </c>
      <c r="I137" s="518" t="s">
        <v>5403</v>
      </c>
      <c r="J137" s="589" t="s">
        <v>1503</v>
      </c>
      <c r="K137" s="432">
        <v>41641</v>
      </c>
      <c r="L137" s="476">
        <v>189120</v>
      </c>
      <c r="M137" s="431">
        <v>11223</v>
      </c>
      <c r="N137" s="432">
        <v>41641</v>
      </c>
      <c r="O137" s="432">
        <v>42006</v>
      </c>
      <c r="P137" s="436" t="s">
        <v>3905</v>
      </c>
      <c r="Q137" s="429"/>
      <c r="R137" s="429"/>
      <c r="S137" s="429"/>
      <c r="T137" s="429" t="s">
        <v>208</v>
      </c>
      <c r="U137" s="457"/>
      <c r="V137" s="429"/>
      <c r="W137" s="508"/>
      <c r="X137" s="518"/>
      <c r="Y137" s="509"/>
      <c r="Z137" s="509"/>
      <c r="AA137" s="429"/>
      <c r="AB137" s="429"/>
      <c r="AC137" s="476"/>
      <c r="AD137" s="429"/>
      <c r="AE137" s="476"/>
      <c r="AF137" s="476"/>
      <c r="AG137" s="336">
        <v>126420.42</v>
      </c>
      <c r="AH137" s="654"/>
      <c r="AI137" s="179"/>
      <c r="AJ137" s="107"/>
      <c r="AK137" s="107"/>
      <c r="AL137" s="180"/>
      <c r="AM137" s="179"/>
      <c r="AN137" s="181"/>
      <c r="AO137" s="181"/>
      <c r="AP137" s="181"/>
      <c r="AQ137" s="181"/>
      <c r="AR137" s="182"/>
      <c r="AS137" s="468"/>
      <c r="AT137" s="165"/>
      <c r="AU137" s="165"/>
      <c r="AV137" s="165"/>
      <c r="AW137" s="165"/>
      <c r="AX137" s="165"/>
      <c r="AY137" s="165"/>
      <c r="AZ137" s="165"/>
      <c r="BA137" s="165"/>
      <c r="BB137" s="165"/>
      <c r="BC137" s="165"/>
      <c r="BD137" s="167"/>
    </row>
    <row r="138" spans="1:56" s="239" customFormat="1" ht="38.25" x14ac:dyDescent="0.25">
      <c r="A138" s="469">
        <v>73</v>
      </c>
      <c r="B138" s="468" t="s">
        <v>2678</v>
      </c>
      <c r="C138" s="429" t="s">
        <v>5320</v>
      </c>
      <c r="D138" s="429" t="s">
        <v>935</v>
      </c>
      <c r="E138" s="429" t="s">
        <v>5321</v>
      </c>
      <c r="F138" s="518" t="s">
        <v>5322</v>
      </c>
      <c r="G138" s="431">
        <v>11038</v>
      </c>
      <c r="H138" s="457" t="s">
        <v>831</v>
      </c>
      <c r="I138" s="518" t="s">
        <v>5403</v>
      </c>
      <c r="J138" s="589" t="s">
        <v>1503</v>
      </c>
      <c r="K138" s="432">
        <v>41649</v>
      </c>
      <c r="L138" s="476">
        <v>191520</v>
      </c>
      <c r="M138" s="431">
        <v>11247</v>
      </c>
      <c r="N138" s="432">
        <v>41649</v>
      </c>
      <c r="O138" s="432">
        <v>42014</v>
      </c>
      <c r="P138" s="436" t="s">
        <v>3905</v>
      </c>
      <c r="Q138" s="429"/>
      <c r="R138" s="429"/>
      <c r="S138" s="429"/>
      <c r="T138" s="429" t="s">
        <v>208</v>
      </c>
      <c r="U138" s="457"/>
      <c r="V138" s="429"/>
      <c r="W138" s="508"/>
      <c r="X138" s="518"/>
      <c r="Y138" s="509"/>
      <c r="Z138" s="509"/>
      <c r="AA138" s="429"/>
      <c r="AB138" s="429"/>
      <c r="AC138" s="476"/>
      <c r="AD138" s="429"/>
      <c r="AE138" s="476"/>
      <c r="AF138" s="476"/>
      <c r="AG138" s="336">
        <v>120829.97</v>
      </c>
      <c r="AH138" s="654"/>
      <c r="AI138" s="179"/>
      <c r="AJ138" s="107"/>
      <c r="AK138" s="107"/>
      <c r="AL138" s="180"/>
      <c r="AM138" s="179"/>
      <c r="AN138" s="181"/>
      <c r="AO138" s="181"/>
      <c r="AP138" s="181"/>
      <c r="AQ138" s="181"/>
      <c r="AR138" s="182"/>
      <c r="AS138" s="468"/>
      <c r="AT138" s="165"/>
      <c r="AU138" s="165"/>
      <c r="AV138" s="165"/>
      <c r="AW138" s="165"/>
      <c r="AX138" s="165"/>
      <c r="AY138" s="165"/>
      <c r="AZ138" s="165"/>
      <c r="BA138" s="165"/>
      <c r="BB138" s="165"/>
      <c r="BC138" s="165"/>
      <c r="BD138" s="167"/>
    </row>
    <row r="139" spans="1:56" s="239" customFormat="1" ht="38.25" x14ac:dyDescent="0.25">
      <c r="A139" s="469">
        <v>74</v>
      </c>
      <c r="B139" s="468" t="s">
        <v>2678</v>
      </c>
      <c r="C139" s="429" t="s">
        <v>5320</v>
      </c>
      <c r="D139" s="429" t="s">
        <v>935</v>
      </c>
      <c r="E139" s="429" t="s">
        <v>5321</v>
      </c>
      <c r="F139" s="518" t="s">
        <v>5351</v>
      </c>
      <c r="G139" s="431">
        <v>11038</v>
      </c>
      <c r="H139" s="457" t="s">
        <v>841</v>
      </c>
      <c r="I139" s="518" t="s">
        <v>5404</v>
      </c>
      <c r="J139" s="589" t="s">
        <v>5405</v>
      </c>
      <c r="K139" s="432">
        <v>41675</v>
      </c>
      <c r="L139" s="476">
        <v>88800</v>
      </c>
      <c r="M139" s="431">
        <v>11348</v>
      </c>
      <c r="N139" s="432">
        <v>41675</v>
      </c>
      <c r="O139" s="432">
        <v>42040</v>
      </c>
      <c r="P139" s="436" t="s">
        <v>3905</v>
      </c>
      <c r="Q139" s="429"/>
      <c r="R139" s="429"/>
      <c r="S139" s="429"/>
      <c r="T139" s="429" t="s">
        <v>158</v>
      </c>
      <c r="U139" s="457"/>
      <c r="V139" s="429"/>
      <c r="W139" s="508"/>
      <c r="X139" s="518"/>
      <c r="Y139" s="509"/>
      <c r="Z139" s="509"/>
      <c r="AA139" s="429"/>
      <c r="AB139" s="429"/>
      <c r="AC139" s="476"/>
      <c r="AD139" s="429"/>
      <c r="AE139" s="476"/>
      <c r="AF139" s="476"/>
      <c r="AG139" s="336">
        <v>63504.53</v>
      </c>
      <c r="AH139" s="654"/>
      <c r="AI139" s="179"/>
      <c r="AJ139" s="107"/>
      <c r="AK139" s="107"/>
      <c r="AL139" s="180"/>
      <c r="AM139" s="179"/>
      <c r="AN139" s="181"/>
      <c r="AO139" s="181"/>
      <c r="AP139" s="181"/>
      <c r="AQ139" s="181"/>
      <c r="AR139" s="182"/>
      <c r="AS139" s="468"/>
      <c r="AT139" s="165"/>
      <c r="AU139" s="165"/>
      <c r="AV139" s="165"/>
      <c r="AW139" s="165"/>
      <c r="AX139" s="165"/>
      <c r="AY139" s="165"/>
      <c r="AZ139" s="165"/>
      <c r="BA139" s="165"/>
      <c r="BB139" s="165"/>
      <c r="BC139" s="165"/>
      <c r="BD139" s="167"/>
    </row>
    <row r="140" spans="1:56" s="239" customFormat="1" ht="51" x14ac:dyDescent="0.25">
      <c r="A140" s="469">
        <v>75</v>
      </c>
      <c r="B140" s="468" t="s">
        <v>1488</v>
      </c>
      <c r="C140" s="429" t="s">
        <v>344</v>
      </c>
      <c r="D140" s="429" t="s">
        <v>935</v>
      </c>
      <c r="E140" s="429" t="s">
        <v>5321</v>
      </c>
      <c r="F140" s="518" t="s">
        <v>5318</v>
      </c>
      <c r="G140" s="431">
        <v>11043</v>
      </c>
      <c r="H140" s="457" t="s">
        <v>2686</v>
      </c>
      <c r="I140" s="518" t="s">
        <v>5406</v>
      </c>
      <c r="J140" s="589" t="s">
        <v>5407</v>
      </c>
      <c r="K140" s="432">
        <v>41610</v>
      </c>
      <c r="L140" s="476">
        <v>52456.800000000003</v>
      </c>
      <c r="M140" s="431">
        <v>11215</v>
      </c>
      <c r="N140" s="432">
        <v>41610</v>
      </c>
      <c r="O140" s="432">
        <v>41975</v>
      </c>
      <c r="P140" s="436" t="s">
        <v>3905</v>
      </c>
      <c r="Q140" s="429"/>
      <c r="R140" s="429"/>
      <c r="S140" s="429"/>
      <c r="T140" s="429" t="s">
        <v>158</v>
      </c>
      <c r="U140" s="457" t="s">
        <v>5275</v>
      </c>
      <c r="V140" s="509">
        <v>41976</v>
      </c>
      <c r="W140" s="508">
        <v>11485</v>
      </c>
      <c r="X140" s="518" t="s">
        <v>5252</v>
      </c>
      <c r="Y140" s="509">
        <v>41976</v>
      </c>
      <c r="Z140" s="509">
        <v>42037</v>
      </c>
      <c r="AA140" s="429"/>
      <c r="AB140" s="429"/>
      <c r="AC140" s="476">
        <v>8742.7999999999993</v>
      </c>
      <c r="AD140" s="429"/>
      <c r="AE140" s="476">
        <v>61199.6</v>
      </c>
      <c r="AF140" s="476">
        <v>3576</v>
      </c>
      <c r="AG140" s="336">
        <v>35209.64</v>
      </c>
      <c r="AH140" s="654">
        <f>SUM(AF140:AG140)</f>
        <v>38785.64</v>
      </c>
      <c r="AI140" s="179"/>
      <c r="AJ140" s="107"/>
      <c r="AK140" s="107"/>
      <c r="AL140" s="180"/>
      <c r="AM140" s="179"/>
      <c r="AN140" s="181"/>
      <c r="AO140" s="181"/>
      <c r="AP140" s="181"/>
      <c r="AQ140" s="181"/>
      <c r="AR140" s="182"/>
      <c r="AS140" s="468"/>
      <c r="AT140" s="165"/>
      <c r="AU140" s="165"/>
      <c r="AV140" s="165"/>
      <c r="AW140" s="165"/>
      <c r="AX140" s="165"/>
      <c r="AY140" s="165"/>
      <c r="AZ140" s="165"/>
      <c r="BA140" s="165"/>
      <c r="BB140" s="165"/>
      <c r="BC140" s="165"/>
      <c r="BD140" s="167"/>
    </row>
    <row r="141" spans="1:56" s="239" customFormat="1" ht="38.25" x14ac:dyDescent="0.25">
      <c r="A141" s="469">
        <v>76</v>
      </c>
      <c r="B141" s="468" t="s">
        <v>1488</v>
      </c>
      <c r="C141" s="429" t="s">
        <v>344</v>
      </c>
      <c r="D141" s="429" t="s">
        <v>935</v>
      </c>
      <c r="E141" s="429" t="s">
        <v>5243</v>
      </c>
      <c r="F141" s="518" t="s">
        <v>5378</v>
      </c>
      <c r="G141" s="431">
        <v>11043</v>
      </c>
      <c r="H141" s="457" t="s">
        <v>1210</v>
      </c>
      <c r="I141" s="660" t="s">
        <v>5408</v>
      </c>
      <c r="J141" s="589" t="s">
        <v>5409</v>
      </c>
      <c r="K141" s="432">
        <v>41698</v>
      </c>
      <c r="L141" s="476">
        <v>90000</v>
      </c>
      <c r="M141" s="431">
        <v>11261</v>
      </c>
      <c r="N141" s="432">
        <v>41698</v>
      </c>
      <c r="O141" s="432">
        <v>42063</v>
      </c>
      <c r="P141" s="436" t="s">
        <v>3905</v>
      </c>
      <c r="Q141" s="429"/>
      <c r="R141" s="429"/>
      <c r="S141" s="429"/>
      <c r="T141" s="429" t="s">
        <v>158</v>
      </c>
      <c r="U141" s="457"/>
      <c r="V141" s="429"/>
      <c r="W141" s="508"/>
      <c r="X141" s="518"/>
      <c r="Y141" s="509"/>
      <c r="Z141" s="509"/>
      <c r="AA141" s="429"/>
      <c r="AB141" s="429"/>
      <c r="AC141" s="476"/>
      <c r="AD141" s="429"/>
      <c r="AE141" s="659"/>
      <c r="AF141" s="476"/>
      <c r="AG141" s="476">
        <v>11250</v>
      </c>
      <c r="AH141" s="654"/>
      <c r="AI141" s="179"/>
      <c r="AJ141" s="107"/>
      <c r="AK141" s="107"/>
      <c r="AL141" s="180"/>
      <c r="AM141" s="179"/>
      <c r="AN141" s="181"/>
      <c r="AO141" s="181"/>
      <c r="AP141" s="181"/>
      <c r="AQ141" s="181"/>
      <c r="AR141" s="182"/>
      <c r="AS141" s="468"/>
      <c r="AT141" s="165"/>
      <c r="AU141" s="165"/>
      <c r="AV141" s="165"/>
      <c r="AW141" s="165"/>
      <c r="AX141" s="165"/>
      <c r="AY141" s="165"/>
      <c r="AZ141" s="165"/>
      <c r="BA141" s="165"/>
      <c r="BB141" s="165"/>
      <c r="BC141" s="165"/>
      <c r="BD141" s="167"/>
    </row>
    <row r="142" spans="1:56" s="239" customFormat="1" ht="38.25" x14ac:dyDescent="0.25">
      <c r="A142" s="469">
        <v>77</v>
      </c>
      <c r="B142" s="468" t="s">
        <v>5331</v>
      </c>
      <c r="C142" s="429" t="s">
        <v>686</v>
      </c>
      <c r="D142" s="429" t="s">
        <v>935</v>
      </c>
      <c r="E142" s="429" t="s">
        <v>5243</v>
      </c>
      <c r="F142" s="518" t="s">
        <v>5328</v>
      </c>
      <c r="G142" s="431">
        <v>11211</v>
      </c>
      <c r="H142" s="457" t="s">
        <v>840</v>
      </c>
      <c r="I142" s="661" t="s">
        <v>5410</v>
      </c>
      <c r="J142" s="589" t="s">
        <v>5411</v>
      </c>
      <c r="K142" s="436" t="s">
        <v>5369</v>
      </c>
      <c r="L142" s="476">
        <v>15600</v>
      </c>
      <c r="M142" s="431">
        <v>11248</v>
      </c>
      <c r="N142" s="432">
        <v>41675</v>
      </c>
      <c r="O142" s="432">
        <v>42040</v>
      </c>
      <c r="P142" s="436" t="s">
        <v>3905</v>
      </c>
      <c r="Q142" s="429"/>
      <c r="R142" s="429"/>
      <c r="S142" s="429"/>
      <c r="T142" s="429" t="s">
        <v>158</v>
      </c>
      <c r="U142" s="457"/>
      <c r="V142" s="429"/>
      <c r="W142" s="508"/>
      <c r="X142" s="518"/>
      <c r="Y142" s="509"/>
      <c r="Z142" s="509"/>
      <c r="AA142" s="429"/>
      <c r="AB142" s="429"/>
      <c r="AC142" s="476"/>
      <c r="AD142" s="429"/>
      <c r="AE142" s="659"/>
      <c r="AF142" s="476"/>
      <c r="AG142" s="476">
        <v>5113.33</v>
      </c>
      <c r="AH142" s="654"/>
      <c r="AI142" s="179"/>
      <c r="AJ142" s="107"/>
      <c r="AK142" s="107"/>
      <c r="AL142" s="180"/>
      <c r="AM142" s="179"/>
      <c r="AN142" s="181"/>
      <c r="AO142" s="181"/>
      <c r="AP142" s="181"/>
      <c r="AQ142" s="181"/>
      <c r="AR142" s="182"/>
      <c r="AS142" s="468"/>
      <c r="AT142" s="165"/>
      <c r="AU142" s="165"/>
      <c r="AV142" s="165"/>
      <c r="AW142" s="165"/>
      <c r="AX142" s="165"/>
      <c r="AY142" s="165"/>
      <c r="AZ142" s="165"/>
      <c r="BA142" s="165"/>
      <c r="BB142" s="165"/>
      <c r="BC142" s="165"/>
      <c r="BD142" s="167"/>
    </row>
    <row r="143" spans="1:56" s="239" customFormat="1" ht="38.25" x14ac:dyDescent="0.25">
      <c r="A143" s="469">
        <v>78</v>
      </c>
      <c r="B143" s="468" t="s">
        <v>1488</v>
      </c>
      <c r="C143" s="429" t="s">
        <v>344</v>
      </c>
      <c r="D143" s="429" t="s">
        <v>935</v>
      </c>
      <c r="E143" s="429" t="s">
        <v>5243</v>
      </c>
      <c r="F143" s="518" t="s">
        <v>5378</v>
      </c>
      <c r="G143" s="431">
        <v>11043</v>
      </c>
      <c r="H143" s="457" t="s">
        <v>1679</v>
      </c>
      <c r="I143" s="661" t="s">
        <v>5412</v>
      </c>
      <c r="J143" s="589" t="s">
        <v>5413</v>
      </c>
      <c r="K143" s="432">
        <v>41698</v>
      </c>
      <c r="L143" s="476">
        <v>89940</v>
      </c>
      <c r="M143" s="431">
        <v>11261</v>
      </c>
      <c r="N143" s="432">
        <v>41698</v>
      </c>
      <c r="O143" s="432">
        <v>42063</v>
      </c>
      <c r="P143" s="436" t="s">
        <v>3905</v>
      </c>
      <c r="Q143" s="429"/>
      <c r="R143" s="429"/>
      <c r="S143" s="429"/>
      <c r="T143" s="429" t="s">
        <v>158</v>
      </c>
      <c r="U143" s="457"/>
      <c r="V143" s="429"/>
      <c r="W143" s="508"/>
      <c r="X143" s="518"/>
      <c r="Y143" s="509"/>
      <c r="Z143" s="509"/>
      <c r="AA143" s="429"/>
      <c r="AB143" s="429"/>
      <c r="AC143" s="476"/>
      <c r="AD143" s="429"/>
      <c r="AE143" s="659"/>
      <c r="AF143" s="476"/>
      <c r="AG143" s="476">
        <v>11242.5</v>
      </c>
      <c r="AH143" s="654"/>
      <c r="AI143" s="179"/>
      <c r="AJ143" s="107"/>
      <c r="AK143" s="107"/>
      <c r="AL143" s="180"/>
      <c r="AM143" s="179"/>
      <c r="AN143" s="181"/>
      <c r="AO143" s="181"/>
      <c r="AP143" s="181"/>
      <c r="AQ143" s="181"/>
      <c r="AR143" s="182"/>
      <c r="AS143" s="468"/>
      <c r="AT143" s="165"/>
      <c r="AU143" s="165"/>
      <c r="AV143" s="165"/>
      <c r="AW143" s="165"/>
      <c r="AX143" s="165"/>
      <c r="AY143" s="165"/>
      <c r="AZ143" s="165"/>
      <c r="BA143" s="165"/>
      <c r="BB143" s="165"/>
      <c r="BC143" s="165"/>
      <c r="BD143" s="167"/>
    </row>
    <row r="144" spans="1:56" s="239" customFormat="1" ht="51" x14ac:dyDescent="0.25">
      <c r="A144" s="469">
        <v>79</v>
      </c>
      <c r="B144" s="468" t="s">
        <v>1495</v>
      </c>
      <c r="C144" s="429" t="s">
        <v>2729</v>
      </c>
      <c r="D144" s="429" t="s">
        <v>935</v>
      </c>
      <c r="E144" s="429" t="s">
        <v>5243</v>
      </c>
      <c r="F144" s="518" t="s">
        <v>5328</v>
      </c>
      <c r="G144" s="431">
        <v>11043</v>
      </c>
      <c r="H144" s="457" t="s">
        <v>1357</v>
      </c>
      <c r="I144" s="518" t="s">
        <v>5414</v>
      </c>
      <c r="J144" s="589" t="s">
        <v>5415</v>
      </c>
      <c r="K144" s="432">
        <v>41456</v>
      </c>
      <c r="L144" s="476">
        <v>19380</v>
      </c>
      <c r="M144" s="431">
        <v>11107</v>
      </c>
      <c r="N144" s="432">
        <v>41456</v>
      </c>
      <c r="O144" s="432">
        <v>41821</v>
      </c>
      <c r="P144" s="436" t="s">
        <v>3905</v>
      </c>
      <c r="Q144" s="429"/>
      <c r="R144" s="429"/>
      <c r="S144" s="429"/>
      <c r="T144" s="429" t="s">
        <v>158</v>
      </c>
      <c r="U144" s="457" t="s">
        <v>5275</v>
      </c>
      <c r="V144" s="509">
        <v>41822</v>
      </c>
      <c r="W144" s="508">
        <v>11374</v>
      </c>
      <c r="X144" s="518" t="s">
        <v>5252</v>
      </c>
      <c r="Y144" s="509">
        <v>41822</v>
      </c>
      <c r="Z144" s="509">
        <v>42004</v>
      </c>
      <c r="AA144" s="429"/>
      <c r="AB144" s="429"/>
      <c r="AC144" s="476">
        <v>9690</v>
      </c>
      <c r="AD144" s="429"/>
      <c r="AE144" s="476">
        <v>29070</v>
      </c>
      <c r="AF144" s="476">
        <v>9582.33</v>
      </c>
      <c r="AG144" s="336">
        <v>16096.17</v>
      </c>
      <c r="AH144" s="654">
        <f>SUM(AF144:AG144)</f>
        <v>25678.5</v>
      </c>
      <c r="AI144" s="179"/>
      <c r="AJ144" s="107"/>
      <c r="AK144" s="107"/>
      <c r="AL144" s="180"/>
      <c r="AM144" s="179"/>
      <c r="AN144" s="181"/>
      <c r="AO144" s="181"/>
      <c r="AP144" s="181"/>
      <c r="AQ144" s="181"/>
      <c r="AR144" s="182"/>
      <c r="AS144" s="468"/>
      <c r="AT144" s="165"/>
      <c r="AU144" s="165"/>
      <c r="AV144" s="165"/>
      <c r="AW144" s="165"/>
      <c r="AX144" s="165"/>
      <c r="AY144" s="165"/>
      <c r="AZ144" s="165"/>
      <c r="BA144" s="165"/>
      <c r="BB144" s="165"/>
      <c r="BC144" s="165"/>
      <c r="BD144" s="167"/>
    </row>
    <row r="145" spans="1:56" s="239" customFormat="1" ht="38.25" x14ac:dyDescent="0.25">
      <c r="A145" s="469">
        <v>80</v>
      </c>
      <c r="B145" s="468" t="s">
        <v>2678</v>
      </c>
      <c r="C145" s="429" t="s">
        <v>5320</v>
      </c>
      <c r="D145" s="429" t="s">
        <v>935</v>
      </c>
      <c r="E145" s="429" t="s">
        <v>5243</v>
      </c>
      <c r="F145" s="518" t="s">
        <v>5322</v>
      </c>
      <c r="G145" s="431">
        <v>11038</v>
      </c>
      <c r="H145" s="457" t="s">
        <v>777</v>
      </c>
      <c r="I145" s="518" t="s">
        <v>5416</v>
      </c>
      <c r="J145" s="589" t="s">
        <v>5417</v>
      </c>
      <c r="K145" s="436" t="s">
        <v>5418</v>
      </c>
      <c r="L145" s="476">
        <v>191280</v>
      </c>
      <c r="M145" s="431">
        <v>11223</v>
      </c>
      <c r="N145" s="432">
        <v>41641</v>
      </c>
      <c r="O145" s="432">
        <v>42006</v>
      </c>
      <c r="P145" s="436" t="s">
        <v>3905</v>
      </c>
      <c r="Q145" s="429"/>
      <c r="R145" s="429"/>
      <c r="S145" s="429"/>
      <c r="T145" s="429" t="s">
        <v>208</v>
      </c>
      <c r="U145" s="457"/>
      <c r="V145" s="429"/>
      <c r="W145" s="508"/>
      <c r="X145" s="518"/>
      <c r="Y145" s="509"/>
      <c r="Z145" s="509"/>
      <c r="AA145" s="429"/>
      <c r="AB145" s="429"/>
      <c r="AC145" s="476"/>
      <c r="AD145" s="429"/>
      <c r="AE145" s="476"/>
      <c r="AF145" s="476"/>
      <c r="AG145" s="476">
        <v>58360.33</v>
      </c>
      <c r="AH145" s="654"/>
      <c r="AI145" s="179"/>
      <c r="AJ145" s="107"/>
      <c r="AK145" s="107"/>
      <c r="AL145" s="180"/>
      <c r="AM145" s="179"/>
      <c r="AN145" s="181"/>
      <c r="AO145" s="181"/>
      <c r="AP145" s="181"/>
      <c r="AQ145" s="181"/>
      <c r="AR145" s="182"/>
      <c r="AS145" s="468"/>
      <c r="AT145" s="165"/>
      <c r="AU145" s="165"/>
      <c r="AV145" s="165"/>
      <c r="AW145" s="165"/>
      <c r="AX145" s="165"/>
      <c r="AY145" s="165"/>
      <c r="AZ145" s="165"/>
      <c r="BA145" s="165"/>
      <c r="BB145" s="165"/>
      <c r="BC145" s="165"/>
      <c r="BD145" s="167"/>
    </row>
    <row r="146" spans="1:56" s="239" customFormat="1" ht="38.25" x14ac:dyDescent="0.25">
      <c r="A146" s="469">
        <v>81</v>
      </c>
      <c r="B146" s="468" t="s">
        <v>2678</v>
      </c>
      <c r="C146" s="429" t="s">
        <v>5320</v>
      </c>
      <c r="D146" s="429" t="s">
        <v>935</v>
      </c>
      <c r="E146" s="429" t="s">
        <v>5243</v>
      </c>
      <c r="F146" s="518" t="s">
        <v>5351</v>
      </c>
      <c r="G146" s="431">
        <v>11038</v>
      </c>
      <c r="H146" s="457" t="s">
        <v>807</v>
      </c>
      <c r="I146" s="518" t="s">
        <v>5416</v>
      </c>
      <c r="J146" s="589" t="s">
        <v>5417</v>
      </c>
      <c r="K146" s="436" t="s">
        <v>5418</v>
      </c>
      <c r="L146" s="476">
        <v>131976</v>
      </c>
      <c r="M146" s="431">
        <v>11223</v>
      </c>
      <c r="N146" s="432">
        <v>41641</v>
      </c>
      <c r="O146" s="432">
        <v>42006</v>
      </c>
      <c r="P146" s="436" t="s">
        <v>3905</v>
      </c>
      <c r="Q146" s="429"/>
      <c r="R146" s="429"/>
      <c r="S146" s="429"/>
      <c r="T146" s="429" t="s">
        <v>208</v>
      </c>
      <c r="U146" s="457"/>
      <c r="V146" s="429"/>
      <c r="W146" s="508"/>
      <c r="X146" s="518"/>
      <c r="Y146" s="509"/>
      <c r="Z146" s="509"/>
      <c r="AA146" s="429"/>
      <c r="AB146" s="429"/>
      <c r="AC146" s="476"/>
      <c r="AD146" s="429"/>
      <c r="AE146" s="476"/>
      <c r="AF146" s="476"/>
      <c r="AG146" s="476">
        <v>85499.01</v>
      </c>
      <c r="AH146" s="654"/>
      <c r="AI146" s="179"/>
      <c r="AJ146" s="107"/>
      <c r="AK146" s="107"/>
      <c r="AL146" s="180"/>
      <c r="AM146" s="179"/>
      <c r="AN146" s="181"/>
      <c r="AO146" s="181"/>
      <c r="AP146" s="181"/>
      <c r="AQ146" s="181"/>
      <c r="AR146" s="182"/>
      <c r="AS146" s="468"/>
      <c r="AT146" s="165"/>
      <c r="AU146" s="165"/>
      <c r="AV146" s="165"/>
      <c r="AW146" s="165"/>
      <c r="AX146" s="165"/>
      <c r="AY146" s="165"/>
      <c r="AZ146" s="165"/>
      <c r="BA146" s="165"/>
      <c r="BB146" s="165"/>
      <c r="BC146" s="165"/>
      <c r="BD146" s="167"/>
    </row>
    <row r="147" spans="1:56" s="239" customFormat="1" ht="38.25" x14ac:dyDescent="0.25">
      <c r="A147" s="469">
        <v>82</v>
      </c>
      <c r="B147" s="468" t="s">
        <v>2678</v>
      </c>
      <c r="C147" s="429" t="s">
        <v>5320</v>
      </c>
      <c r="D147" s="429" t="s">
        <v>935</v>
      </c>
      <c r="E147" s="429" t="s">
        <v>5243</v>
      </c>
      <c r="F147" s="518" t="s">
        <v>5322</v>
      </c>
      <c r="G147" s="431">
        <v>11038</v>
      </c>
      <c r="H147" s="457" t="s">
        <v>780</v>
      </c>
      <c r="I147" s="518" t="s">
        <v>5416</v>
      </c>
      <c r="J147" s="589" t="s">
        <v>5417</v>
      </c>
      <c r="K147" s="436" t="s">
        <v>5418</v>
      </c>
      <c r="L147" s="476">
        <v>191280</v>
      </c>
      <c r="M147" s="431">
        <v>11223</v>
      </c>
      <c r="N147" s="432">
        <v>41641</v>
      </c>
      <c r="O147" s="432">
        <v>42006</v>
      </c>
      <c r="P147" s="436" t="s">
        <v>3905</v>
      </c>
      <c r="Q147" s="429"/>
      <c r="R147" s="429"/>
      <c r="S147" s="429"/>
      <c r="T147" s="429" t="s">
        <v>208</v>
      </c>
      <c r="U147" s="457"/>
      <c r="V147" s="429"/>
      <c r="W147" s="508"/>
      <c r="X147" s="518"/>
      <c r="Y147" s="509"/>
      <c r="Z147" s="509"/>
      <c r="AA147" s="429"/>
      <c r="AB147" s="429"/>
      <c r="AC147" s="476"/>
      <c r="AD147" s="429"/>
      <c r="AE147" s="476"/>
      <c r="AF147" s="476"/>
      <c r="AG147" s="476">
        <v>105610.47</v>
      </c>
      <c r="AH147" s="654"/>
      <c r="AI147" s="179"/>
      <c r="AJ147" s="107"/>
      <c r="AK147" s="107"/>
      <c r="AL147" s="180"/>
      <c r="AM147" s="179"/>
      <c r="AN147" s="181"/>
      <c r="AO147" s="181"/>
      <c r="AP147" s="181"/>
      <c r="AQ147" s="181"/>
      <c r="AR147" s="182"/>
      <c r="AS147" s="468"/>
      <c r="AT147" s="165"/>
      <c r="AU147" s="165"/>
      <c r="AV147" s="165"/>
      <c r="AW147" s="165"/>
      <c r="AX147" s="165"/>
      <c r="AY147" s="165"/>
      <c r="AZ147" s="165"/>
      <c r="BA147" s="165"/>
      <c r="BB147" s="165"/>
      <c r="BC147" s="165"/>
      <c r="BD147" s="167"/>
    </row>
    <row r="148" spans="1:56" s="239" customFormat="1" ht="38.25" x14ac:dyDescent="0.25">
      <c r="A148" s="469">
        <v>83</v>
      </c>
      <c r="B148" s="468" t="s">
        <v>2139</v>
      </c>
      <c r="C148" s="429" t="s">
        <v>744</v>
      </c>
      <c r="D148" s="429" t="s">
        <v>935</v>
      </c>
      <c r="E148" s="429" t="s">
        <v>5243</v>
      </c>
      <c r="F148" s="518" t="s">
        <v>5393</v>
      </c>
      <c r="G148" s="431">
        <v>11222</v>
      </c>
      <c r="H148" s="457" t="s">
        <v>1737</v>
      </c>
      <c r="I148" s="518" t="s">
        <v>5419</v>
      </c>
      <c r="J148" s="589" t="s">
        <v>1185</v>
      </c>
      <c r="K148" s="436" t="s">
        <v>5395</v>
      </c>
      <c r="L148" s="476">
        <v>79136</v>
      </c>
      <c r="M148" s="431">
        <v>11305</v>
      </c>
      <c r="N148" s="432">
        <v>41759</v>
      </c>
      <c r="O148" s="432">
        <v>42124</v>
      </c>
      <c r="P148" s="436" t="s">
        <v>3905</v>
      </c>
      <c r="Q148" s="429"/>
      <c r="R148" s="429"/>
      <c r="S148" s="429"/>
      <c r="T148" s="429" t="s">
        <v>208</v>
      </c>
      <c r="U148" s="457"/>
      <c r="V148" s="429"/>
      <c r="W148" s="508"/>
      <c r="X148" s="518"/>
      <c r="Y148" s="509"/>
      <c r="Z148" s="509"/>
      <c r="AA148" s="429"/>
      <c r="AB148" s="429"/>
      <c r="AC148" s="476"/>
      <c r="AD148" s="429"/>
      <c r="AE148" s="476"/>
      <c r="AF148" s="476"/>
      <c r="AG148" s="336">
        <v>30377.200000000001</v>
      </c>
      <c r="AH148" s="654"/>
      <c r="AI148" s="179"/>
      <c r="AJ148" s="107"/>
      <c r="AK148" s="107"/>
      <c r="AL148" s="180"/>
      <c r="AM148" s="179"/>
      <c r="AN148" s="181"/>
      <c r="AO148" s="181"/>
      <c r="AP148" s="181"/>
      <c r="AQ148" s="181"/>
      <c r="AR148" s="182"/>
      <c r="AS148" s="468"/>
      <c r="AT148" s="165"/>
      <c r="AU148" s="165"/>
      <c r="AV148" s="165"/>
      <c r="AW148" s="165"/>
      <c r="AX148" s="165"/>
      <c r="AY148" s="165"/>
      <c r="AZ148" s="165"/>
      <c r="BA148" s="165"/>
      <c r="BB148" s="165"/>
      <c r="BC148" s="165"/>
      <c r="BD148" s="167"/>
    </row>
    <row r="149" spans="1:56" s="239" customFormat="1" ht="51" x14ac:dyDescent="0.25">
      <c r="A149" s="469">
        <v>84</v>
      </c>
      <c r="B149" s="468" t="s">
        <v>1495</v>
      </c>
      <c r="C149" s="429" t="s">
        <v>2729</v>
      </c>
      <c r="D149" s="429" t="s">
        <v>935</v>
      </c>
      <c r="E149" s="429" t="s">
        <v>5321</v>
      </c>
      <c r="F149" s="518" t="s">
        <v>5318</v>
      </c>
      <c r="G149" s="431">
        <v>11043</v>
      </c>
      <c r="H149" s="457" t="s">
        <v>3462</v>
      </c>
      <c r="I149" s="518" t="s">
        <v>5420</v>
      </c>
      <c r="J149" s="589" t="s">
        <v>5421</v>
      </c>
      <c r="K149" s="432">
        <v>41548</v>
      </c>
      <c r="L149" s="476">
        <v>49077.599999999999</v>
      </c>
      <c r="M149" s="431">
        <v>11168</v>
      </c>
      <c r="N149" s="432">
        <v>41548</v>
      </c>
      <c r="O149" s="432">
        <v>41913</v>
      </c>
      <c r="P149" s="436" t="s">
        <v>3905</v>
      </c>
      <c r="Q149" s="429"/>
      <c r="R149" s="429"/>
      <c r="S149" s="429"/>
      <c r="T149" s="429" t="s">
        <v>158</v>
      </c>
      <c r="U149" s="457" t="s">
        <v>5275</v>
      </c>
      <c r="V149" s="432">
        <v>41914</v>
      </c>
      <c r="W149" s="431">
        <v>11419</v>
      </c>
      <c r="X149" s="518" t="s">
        <v>5252</v>
      </c>
      <c r="Y149" s="432">
        <v>41914</v>
      </c>
      <c r="Z149" s="432">
        <v>42005</v>
      </c>
      <c r="AA149" s="429"/>
      <c r="AB149" s="429"/>
      <c r="AC149" s="476">
        <v>12269.4</v>
      </c>
      <c r="AD149" s="429"/>
      <c r="AE149" s="476">
        <v>61347</v>
      </c>
      <c r="AF149" s="476">
        <v>10187.32</v>
      </c>
      <c r="AG149" s="336">
        <v>35135.1</v>
      </c>
      <c r="AH149" s="654">
        <f>SUM(AF149:AG149)</f>
        <v>45322.42</v>
      </c>
      <c r="AI149" s="179"/>
      <c r="AJ149" s="107"/>
      <c r="AK149" s="107"/>
      <c r="AL149" s="180"/>
      <c r="AM149" s="179"/>
      <c r="AN149" s="181"/>
      <c r="AO149" s="181"/>
      <c r="AP149" s="181"/>
      <c r="AQ149" s="181"/>
      <c r="AR149" s="182"/>
      <c r="AS149" s="468"/>
      <c r="AT149" s="165"/>
      <c r="AU149" s="165"/>
      <c r="AV149" s="165"/>
      <c r="AW149" s="165"/>
      <c r="AX149" s="165"/>
      <c r="AY149" s="165"/>
      <c r="AZ149" s="165"/>
      <c r="BA149" s="165"/>
      <c r="BB149" s="165"/>
      <c r="BC149" s="165"/>
      <c r="BD149" s="167"/>
    </row>
    <row r="150" spans="1:56" s="239" customFormat="1" ht="51" x14ac:dyDescent="0.25">
      <c r="A150" s="469">
        <v>85</v>
      </c>
      <c r="B150" s="468" t="s">
        <v>1488</v>
      </c>
      <c r="C150" s="429" t="s">
        <v>344</v>
      </c>
      <c r="D150" s="429" t="s">
        <v>935</v>
      </c>
      <c r="E150" s="429" t="s">
        <v>5321</v>
      </c>
      <c r="F150" s="518" t="s">
        <v>5318</v>
      </c>
      <c r="G150" s="431">
        <v>11043</v>
      </c>
      <c r="H150" s="457" t="s">
        <v>1668</v>
      </c>
      <c r="I150" s="456" t="s">
        <v>5422</v>
      </c>
      <c r="J150" s="589" t="s">
        <v>5423</v>
      </c>
      <c r="K150" s="432">
        <v>41610</v>
      </c>
      <c r="L150" s="476">
        <v>52272</v>
      </c>
      <c r="M150" s="431">
        <v>11215</v>
      </c>
      <c r="N150" s="432">
        <v>41610</v>
      </c>
      <c r="O150" s="432">
        <v>41975</v>
      </c>
      <c r="P150" s="436" t="s">
        <v>3905</v>
      </c>
      <c r="Q150" s="429"/>
      <c r="R150" s="429"/>
      <c r="S150" s="429"/>
      <c r="T150" s="429" t="s">
        <v>158</v>
      </c>
      <c r="U150" s="457" t="s">
        <v>5275</v>
      </c>
      <c r="V150" s="509">
        <v>41976</v>
      </c>
      <c r="W150" s="508">
        <v>11485</v>
      </c>
      <c r="X150" s="518" t="s">
        <v>5252</v>
      </c>
      <c r="Y150" s="509">
        <v>41976</v>
      </c>
      <c r="Z150" s="509">
        <v>42037</v>
      </c>
      <c r="AA150" s="429"/>
      <c r="AB150" s="429"/>
      <c r="AC150" s="476">
        <v>8712</v>
      </c>
      <c r="AD150" s="429"/>
      <c r="AE150" s="476">
        <v>60984</v>
      </c>
      <c r="AF150" s="476">
        <v>3564</v>
      </c>
      <c r="AG150" s="336">
        <v>34994.519999999997</v>
      </c>
      <c r="AH150" s="654">
        <f>SUM(AF150:AG150)</f>
        <v>38558.519999999997</v>
      </c>
      <c r="AI150" s="179"/>
      <c r="AJ150" s="107"/>
      <c r="AK150" s="107"/>
      <c r="AL150" s="180"/>
      <c r="AM150" s="179"/>
      <c r="AN150" s="181"/>
      <c r="AO150" s="181"/>
      <c r="AP150" s="181"/>
      <c r="AQ150" s="181"/>
      <c r="AR150" s="182"/>
      <c r="AS150" s="468"/>
      <c r="AT150" s="165"/>
      <c r="AU150" s="165"/>
      <c r="AV150" s="165"/>
      <c r="AW150" s="165"/>
      <c r="AX150" s="165"/>
      <c r="AY150" s="165"/>
      <c r="AZ150" s="165"/>
      <c r="BA150" s="165"/>
      <c r="BB150" s="165"/>
      <c r="BC150" s="165"/>
      <c r="BD150" s="167"/>
    </row>
    <row r="151" spans="1:56" s="239" customFormat="1" ht="51" x14ac:dyDescent="0.25">
      <c r="A151" s="469">
        <v>86</v>
      </c>
      <c r="B151" s="468" t="s">
        <v>5313</v>
      </c>
      <c r="C151" s="429" t="s">
        <v>5314</v>
      </c>
      <c r="D151" s="429" t="s">
        <v>935</v>
      </c>
      <c r="E151" s="429" t="s">
        <v>5243</v>
      </c>
      <c r="F151" s="518" t="s">
        <v>5315</v>
      </c>
      <c r="G151" s="431">
        <v>11038</v>
      </c>
      <c r="H151" s="457" t="s">
        <v>1031</v>
      </c>
      <c r="I151" s="456" t="s">
        <v>5424</v>
      </c>
      <c r="J151" s="589" t="s">
        <v>5425</v>
      </c>
      <c r="K151" s="432">
        <v>41456</v>
      </c>
      <c r="L151" s="476">
        <v>41979</v>
      </c>
      <c r="M151" s="431">
        <v>11107</v>
      </c>
      <c r="N151" s="432">
        <v>41456</v>
      </c>
      <c r="O151" s="432">
        <v>41821</v>
      </c>
      <c r="P151" s="436" t="s">
        <v>3905</v>
      </c>
      <c r="Q151" s="429"/>
      <c r="R151" s="429"/>
      <c r="S151" s="429"/>
      <c r="T151" s="429" t="s">
        <v>158</v>
      </c>
      <c r="U151" s="457" t="s">
        <v>5275</v>
      </c>
      <c r="V151" s="432">
        <v>41822</v>
      </c>
      <c r="W151" s="431">
        <v>11368</v>
      </c>
      <c r="X151" s="518" t="s">
        <v>5252</v>
      </c>
      <c r="Y151" s="432">
        <v>41822</v>
      </c>
      <c r="Z151" s="432">
        <v>42004</v>
      </c>
      <c r="AA151" s="429"/>
      <c r="AB151" s="429"/>
      <c r="AC151" s="476">
        <v>20989.5</v>
      </c>
      <c r="AD151" s="429"/>
      <c r="AE151" s="476">
        <v>62968.5</v>
      </c>
      <c r="AF151" s="476">
        <v>20989.5</v>
      </c>
      <c r="AG151" s="336">
        <v>34982.5</v>
      </c>
      <c r="AH151" s="654">
        <f>SUM(AF151:AG151)</f>
        <v>55972</v>
      </c>
      <c r="AI151" s="179"/>
      <c r="AJ151" s="107"/>
      <c r="AK151" s="107"/>
      <c r="AL151" s="180"/>
      <c r="AM151" s="179"/>
      <c r="AN151" s="181"/>
      <c r="AO151" s="181"/>
      <c r="AP151" s="181"/>
      <c r="AQ151" s="181"/>
      <c r="AR151" s="182"/>
      <c r="AS151" s="468"/>
      <c r="AT151" s="165"/>
      <c r="AU151" s="165"/>
      <c r="AV151" s="165"/>
      <c r="AW151" s="165"/>
      <c r="AX151" s="165"/>
      <c r="AY151" s="165"/>
      <c r="AZ151" s="165"/>
      <c r="BA151" s="165"/>
      <c r="BB151" s="165"/>
      <c r="BC151" s="165"/>
      <c r="BD151" s="167"/>
    </row>
    <row r="152" spans="1:56" s="239" customFormat="1" ht="38.25" x14ac:dyDescent="0.25">
      <c r="A152" s="469">
        <v>87</v>
      </c>
      <c r="B152" s="468" t="s">
        <v>1495</v>
      </c>
      <c r="C152" s="429" t="s">
        <v>2729</v>
      </c>
      <c r="D152" s="429" t="s">
        <v>935</v>
      </c>
      <c r="E152" s="429" t="s">
        <v>5243</v>
      </c>
      <c r="F152" s="518" t="s">
        <v>5328</v>
      </c>
      <c r="G152" s="431">
        <v>11043</v>
      </c>
      <c r="H152" s="457" t="s">
        <v>1330</v>
      </c>
      <c r="I152" s="456" t="s">
        <v>5426</v>
      </c>
      <c r="J152" s="589" t="s">
        <v>5427</v>
      </c>
      <c r="K152" s="432">
        <v>41456</v>
      </c>
      <c r="L152" s="476">
        <v>18000</v>
      </c>
      <c r="M152" s="431">
        <v>11107</v>
      </c>
      <c r="N152" s="432">
        <v>41456</v>
      </c>
      <c r="O152" s="432">
        <v>41821</v>
      </c>
      <c r="P152" s="436" t="s">
        <v>3905</v>
      </c>
      <c r="Q152" s="429"/>
      <c r="R152" s="429"/>
      <c r="S152" s="429"/>
      <c r="T152" s="429" t="s">
        <v>158</v>
      </c>
      <c r="U152" s="457"/>
      <c r="V152" s="429"/>
      <c r="W152" s="508"/>
      <c r="X152" s="518"/>
      <c r="Y152" s="509"/>
      <c r="Z152" s="509"/>
      <c r="AA152" s="429"/>
      <c r="AB152" s="429"/>
      <c r="AC152" s="476"/>
      <c r="AD152" s="429"/>
      <c r="AE152" s="476"/>
      <c r="AF152" s="476">
        <v>8600</v>
      </c>
      <c r="AG152" s="658">
        <v>7500</v>
      </c>
      <c r="AH152" s="654">
        <f>SUM(AF152:AG152)</f>
        <v>16100</v>
      </c>
      <c r="AI152" s="179"/>
      <c r="AJ152" s="107"/>
      <c r="AK152" s="107"/>
      <c r="AL152" s="180"/>
      <c r="AM152" s="179"/>
      <c r="AN152" s="181"/>
      <c r="AO152" s="181"/>
      <c r="AP152" s="181"/>
      <c r="AQ152" s="181"/>
      <c r="AR152" s="182"/>
      <c r="AS152" s="468"/>
      <c r="AT152" s="165"/>
      <c r="AU152" s="165"/>
      <c r="AV152" s="165"/>
      <c r="AW152" s="165"/>
      <c r="AX152" s="165"/>
      <c r="AY152" s="165"/>
      <c r="AZ152" s="165"/>
      <c r="BA152" s="165"/>
      <c r="BB152" s="165"/>
      <c r="BC152" s="165"/>
      <c r="BD152" s="167"/>
    </row>
    <row r="153" spans="1:56" s="239" customFormat="1" ht="38.25" x14ac:dyDescent="0.25">
      <c r="A153" s="469">
        <v>88</v>
      </c>
      <c r="B153" s="468" t="s">
        <v>1488</v>
      </c>
      <c r="C153" s="429" t="s">
        <v>344</v>
      </c>
      <c r="D153" s="429" t="s">
        <v>935</v>
      </c>
      <c r="E153" s="429" t="s">
        <v>5243</v>
      </c>
      <c r="F153" s="518" t="s">
        <v>5378</v>
      </c>
      <c r="G153" s="431">
        <v>11043</v>
      </c>
      <c r="H153" s="457" t="s">
        <v>1690</v>
      </c>
      <c r="I153" s="456" t="s">
        <v>5428</v>
      </c>
      <c r="J153" s="589" t="s">
        <v>5429</v>
      </c>
      <c r="K153" s="432">
        <v>41698</v>
      </c>
      <c r="L153" s="476">
        <v>93600</v>
      </c>
      <c r="M153" s="77">
        <v>11261</v>
      </c>
      <c r="N153" s="432">
        <v>41698</v>
      </c>
      <c r="O153" s="432">
        <v>42063</v>
      </c>
      <c r="P153" s="436" t="s">
        <v>3905</v>
      </c>
      <c r="Q153" s="429"/>
      <c r="R153" s="429"/>
      <c r="S153" s="429"/>
      <c r="T153" s="429" t="s">
        <v>158</v>
      </c>
      <c r="U153" s="457"/>
      <c r="V153" s="429"/>
      <c r="W153" s="508"/>
      <c r="X153" s="518"/>
      <c r="Y153" s="509"/>
      <c r="Z153" s="509"/>
      <c r="AA153" s="429"/>
      <c r="AB153" s="429"/>
      <c r="AC153" s="476"/>
      <c r="AD153" s="429"/>
      <c r="AE153" s="476"/>
      <c r="AF153" s="476"/>
      <c r="AG153" s="658">
        <v>11700</v>
      </c>
      <c r="AH153" s="654"/>
      <c r="AI153" s="179"/>
      <c r="AJ153" s="107"/>
      <c r="AK153" s="107"/>
      <c r="AL153" s="180"/>
      <c r="AM153" s="179"/>
      <c r="AN153" s="181"/>
      <c r="AO153" s="181"/>
      <c r="AP153" s="181"/>
      <c r="AQ153" s="181"/>
      <c r="AR153" s="182"/>
      <c r="AS153" s="468"/>
      <c r="AT153" s="165"/>
      <c r="AU153" s="165"/>
      <c r="AV153" s="165"/>
      <c r="AW153" s="165"/>
      <c r="AX153" s="165"/>
      <c r="AY153" s="165"/>
      <c r="AZ153" s="165"/>
      <c r="BA153" s="165"/>
      <c r="BB153" s="165"/>
      <c r="BC153" s="165"/>
      <c r="BD153" s="167"/>
    </row>
    <row r="154" spans="1:56" s="239" customFormat="1" ht="38.25" x14ac:dyDescent="0.25">
      <c r="A154" s="469">
        <v>89</v>
      </c>
      <c r="B154" s="468" t="s">
        <v>5313</v>
      </c>
      <c r="C154" s="429" t="s">
        <v>5314</v>
      </c>
      <c r="D154" s="429" t="s">
        <v>935</v>
      </c>
      <c r="E154" s="429" t="s">
        <v>5243</v>
      </c>
      <c r="F154" s="518" t="s">
        <v>5315</v>
      </c>
      <c r="G154" s="431">
        <v>11038</v>
      </c>
      <c r="H154" s="457" t="s">
        <v>704</v>
      </c>
      <c r="I154" s="456" t="s">
        <v>5430</v>
      </c>
      <c r="J154" s="589" t="s">
        <v>5431</v>
      </c>
      <c r="K154" s="432">
        <v>41641</v>
      </c>
      <c r="L154" s="476">
        <v>45120</v>
      </c>
      <c r="M154" s="431">
        <v>11222</v>
      </c>
      <c r="N154" s="432">
        <v>41641</v>
      </c>
      <c r="O154" s="432" t="s">
        <v>5432</v>
      </c>
      <c r="P154" s="436" t="s">
        <v>3905</v>
      </c>
      <c r="Q154" s="429"/>
      <c r="R154" s="429"/>
      <c r="S154" s="429"/>
      <c r="T154" s="429" t="s">
        <v>158</v>
      </c>
      <c r="U154" s="457"/>
      <c r="V154" s="429"/>
      <c r="W154" s="508"/>
      <c r="X154" s="518"/>
      <c r="Y154" s="509"/>
      <c r="Z154" s="509"/>
      <c r="AA154" s="429"/>
      <c r="AB154" s="429"/>
      <c r="AC154" s="476"/>
      <c r="AD154" s="429"/>
      <c r="AE154" s="476"/>
      <c r="AF154" s="476"/>
      <c r="AG154" s="658">
        <v>37600</v>
      </c>
      <c r="AH154" s="654"/>
      <c r="AI154" s="179"/>
      <c r="AJ154" s="107"/>
      <c r="AK154" s="107"/>
      <c r="AL154" s="180"/>
      <c r="AM154" s="179"/>
      <c r="AN154" s="181"/>
      <c r="AO154" s="181"/>
      <c r="AP154" s="181"/>
      <c r="AQ154" s="181"/>
      <c r="AR154" s="182"/>
      <c r="AS154" s="468"/>
      <c r="AT154" s="165"/>
      <c r="AU154" s="165"/>
      <c r="AV154" s="165"/>
      <c r="AW154" s="165"/>
      <c r="AX154" s="165"/>
      <c r="AY154" s="165"/>
      <c r="AZ154" s="165"/>
      <c r="BA154" s="165"/>
      <c r="BB154" s="165"/>
      <c r="BC154" s="165"/>
      <c r="BD154" s="167"/>
    </row>
    <row r="155" spans="1:56" s="239" customFormat="1" ht="38.25" x14ac:dyDescent="0.25">
      <c r="A155" s="469">
        <v>90</v>
      </c>
      <c r="B155" s="468" t="s">
        <v>1488</v>
      </c>
      <c r="C155" s="429" t="s">
        <v>344</v>
      </c>
      <c r="D155" s="429" t="s">
        <v>935</v>
      </c>
      <c r="E155" s="429" t="s">
        <v>5321</v>
      </c>
      <c r="F155" s="518" t="s">
        <v>5318</v>
      </c>
      <c r="G155" s="431">
        <v>11043</v>
      </c>
      <c r="H155" s="457" t="s">
        <v>1837</v>
      </c>
      <c r="I155" s="456" t="s">
        <v>5433</v>
      </c>
      <c r="J155" s="589" t="s">
        <v>5434</v>
      </c>
      <c r="K155" s="432">
        <v>41610</v>
      </c>
      <c r="L155" s="476">
        <v>55704</v>
      </c>
      <c r="M155" s="431">
        <v>11215</v>
      </c>
      <c r="N155" s="432">
        <v>41610</v>
      </c>
      <c r="O155" s="432">
        <v>41975</v>
      </c>
      <c r="P155" s="436" t="s">
        <v>3905</v>
      </c>
      <c r="Q155" s="429"/>
      <c r="R155" s="429"/>
      <c r="S155" s="429"/>
      <c r="T155" s="429" t="s">
        <v>158</v>
      </c>
      <c r="U155" s="457"/>
      <c r="V155" s="429"/>
      <c r="W155" s="508"/>
      <c r="X155" s="518"/>
      <c r="Y155" s="509"/>
      <c r="Z155" s="509"/>
      <c r="AA155" s="429"/>
      <c r="AB155" s="429"/>
      <c r="AC155" s="476"/>
      <c r="AD155" s="429"/>
      <c r="AE155" s="476"/>
      <c r="AF155" s="476">
        <v>3798</v>
      </c>
      <c r="AG155" s="658">
        <v>20572.5</v>
      </c>
      <c r="AH155" s="654">
        <f>SUM(AF155:AG155)</f>
        <v>24370.5</v>
      </c>
      <c r="AI155" s="179"/>
      <c r="AJ155" s="107"/>
      <c r="AK155" s="107"/>
      <c r="AL155" s="180"/>
      <c r="AM155" s="179"/>
      <c r="AN155" s="181"/>
      <c r="AO155" s="181"/>
      <c r="AP155" s="181"/>
      <c r="AQ155" s="181"/>
      <c r="AR155" s="182"/>
      <c r="AS155" s="468"/>
      <c r="AT155" s="165"/>
      <c r="AU155" s="165"/>
      <c r="AV155" s="165"/>
      <c r="AW155" s="165"/>
      <c r="AX155" s="165"/>
      <c r="AY155" s="165"/>
      <c r="AZ155" s="165"/>
      <c r="BA155" s="165"/>
      <c r="BB155" s="165"/>
      <c r="BC155" s="165"/>
      <c r="BD155" s="167"/>
    </row>
    <row r="156" spans="1:56" s="239" customFormat="1" ht="51" x14ac:dyDescent="0.25">
      <c r="A156" s="469">
        <v>91</v>
      </c>
      <c r="B156" s="468" t="s">
        <v>2678</v>
      </c>
      <c r="C156" s="429" t="s">
        <v>5320</v>
      </c>
      <c r="D156" s="429" t="s">
        <v>935</v>
      </c>
      <c r="E156" s="429" t="s">
        <v>5321</v>
      </c>
      <c r="F156" s="518" t="s">
        <v>5351</v>
      </c>
      <c r="G156" s="431">
        <v>11038</v>
      </c>
      <c r="H156" s="457" t="s">
        <v>1430</v>
      </c>
      <c r="I156" s="456" t="s">
        <v>5435</v>
      </c>
      <c r="J156" s="589" t="s">
        <v>5436</v>
      </c>
      <c r="K156" s="432">
        <v>41456</v>
      </c>
      <c r="L156" s="476">
        <v>118320</v>
      </c>
      <c r="M156" s="431">
        <v>11107</v>
      </c>
      <c r="N156" s="432">
        <v>41456</v>
      </c>
      <c r="O156" s="432">
        <v>41821</v>
      </c>
      <c r="P156" s="436" t="s">
        <v>3905</v>
      </c>
      <c r="Q156" s="429"/>
      <c r="R156" s="429"/>
      <c r="S156" s="429"/>
      <c r="T156" s="429" t="s">
        <v>158</v>
      </c>
      <c r="U156" s="457" t="s">
        <v>5275</v>
      </c>
      <c r="V156" s="432">
        <v>41821</v>
      </c>
      <c r="W156" s="431">
        <v>11368</v>
      </c>
      <c r="X156" s="518" t="s">
        <v>5252</v>
      </c>
      <c r="Y156" s="432">
        <v>41821</v>
      </c>
      <c r="Z156" s="432">
        <v>42004</v>
      </c>
      <c r="AA156" s="429"/>
      <c r="AB156" s="429"/>
      <c r="AC156" s="476">
        <v>59160</v>
      </c>
      <c r="AD156" s="429"/>
      <c r="AE156" s="476">
        <v>177480</v>
      </c>
      <c r="AF156" s="476">
        <v>56325.25</v>
      </c>
      <c r="AG156" s="658">
        <v>94656</v>
      </c>
      <c r="AH156" s="654">
        <f>SUM(AF156:AG156)</f>
        <v>150981.25</v>
      </c>
      <c r="AI156" s="179"/>
      <c r="AJ156" s="107"/>
      <c r="AK156" s="107"/>
      <c r="AL156" s="180"/>
      <c r="AM156" s="179"/>
      <c r="AN156" s="181"/>
      <c r="AO156" s="181"/>
      <c r="AP156" s="181"/>
      <c r="AQ156" s="181"/>
      <c r="AR156" s="182"/>
      <c r="AS156" s="468"/>
      <c r="AT156" s="165"/>
      <c r="AU156" s="165"/>
      <c r="AV156" s="165"/>
      <c r="AW156" s="165"/>
      <c r="AX156" s="165"/>
      <c r="AY156" s="165"/>
      <c r="AZ156" s="165"/>
      <c r="BA156" s="165"/>
      <c r="BB156" s="165"/>
      <c r="BC156" s="165"/>
      <c r="BD156" s="167"/>
    </row>
    <row r="157" spans="1:56" s="239" customFormat="1" ht="38.25" x14ac:dyDescent="0.25">
      <c r="A157" s="469">
        <v>92</v>
      </c>
      <c r="B157" s="468" t="s">
        <v>5313</v>
      </c>
      <c r="C157" s="429" t="s">
        <v>5314</v>
      </c>
      <c r="D157" s="429" t="s">
        <v>935</v>
      </c>
      <c r="E157" s="429" t="s">
        <v>5243</v>
      </c>
      <c r="F157" s="518" t="s">
        <v>5315</v>
      </c>
      <c r="G157" s="431">
        <v>11038</v>
      </c>
      <c r="H157" s="457" t="s">
        <v>1529</v>
      </c>
      <c r="I157" s="456" t="s">
        <v>5435</v>
      </c>
      <c r="J157" s="589" t="s">
        <v>5436</v>
      </c>
      <c r="K157" s="432">
        <v>41519</v>
      </c>
      <c r="L157" s="476">
        <v>44160</v>
      </c>
      <c r="M157" s="431">
        <v>11148</v>
      </c>
      <c r="N157" s="432">
        <v>41519</v>
      </c>
      <c r="O157" s="432">
        <v>41884</v>
      </c>
      <c r="P157" s="436" t="s">
        <v>3905</v>
      </c>
      <c r="Q157" s="429"/>
      <c r="R157" s="429"/>
      <c r="S157" s="429"/>
      <c r="T157" s="429" t="s">
        <v>158</v>
      </c>
      <c r="U157" s="457"/>
      <c r="V157" s="429"/>
      <c r="W157" s="508"/>
      <c r="X157" s="518"/>
      <c r="Y157" s="509"/>
      <c r="Z157" s="509"/>
      <c r="AA157" s="429"/>
      <c r="AB157" s="429"/>
      <c r="AC157" s="476"/>
      <c r="AD157" s="429"/>
      <c r="AE157" s="476"/>
      <c r="AF157" s="476">
        <v>14720</v>
      </c>
      <c r="AG157" s="658">
        <v>11040</v>
      </c>
      <c r="AH157" s="654">
        <f>SUM(AF157:AG157)</f>
        <v>25760</v>
      </c>
      <c r="AI157" s="179"/>
      <c r="AJ157" s="107"/>
      <c r="AK157" s="107"/>
      <c r="AL157" s="180"/>
      <c r="AM157" s="179"/>
      <c r="AN157" s="181"/>
      <c r="AO157" s="181"/>
      <c r="AP157" s="181"/>
      <c r="AQ157" s="181"/>
      <c r="AR157" s="182"/>
      <c r="AS157" s="468"/>
      <c r="AT157" s="165"/>
      <c r="AU157" s="165"/>
      <c r="AV157" s="165"/>
      <c r="AW157" s="165"/>
      <c r="AX157" s="165"/>
      <c r="AY157" s="165"/>
      <c r="AZ157" s="165"/>
      <c r="BA157" s="165"/>
      <c r="BB157" s="165"/>
      <c r="BC157" s="165"/>
      <c r="BD157" s="167"/>
    </row>
    <row r="158" spans="1:56" s="239" customFormat="1" ht="38.25" x14ac:dyDescent="0.25">
      <c r="A158" s="469">
        <v>93</v>
      </c>
      <c r="B158" s="468" t="s">
        <v>5313</v>
      </c>
      <c r="C158" s="429" t="s">
        <v>5314</v>
      </c>
      <c r="D158" s="429" t="s">
        <v>935</v>
      </c>
      <c r="E158" s="429" t="s">
        <v>5243</v>
      </c>
      <c r="F158" s="518" t="s">
        <v>5315</v>
      </c>
      <c r="G158" s="431">
        <v>11038</v>
      </c>
      <c r="H158" s="457" t="s">
        <v>835</v>
      </c>
      <c r="I158" s="456" t="s">
        <v>5437</v>
      </c>
      <c r="J158" s="589" t="s">
        <v>5438</v>
      </c>
      <c r="K158" s="432">
        <v>41673</v>
      </c>
      <c r="L158" s="476">
        <v>37800</v>
      </c>
      <c r="M158" s="431">
        <v>11248</v>
      </c>
      <c r="N158" s="432">
        <v>41673</v>
      </c>
      <c r="O158" s="432">
        <v>42039</v>
      </c>
      <c r="P158" s="436" t="s">
        <v>3905</v>
      </c>
      <c r="Q158" s="429"/>
      <c r="R158" s="429"/>
      <c r="S158" s="429"/>
      <c r="T158" s="429" t="s">
        <v>158</v>
      </c>
      <c r="U158" s="457"/>
      <c r="V158" s="429"/>
      <c r="W158" s="508"/>
      <c r="X158" s="518"/>
      <c r="Y158" s="509"/>
      <c r="Z158" s="509"/>
      <c r="AA158" s="429"/>
      <c r="AB158" s="429"/>
      <c r="AC158" s="476"/>
      <c r="AD158" s="429"/>
      <c r="AE158" s="476"/>
      <c r="AF158" s="476"/>
      <c r="AG158" s="658">
        <v>28350</v>
      </c>
      <c r="AH158" s="654"/>
      <c r="AI158" s="179"/>
      <c r="AJ158" s="107"/>
      <c r="AK158" s="107"/>
      <c r="AL158" s="180"/>
      <c r="AM158" s="179"/>
      <c r="AN158" s="181"/>
      <c r="AO158" s="181"/>
      <c r="AP158" s="181"/>
      <c r="AQ158" s="181"/>
      <c r="AR158" s="182"/>
      <c r="AS158" s="468"/>
      <c r="AT158" s="165"/>
      <c r="AU158" s="165"/>
      <c r="AV158" s="165"/>
      <c r="AW158" s="165"/>
      <c r="AX158" s="165"/>
      <c r="AY158" s="165"/>
      <c r="AZ158" s="165"/>
      <c r="BA158" s="165"/>
      <c r="BB158" s="165"/>
      <c r="BC158" s="165"/>
      <c r="BD158" s="167"/>
    </row>
    <row r="159" spans="1:56" s="239" customFormat="1" ht="38.25" x14ac:dyDescent="0.25">
      <c r="A159" s="469">
        <v>94</v>
      </c>
      <c r="B159" s="468" t="s">
        <v>1488</v>
      </c>
      <c r="C159" s="429" t="s">
        <v>344</v>
      </c>
      <c r="D159" s="429" t="s">
        <v>935</v>
      </c>
      <c r="E159" s="429" t="s">
        <v>5243</v>
      </c>
      <c r="F159" s="518" t="s">
        <v>5378</v>
      </c>
      <c r="G159" s="431">
        <v>11043</v>
      </c>
      <c r="H159" s="457" t="s">
        <v>747</v>
      </c>
      <c r="I159" s="456" t="s">
        <v>5439</v>
      </c>
      <c r="J159" s="589" t="s">
        <v>5440</v>
      </c>
      <c r="K159" s="432">
        <v>41641</v>
      </c>
      <c r="L159" s="476">
        <v>88560</v>
      </c>
      <c r="M159" s="431">
        <v>11222</v>
      </c>
      <c r="N159" s="432">
        <v>41641</v>
      </c>
      <c r="O159" s="432">
        <v>42007</v>
      </c>
      <c r="P159" s="436" t="s">
        <v>3905</v>
      </c>
      <c r="Q159" s="429"/>
      <c r="R159" s="429"/>
      <c r="S159" s="429"/>
      <c r="T159" s="429" t="s">
        <v>158</v>
      </c>
      <c r="U159" s="457"/>
      <c r="V159" s="429"/>
      <c r="W159" s="508"/>
      <c r="X159" s="518"/>
      <c r="Y159" s="509"/>
      <c r="Z159" s="509"/>
      <c r="AA159" s="429"/>
      <c r="AB159" s="429"/>
      <c r="AC159" s="476"/>
      <c r="AD159" s="429"/>
      <c r="AE159" s="476"/>
      <c r="AF159" s="476"/>
      <c r="AG159" s="658">
        <v>25830</v>
      </c>
      <c r="AH159" s="654"/>
      <c r="AI159" s="179"/>
      <c r="AJ159" s="107"/>
      <c r="AK159" s="107"/>
      <c r="AL159" s="180"/>
      <c r="AM159" s="179"/>
      <c r="AN159" s="181"/>
      <c r="AO159" s="181"/>
      <c r="AP159" s="181"/>
      <c r="AQ159" s="181"/>
      <c r="AR159" s="182"/>
      <c r="AS159" s="468"/>
      <c r="AT159" s="165"/>
      <c r="AU159" s="165"/>
      <c r="AV159" s="165"/>
      <c r="AW159" s="165"/>
      <c r="AX159" s="165"/>
      <c r="AY159" s="165"/>
      <c r="AZ159" s="165"/>
      <c r="BA159" s="165"/>
      <c r="BB159" s="165"/>
      <c r="BC159" s="165"/>
      <c r="BD159" s="167"/>
    </row>
    <row r="160" spans="1:56" s="239" customFormat="1" ht="38.25" x14ac:dyDescent="0.25">
      <c r="A160" s="469">
        <v>95</v>
      </c>
      <c r="B160" s="468" t="s">
        <v>5441</v>
      </c>
      <c r="C160" s="429" t="s">
        <v>5442</v>
      </c>
      <c r="D160" s="429" t="s">
        <v>935</v>
      </c>
      <c r="E160" s="429" t="s">
        <v>5243</v>
      </c>
      <c r="F160" s="518" t="s">
        <v>5443</v>
      </c>
      <c r="G160" s="77">
        <v>11173</v>
      </c>
      <c r="H160" s="457" t="s">
        <v>817</v>
      </c>
      <c r="I160" s="456" t="s">
        <v>5444</v>
      </c>
      <c r="J160" s="589" t="s">
        <v>3965</v>
      </c>
      <c r="K160" s="436" t="s">
        <v>5445</v>
      </c>
      <c r="L160" s="476">
        <v>500000</v>
      </c>
      <c r="M160" s="431">
        <v>11218</v>
      </c>
      <c r="N160" s="432">
        <v>41645</v>
      </c>
      <c r="O160" s="57">
        <v>42010</v>
      </c>
      <c r="P160" s="436" t="s">
        <v>3905</v>
      </c>
      <c r="Q160" s="429"/>
      <c r="R160" s="429"/>
      <c r="S160" s="429"/>
      <c r="T160" s="466" t="s">
        <v>408</v>
      </c>
      <c r="U160" s="457"/>
      <c r="V160" s="429"/>
      <c r="W160" s="508"/>
      <c r="X160" s="518"/>
      <c r="Y160" s="509"/>
      <c r="Z160" s="509"/>
      <c r="AA160" s="429"/>
      <c r="AB160" s="429"/>
      <c r="AC160" s="476"/>
      <c r="AD160" s="429"/>
      <c r="AE160" s="476"/>
      <c r="AF160" s="476"/>
      <c r="AG160" s="658">
        <v>250000</v>
      </c>
      <c r="AH160" s="654"/>
      <c r="AI160" s="179"/>
      <c r="AJ160" s="107"/>
      <c r="AK160" s="107"/>
      <c r="AL160" s="180"/>
      <c r="AM160" s="179"/>
      <c r="AN160" s="181"/>
      <c r="AO160" s="181"/>
      <c r="AP160" s="181"/>
      <c r="AQ160" s="181"/>
      <c r="AR160" s="182"/>
      <c r="AS160" s="468"/>
      <c r="AT160" s="165"/>
      <c r="AU160" s="165"/>
      <c r="AV160" s="165"/>
      <c r="AW160" s="165"/>
      <c r="AX160" s="165"/>
      <c r="AY160" s="165"/>
      <c r="AZ160" s="165"/>
      <c r="BA160" s="165"/>
      <c r="BB160" s="165"/>
      <c r="BC160" s="165"/>
      <c r="BD160" s="167"/>
    </row>
    <row r="161" spans="1:56" s="239" customFormat="1" ht="38.25" x14ac:dyDescent="0.25">
      <c r="A161" s="469">
        <v>96</v>
      </c>
      <c r="B161" s="468" t="s">
        <v>1488</v>
      </c>
      <c r="C161" s="429" t="s">
        <v>344</v>
      </c>
      <c r="D161" s="429" t="s">
        <v>935</v>
      </c>
      <c r="E161" s="429" t="s">
        <v>5243</v>
      </c>
      <c r="F161" s="518" t="s">
        <v>5378</v>
      </c>
      <c r="G161" s="431">
        <v>11043</v>
      </c>
      <c r="H161" s="457" t="s">
        <v>724</v>
      </c>
      <c r="I161" s="456" t="s">
        <v>5446</v>
      </c>
      <c r="J161" s="589" t="s">
        <v>5447</v>
      </c>
      <c r="K161" s="432">
        <v>41641</v>
      </c>
      <c r="L161" s="476">
        <v>76800</v>
      </c>
      <c r="M161" s="431">
        <v>11222</v>
      </c>
      <c r="N161" s="432">
        <v>41641</v>
      </c>
      <c r="O161" s="432">
        <v>42007</v>
      </c>
      <c r="P161" s="436" t="s">
        <v>3905</v>
      </c>
      <c r="Q161" s="429"/>
      <c r="R161" s="429"/>
      <c r="S161" s="429"/>
      <c r="T161" s="429" t="s">
        <v>158</v>
      </c>
      <c r="U161" s="457"/>
      <c r="V161" s="429"/>
      <c r="W161" s="508"/>
      <c r="X161" s="518"/>
      <c r="Y161" s="509"/>
      <c r="Z161" s="509"/>
      <c r="AA161" s="429"/>
      <c r="AB161" s="429"/>
      <c r="AC161" s="476"/>
      <c r="AD161" s="429"/>
      <c r="AE161" s="476"/>
      <c r="AF161" s="476"/>
      <c r="AG161" s="658">
        <v>22400</v>
      </c>
      <c r="AH161" s="654"/>
      <c r="AI161" s="179"/>
      <c r="AJ161" s="107"/>
      <c r="AK161" s="107"/>
      <c r="AL161" s="180"/>
      <c r="AM161" s="179"/>
      <c r="AN161" s="181"/>
      <c r="AO161" s="181"/>
      <c r="AP161" s="181"/>
      <c r="AQ161" s="181"/>
      <c r="AR161" s="182"/>
      <c r="AS161" s="468"/>
      <c r="AT161" s="165"/>
      <c r="AU161" s="165"/>
      <c r="AV161" s="165"/>
      <c r="AW161" s="165"/>
      <c r="AX161" s="165"/>
      <c r="AY161" s="165"/>
      <c r="AZ161" s="165"/>
      <c r="BA161" s="165"/>
      <c r="BB161" s="165"/>
      <c r="BC161" s="165"/>
      <c r="BD161" s="167"/>
    </row>
    <row r="162" spans="1:56" s="239" customFormat="1" ht="51" x14ac:dyDescent="0.25">
      <c r="A162" s="469">
        <v>97</v>
      </c>
      <c r="B162" s="481" t="s">
        <v>1495</v>
      </c>
      <c r="C162" s="429" t="s">
        <v>2729</v>
      </c>
      <c r="D162" s="429" t="s">
        <v>935</v>
      </c>
      <c r="E162" s="429" t="s">
        <v>5243</v>
      </c>
      <c r="F162" s="518" t="s">
        <v>5328</v>
      </c>
      <c r="G162" s="508">
        <v>11043</v>
      </c>
      <c r="H162" s="656" t="s">
        <v>1046</v>
      </c>
      <c r="I162" s="456" t="s">
        <v>5448</v>
      </c>
      <c r="J162" s="589" t="s">
        <v>5449</v>
      </c>
      <c r="K162" s="509">
        <v>41456</v>
      </c>
      <c r="L162" s="653">
        <v>19320</v>
      </c>
      <c r="M162" s="508">
        <v>11107</v>
      </c>
      <c r="N162" s="509">
        <v>41456</v>
      </c>
      <c r="O162" s="432">
        <v>41821</v>
      </c>
      <c r="P162" s="436" t="s">
        <v>3905</v>
      </c>
      <c r="Q162" s="429"/>
      <c r="R162" s="429"/>
      <c r="S162" s="429"/>
      <c r="T162" s="429" t="s">
        <v>158</v>
      </c>
      <c r="U162" s="656" t="s">
        <v>5275</v>
      </c>
      <c r="V162" s="509">
        <v>41822</v>
      </c>
      <c r="W162" s="508">
        <v>11374</v>
      </c>
      <c r="X162" s="518" t="s">
        <v>5252</v>
      </c>
      <c r="Y162" s="509">
        <v>41822</v>
      </c>
      <c r="Z162" s="432">
        <v>42004</v>
      </c>
      <c r="AA162" s="429"/>
      <c r="AB162" s="429"/>
      <c r="AC162" s="653">
        <v>9660</v>
      </c>
      <c r="AD162" s="429"/>
      <c r="AE162" s="653">
        <v>28980</v>
      </c>
      <c r="AF162" s="476">
        <v>9660</v>
      </c>
      <c r="AG162" s="654">
        <v>16100</v>
      </c>
      <c r="AH162" s="654">
        <f>SUM(AF162:AG162)</f>
        <v>25760</v>
      </c>
      <c r="AI162" s="179"/>
      <c r="AJ162" s="107"/>
      <c r="AK162" s="107"/>
      <c r="AL162" s="180"/>
      <c r="AM162" s="179"/>
      <c r="AN162" s="181"/>
      <c r="AO162" s="181"/>
      <c r="AP162" s="181"/>
      <c r="AQ162" s="181"/>
      <c r="AR162" s="182"/>
      <c r="AS162" s="468"/>
      <c r="AT162" s="165"/>
      <c r="AU162" s="165"/>
      <c r="AV162" s="165"/>
      <c r="AW162" s="165"/>
      <c r="AX162" s="165"/>
      <c r="AY162" s="165"/>
      <c r="AZ162" s="165"/>
      <c r="BA162" s="165"/>
      <c r="BB162" s="165"/>
      <c r="BC162" s="165"/>
      <c r="BD162" s="167"/>
    </row>
    <row r="163" spans="1:56" s="239" customFormat="1" ht="38.25" x14ac:dyDescent="0.25">
      <c r="A163" s="469">
        <v>98</v>
      </c>
      <c r="B163" s="468" t="s">
        <v>2678</v>
      </c>
      <c r="C163" s="429" t="s">
        <v>5320</v>
      </c>
      <c r="D163" s="429" t="s">
        <v>935</v>
      </c>
      <c r="E163" s="429" t="s">
        <v>5321</v>
      </c>
      <c r="F163" s="518" t="s">
        <v>5351</v>
      </c>
      <c r="G163" s="431">
        <v>11038</v>
      </c>
      <c r="H163" s="656" t="s">
        <v>810</v>
      </c>
      <c r="I163" s="456" t="s">
        <v>5450</v>
      </c>
      <c r="J163" s="589" t="s">
        <v>5451</v>
      </c>
      <c r="K163" s="509">
        <v>41641</v>
      </c>
      <c r="L163" s="653">
        <v>132000</v>
      </c>
      <c r="M163" s="508">
        <v>11225</v>
      </c>
      <c r="N163" s="509">
        <v>41641</v>
      </c>
      <c r="O163" s="432">
        <v>42006</v>
      </c>
      <c r="P163" s="436" t="s">
        <v>3905</v>
      </c>
      <c r="Q163" s="429"/>
      <c r="R163" s="429"/>
      <c r="S163" s="429"/>
      <c r="T163" s="429" t="s">
        <v>158</v>
      </c>
      <c r="U163" s="457"/>
      <c r="V163" s="509"/>
      <c r="W163" s="508"/>
      <c r="X163" s="518"/>
      <c r="Y163" s="509"/>
      <c r="Z163" s="509"/>
      <c r="AA163" s="429"/>
      <c r="AB163" s="429"/>
      <c r="AC163" s="653"/>
      <c r="AD163" s="429"/>
      <c r="AE163" s="653"/>
      <c r="AF163" s="476"/>
      <c r="AG163" s="654">
        <v>56985.5</v>
      </c>
      <c r="AH163" s="654"/>
      <c r="AI163" s="179"/>
      <c r="AJ163" s="107"/>
      <c r="AK163" s="107"/>
      <c r="AL163" s="180"/>
      <c r="AM163" s="179"/>
      <c r="AN163" s="181"/>
      <c r="AO163" s="181"/>
      <c r="AP163" s="181"/>
      <c r="AQ163" s="181"/>
      <c r="AR163" s="182"/>
      <c r="AS163" s="468"/>
      <c r="AT163" s="165"/>
      <c r="AU163" s="165"/>
      <c r="AV163" s="165"/>
      <c r="AW163" s="165"/>
      <c r="AX163" s="165"/>
      <c r="AY163" s="165"/>
      <c r="AZ163" s="165"/>
      <c r="BA163" s="165"/>
      <c r="BB163" s="165"/>
      <c r="BC163" s="165"/>
      <c r="BD163" s="167"/>
    </row>
    <row r="164" spans="1:56" s="239" customFormat="1" ht="38.25" x14ac:dyDescent="0.25">
      <c r="A164" s="469">
        <v>99</v>
      </c>
      <c r="B164" s="468" t="s">
        <v>1488</v>
      </c>
      <c r="C164" s="429" t="s">
        <v>344</v>
      </c>
      <c r="D164" s="429" t="s">
        <v>935</v>
      </c>
      <c r="E164" s="429" t="s">
        <v>5243</v>
      </c>
      <c r="F164" s="518" t="s">
        <v>5378</v>
      </c>
      <c r="G164" s="431">
        <v>11043</v>
      </c>
      <c r="H164" s="656" t="s">
        <v>381</v>
      </c>
      <c r="I164" s="456" t="s">
        <v>5452</v>
      </c>
      <c r="J164" s="589" t="s">
        <v>5453</v>
      </c>
      <c r="K164" s="509">
        <v>41641</v>
      </c>
      <c r="L164" s="653">
        <v>72000</v>
      </c>
      <c r="M164" s="508">
        <v>11227</v>
      </c>
      <c r="N164" s="509">
        <v>41641</v>
      </c>
      <c r="O164" s="432">
        <v>42006</v>
      </c>
      <c r="P164" s="436" t="s">
        <v>3905</v>
      </c>
      <c r="Q164" s="429"/>
      <c r="R164" s="429"/>
      <c r="S164" s="429"/>
      <c r="T164" s="429" t="s">
        <v>158</v>
      </c>
      <c r="U164" s="457"/>
      <c r="V164" s="509"/>
      <c r="W164" s="508"/>
      <c r="X164" s="518"/>
      <c r="Y164" s="509"/>
      <c r="Z164" s="509"/>
      <c r="AA164" s="429"/>
      <c r="AB164" s="429"/>
      <c r="AC164" s="653"/>
      <c r="AD164" s="429"/>
      <c r="AE164" s="653"/>
      <c r="AF164" s="476"/>
      <c r="AG164" s="654">
        <v>21000</v>
      </c>
      <c r="AH164" s="654"/>
      <c r="AI164" s="179"/>
      <c r="AJ164" s="107"/>
      <c r="AK164" s="107"/>
      <c r="AL164" s="180"/>
      <c r="AM164" s="179"/>
      <c r="AN164" s="181"/>
      <c r="AO164" s="181"/>
      <c r="AP164" s="181"/>
      <c r="AQ164" s="181"/>
      <c r="AR164" s="182"/>
      <c r="AS164" s="468"/>
      <c r="AT164" s="165"/>
      <c r="AU164" s="165"/>
      <c r="AV164" s="165"/>
      <c r="AW164" s="165"/>
      <c r="AX164" s="165"/>
      <c r="AY164" s="165"/>
      <c r="AZ164" s="165"/>
      <c r="BA164" s="165"/>
      <c r="BB164" s="165"/>
      <c r="BC164" s="165"/>
      <c r="BD164" s="167"/>
    </row>
    <row r="165" spans="1:56" s="239" customFormat="1" ht="51" x14ac:dyDescent="0.25">
      <c r="A165" s="469">
        <v>100</v>
      </c>
      <c r="B165" s="481" t="s">
        <v>1519</v>
      </c>
      <c r="C165" s="429" t="s">
        <v>2967</v>
      </c>
      <c r="D165" s="429" t="s">
        <v>935</v>
      </c>
      <c r="E165" s="429" t="s">
        <v>5288</v>
      </c>
      <c r="F165" s="662" t="s">
        <v>5454</v>
      </c>
      <c r="G165" s="508">
        <v>11046</v>
      </c>
      <c r="H165" s="656" t="s">
        <v>1280</v>
      </c>
      <c r="I165" s="104" t="s">
        <v>5296</v>
      </c>
      <c r="J165" s="589" t="s">
        <v>5297</v>
      </c>
      <c r="K165" s="436" t="s">
        <v>5346</v>
      </c>
      <c r="L165" s="653">
        <v>1080000</v>
      </c>
      <c r="M165" s="508">
        <v>11139</v>
      </c>
      <c r="N165" s="509">
        <v>41548</v>
      </c>
      <c r="O165" s="509">
        <v>41913</v>
      </c>
      <c r="P165" s="507" t="s">
        <v>3905</v>
      </c>
      <c r="Q165" s="429"/>
      <c r="R165" s="429"/>
      <c r="S165" s="429"/>
      <c r="T165" s="466" t="s">
        <v>208</v>
      </c>
      <c r="U165" s="656" t="s">
        <v>5275</v>
      </c>
      <c r="V165" s="509">
        <v>41914</v>
      </c>
      <c r="W165" s="508">
        <v>11448</v>
      </c>
      <c r="X165" s="518" t="s">
        <v>5252</v>
      </c>
      <c r="Y165" s="509">
        <v>41914</v>
      </c>
      <c r="Z165" s="509">
        <v>42278</v>
      </c>
      <c r="AA165" s="429"/>
      <c r="AB165" s="429"/>
      <c r="AC165" s="653">
        <v>1080000</v>
      </c>
      <c r="AD165" s="429"/>
      <c r="AE165" s="653">
        <v>2160000</v>
      </c>
      <c r="AF165" s="476">
        <v>229400.04</v>
      </c>
      <c r="AG165" s="654">
        <v>1236894.08</v>
      </c>
      <c r="AH165" s="654">
        <f>SUM(AF165:AG165)</f>
        <v>1466294.12</v>
      </c>
      <c r="AI165" s="179"/>
      <c r="AJ165" s="107"/>
      <c r="AK165" s="107"/>
      <c r="AL165" s="180"/>
      <c r="AM165" s="179"/>
      <c r="AN165" s="181"/>
      <c r="AO165" s="181"/>
      <c r="AP165" s="181"/>
      <c r="AQ165" s="181"/>
      <c r="AR165" s="182"/>
      <c r="AS165" s="468"/>
      <c r="AT165" s="165"/>
      <c r="AU165" s="165"/>
      <c r="AV165" s="165"/>
      <c r="AW165" s="165"/>
      <c r="AX165" s="165"/>
      <c r="AY165" s="165"/>
      <c r="AZ165" s="165"/>
      <c r="BA165" s="165"/>
      <c r="BB165" s="165"/>
      <c r="BC165" s="165"/>
      <c r="BD165" s="167"/>
    </row>
    <row r="166" spans="1:56" s="239" customFormat="1" ht="38.25" x14ac:dyDescent="0.25">
      <c r="A166" s="469">
        <v>101</v>
      </c>
      <c r="B166" s="479" t="s">
        <v>5455</v>
      </c>
      <c r="C166" s="457" t="s">
        <v>777</v>
      </c>
      <c r="D166" s="429" t="s">
        <v>935</v>
      </c>
      <c r="E166" s="429" t="s">
        <v>5243</v>
      </c>
      <c r="F166" s="661" t="s">
        <v>5456</v>
      </c>
      <c r="G166" s="431">
        <v>11386</v>
      </c>
      <c r="H166" s="656" t="s">
        <v>390</v>
      </c>
      <c r="I166" s="660" t="s">
        <v>5457</v>
      </c>
      <c r="J166" s="589" t="s">
        <v>394</v>
      </c>
      <c r="K166" s="436" t="s">
        <v>5458</v>
      </c>
      <c r="L166" s="476">
        <v>263634</v>
      </c>
      <c r="M166" s="431">
        <v>11424</v>
      </c>
      <c r="N166" s="432">
        <v>41913</v>
      </c>
      <c r="O166" s="509">
        <v>42278</v>
      </c>
      <c r="P166" s="507" t="s">
        <v>3905</v>
      </c>
      <c r="Q166" s="429"/>
      <c r="R166" s="429"/>
      <c r="S166" s="429"/>
      <c r="T166" s="466" t="s">
        <v>316</v>
      </c>
      <c r="U166" s="457"/>
      <c r="V166" s="509"/>
      <c r="W166" s="508"/>
      <c r="X166" s="518"/>
      <c r="Y166" s="509"/>
      <c r="Z166" s="509"/>
      <c r="AA166" s="429"/>
      <c r="AB166" s="429"/>
      <c r="AC166" s="663"/>
      <c r="AD166" s="429"/>
      <c r="AE166" s="663"/>
      <c r="AF166" s="429"/>
      <c r="AG166" s="476">
        <v>17258.68</v>
      </c>
      <c r="AH166" s="654"/>
      <c r="AI166" s="179"/>
      <c r="AJ166" s="107"/>
      <c r="AK166" s="107"/>
      <c r="AL166" s="180"/>
      <c r="AM166" s="179"/>
      <c r="AN166" s="181"/>
      <c r="AO166" s="181"/>
      <c r="AP166" s="181"/>
      <c r="AQ166" s="181"/>
      <c r="AR166" s="182"/>
      <c r="AS166" s="468"/>
      <c r="AT166" s="165"/>
      <c r="AU166" s="165"/>
      <c r="AV166" s="165"/>
      <c r="AW166" s="165"/>
      <c r="AX166" s="165"/>
      <c r="AY166" s="165"/>
      <c r="AZ166" s="165"/>
      <c r="BA166" s="165"/>
      <c r="BB166" s="165"/>
      <c r="BC166" s="165"/>
      <c r="BD166" s="167"/>
    </row>
    <row r="167" spans="1:56" s="239" customFormat="1" ht="51" x14ac:dyDescent="0.25">
      <c r="A167" s="469">
        <v>102</v>
      </c>
      <c r="B167" s="481" t="s">
        <v>1495</v>
      </c>
      <c r="C167" s="429" t="s">
        <v>2729</v>
      </c>
      <c r="D167" s="429" t="s">
        <v>935</v>
      </c>
      <c r="E167" s="429" t="s">
        <v>5243</v>
      </c>
      <c r="F167" s="518" t="s">
        <v>5328</v>
      </c>
      <c r="G167" s="508">
        <v>11043</v>
      </c>
      <c r="H167" s="656" t="s">
        <v>1059</v>
      </c>
      <c r="I167" s="104" t="s">
        <v>5459</v>
      </c>
      <c r="J167" s="589" t="s">
        <v>5460</v>
      </c>
      <c r="K167" s="509">
        <v>41456</v>
      </c>
      <c r="L167" s="653">
        <v>19704</v>
      </c>
      <c r="M167" s="508">
        <v>11111</v>
      </c>
      <c r="N167" s="509">
        <v>41456</v>
      </c>
      <c r="O167" s="432">
        <v>41821</v>
      </c>
      <c r="P167" s="507" t="s">
        <v>3905</v>
      </c>
      <c r="Q167" s="429"/>
      <c r="R167" s="429"/>
      <c r="S167" s="429"/>
      <c r="T167" s="429" t="s">
        <v>158</v>
      </c>
      <c r="U167" s="656" t="s">
        <v>5275</v>
      </c>
      <c r="V167" s="509">
        <v>41822</v>
      </c>
      <c r="W167" s="508">
        <v>11374</v>
      </c>
      <c r="X167" s="518" t="s">
        <v>5252</v>
      </c>
      <c r="Y167" s="509">
        <v>41822</v>
      </c>
      <c r="Z167" s="432">
        <v>42004</v>
      </c>
      <c r="AA167" s="429"/>
      <c r="AB167" s="429"/>
      <c r="AC167" s="653">
        <v>9852</v>
      </c>
      <c r="AD167" s="429"/>
      <c r="AE167" s="653">
        <v>29556</v>
      </c>
      <c r="AF167" s="476">
        <v>9852</v>
      </c>
      <c r="AG167" s="654">
        <v>16420</v>
      </c>
      <c r="AH167" s="654">
        <f>SUM(AF167:AG167)</f>
        <v>26272</v>
      </c>
      <c r="AI167" s="179"/>
      <c r="AJ167" s="107"/>
      <c r="AK167" s="107"/>
      <c r="AL167" s="180"/>
      <c r="AM167" s="179"/>
      <c r="AN167" s="181"/>
      <c r="AO167" s="181"/>
      <c r="AP167" s="181"/>
      <c r="AQ167" s="181"/>
      <c r="AR167" s="182"/>
      <c r="AS167" s="468"/>
      <c r="AT167" s="165"/>
      <c r="AU167" s="165"/>
      <c r="AV167" s="165"/>
      <c r="AW167" s="165"/>
      <c r="AX167" s="165"/>
      <c r="AY167" s="165"/>
      <c r="AZ167" s="165"/>
      <c r="BA167" s="165"/>
      <c r="BB167" s="165"/>
      <c r="BC167" s="165"/>
      <c r="BD167" s="167"/>
    </row>
    <row r="168" spans="1:56" s="239" customFormat="1" ht="51" x14ac:dyDescent="0.25">
      <c r="A168" s="469">
        <v>103</v>
      </c>
      <c r="B168" s="481" t="s">
        <v>1495</v>
      </c>
      <c r="C168" s="429" t="s">
        <v>2729</v>
      </c>
      <c r="D168" s="429" t="s">
        <v>935</v>
      </c>
      <c r="E168" s="429" t="s">
        <v>5243</v>
      </c>
      <c r="F168" s="518" t="s">
        <v>5328</v>
      </c>
      <c r="G168" s="508">
        <v>11043</v>
      </c>
      <c r="H168" s="656" t="s">
        <v>403</v>
      </c>
      <c r="I168" s="104" t="s">
        <v>5461</v>
      </c>
      <c r="J168" s="589" t="s">
        <v>5462</v>
      </c>
      <c r="K168" s="509">
        <v>41456</v>
      </c>
      <c r="L168" s="653">
        <v>19622.400000000001</v>
      </c>
      <c r="M168" s="508">
        <v>11107</v>
      </c>
      <c r="N168" s="509">
        <v>41456</v>
      </c>
      <c r="O168" s="432">
        <v>41821</v>
      </c>
      <c r="P168" s="507" t="s">
        <v>3905</v>
      </c>
      <c r="Q168" s="429"/>
      <c r="R168" s="429"/>
      <c r="S168" s="429"/>
      <c r="T168" s="429" t="s">
        <v>158</v>
      </c>
      <c r="U168" s="656" t="s">
        <v>5275</v>
      </c>
      <c r="V168" s="509">
        <v>41822</v>
      </c>
      <c r="W168" s="508">
        <v>11380</v>
      </c>
      <c r="X168" s="518" t="s">
        <v>5252</v>
      </c>
      <c r="Y168" s="509">
        <v>41822</v>
      </c>
      <c r="Z168" s="432">
        <v>42004</v>
      </c>
      <c r="AA168" s="429"/>
      <c r="AB168" s="429"/>
      <c r="AC168" s="653">
        <v>9811.9</v>
      </c>
      <c r="AD168" s="429"/>
      <c r="AE168" s="653">
        <v>29434.3</v>
      </c>
      <c r="AF168" s="476">
        <v>9811.2000000000007</v>
      </c>
      <c r="AG168" s="654">
        <v>16352</v>
      </c>
      <c r="AH168" s="653">
        <f>SUM(AF168:AG168)</f>
        <v>26163.200000000001</v>
      </c>
      <c r="AI168" s="179"/>
      <c r="AJ168" s="107"/>
      <c r="AK168" s="107"/>
      <c r="AL168" s="180"/>
      <c r="AM168" s="179"/>
      <c r="AN168" s="181"/>
      <c r="AO168" s="181"/>
      <c r="AP168" s="181"/>
      <c r="AQ168" s="181"/>
      <c r="AR168" s="182"/>
      <c r="AS168" s="468"/>
      <c r="AT168" s="165"/>
      <c r="AU168" s="165"/>
      <c r="AV168" s="165"/>
      <c r="AW168" s="165"/>
      <c r="AX168" s="165"/>
      <c r="AY168" s="165"/>
      <c r="AZ168" s="165"/>
      <c r="BA168" s="165"/>
      <c r="BB168" s="165"/>
      <c r="BC168" s="165"/>
      <c r="BD168" s="167"/>
    </row>
    <row r="169" spans="1:56" s="239" customFormat="1" ht="38.25" x14ac:dyDescent="0.25">
      <c r="A169" s="469">
        <v>104</v>
      </c>
      <c r="B169" s="468" t="s">
        <v>2678</v>
      </c>
      <c r="C169" s="429" t="s">
        <v>5320</v>
      </c>
      <c r="D169" s="429" t="s">
        <v>935</v>
      </c>
      <c r="E169" s="429" t="s">
        <v>5321</v>
      </c>
      <c r="F169" s="518" t="s">
        <v>5351</v>
      </c>
      <c r="G169" s="431">
        <v>11038</v>
      </c>
      <c r="H169" s="656" t="s">
        <v>798</v>
      </c>
      <c r="I169" s="104" t="s">
        <v>5463</v>
      </c>
      <c r="J169" s="589" t="s">
        <v>5464</v>
      </c>
      <c r="K169" s="509">
        <v>41641</v>
      </c>
      <c r="L169" s="653">
        <v>118560</v>
      </c>
      <c r="M169" s="508">
        <v>11223</v>
      </c>
      <c r="N169" s="509">
        <v>41641</v>
      </c>
      <c r="O169" s="432">
        <v>42006</v>
      </c>
      <c r="P169" s="507" t="s">
        <v>3905</v>
      </c>
      <c r="Q169" s="429"/>
      <c r="R169" s="429"/>
      <c r="S169" s="429"/>
      <c r="T169" s="429" t="s">
        <v>158</v>
      </c>
      <c r="U169" s="429"/>
      <c r="V169" s="429"/>
      <c r="W169" s="429"/>
      <c r="X169" s="518"/>
      <c r="Y169" s="429"/>
      <c r="Z169" s="429"/>
      <c r="AA169" s="429"/>
      <c r="AB169" s="429"/>
      <c r="AC169" s="653"/>
      <c r="AD169" s="429"/>
      <c r="AE169" s="653"/>
      <c r="AF169" s="476"/>
      <c r="AG169" s="654">
        <v>51570.81</v>
      </c>
      <c r="AH169" s="645"/>
      <c r="AI169" s="179"/>
      <c r="AJ169" s="107"/>
      <c r="AK169" s="107"/>
      <c r="AL169" s="180"/>
      <c r="AM169" s="179"/>
      <c r="AN169" s="181"/>
      <c r="AO169" s="181"/>
      <c r="AP169" s="181"/>
      <c r="AQ169" s="181"/>
      <c r="AR169" s="182"/>
      <c r="AS169" s="468"/>
      <c r="AT169" s="165"/>
      <c r="AU169" s="165"/>
      <c r="AV169" s="165"/>
      <c r="AW169" s="165"/>
      <c r="AX169" s="165"/>
      <c r="AY169" s="165"/>
      <c r="AZ169" s="165"/>
      <c r="BA169" s="165"/>
      <c r="BB169" s="165"/>
      <c r="BC169" s="165"/>
      <c r="BD169" s="167"/>
    </row>
    <row r="170" spans="1:56" s="239" customFormat="1" ht="51" x14ac:dyDescent="0.25">
      <c r="A170" s="469">
        <v>105</v>
      </c>
      <c r="B170" s="481" t="s">
        <v>5313</v>
      </c>
      <c r="C170" s="429" t="s">
        <v>5314</v>
      </c>
      <c r="D170" s="429" t="s">
        <v>935</v>
      </c>
      <c r="E170" s="429" t="s">
        <v>5243</v>
      </c>
      <c r="F170" s="518" t="s">
        <v>5315</v>
      </c>
      <c r="G170" s="508">
        <v>11038</v>
      </c>
      <c r="H170" s="656" t="s">
        <v>1478</v>
      </c>
      <c r="I170" s="104" t="s">
        <v>5465</v>
      </c>
      <c r="J170" s="589" t="s">
        <v>5466</v>
      </c>
      <c r="K170" s="509">
        <v>41487</v>
      </c>
      <c r="L170" s="653">
        <v>42720</v>
      </c>
      <c r="M170" s="508">
        <v>11129</v>
      </c>
      <c r="N170" s="509">
        <v>41487</v>
      </c>
      <c r="O170" s="509">
        <v>41852</v>
      </c>
      <c r="P170" s="507" t="s">
        <v>3905</v>
      </c>
      <c r="Q170" s="429"/>
      <c r="R170" s="429"/>
      <c r="S170" s="429"/>
      <c r="T170" s="429" t="s">
        <v>158</v>
      </c>
      <c r="U170" s="656" t="s">
        <v>5275</v>
      </c>
      <c r="V170" s="509">
        <v>41852</v>
      </c>
      <c r="W170" s="508">
        <v>11374</v>
      </c>
      <c r="X170" s="518" t="s">
        <v>5252</v>
      </c>
      <c r="Y170" s="509">
        <v>41852</v>
      </c>
      <c r="Z170" s="509">
        <v>42004</v>
      </c>
      <c r="AA170" s="429"/>
      <c r="AB170" s="429"/>
      <c r="AC170" s="653">
        <v>17800</v>
      </c>
      <c r="AD170" s="429"/>
      <c r="AE170" s="653">
        <v>60520</v>
      </c>
      <c r="AF170" s="476">
        <v>17800</v>
      </c>
      <c r="AG170" s="654">
        <v>35600</v>
      </c>
      <c r="AH170" s="645">
        <f>SUM(AF170:AG170)</f>
        <v>53400</v>
      </c>
      <c r="AI170" s="179"/>
      <c r="AJ170" s="107"/>
      <c r="AK170" s="107"/>
      <c r="AL170" s="180"/>
      <c r="AM170" s="179"/>
      <c r="AN170" s="181"/>
      <c r="AO170" s="181"/>
      <c r="AP170" s="181"/>
      <c r="AQ170" s="181"/>
      <c r="AR170" s="182"/>
      <c r="AS170" s="468"/>
      <c r="AT170" s="165"/>
      <c r="AU170" s="165"/>
      <c r="AV170" s="165"/>
      <c r="AW170" s="165"/>
      <c r="AX170" s="165"/>
      <c r="AY170" s="165"/>
      <c r="AZ170" s="165"/>
      <c r="BA170" s="165"/>
      <c r="BB170" s="165"/>
      <c r="BC170" s="165"/>
      <c r="BD170" s="167"/>
    </row>
    <row r="171" spans="1:56" s="239" customFormat="1" ht="38.25" x14ac:dyDescent="0.25">
      <c r="A171" s="469">
        <v>106</v>
      </c>
      <c r="B171" s="481" t="s">
        <v>1488</v>
      </c>
      <c r="C171" s="429" t="s">
        <v>344</v>
      </c>
      <c r="D171" s="429" t="s">
        <v>935</v>
      </c>
      <c r="E171" s="429" t="s">
        <v>5243</v>
      </c>
      <c r="F171" s="518" t="s">
        <v>5318</v>
      </c>
      <c r="G171" s="508">
        <v>11043</v>
      </c>
      <c r="H171" s="656" t="s">
        <v>5467</v>
      </c>
      <c r="I171" s="104" t="s">
        <v>5468</v>
      </c>
      <c r="J171" s="589" t="s">
        <v>5469</v>
      </c>
      <c r="K171" s="436" t="s">
        <v>5470</v>
      </c>
      <c r="L171" s="653">
        <v>51453.599999999999</v>
      </c>
      <c r="M171" s="508">
        <v>11215</v>
      </c>
      <c r="N171" s="509">
        <v>41610</v>
      </c>
      <c r="O171" s="509">
        <v>41975</v>
      </c>
      <c r="P171" s="507" t="s">
        <v>3905</v>
      </c>
      <c r="Q171" s="429"/>
      <c r="R171" s="429"/>
      <c r="S171" s="429"/>
      <c r="T171" s="429" t="s">
        <v>158</v>
      </c>
      <c r="U171" s="429"/>
      <c r="V171" s="429"/>
      <c r="W171" s="429"/>
      <c r="X171" s="518"/>
      <c r="Y171" s="429"/>
      <c r="Z171" s="429"/>
      <c r="AA171" s="429"/>
      <c r="AB171" s="429"/>
      <c r="AC171" s="522"/>
      <c r="AD171" s="429"/>
      <c r="AE171" s="653"/>
      <c r="AF171" s="476">
        <v>3508.2</v>
      </c>
      <c r="AG171" s="654">
        <v>18067.23</v>
      </c>
      <c r="AH171" s="645">
        <f>SUM(AF171:AG171)</f>
        <v>21575.43</v>
      </c>
      <c r="AI171" s="179"/>
      <c r="AJ171" s="107"/>
      <c r="AK171" s="107"/>
      <c r="AL171" s="180"/>
      <c r="AM171" s="179"/>
      <c r="AN171" s="181"/>
      <c r="AO171" s="181"/>
      <c r="AP171" s="181"/>
      <c r="AQ171" s="181"/>
      <c r="AR171" s="182"/>
      <c r="AS171" s="468"/>
      <c r="AT171" s="165"/>
      <c r="AU171" s="165"/>
      <c r="AV171" s="165"/>
      <c r="AW171" s="165"/>
      <c r="AX171" s="165"/>
      <c r="AY171" s="165"/>
      <c r="AZ171" s="165"/>
      <c r="BA171" s="165"/>
      <c r="BB171" s="165"/>
      <c r="BC171" s="165"/>
      <c r="BD171" s="167"/>
    </row>
    <row r="172" spans="1:56" s="239" customFormat="1" ht="38.25" x14ac:dyDescent="0.25">
      <c r="A172" s="469">
        <v>107</v>
      </c>
      <c r="B172" s="468" t="s">
        <v>5331</v>
      </c>
      <c r="C172" s="429" t="s">
        <v>686</v>
      </c>
      <c r="D172" s="429" t="s">
        <v>935</v>
      </c>
      <c r="E172" s="429" t="s">
        <v>5243</v>
      </c>
      <c r="F172" s="518" t="s">
        <v>5328</v>
      </c>
      <c r="G172" s="508">
        <v>10967</v>
      </c>
      <c r="H172" s="656" t="s">
        <v>1756</v>
      </c>
      <c r="I172" s="104" t="s">
        <v>5471</v>
      </c>
      <c r="J172" s="589" t="s">
        <v>5472</v>
      </c>
      <c r="K172" s="436" t="s">
        <v>5473</v>
      </c>
      <c r="L172" s="653">
        <v>17880</v>
      </c>
      <c r="M172" s="508">
        <v>11325</v>
      </c>
      <c r="N172" s="509">
        <v>41792</v>
      </c>
      <c r="O172" s="509">
        <v>42157</v>
      </c>
      <c r="P172" s="507" t="s">
        <v>3905</v>
      </c>
      <c r="Q172" s="429"/>
      <c r="R172" s="429"/>
      <c r="S172" s="429"/>
      <c r="T172" s="429" t="s">
        <v>158</v>
      </c>
      <c r="U172" s="429"/>
      <c r="V172" s="429"/>
      <c r="W172" s="429"/>
      <c r="X172" s="518"/>
      <c r="Y172" s="429"/>
      <c r="Z172" s="429"/>
      <c r="AA172" s="429"/>
      <c r="AB172" s="429"/>
      <c r="AC172" s="522"/>
      <c r="AD172" s="429"/>
      <c r="AE172" s="653"/>
      <c r="AF172" s="476"/>
      <c r="AG172" s="654">
        <v>7350.67</v>
      </c>
      <c r="AH172" s="645"/>
      <c r="AI172" s="179"/>
      <c r="AJ172" s="107"/>
      <c r="AK172" s="107"/>
      <c r="AL172" s="180"/>
      <c r="AM172" s="179"/>
      <c r="AN172" s="181"/>
      <c r="AO172" s="181"/>
      <c r="AP172" s="181"/>
      <c r="AQ172" s="181"/>
      <c r="AR172" s="182"/>
      <c r="AS172" s="468"/>
      <c r="AT172" s="165"/>
      <c r="AU172" s="165"/>
      <c r="AV172" s="165"/>
      <c r="AW172" s="165"/>
      <c r="AX172" s="165"/>
      <c r="AY172" s="165"/>
      <c r="AZ172" s="165"/>
      <c r="BA172" s="165"/>
      <c r="BB172" s="165"/>
      <c r="BC172" s="165"/>
      <c r="BD172" s="167"/>
    </row>
    <row r="173" spans="1:56" s="239" customFormat="1" ht="38.25" x14ac:dyDescent="0.25">
      <c r="A173" s="469">
        <v>108</v>
      </c>
      <c r="B173" s="481" t="s">
        <v>5474</v>
      </c>
      <c r="C173" s="429" t="s">
        <v>5475</v>
      </c>
      <c r="D173" s="429" t="s">
        <v>935</v>
      </c>
      <c r="E173" s="429" t="s">
        <v>5243</v>
      </c>
      <c r="F173" s="662" t="s">
        <v>5308</v>
      </c>
      <c r="G173" s="508">
        <v>11200</v>
      </c>
      <c r="H173" s="656" t="s">
        <v>1723</v>
      </c>
      <c r="I173" s="104" t="s">
        <v>5476</v>
      </c>
      <c r="J173" s="589" t="s">
        <v>5477</v>
      </c>
      <c r="K173" s="436" t="s">
        <v>5478</v>
      </c>
      <c r="L173" s="653">
        <v>420000</v>
      </c>
      <c r="M173" s="508">
        <v>11278</v>
      </c>
      <c r="N173" s="509">
        <v>41730</v>
      </c>
      <c r="O173" s="509">
        <v>42095</v>
      </c>
      <c r="P173" s="507" t="s">
        <v>3905</v>
      </c>
      <c r="Q173" s="429"/>
      <c r="R173" s="429"/>
      <c r="S173" s="429"/>
      <c r="T173" s="466" t="s">
        <v>5305</v>
      </c>
      <c r="U173" s="429"/>
      <c r="V173" s="429"/>
      <c r="W173" s="429"/>
      <c r="X173" s="518"/>
      <c r="Y173" s="429"/>
      <c r="Z173" s="429"/>
      <c r="AA173" s="429"/>
      <c r="AB173" s="429"/>
      <c r="AC173" s="522"/>
      <c r="AD173" s="429"/>
      <c r="AE173" s="653"/>
      <c r="AF173" s="476"/>
      <c r="AG173" s="654">
        <v>199395</v>
      </c>
      <c r="AH173" s="645"/>
      <c r="AI173" s="179"/>
      <c r="AJ173" s="107"/>
      <c r="AK173" s="107"/>
      <c r="AL173" s="180"/>
      <c r="AM173" s="179"/>
      <c r="AN173" s="181"/>
      <c r="AO173" s="181"/>
      <c r="AP173" s="181"/>
      <c r="AQ173" s="181"/>
      <c r="AR173" s="182"/>
      <c r="AS173" s="468"/>
      <c r="AT173" s="165"/>
      <c r="AU173" s="165"/>
      <c r="AV173" s="165"/>
      <c r="AW173" s="165"/>
      <c r="AX173" s="165"/>
      <c r="AY173" s="165"/>
      <c r="AZ173" s="165"/>
      <c r="BA173" s="165"/>
      <c r="BB173" s="165"/>
      <c r="BC173" s="165"/>
      <c r="BD173" s="167"/>
    </row>
    <row r="174" spans="1:56" s="239" customFormat="1" ht="38.25" x14ac:dyDescent="0.25">
      <c r="A174" s="469">
        <v>109</v>
      </c>
      <c r="B174" s="481" t="s">
        <v>1880</v>
      </c>
      <c r="C174" s="429" t="s">
        <v>747</v>
      </c>
      <c r="D174" s="429" t="s">
        <v>935</v>
      </c>
      <c r="E174" s="429" t="s">
        <v>5243</v>
      </c>
      <c r="F174" s="518" t="s">
        <v>5479</v>
      </c>
      <c r="G174" s="508">
        <v>11283</v>
      </c>
      <c r="H174" s="656" t="s">
        <v>1767</v>
      </c>
      <c r="I174" s="104" t="s">
        <v>5480</v>
      </c>
      <c r="J174" s="589" t="s">
        <v>5481</v>
      </c>
      <c r="K174" s="436" t="s">
        <v>5482</v>
      </c>
      <c r="L174" s="653">
        <v>311071</v>
      </c>
      <c r="M174" s="508">
        <v>11359</v>
      </c>
      <c r="N174" s="509">
        <v>41845</v>
      </c>
      <c r="O174" s="509">
        <v>42210</v>
      </c>
      <c r="P174" s="507" t="s">
        <v>3905</v>
      </c>
      <c r="Q174" s="429"/>
      <c r="R174" s="429"/>
      <c r="S174" s="429"/>
      <c r="T174" s="466" t="s">
        <v>5364</v>
      </c>
      <c r="U174" s="429"/>
      <c r="V174" s="429"/>
      <c r="W174" s="429"/>
      <c r="X174" s="518"/>
      <c r="Y174" s="429"/>
      <c r="Z174" s="429"/>
      <c r="AA174" s="429"/>
      <c r="AB174" s="429"/>
      <c r="AC174" s="522"/>
      <c r="AD174" s="429"/>
      <c r="AE174" s="653"/>
      <c r="AF174" s="476"/>
      <c r="AG174" s="654">
        <v>57618.35</v>
      </c>
      <c r="AH174" s="645"/>
      <c r="AI174" s="179"/>
      <c r="AJ174" s="107"/>
      <c r="AK174" s="107"/>
      <c r="AL174" s="180"/>
      <c r="AM174" s="179"/>
      <c r="AN174" s="181"/>
      <c r="AO174" s="181"/>
      <c r="AP174" s="181"/>
      <c r="AQ174" s="181"/>
      <c r="AR174" s="182"/>
      <c r="AS174" s="468"/>
      <c r="AT174" s="165"/>
      <c r="AU174" s="165"/>
      <c r="AV174" s="165"/>
      <c r="AW174" s="165"/>
      <c r="AX174" s="165"/>
      <c r="AY174" s="165"/>
      <c r="AZ174" s="165"/>
      <c r="BA174" s="165"/>
      <c r="BB174" s="165"/>
      <c r="BC174" s="165"/>
      <c r="BD174" s="167"/>
    </row>
    <row r="175" spans="1:56" s="239" customFormat="1" ht="38.25" x14ac:dyDescent="0.25">
      <c r="A175" s="469">
        <v>110</v>
      </c>
      <c r="B175" s="481" t="s">
        <v>5313</v>
      </c>
      <c r="C175" s="429" t="s">
        <v>5314</v>
      </c>
      <c r="D175" s="429" t="s">
        <v>935</v>
      </c>
      <c r="E175" s="429" t="s">
        <v>5243</v>
      </c>
      <c r="F175" s="518" t="s">
        <v>5315</v>
      </c>
      <c r="G175" s="508">
        <v>11038</v>
      </c>
      <c r="H175" s="656" t="s">
        <v>3696</v>
      </c>
      <c r="I175" s="104" t="s">
        <v>5483</v>
      </c>
      <c r="J175" s="589" t="s">
        <v>5484</v>
      </c>
      <c r="K175" s="436" t="s">
        <v>5485</v>
      </c>
      <c r="L175" s="653">
        <v>45348</v>
      </c>
      <c r="M175" s="508">
        <v>11231</v>
      </c>
      <c r="N175" s="509">
        <v>41620</v>
      </c>
      <c r="O175" s="509">
        <v>41985</v>
      </c>
      <c r="P175" s="507" t="s">
        <v>3905</v>
      </c>
      <c r="Q175" s="429"/>
      <c r="R175" s="429"/>
      <c r="S175" s="429"/>
      <c r="T175" s="429" t="s">
        <v>158</v>
      </c>
      <c r="U175" s="429"/>
      <c r="V175" s="429"/>
      <c r="W175" s="429"/>
      <c r="X175" s="518"/>
      <c r="Y175" s="429"/>
      <c r="Z175" s="429"/>
      <c r="AA175" s="429"/>
      <c r="AB175" s="429"/>
      <c r="AC175" s="522"/>
      <c r="AD175" s="429"/>
      <c r="AE175" s="653"/>
      <c r="AF175" s="476"/>
      <c r="AG175" s="654">
        <v>15871.67</v>
      </c>
      <c r="AH175" s="645"/>
      <c r="AI175" s="179"/>
      <c r="AJ175" s="107"/>
      <c r="AK175" s="107"/>
      <c r="AL175" s="180"/>
      <c r="AM175" s="179"/>
      <c r="AN175" s="181"/>
      <c r="AO175" s="181"/>
      <c r="AP175" s="181"/>
      <c r="AQ175" s="181"/>
      <c r="AR175" s="182"/>
      <c r="AS175" s="468"/>
      <c r="AT175" s="165"/>
      <c r="AU175" s="165"/>
      <c r="AV175" s="165"/>
      <c r="AW175" s="165"/>
      <c r="AX175" s="165"/>
      <c r="AY175" s="165"/>
      <c r="AZ175" s="165"/>
      <c r="BA175" s="165"/>
      <c r="BB175" s="165"/>
      <c r="BC175" s="165"/>
      <c r="BD175" s="167"/>
    </row>
    <row r="176" spans="1:56" s="239" customFormat="1" ht="38.25" x14ac:dyDescent="0.25">
      <c r="A176" s="469">
        <v>111</v>
      </c>
      <c r="B176" s="481" t="s">
        <v>1488</v>
      </c>
      <c r="C176" s="429" t="s">
        <v>344</v>
      </c>
      <c r="D176" s="429" t="s">
        <v>935</v>
      </c>
      <c r="E176" s="429" t="s">
        <v>5243</v>
      </c>
      <c r="F176" s="518" t="s">
        <v>5378</v>
      </c>
      <c r="G176" s="431">
        <v>11043</v>
      </c>
      <c r="H176" s="656" t="s">
        <v>744</v>
      </c>
      <c r="I176" s="104" t="s">
        <v>5486</v>
      </c>
      <c r="J176" s="589" t="s">
        <v>5487</v>
      </c>
      <c r="K176" s="436" t="s">
        <v>5418</v>
      </c>
      <c r="L176" s="653">
        <v>88200</v>
      </c>
      <c r="M176" s="508">
        <v>11222</v>
      </c>
      <c r="N176" s="509">
        <v>41641</v>
      </c>
      <c r="O176" s="509">
        <v>42006</v>
      </c>
      <c r="P176" s="507" t="s">
        <v>3905</v>
      </c>
      <c r="Q176" s="429"/>
      <c r="R176" s="429"/>
      <c r="S176" s="429"/>
      <c r="T176" s="429" t="s">
        <v>158</v>
      </c>
      <c r="U176" s="429"/>
      <c r="V176" s="429"/>
      <c r="W176" s="429"/>
      <c r="X176" s="518"/>
      <c r="Y176" s="429"/>
      <c r="Z176" s="429"/>
      <c r="AA176" s="429"/>
      <c r="AB176" s="429"/>
      <c r="AC176" s="522"/>
      <c r="AD176" s="429"/>
      <c r="AE176" s="653"/>
      <c r="AF176" s="476"/>
      <c r="AG176" s="654">
        <v>25725</v>
      </c>
      <c r="AH176" s="645"/>
      <c r="AI176" s="179"/>
      <c r="AJ176" s="107"/>
      <c r="AK176" s="107"/>
      <c r="AL176" s="180"/>
      <c r="AM176" s="179"/>
      <c r="AN176" s="181"/>
      <c r="AO176" s="181"/>
      <c r="AP176" s="181"/>
      <c r="AQ176" s="181"/>
      <c r="AR176" s="182"/>
      <c r="AS176" s="468"/>
      <c r="AT176" s="165"/>
      <c r="AU176" s="165"/>
      <c r="AV176" s="165"/>
      <c r="AW176" s="165"/>
      <c r="AX176" s="165"/>
      <c r="AY176" s="165"/>
      <c r="AZ176" s="165"/>
      <c r="BA176" s="165"/>
      <c r="BB176" s="165"/>
      <c r="BC176" s="165"/>
      <c r="BD176" s="167"/>
    </row>
    <row r="177" spans="1:56" s="239" customFormat="1" ht="51" x14ac:dyDescent="0.25">
      <c r="A177" s="469">
        <v>112</v>
      </c>
      <c r="B177" s="481" t="s">
        <v>1519</v>
      </c>
      <c r="C177" s="429" t="s">
        <v>2967</v>
      </c>
      <c r="D177" s="429" t="s">
        <v>935</v>
      </c>
      <c r="E177" s="429" t="s">
        <v>5288</v>
      </c>
      <c r="F177" s="662" t="s">
        <v>5488</v>
      </c>
      <c r="G177" s="508">
        <v>11046</v>
      </c>
      <c r="H177" s="656" t="s">
        <v>1486</v>
      </c>
      <c r="I177" s="104" t="s">
        <v>5489</v>
      </c>
      <c r="J177" s="589" t="s">
        <v>5490</v>
      </c>
      <c r="K177" s="436" t="s">
        <v>5346</v>
      </c>
      <c r="L177" s="653">
        <v>1080000</v>
      </c>
      <c r="M177" s="508">
        <v>11140</v>
      </c>
      <c r="N177" s="509">
        <v>41548</v>
      </c>
      <c r="O177" s="509">
        <v>41913</v>
      </c>
      <c r="P177" s="507" t="s">
        <v>3905</v>
      </c>
      <c r="Q177" s="429"/>
      <c r="R177" s="429"/>
      <c r="S177" s="429"/>
      <c r="T177" s="466" t="s">
        <v>208</v>
      </c>
      <c r="U177" s="507" t="s">
        <v>5275</v>
      </c>
      <c r="V177" s="509">
        <v>41914</v>
      </c>
      <c r="W177" s="508">
        <v>11447</v>
      </c>
      <c r="X177" s="518" t="s">
        <v>5252</v>
      </c>
      <c r="Y177" s="509">
        <v>41914</v>
      </c>
      <c r="Z177" s="509">
        <v>42278</v>
      </c>
      <c r="AA177" s="429"/>
      <c r="AB177" s="429"/>
      <c r="AC177" s="653">
        <v>1080000</v>
      </c>
      <c r="AD177" s="429"/>
      <c r="AE177" s="653">
        <v>2160000</v>
      </c>
      <c r="AF177" s="476">
        <v>408456.1</v>
      </c>
      <c r="AG177" s="654">
        <v>947422.26</v>
      </c>
      <c r="AH177" s="645">
        <f>SUM(AF177:AG177)</f>
        <v>1355878.3599999999</v>
      </c>
      <c r="AI177" s="179"/>
      <c r="AJ177" s="107"/>
      <c r="AK177" s="107"/>
      <c r="AL177" s="180"/>
      <c r="AM177" s="179"/>
      <c r="AN177" s="181"/>
      <c r="AO177" s="181"/>
      <c r="AP177" s="181"/>
      <c r="AQ177" s="181"/>
      <c r="AR177" s="182"/>
      <c r="AS177" s="468"/>
      <c r="AT177" s="165"/>
      <c r="AU177" s="165"/>
      <c r="AV177" s="165"/>
      <c r="AW177" s="165"/>
      <c r="AX177" s="165"/>
      <c r="AY177" s="165"/>
      <c r="AZ177" s="165"/>
      <c r="BA177" s="165"/>
      <c r="BB177" s="165"/>
      <c r="BC177" s="165"/>
      <c r="BD177" s="167"/>
    </row>
    <row r="178" spans="1:56" s="239" customFormat="1" ht="51" x14ac:dyDescent="0.25">
      <c r="A178" s="469">
        <v>113</v>
      </c>
      <c r="B178" s="468" t="s">
        <v>5491</v>
      </c>
      <c r="C178" s="429" t="s">
        <v>5492</v>
      </c>
      <c r="D178" s="429" t="s">
        <v>935</v>
      </c>
      <c r="E178" s="429" t="s">
        <v>5243</v>
      </c>
      <c r="F178" s="520" t="s">
        <v>5493</v>
      </c>
      <c r="G178" s="431">
        <v>10939</v>
      </c>
      <c r="H178" s="507" t="s">
        <v>1059</v>
      </c>
      <c r="I178" s="104" t="s">
        <v>5494</v>
      </c>
      <c r="J178" s="589" t="s">
        <v>5495</v>
      </c>
      <c r="K178" s="509">
        <v>41466</v>
      </c>
      <c r="L178" s="653">
        <v>83325.5</v>
      </c>
      <c r="M178" s="431">
        <v>11110</v>
      </c>
      <c r="N178" s="509">
        <v>41466</v>
      </c>
      <c r="O178" s="509">
        <v>41831</v>
      </c>
      <c r="P178" s="507" t="s">
        <v>3905</v>
      </c>
      <c r="Q178" s="429"/>
      <c r="R178" s="429"/>
      <c r="S178" s="429"/>
      <c r="T178" s="466" t="s">
        <v>5496</v>
      </c>
      <c r="U178" s="429"/>
      <c r="V178" s="429"/>
      <c r="W178" s="429"/>
      <c r="X178" s="518"/>
      <c r="Y178" s="429"/>
      <c r="Z178" s="429"/>
      <c r="AA178" s="429"/>
      <c r="AB178" s="429"/>
      <c r="AC178" s="476"/>
      <c r="AD178" s="429"/>
      <c r="AE178" s="644"/>
      <c r="AF178" s="476">
        <v>2419</v>
      </c>
      <c r="AG178" s="653">
        <v>9292</v>
      </c>
      <c r="AH178" s="645">
        <f t="shared" ref="AH178:AH185" si="1">SUM(AF178:AG178)</f>
        <v>11711</v>
      </c>
      <c r="AI178" s="466" t="s">
        <v>1478</v>
      </c>
      <c r="AJ178" s="508">
        <v>10769</v>
      </c>
      <c r="AK178" s="520" t="s">
        <v>5497</v>
      </c>
      <c r="AL178" s="433">
        <v>11110</v>
      </c>
      <c r="AM178" s="179"/>
      <c r="AN178" s="181"/>
      <c r="AO178" s="181"/>
      <c r="AP178" s="181"/>
      <c r="AQ178" s="181"/>
      <c r="AR178" s="182"/>
      <c r="AS178" s="468"/>
      <c r="AT178" s="165"/>
      <c r="AU178" s="165"/>
      <c r="AV178" s="165"/>
      <c r="AW178" s="165"/>
      <c r="AX178" s="165"/>
      <c r="AY178" s="165"/>
      <c r="AZ178" s="165"/>
      <c r="BA178" s="165"/>
      <c r="BB178" s="165"/>
      <c r="BC178" s="165"/>
      <c r="BD178" s="167"/>
    </row>
    <row r="179" spans="1:56" s="239" customFormat="1" ht="38.25" x14ac:dyDescent="0.25">
      <c r="A179" s="469">
        <v>114</v>
      </c>
      <c r="B179" s="468" t="s">
        <v>5498</v>
      </c>
      <c r="C179" s="429" t="s">
        <v>948</v>
      </c>
      <c r="D179" s="429" t="s">
        <v>935</v>
      </c>
      <c r="E179" s="429" t="s">
        <v>5243</v>
      </c>
      <c r="F179" s="520" t="s">
        <v>5499</v>
      </c>
      <c r="G179" s="431">
        <v>10775</v>
      </c>
      <c r="H179" s="508" t="s">
        <v>5500</v>
      </c>
      <c r="I179" s="104" t="s">
        <v>5501</v>
      </c>
      <c r="J179" s="589" t="s">
        <v>5502</v>
      </c>
      <c r="K179" s="509">
        <v>41365</v>
      </c>
      <c r="L179" s="653">
        <v>211008</v>
      </c>
      <c r="M179" s="508">
        <v>11251</v>
      </c>
      <c r="N179" s="509">
        <v>41365</v>
      </c>
      <c r="O179" s="509">
        <v>41730</v>
      </c>
      <c r="P179" s="507" t="s">
        <v>3905</v>
      </c>
      <c r="Q179" s="429"/>
      <c r="R179" s="429"/>
      <c r="S179" s="429"/>
      <c r="T179" s="466" t="s">
        <v>5503</v>
      </c>
      <c r="U179" s="429"/>
      <c r="V179" s="429"/>
      <c r="W179" s="429"/>
      <c r="X179" s="518"/>
      <c r="Y179" s="429"/>
      <c r="Z179" s="429"/>
      <c r="AA179" s="429"/>
      <c r="AB179" s="429"/>
      <c r="AC179" s="476"/>
      <c r="AD179" s="429"/>
      <c r="AE179" s="644"/>
      <c r="AF179" s="476">
        <v>83596.53</v>
      </c>
      <c r="AG179" s="653">
        <v>24947.3</v>
      </c>
      <c r="AH179" s="645">
        <f t="shared" si="1"/>
        <v>108543.83</v>
      </c>
      <c r="AI179" s="466" t="s">
        <v>2635</v>
      </c>
      <c r="AJ179" s="508">
        <v>10775</v>
      </c>
      <c r="AK179" s="520" t="s">
        <v>5504</v>
      </c>
      <c r="AL179" s="657">
        <v>10775</v>
      </c>
      <c r="AM179" s="179"/>
      <c r="AN179" s="181"/>
      <c r="AO179" s="181"/>
      <c r="AP179" s="181"/>
      <c r="AQ179" s="181"/>
      <c r="AR179" s="182"/>
      <c r="AS179" s="468"/>
      <c r="AT179" s="165"/>
      <c r="AU179" s="165"/>
      <c r="AV179" s="165"/>
      <c r="AW179" s="165"/>
      <c r="AX179" s="165"/>
      <c r="AY179" s="165"/>
      <c r="AZ179" s="165"/>
      <c r="BA179" s="165"/>
      <c r="BB179" s="165"/>
      <c r="BC179" s="165"/>
      <c r="BD179" s="167"/>
    </row>
    <row r="180" spans="1:56" s="239" customFormat="1" ht="38.25" x14ac:dyDescent="0.25">
      <c r="A180" s="469">
        <v>115</v>
      </c>
      <c r="B180" s="468" t="s">
        <v>5505</v>
      </c>
      <c r="C180" s="429" t="s">
        <v>973</v>
      </c>
      <c r="D180" s="429" t="s">
        <v>935</v>
      </c>
      <c r="E180" s="429" t="s">
        <v>5243</v>
      </c>
      <c r="F180" s="520" t="s">
        <v>5506</v>
      </c>
      <c r="G180" s="431">
        <v>10777</v>
      </c>
      <c r="H180" s="508" t="s">
        <v>5500</v>
      </c>
      <c r="I180" s="104" t="s">
        <v>5501</v>
      </c>
      <c r="J180" s="589" t="s">
        <v>5502</v>
      </c>
      <c r="K180" s="509">
        <v>41365</v>
      </c>
      <c r="L180" s="653">
        <v>161784</v>
      </c>
      <c r="M180" s="657">
        <v>10845</v>
      </c>
      <c r="N180" s="509">
        <v>41365</v>
      </c>
      <c r="O180" s="509">
        <v>41730</v>
      </c>
      <c r="P180" s="507" t="s">
        <v>3905</v>
      </c>
      <c r="Q180" s="429"/>
      <c r="R180" s="429"/>
      <c r="S180" s="429"/>
      <c r="T180" s="466" t="s">
        <v>5503</v>
      </c>
      <c r="U180" s="429"/>
      <c r="V180" s="429"/>
      <c r="W180" s="429"/>
      <c r="X180" s="518"/>
      <c r="Y180" s="429"/>
      <c r="Z180" s="429"/>
      <c r="AA180" s="429"/>
      <c r="AB180" s="429"/>
      <c r="AC180" s="476"/>
      <c r="AD180" s="429"/>
      <c r="AE180" s="644"/>
      <c r="AF180" s="476">
        <v>60242.07</v>
      </c>
      <c r="AG180" s="653">
        <v>13332.2</v>
      </c>
      <c r="AH180" s="645">
        <f t="shared" si="1"/>
        <v>73574.27</v>
      </c>
      <c r="AI180" s="466" t="s">
        <v>901</v>
      </c>
      <c r="AJ180" s="508">
        <v>10777</v>
      </c>
      <c r="AK180" s="520" t="s">
        <v>5504</v>
      </c>
      <c r="AL180" s="657">
        <v>10777</v>
      </c>
      <c r="AM180" s="179"/>
      <c r="AN180" s="181"/>
      <c r="AO180" s="181"/>
      <c r="AP180" s="181"/>
      <c r="AQ180" s="181"/>
      <c r="AR180" s="182"/>
      <c r="AS180" s="468"/>
      <c r="AT180" s="165"/>
      <c r="AU180" s="165"/>
      <c r="AV180" s="165"/>
      <c r="AW180" s="165"/>
      <c r="AX180" s="165"/>
      <c r="AY180" s="165"/>
      <c r="AZ180" s="165"/>
      <c r="BA180" s="165"/>
      <c r="BB180" s="165"/>
      <c r="BC180" s="165"/>
      <c r="BD180" s="167"/>
    </row>
    <row r="181" spans="1:56" s="239" customFormat="1" ht="63.75" x14ac:dyDescent="0.25">
      <c r="A181" s="469">
        <v>116</v>
      </c>
      <c r="B181" s="468" t="s">
        <v>5507</v>
      </c>
      <c r="C181" s="429" t="s">
        <v>5508</v>
      </c>
      <c r="D181" s="429" t="s">
        <v>935</v>
      </c>
      <c r="E181" s="429" t="s">
        <v>5288</v>
      </c>
      <c r="F181" s="520" t="s">
        <v>5509</v>
      </c>
      <c r="G181" s="431">
        <v>10780</v>
      </c>
      <c r="H181" s="507" t="s">
        <v>1006</v>
      </c>
      <c r="I181" s="104" t="s">
        <v>5510</v>
      </c>
      <c r="J181" s="589" t="s">
        <v>2257</v>
      </c>
      <c r="K181" s="509">
        <v>41395</v>
      </c>
      <c r="L181" s="653">
        <v>585000</v>
      </c>
      <c r="M181" s="431">
        <v>11253</v>
      </c>
      <c r="N181" s="509">
        <v>41395</v>
      </c>
      <c r="O181" s="509">
        <v>41761</v>
      </c>
      <c r="P181" s="507" t="s">
        <v>3905</v>
      </c>
      <c r="Q181" s="429"/>
      <c r="R181" s="429"/>
      <c r="S181" s="429"/>
      <c r="T181" s="466" t="s">
        <v>316</v>
      </c>
      <c r="U181" s="429"/>
      <c r="V181" s="429"/>
      <c r="W181" s="429"/>
      <c r="X181" s="518"/>
      <c r="Y181" s="429"/>
      <c r="Z181" s="429"/>
      <c r="AA181" s="429"/>
      <c r="AB181" s="429"/>
      <c r="AC181" s="476"/>
      <c r="AD181" s="429"/>
      <c r="AE181" s="644"/>
      <c r="AF181" s="476">
        <v>78396</v>
      </c>
      <c r="AG181" s="653">
        <v>55234</v>
      </c>
      <c r="AH181" s="645">
        <f t="shared" si="1"/>
        <v>133630</v>
      </c>
      <c r="AI181" s="466" t="s">
        <v>5511</v>
      </c>
      <c r="AJ181" s="508">
        <v>10769</v>
      </c>
      <c r="AK181" s="520" t="s">
        <v>5512</v>
      </c>
      <c r="AL181" s="433">
        <v>10822</v>
      </c>
      <c r="AM181" s="179"/>
      <c r="AN181" s="181"/>
      <c r="AO181" s="181"/>
      <c r="AP181" s="181"/>
      <c r="AQ181" s="181"/>
      <c r="AR181" s="182"/>
      <c r="AS181" s="468"/>
      <c r="AT181" s="165"/>
      <c r="AU181" s="165"/>
      <c r="AV181" s="165"/>
      <c r="AW181" s="165"/>
      <c r="AX181" s="165"/>
      <c r="AY181" s="165"/>
      <c r="AZ181" s="165"/>
      <c r="BA181" s="165"/>
      <c r="BB181" s="165"/>
      <c r="BC181" s="165"/>
      <c r="BD181" s="167"/>
    </row>
    <row r="182" spans="1:56" s="239" customFormat="1" ht="63.75" x14ac:dyDescent="0.25">
      <c r="A182" s="469">
        <v>117</v>
      </c>
      <c r="B182" s="468" t="s">
        <v>5513</v>
      </c>
      <c r="C182" s="429" t="s">
        <v>5514</v>
      </c>
      <c r="D182" s="429" t="s">
        <v>935</v>
      </c>
      <c r="E182" s="429" t="s">
        <v>5243</v>
      </c>
      <c r="F182" s="520" t="s">
        <v>5515</v>
      </c>
      <c r="G182" s="431">
        <v>11181</v>
      </c>
      <c r="H182" s="507" t="s">
        <v>675</v>
      </c>
      <c r="I182" s="104" t="s">
        <v>5516</v>
      </c>
      <c r="J182" s="589" t="s">
        <v>5266</v>
      </c>
      <c r="K182" s="509">
        <v>41641</v>
      </c>
      <c r="L182" s="653">
        <v>1806864</v>
      </c>
      <c r="M182" s="431">
        <v>11222</v>
      </c>
      <c r="N182" s="509">
        <v>41641</v>
      </c>
      <c r="O182" s="509">
        <v>42006</v>
      </c>
      <c r="P182" s="507" t="s">
        <v>3905</v>
      </c>
      <c r="Q182" s="429"/>
      <c r="R182" s="429"/>
      <c r="S182" s="429"/>
      <c r="T182" s="466" t="s">
        <v>316</v>
      </c>
      <c r="U182" s="429"/>
      <c r="V182" s="429"/>
      <c r="W182" s="429"/>
      <c r="X182" s="518"/>
      <c r="Y182" s="429"/>
      <c r="Z182" s="429"/>
      <c r="AA182" s="429"/>
      <c r="AB182" s="429"/>
      <c r="AC182" s="476"/>
      <c r="AD182" s="429"/>
      <c r="AE182" s="644"/>
      <c r="AF182" s="476">
        <v>189755.28</v>
      </c>
      <c r="AG182" s="653">
        <v>882486.22</v>
      </c>
      <c r="AH182" s="645">
        <f t="shared" si="1"/>
        <v>1072241.5</v>
      </c>
      <c r="AI182" s="466" t="s">
        <v>4734</v>
      </c>
      <c r="AJ182" s="508">
        <v>11202</v>
      </c>
      <c r="AK182" s="520" t="s">
        <v>5517</v>
      </c>
      <c r="AL182" s="433">
        <v>11210</v>
      </c>
      <c r="AM182" s="179"/>
      <c r="AN182" s="181"/>
      <c r="AO182" s="181"/>
      <c r="AP182" s="181"/>
      <c r="AQ182" s="181"/>
      <c r="AR182" s="182"/>
      <c r="AS182" s="468"/>
      <c r="AT182" s="165"/>
      <c r="AU182" s="165"/>
      <c r="AV182" s="165"/>
      <c r="AW182" s="165"/>
      <c r="AX182" s="165"/>
      <c r="AY182" s="165"/>
      <c r="AZ182" s="165"/>
      <c r="BA182" s="165"/>
      <c r="BB182" s="165"/>
      <c r="BC182" s="165"/>
      <c r="BD182" s="167"/>
    </row>
    <row r="183" spans="1:56" s="239" customFormat="1" ht="38.25" x14ac:dyDescent="0.25">
      <c r="A183" s="469">
        <v>118</v>
      </c>
      <c r="B183" s="468" t="s">
        <v>4159</v>
      </c>
      <c r="C183" s="429" t="s">
        <v>1357</v>
      </c>
      <c r="D183" s="429" t="s">
        <v>935</v>
      </c>
      <c r="E183" s="429" t="s">
        <v>5243</v>
      </c>
      <c r="F183" s="520" t="s">
        <v>5515</v>
      </c>
      <c r="G183" s="431">
        <v>10965</v>
      </c>
      <c r="H183" s="507" t="s">
        <v>5500</v>
      </c>
      <c r="I183" s="104" t="s">
        <v>5518</v>
      </c>
      <c r="J183" s="589" t="s">
        <v>1011</v>
      </c>
      <c r="K183" s="509">
        <v>41403</v>
      </c>
      <c r="L183" s="653">
        <v>455400</v>
      </c>
      <c r="M183" s="431">
        <v>11050</v>
      </c>
      <c r="N183" s="509">
        <v>41403</v>
      </c>
      <c r="O183" s="509">
        <v>41768</v>
      </c>
      <c r="P183" s="507" t="s">
        <v>3905</v>
      </c>
      <c r="Q183" s="429"/>
      <c r="R183" s="429"/>
      <c r="S183" s="429"/>
      <c r="T183" s="466" t="s">
        <v>316</v>
      </c>
      <c r="U183" s="429"/>
      <c r="V183" s="429"/>
      <c r="W183" s="429"/>
      <c r="X183" s="518"/>
      <c r="Y183" s="429"/>
      <c r="Z183" s="429"/>
      <c r="AA183" s="429"/>
      <c r="AB183" s="429"/>
      <c r="AC183" s="476"/>
      <c r="AD183" s="429"/>
      <c r="AE183" s="644"/>
      <c r="AF183" s="476">
        <v>189755.28</v>
      </c>
      <c r="AG183" s="653">
        <v>10560</v>
      </c>
      <c r="AH183" s="645">
        <f t="shared" si="1"/>
        <v>200315.28</v>
      </c>
      <c r="AI183" s="466" t="s">
        <v>975</v>
      </c>
      <c r="AJ183" s="508">
        <v>10967</v>
      </c>
      <c r="AK183" s="520" t="s">
        <v>5519</v>
      </c>
      <c r="AL183" s="433">
        <v>10996</v>
      </c>
      <c r="AM183" s="179"/>
      <c r="AN183" s="181"/>
      <c r="AO183" s="181"/>
      <c r="AP183" s="181"/>
      <c r="AQ183" s="181"/>
      <c r="AR183" s="182"/>
      <c r="AS183" s="468"/>
      <c r="AT183" s="165"/>
      <c r="AU183" s="165"/>
      <c r="AV183" s="165"/>
      <c r="AW183" s="165"/>
      <c r="AX183" s="165"/>
      <c r="AY183" s="165"/>
      <c r="AZ183" s="165"/>
      <c r="BA183" s="165"/>
      <c r="BB183" s="165"/>
      <c r="BC183" s="165"/>
      <c r="BD183" s="167"/>
    </row>
    <row r="184" spans="1:56" s="239" customFormat="1" ht="63.75" x14ac:dyDescent="0.25">
      <c r="A184" s="469">
        <v>119</v>
      </c>
      <c r="B184" s="468" t="s">
        <v>5507</v>
      </c>
      <c r="C184" s="429" t="s">
        <v>5508</v>
      </c>
      <c r="D184" s="429" t="s">
        <v>935</v>
      </c>
      <c r="E184" s="429" t="s">
        <v>5243</v>
      </c>
      <c r="F184" s="520" t="s">
        <v>5520</v>
      </c>
      <c r="G184" s="431">
        <v>10780</v>
      </c>
      <c r="H184" s="507" t="s">
        <v>975</v>
      </c>
      <c r="I184" s="104" t="s">
        <v>5081</v>
      </c>
      <c r="J184" s="589" t="s">
        <v>5521</v>
      </c>
      <c r="K184" s="509">
        <v>41396</v>
      </c>
      <c r="L184" s="653">
        <v>921655.65</v>
      </c>
      <c r="M184" s="431">
        <v>11253</v>
      </c>
      <c r="N184" s="509">
        <v>41396</v>
      </c>
      <c r="O184" s="509">
        <v>41761</v>
      </c>
      <c r="P184" s="507" t="s">
        <v>3905</v>
      </c>
      <c r="Q184" s="429"/>
      <c r="R184" s="429"/>
      <c r="S184" s="429"/>
      <c r="T184" s="466" t="s">
        <v>316</v>
      </c>
      <c r="U184" s="429"/>
      <c r="V184" s="429"/>
      <c r="W184" s="429"/>
      <c r="X184" s="518"/>
      <c r="Y184" s="429"/>
      <c r="Z184" s="429"/>
      <c r="AA184" s="429"/>
      <c r="AB184" s="429"/>
      <c r="AC184" s="476"/>
      <c r="AD184" s="429"/>
      <c r="AE184" s="644"/>
      <c r="AF184" s="476">
        <v>14376</v>
      </c>
      <c r="AG184" s="653">
        <v>11438.67</v>
      </c>
      <c r="AH184" s="645">
        <f t="shared" si="1"/>
        <v>25814.67</v>
      </c>
      <c r="AI184" s="664" t="s">
        <v>5511</v>
      </c>
      <c r="AJ184" s="508">
        <v>10769</v>
      </c>
      <c r="AK184" s="520" t="s">
        <v>5512</v>
      </c>
      <c r="AL184" s="433">
        <v>10882</v>
      </c>
      <c r="AM184" s="179"/>
      <c r="AN184" s="181"/>
      <c r="AO184" s="181"/>
      <c r="AP184" s="181"/>
      <c r="AQ184" s="181"/>
      <c r="AR184" s="182"/>
      <c r="AS184" s="468"/>
      <c r="AT184" s="165"/>
      <c r="AU184" s="165"/>
      <c r="AV184" s="165"/>
      <c r="AW184" s="165"/>
      <c r="AX184" s="165"/>
      <c r="AY184" s="165"/>
      <c r="AZ184" s="165"/>
      <c r="BA184" s="165"/>
      <c r="BB184" s="165"/>
      <c r="BC184" s="165"/>
      <c r="BD184" s="167"/>
    </row>
    <row r="185" spans="1:56" s="239" customFormat="1" ht="38.25" x14ac:dyDescent="0.25">
      <c r="A185" s="469">
        <v>120</v>
      </c>
      <c r="B185" s="468">
        <v>34421212109</v>
      </c>
      <c r="C185" s="429" t="s">
        <v>967</v>
      </c>
      <c r="D185" s="429" t="s">
        <v>935</v>
      </c>
      <c r="E185" s="429" t="s">
        <v>5288</v>
      </c>
      <c r="F185" s="520" t="s">
        <v>5522</v>
      </c>
      <c r="G185" s="665"/>
      <c r="H185" s="507" t="s">
        <v>5500</v>
      </c>
      <c r="I185" s="104" t="s">
        <v>5523</v>
      </c>
      <c r="J185" s="589" t="s">
        <v>4120</v>
      </c>
      <c r="K185" s="509">
        <v>41394</v>
      </c>
      <c r="L185" s="653">
        <v>136999.85</v>
      </c>
      <c r="M185" s="657">
        <v>11013</v>
      </c>
      <c r="N185" s="509">
        <v>41394</v>
      </c>
      <c r="O185" s="509">
        <v>41759</v>
      </c>
      <c r="P185" s="507" t="s">
        <v>3905</v>
      </c>
      <c r="Q185" s="429"/>
      <c r="R185" s="429"/>
      <c r="S185" s="429"/>
      <c r="T185" s="466" t="s">
        <v>5503</v>
      </c>
      <c r="U185" s="429"/>
      <c r="V185" s="429"/>
      <c r="W185" s="429"/>
      <c r="X185" s="518"/>
      <c r="Y185" s="429"/>
      <c r="Z185" s="429"/>
      <c r="AA185" s="429"/>
      <c r="AB185" s="429"/>
      <c r="AC185" s="476"/>
      <c r="AD185" s="429"/>
      <c r="AE185" s="644"/>
      <c r="AF185" s="476">
        <v>7781.5</v>
      </c>
      <c r="AG185" s="653">
        <v>1560</v>
      </c>
      <c r="AH185" s="645">
        <f t="shared" si="1"/>
        <v>9341.5</v>
      </c>
      <c r="AI185" s="466" t="s">
        <v>993</v>
      </c>
      <c r="AJ185" s="508">
        <v>10989</v>
      </c>
      <c r="AK185" s="520" t="s">
        <v>236</v>
      </c>
      <c r="AL185" s="433">
        <v>11013</v>
      </c>
      <c r="AM185" s="179"/>
      <c r="AN185" s="181"/>
      <c r="AO185" s="181"/>
      <c r="AP185" s="181"/>
      <c r="AQ185" s="181"/>
      <c r="AR185" s="182"/>
      <c r="AS185" s="468"/>
      <c r="AT185" s="165"/>
      <c r="AU185" s="165"/>
      <c r="AV185" s="165"/>
      <c r="AW185" s="165"/>
      <c r="AX185" s="165"/>
      <c r="AY185" s="165"/>
      <c r="AZ185" s="165"/>
      <c r="BA185" s="165"/>
      <c r="BB185" s="165"/>
      <c r="BC185" s="165"/>
      <c r="BD185" s="167"/>
    </row>
    <row r="186" spans="1:56" s="239" customFormat="1" ht="38.25" x14ac:dyDescent="0.25">
      <c r="A186" s="469">
        <v>121</v>
      </c>
      <c r="B186" s="468" t="s">
        <v>5524</v>
      </c>
      <c r="C186" s="429" t="s">
        <v>5525</v>
      </c>
      <c r="D186" s="429" t="s">
        <v>935</v>
      </c>
      <c r="E186" s="429" t="s">
        <v>5243</v>
      </c>
      <c r="F186" s="520" t="s">
        <v>5526</v>
      </c>
      <c r="G186" s="431">
        <v>10953</v>
      </c>
      <c r="H186" s="507" t="s">
        <v>5500</v>
      </c>
      <c r="I186" s="104" t="s">
        <v>5527</v>
      </c>
      <c r="J186" s="589" t="s">
        <v>5528</v>
      </c>
      <c r="K186" s="509">
        <v>41394</v>
      </c>
      <c r="L186" s="653">
        <v>137500</v>
      </c>
      <c r="M186" s="665"/>
      <c r="N186" s="509">
        <v>41394</v>
      </c>
      <c r="O186" s="509" t="s">
        <v>5529</v>
      </c>
      <c r="P186" s="507" t="s">
        <v>3905</v>
      </c>
      <c r="Q186" s="429"/>
      <c r="R186" s="429"/>
      <c r="S186" s="429"/>
      <c r="T186" s="466" t="s">
        <v>5530</v>
      </c>
      <c r="U186" s="429"/>
      <c r="V186" s="429"/>
      <c r="W186" s="429"/>
      <c r="X186" s="518"/>
      <c r="Y186" s="429"/>
      <c r="Z186" s="429"/>
      <c r="AA186" s="429"/>
      <c r="AB186" s="429"/>
      <c r="AC186" s="476"/>
      <c r="AD186" s="429"/>
      <c r="AE186" s="644"/>
      <c r="AF186" s="429"/>
      <c r="AG186" s="653">
        <v>9735</v>
      </c>
      <c r="AH186" s="645"/>
      <c r="AI186" s="466" t="s">
        <v>5531</v>
      </c>
      <c r="AJ186" s="508">
        <v>11012</v>
      </c>
      <c r="AK186" s="520" t="s">
        <v>5532</v>
      </c>
      <c r="AL186" s="657">
        <v>11012</v>
      </c>
      <c r="AM186" s="179"/>
      <c r="AN186" s="181"/>
      <c r="AO186" s="181"/>
      <c r="AP186" s="181"/>
      <c r="AQ186" s="181"/>
      <c r="AR186" s="182"/>
      <c r="AS186" s="468"/>
      <c r="AT186" s="165"/>
      <c r="AU186" s="165"/>
      <c r="AV186" s="165"/>
      <c r="AW186" s="165"/>
      <c r="AX186" s="165"/>
      <c r="AY186" s="165"/>
      <c r="AZ186" s="165"/>
      <c r="BA186" s="165"/>
      <c r="BB186" s="165"/>
      <c r="BC186" s="165"/>
      <c r="BD186" s="167"/>
    </row>
    <row r="187" spans="1:56" s="239" customFormat="1" ht="38.25" x14ac:dyDescent="0.25">
      <c r="A187" s="469">
        <v>122</v>
      </c>
      <c r="B187" s="468" t="s">
        <v>5505</v>
      </c>
      <c r="C187" s="429" t="s">
        <v>973</v>
      </c>
      <c r="D187" s="429" t="s">
        <v>935</v>
      </c>
      <c r="E187" s="429" t="s">
        <v>5243</v>
      </c>
      <c r="F187" s="520" t="s">
        <v>5506</v>
      </c>
      <c r="G187" s="431">
        <v>10777</v>
      </c>
      <c r="H187" s="507" t="s">
        <v>5500</v>
      </c>
      <c r="I187" s="104" t="s">
        <v>5533</v>
      </c>
      <c r="J187" s="589" t="s">
        <v>5377</v>
      </c>
      <c r="K187" s="509">
        <v>41305</v>
      </c>
      <c r="L187" s="653">
        <v>270000</v>
      </c>
      <c r="M187" s="508">
        <v>10845</v>
      </c>
      <c r="N187" s="509">
        <v>41305</v>
      </c>
      <c r="O187" s="509">
        <v>41670</v>
      </c>
      <c r="P187" s="507" t="s">
        <v>3905</v>
      </c>
      <c r="Q187" s="429"/>
      <c r="R187" s="429"/>
      <c r="S187" s="429"/>
      <c r="T187" s="466" t="s">
        <v>5534</v>
      </c>
      <c r="U187" s="429"/>
      <c r="V187" s="429"/>
      <c r="W187" s="429"/>
      <c r="X187" s="518"/>
      <c r="Y187" s="429"/>
      <c r="Z187" s="429"/>
      <c r="AA187" s="429"/>
      <c r="AB187" s="429"/>
      <c r="AC187" s="476"/>
      <c r="AD187" s="429"/>
      <c r="AE187" s="644"/>
      <c r="AF187" s="476">
        <v>211375</v>
      </c>
      <c r="AG187" s="653">
        <v>23250</v>
      </c>
      <c r="AH187" s="645">
        <f>SUM(AF187:AG187)</f>
        <v>234625</v>
      </c>
      <c r="AI187" s="466" t="s">
        <v>901</v>
      </c>
      <c r="AJ187" s="508">
        <v>10777</v>
      </c>
      <c r="AK187" s="520" t="s">
        <v>5504</v>
      </c>
      <c r="AL187" s="657">
        <v>10777</v>
      </c>
      <c r="AM187" s="179"/>
      <c r="AN187" s="181"/>
      <c r="AO187" s="181"/>
      <c r="AP187" s="181"/>
      <c r="AQ187" s="181"/>
      <c r="AR187" s="182"/>
      <c r="AS187" s="468"/>
      <c r="AT187" s="165"/>
      <c r="AU187" s="165"/>
      <c r="AV187" s="165"/>
      <c r="AW187" s="165"/>
      <c r="AX187" s="165"/>
      <c r="AY187" s="165"/>
      <c r="AZ187" s="165"/>
      <c r="BA187" s="165"/>
      <c r="BB187" s="165"/>
      <c r="BC187" s="165"/>
      <c r="BD187" s="167"/>
    </row>
    <row r="188" spans="1:56" s="239" customFormat="1" ht="38.25" x14ac:dyDescent="0.25">
      <c r="A188" s="469">
        <v>123</v>
      </c>
      <c r="B188" s="468" t="s">
        <v>5505</v>
      </c>
      <c r="C188" s="429" t="s">
        <v>973</v>
      </c>
      <c r="D188" s="429" t="s">
        <v>935</v>
      </c>
      <c r="E188" s="429" t="s">
        <v>5243</v>
      </c>
      <c r="F188" s="520" t="s">
        <v>5535</v>
      </c>
      <c r="G188" s="431">
        <v>10777</v>
      </c>
      <c r="H188" s="507" t="s">
        <v>5500</v>
      </c>
      <c r="I188" s="104" t="s">
        <v>5533</v>
      </c>
      <c r="J188" s="589" t="s">
        <v>5377</v>
      </c>
      <c r="K188" s="509">
        <v>41305</v>
      </c>
      <c r="L188" s="653">
        <v>440160</v>
      </c>
      <c r="M188" s="508">
        <v>10845</v>
      </c>
      <c r="N188" s="509">
        <v>41305</v>
      </c>
      <c r="O188" s="509">
        <v>41670</v>
      </c>
      <c r="P188" s="507" t="s">
        <v>3905</v>
      </c>
      <c r="Q188" s="429"/>
      <c r="R188" s="429"/>
      <c r="S188" s="429"/>
      <c r="T188" s="466" t="s">
        <v>5503</v>
      </c>
      <c r="U188" s="429"/>
      <c r="V188" s="429"/>
      <c r="W188" s="429"/>
      <c r="X188" s="518"/>
      <c r="Y188" s="429"/>
      <c r="Z188" s="429"/>
      <c r="AA188" s="429"/>
      <c r="AB188" s="429"/>
      <c r="AC188" s="476"/>
      <c r="AD188" s="429"/>
      <c r="AE188" s="644"/>
      <c r="AF188" s="476">
        <v>516776.58</v>
      </c>
      <c r="AG188" s="653">
        <v>67462.399999999994</v>
      </c>
      <c r="AH188" s="645">
        <f>SUM(AF188:AG188)</f>
        <v>584238.98</v>
      </c>
      <c r="AI188" s="466" t="s">
        <v>5536</v>
      </c>
      <c r="AJ188" s="508">
        <v>10520</v>
      </c>
      <c r="AK188" s="520" t="s">
        <v>5504</v>
      </c>
      <c r="AL188" s="433">
        <v>10845</v>
      </c>
      <c r="AM188" s="179"/>
      <c r="AN188" s="181"/>
      <c r="AO188" s="181"/>
      <c r="AP188" s="181"/>
      <c r="AQ188" s="181"/>
      <c r="AR188" s="182"/>
      <c r="AS188" s="468"/>
      <c r="AT188" s="165"/>
      <c r="AU188" s="165"/>
      <c r="AV188" s="165"/>
      <c r="AW188" s="165"/>
      <c r="AX188" s="165"/>
      <c r="AY188" s="165"/>
      <c r="AZ188" s="165"/>
      <c r="BA188" s="165"/>
      <c r="BB188" s="165"/>
      <c r="BC188" s="165"/>
      <c r="BD188" s="167"/>
    </row>
    <row r="189" spans="1:56" s="239" customFormat="1" ht="51" x14ac:dyDescent="0.25">
      <c r="A189" s="469">
        <v>124</v>
      </c>
      <c r="B189" s="468" t="s">
        <v>5537</v>
      </c>
      <c r="C189" s="429" t="s">
        <v>1639</v>
      </c>
      <c r="D189" s="429" t="s">
        <v>935</v>
      </c>
      <c r="E189" s="429" t="s">
        <v>5243</v>
      </c>
      <c r="F189" s="520" t="s">
        <v>5538</v>
      </c>
      <c r="G189" s="665"/>
      <c r="H189" s="507" t="s">
        <v>1486</v>
      </c>
      <c r="I189" s="104" t="s">
        <v>5539</v>
      </c>
      <c r="J189" s="589" t="s">
        <v>759</v>
      </c>
      <c r="K189" s="509">
        <v>41522</v>
      </c>
      <c r="L189" s="653">
        <v>328800</v>
      </c>
      <c r="M189" s="431">
        <v>11147</v>
      </c>
      <c r="N189" s="666">
        <v>41522</v>
      </c>
      <c r="O189" s="666">
        <v>41887</v>
      </c>
      <c r="P189" s="507" t="s">
        <v>3905</v>
      </c>
      <c r="Q189" s="429"/>
      <c r="R189" s="429"/>
      <c r="S189" s="429"/>
      <c r="T189" s="466" t="s">
        <v>5503</v>
      </c>
      <c r="U189" s="507" t="s">
        <v>5275</v>
      </c>
      <c r="V189" s="432">
        <v>41887</v>
      </c>
      <c r="W189" s="431">
        <v>11483</v>
      </c>
      <c r="X189" s="518" t="s">
        <v>5252</v>
      </c>
      <c r="Y189" s="432">
        <v>41887</v>
      </c>
      <c r="Z189" s="432">
        <v>42009</v>
      </c>
      <c r="AA189" s="429"/>
      <c r="AB189" s="429"/>
      <c r="AC189" s="476">
        <v>109600</v>
      </c>
      <c r="AD189" s="429"/>
      <c r="AE189" s="644">
        <v>438400</v>
      </c>
      <c r="AF189" s="476">
        <v>41100</v>
      </c>
      <c r="AG189" s="653">
        <v>200900</v>
      </c>
      <c r="AH189" s="645">
        <f>SUM(AF189:AG189)</f>
        <v>242000</v>
      </c>
      <c r="AI189" s="466" t="s">
        <v>1639</v>
      </c>
      <c r="AJ189" s="508">
        <v>10831</v>
      </c>
      <c r="AK189" s="520" t="s">
        <v>324</v>
      </c>
      <c r="AL189" s="667"/>
      <c r="AM189" s="179"/>
      <c r="AN189" s="181"/>
      <c r="AO189" s="181"/>
      <c r="AP189" s="181"/>
      <c r="AQ189" s="181"/>
      <c r="AR189" s="182"/>
      <c r="AS189" s="468"/>
      <c r="AT189" s="165"/>
      <c r="AU189" s="165"/>
      <c r="AV189" s="165"/>
      <c r="AW189" s="165"/>
      <c r="AX189" s="165"/>
      <c r="AY189" s="165"/>
      <c r="AZ189" s="165"/>
      <c r="BA189" s="165"/>
      <c r="BB189" s="165"/>
      <c r="BC189" s="165"/>
      <c r="BD189" s="167"/>
    </row>
    <row r="190" spans="1:56" s="239" customFormat="1" ht="51" x14ac:dyDescent="0.25">
      <c r="A190" s="469">
        <v>125</v>
      </c>
      <c r="B190" s="468" t="s">
        <v>5540</v>
      </c>
      <c r="C190" s="429" t="s">
        <v>5541</v>
      </c>
      <c r="D190" s="429" t="s">
        <v>935</v>
      </c>
      <c r="E190" s="429" t="s">
        <v>5243</v>
      </c>
      <c r="F190" s="520" t="s">
        <v>5542</v>
      </c>
      <c r="G190" s="431">
        <v>10906</v>
      </c>
      <c r="H190" s="507" t="s">
        <v>5500</v>
      </c>
      <c r="I190" s="104" t="s">
        <v>3838</v>
      </c>
      <c r="J190" s="589" t="s">
        <v>5543</v>
      </c>
      <c r="K190" s="509">
        <v>41323</v>
      </c>
      <c r="L190" s="653">
        <v>214300</v>
      </c>
      <c r="M190" s="431">
        <v>11125</v>
      </c>
      <c r="N190" s="509">
        <v>41323</v>
      </c>
      <c r="O190" s="509">
        <v>41688</v>
      </c>
      <c r="P190" s="507" t="s">
        <v>3905</v>
      </c>
      <c r="Q190" s="429"/>
      <c r="R190" s="429"/>
      <c r="S190" s="429"/>
      <c r="T190" s="466" t="s">
        <v>5503</v>
      </c>
      <c r="U190" s="429"/>
      <c r="V190" s="429"/>
      <c r="W190" s="429"/>
      <c r="X190" s="518"/>
      <c r="Y190" s="429"/>
      <c r="Z190" s="429"/>
      <c r="AA190" s="429"/>
      <c r="AB190" s="429"/>
      <c r="AC190" s="476"/>
      <c r="AD190" s="429"/>
      <c r="AE190" s="644"/>
      <c r="AF190" s="476">
        <v>17017</v>
      </c>
      <c r="AG190" s="653">
        <v>7600</v>
      </c>
      <c r="AH190" s="645">
        <f>SUM(AF190:AG190)</f>
        <v>24617</v>
      </c>
      <c r="AI190" s="466" t="s">
        <v>5498</v>
      </c>
      <c r="AJ190" s="508">
        <v>10769</v>
      </c>
      <c r="AK190" s="520" t="s">
        <v>5544</v>
      </c>
      <c r="AL190" s="433">
        <v>10929</v>
      </c>
      <c r="AM190" s="179"/>
      <c r="AN190" s="181"/>
      <c r="AO190" s="181"/>
      <c r="AP190" s="181"/>
      <c r="AQ190" s="181"/>
      <c r="AR190" s="182"/>
      <c r="AS190" s="468"/>
      <c r="AT190" s="165"/>
      <c r="AU190" s="165"/>
      <c r="AV190" s="165"/>
      <c r="AW190" s="165"/>
      <c r="AX190" s="165"/>
      <c r="AY190" s="165"/>
      <c r="AZ190" s="165"/>
      <c r="BA190" s="165"/>
      <c r="BB190" s="165"/>
      <c r="BC190" s="165"/>
      <c r="BD190" s="167"/>
    </row>
    <row r="191" spans="1:56" s="239" customFormat="1" ht="51" x14ac:dyDescent="0.25">
      <c r="A191" s="469">
        <v>126</v>
      </c>
      <c r="B191" s="468" t="s">
        <v>5545</v>
      </c>
      <c r="C191" s="429" t="s">
        <v>5546</v>
      </c>
      <c r="D191" s="429" t="s">
        <v>935</v>
      </c>
      <c r="E191" s="429" t="s">
        <v>5243</v>
      </c>
      <c r="F191" s="520" t="s">
        <v>5547</v>
      </c>
      <c r="G191" s="431">
        <v>11044</v>
      </c>
      <c r="H191" s="507" t="s">
        <v>388</v>
      </c>
      <c r="I191" s="104" t="s">
        <v>5548</v>
      </c>
      <c r="J191" s="589" t="s">
        <v>5549</v>
      </c>
      <c r="K191" s="509">
        <v>41726</v>
      </c>
      <c r="L191" s="653">
        <v>72400</v>
      </c>
      <c r="M191" s="431">
        <v>11281</v>
      </c>
      <c r="N191" s="509">
        <v>41726</v>
      </c>
      <c r="O191" s="509">
        <v>42091</v>
      </c>
      <c r="P191" s="507" t="s">
        <v>3905</v>
      </c>
      <c r="Q191" s="429"/>
      <c r="R191" s="429"/>
      <c r="S191" s="429"/>
      <c r="T191" s="466" t="s">
        <v>5503</v>
      </c>
      <c r="U191" s="429"/>
      <c r="V191" s="429"/>
      <c r="W191" s="429"/>
      <c r="X191" s="518"/>
      <c r="Y191" s="429"/>
      <c r="Z191" s="429"/>
      <c r="AA191" s="429"/>
      <c r="AB191" s="429"/>
      <c r="AC191" s="476"/>
      <c r="AD191" s="429"/>
      <c r="AE191" s="644"/>
      <c r="AF191" s="476"/>
      <c r="AG191" s="653">
        <v>16290.2</v>
      </c>
      <c r="AH191" s="645"/>
      <c r="AI191" s="466" t="s">
        <v>403</v>
      </c>
      <c r="AJ191" s="508">
        <v>11044</v>
      </c>
      <c r="AK191" s="520" t="s">
        <v>5550</v>
      </c>
      <c r="AL191" s="433">
        <v>11104</v>
      </c>
      <c r="AM191" s="179"/>
      <c r="AN191" s="181"/>
      <c r="AO191" s="181"/>
      <c r="AP191" s="181"/>
      <c r="AQ191" s="181"/>
      <c r="AR191" s="182"/>
      <c r="AS191" s="468"/>
      <c r="AT191" s="165"/>
      <c r="AU191" s="165"/>
      <c r="AV191" s="165"/>
      <c r="AW191" s="165"/>
      <c r="AX191" s="165"/>
      <c r="AY191" s="165"/>
      <c r="AZ191" s="165"/>
      <c r="BA191" s="165"/>
      <c r="BB191" s="165"/>
      <c r="BC191" s="165"/>
      <c r="BD191" s="167"/>
    </row>
    <row r="192" spans="1:56" s="239" customFormat="1" ht="63.75" x14ac:dyDescent="0.25">
      <c r="A192" s="469">
        <v>127</v>
      </c>
      <c r="B192" s="468" t="s">
        <v>5551</v>
      </c>
      <c r="C192" s="429" t="s">
        <v>5552</v>
      </c>
      <c r="D192" s="429" t="s">
        <v>935</v>
      </c>
      <c r="E192" s="429" t="s">
        <v>5243</v>
      </c>
      <c r="F192" s="520" t="s">
        <v>5553</v>
      </c>
      <c r="G192" s="431">
        <v>11850</v>
      </c>
      <c r="H192" s="507" t="s">
        <v>5554</v>
      </c>
      <c r="I192" s="104" t="s">
        <v>5555</v>
      </c>
      <c r="J192" s="589" t="s">
        <v>5556</v>
      </c>
      <c r="K192" s="509">
        <v>41331</v>
      </c>
      <c r="L192" s="653">
        <v>122000</v>
      </c>
      <c r="M192" s="431">
        <v>11125</v>
      </c>
      <c r="N192" s="509">
        <v>41331</v>
      </c>
      <c r="O192" s="509">
        <v>41696</v>
      </c>
      <c r="P192" s="507" t="s">
        <v>3905</v>
      </c>
      <c r="Q192" s="429"/>
      <c r="R192" s="429"/>
      <c r="S192" s="429"/>
      <c r="T192" s="466" t="s">
        <v>316</v>
      </c>
      <c r="U192" s="429"/>
      <c r="V192" s="429"/>
      <c r="W192" s="429"/>
      <c r="X192" s="518"/>
      <c r="Y192" s="429"/>
      <c r="Z192" s="429"/>
      <c r="AA192" s="429"/>
      <c r="AB192" s="429"/>
      <c r="AC192" s="476"/>
      <c r="AD192" s="429"/>
      <c r="AE192" s="644"/>
      <c r="AF192" s="476">
        <v>77660.08</v>
      </c>
      <c r="AG192" s="653">
        <v>6568.4</v>
      </c>
      <c r="AH192" s="645">
        <f>SUM(AF192:AG192)</f>
        <v>84228.479999999996</v>
      </c>
      <c r="AI192" s="466" t="s">
        <v>3278</v>
      </c>
      <c r="AJ192" s="508">
        <v>10769</v>
      </c>
      <c r="AK192" s="520" t="s">
        <v>5517</v>
      </c>
      <c r="AL192" s="433">
        <v>10878</v>
      </c>
      <c r="AM192" s="179"/>
      <c r="AN192" s="181"/>
      <c r="AO192" s="181"/>
      <c r="AP192" s="181"/>
      <c r="AQ192" s="181"/>
      <c r="AR192" s="182"/>
      <c r="AS192" s="468"/>
      <c r="AT192" s="165"/>
      <c r="AU192" s="165"/>
      <c r="AV192" s="165"/>
      <c r="AW192" s="165"/>
      <c r="AX192" s="165"/>
      <c r="AY192" s="165"/>
      <c r="AZ192" s="165"/>
      <c r="BA192" s="165"/>
      <c r="BB192" s="165"/>
      <c r="BC192" s="165"/>
      <c r="BD192" s="167"/>
    </row>
    <row r="193" spans="1:56" s="239" customFormat="1" ht="63.75" x14ac:dyDescent="0.25">
      <c r="A193" s="469">
        <v>128</v>
      </c>
      <c r="B193" s="468" t="s">
        <v>5557</v>
      </c>
      <c r="C193" s="429" t="s">
        <v>5558</v>
      </c>
      <c r="D193" s="429" t="s">
        <v>935</v>
      </c>
      <c r="E193" s="429" t="s">
        <v>5243</v>
      </c>
      <c r="F193" s="520" t="s">
        <v>5559</v>
      </c>
      <c r="G193" s="431">
        <v>10962</v>
      </c>
      <c r="H193" s="507" t="s">
        <v>724</v>
      </c>
      <c r="I193" s="104" t="s">
        <v>5560</v>
      </c>
      <c r="J193" s="589" t="s">
        <v>4051</v>
      </c>
      <c r="K193" s="509">
        <v>41698</v>
      </c>
      <c r="L193" s="653">
        <v>2571078.33</v>
      </c>
      <c r="M193" s="431">
        <v>11274</v>
      </c>
      <c r="N193" s="509">
        <v>41699</v>
      </c>
      <c r="O193" s="509">
        <v>42064</v>
      </c>
      <c r="P193" s="507" t="s">
        <v>3905</v>
      </c>
      <c r="Q193" s="429"/>
      <c r="R193" s="429"/>
      <c r="S193" s="429"/>
      <c r="T193" s="466" t="s">
        <v>5503</v>
      </c>
      <c r="U193" s="429"/>
      <c r="V193" s="429"/>
      <c r="W193" s="429"/>
      <c r="X193" s="518"/>
      <c r="Y193" s="429"/>
      <c r="Z193" s="429"/>
      <c r="AA193" s="429"/>
      <c r="AB193" s="429"/>
      <c r="AC193" s="476"/>
      <c r="AD193" s="429"/>
      <c r="AE193" s="644"/>
      <c r="AF193" s="476"/>
      <c r="AG193" s="653">
        <v>2967056.74</v>
      </c>
      <c r="AH193" s="645"/>
      <c r="AI193" s="466" t="s">
        <v>3934</v>
      </c>
      <c r="AJ193" s="508">
        <v>11064</v>
      </c>
      <c r="AK193" s="520" t="s">
        <v>5512</v>
      </c>
      <c r="AL193" s="433">
        <v>11064</v>
      </c>
      <c r="AM193" s="179"/>
      <c r="AN193" s="181"/>
      <c r="AO193" s="181"/>
      <c r="AP193" s="181"/>
      <c r="AQ193" s="181"/>
      <c r="AR193" s="182"/>
      <c r="AS193" s="468"/>
      <c r="AT193" s="165"/>
      <c r="AU193" s="165"/>
      <c r="AV193" s="165"/>
      <c r="AW193" s="165"/>
      <c r="AX193" s="165"/>
      <c r="AY193" s="165"/>
      <c r="AZ193" s="165"/>
      <c r="BA193" s="165"/>
      <c r="BB193" s="165"/>
      <c r="BC193" s="165"/>
      <c r="BD193" s="167"/>
    </row>
    <row r="194" spans="1:56" s="239" customFormat="1" ht="63.75" x14ac:dyDescent="0.25">
      <c r="A194" s="469">
        <v>129</v>
      </c>
      <c r="B194" s="468" t="s">
        <v>5561</v>
      </c>
      <c r="C194" s="429" t="s">
        <v>5562</v>
      </c>
      <c r="D194" s="429" t="s">
        <v>935</v>
      </c>
      <c r="E194" s="429" t="s">
        <v>5243</v>
      </c>
      <c r="F194" s="520" t="s">
        <v>5563</v>
      </c>
      <c r="G194" s="657">
        <v>10737</v>
      </c>
      <c r="H194" s="507" t="s">
        <v>5564</v>
      </c>
      <c r="I194" s="104" t="s">
        <v>5565</v>
      </c>
      <c r="J194" s="589" t="s">
        <v>5566</v>
      </c>
      <c r="K194" s="509">
        <v>41324</v>
      </c>
      <c r="L194" s="653">
        <v>237000</v>
      </c>
      <c r="M194" s="431">
        <v>10762</v>
      </c>
      <c r="N194" s="666">
        <v>41324</v>
      </c>
      <c r="O194" s="666">
        <v>41689</v>
      </c>
      <c r="P194" s="507" t="s">
        <v>3905</v>
      </c>
      <c r="Q194" s="429"/>
      <c r="R194" s="429"/>
      <c r="S194" s="429"/>
      <c r="T194" s="466" t="s">
        <v>316</v>
      </c>
      <c r="U194" s="429"/>
      <c r="V194" s="429"/>
      <c r="W194" s="429"/>
      <c r="X194" s="518"/>
      <c r="Y194" s="429"/>
      <c r="Z194" s="429"/>
      <c r="AA194" s="429"/>
      <c r="AB194" s="429"/>
      <c r="AC194" s="476"/>
      <c r="AD194" s="429"/>
      <c r="AE194" s="644"/>
      <c r="AF194" s="476">
        <v>29334</v>
      </c>
      <c r="AG194" s="653">
        <v>72856.490000000005</v>
      </c>
      <c r="AH194" s="645">
        <f>SUM(AF194:AG194)</f>
        <v>102190.49</v>
      </c>
      <c r="AI194" s="466" t="s">
        <v>3462</v>
      </c>
      <c r="AJ194" s="508">
        <v>10710</v>
      </c>
      <c r="AK194" s="520" t="s">
        <v>5512</v>
      </c>
      <c r="AL194" s="433">
        <v>10762</v>
      </c>
      <c r="AM194" s="179"/>
      <c r="AN194" s="181"/>
      <c r="AO194" s="181"/>
      <c r="AP194" s="181"/>
      <c r="AQ194" s="181"/>
      <c r="AR194" s="182"/>
      <c r="AS194" s="468"/>
      <c r="AT194" s="165"/>
      <c r="AU194" s="165"/>
      <c r="AV194" s="165"/>
      <c r="AW194" s="165"/>
      <c r="AX194" s="165"/>
      <c r="AY194" s="165"/>
      <c r="AZ194" s="165"/>
      <c r="BA194" s="165"/>
      <c r="BB194" s="165"/>
      <c r="BC194" s="165"/>
      <c r="BD194" s="167"/>
    </row>
    <row r="195" spans="1:56" s="239" customFormat="1" ht="63.75" x14ac:dyDescent="0.25">
      <c r="A195" s="469">
        <v>130</v>
      </c>
      <c r="B195" s="468" t="s">
        <v>5567</v>
      </c>
      <c r="C195" s="429" t="s">
        <v>5568</v>
      </c>
      <c r="D195" s="429" t="s">
        <v>935</v>
      </c>
      <c r="E195" s="429" t="s">
        <v>5243</v>
      </c>
      <c r="F195" s="520" t="s">
        <v>5569</v>
      </c>
      <c r="G195" s="431">
        <v>10812</v>
      </c>
      <c r="H195" s="507" t="s">
        <v>5500</v>
      </c>
      <c r="I195" s="104" t="s">
        <v>5565</v>
      </c>
      <c r="J195" s="589" t="s">
        <v>5566</v>
      </c>
      <c r="K195" s="509">
        <v>41324</v>
      </c>
      <c r="L195" s="653">
        <v>98984.4</v>
      </c>
      <c r="M195" s="431">
        <v>10837</v>
      </c>
      <c r="N195" s="509">
        <v>41324</v>
      </c>
      <c r="O195" s="509">
        <v>41689</v>
      </c>
      <c r="P195" s="507" t="s">
        <v>3905</v>
      </c>
      <c r="Q195" s="429"/>
      <c r="R195" s="429"/>
      <c r="S195" s="429"/>
      <c r="T195" s="466" t="s">
        <v>5503</v>
      </c>
      <c r="U195" s="429"/>
      <c r="V195" s="429"/>
      <c r="W195" s="429"/>
      <c r="X195" s="518"/>
      <c r="Y195" s="429"/>
      <c r="Z195" s="429"/>
      <c r="AA195" s="429"/>
      <c r="AB195" s="429"/>
      <c r="AC195" s="476"/>
      <c r="AD195" s="429"/>
      <c r="AE195" s="644"/>
      <c r="AF195" s="476">
        <v>141753.60999999999</v>
      </c>
      <c r="AG195" s="653">
        <v>11733.6</v>
      </c>
      <c r="AH195" s="645">
        <f>SUM(AF195:AG195)</f>
        <v>153487.21</v>
      </c>
      <c r="AI195" s="466" t="s">
        <v>5570</v>
      </c>
      <c r="AJ195" s="508">
        <v>10812</v>
      </c>
      <c r="AK195" s="520" t="s">
        <v>5512</v>
      </c>
      <c r="AL195" s="433">
        <v>10837</v>
      </c>
      <c r="AM195" s="179"/>
      <c r="AN195" s="181"/>
      <c r="AO195" s="181"/>
      <c r="AP195" s="181"/>
      <c r="AQ195" s="181"/>
      <c r="AR195" s="182"/>
      <c r="AS195" s="468"/>
      <c r="AT195" s="165"/>
      <c r="AU195" s="165"/>
      <c r="AV195" s="165"/>
      <c r="AW195" s="165"/>
      <c r="AX195" s="165"/>
      <c r="AY195" s="165"/>
      <c r="AZ195" s="165"/>
      <c r="BA195" s="165"/>
      <c r="BB195" s="165"/>
      <c r="BC195" s="165"/>
      <c r="BD195" s="167"/>
    </row>
    <row r="196" spans="1:56" s="239" customFormat="1" ht="63.75" x14ac:dyDescent="0.25">
      <c r="A196" s="469">
        <v>131</v>
      </c>
      <c r="B196" s="468" t="s">
        <v>5571</v>
      </c>
      <c r="C196" s="429" t="s">
        <v>3472</v>
      </c>
      <c r="D196" s="429" t="s">
        <v>935</v>
      </c>
      <c r="E196" s="429" t="s">
        <v>5243</v>
      </c>
      <c r="F196" s="520" t="s">
        <v>5572</v>
      </c>
      <c r="G196" s="431">
        <v>11041</v>
      </c>
      <c r="H196" s="507" t="s">
        <v>381</v>
      </c>
      <c r="I196" s="104" t="s">
        <v>5565</v>
      </c>
      <c r="J196" s="589" t="s">
        <v>5566</v>
      </c>
      <c r="K196" s="509">
        <v>41697</v>
      </c>
      <c r="L196" s="653">
        <v>30742</v>
      </c>
      <c r="M196" s="431">
        <v>11281</v>
      </c>
      <c r="N196" s="509">
        <v>41697</v>
      </c>
      <c r="O196" s="509">
        <v>42062</v>
      </c>
      <c r="P196" s="507" t="s">
        <v>3905</v>
      </c>
      <c r="Q196" s="429"/>
      <c r="R196" s="429"/>
      <c r="S196" s="429"/>
      <c r="T196" s="466" t="s">
        <v>316</v>
      </c>
      <c r="U196" s="429"/>
      <c r="V196" s="429"/>
      <c r="W196" s="429"/>
      <c r="X196" s="518"/>
      <c r="Y196" s="429"/>
      <c r="Z196" s="429"/>
      <c r="AA196" s="429"/>
      <c r="AB196" s="429"/>
      <c r="AC196" s="476"/>
      <c r="AD196" s="429"/>
      <c r="AE196" s="644"/>
      <c r="AF196" s="476"/>
      <c r="AG196" s="653">
        <v>22987.9</v>
      </c>
      <c r="AH196" s="645"/>
      <c r="AI196" s="466" t="s">
        <v>4740</v>
      </c>
      <c r="AJ196" s="508">
        <v>11072</v>
      </c>
      <c r="AK196" s="520" t="s">
        <v>5512</v>
      </c>
      <c r="AL196" s="433">
        <v>11072</v>
      </c>
      <c r="AM196" s="179"/>
      <c r="AN196" s="181"/>
      <c r="AO196" s="181"/>
      <c r="AP196" s="181"/>
      <c r="AQ196" s="181"/>
      <c r="AR196" s="182"/>
      <c r="AS196" s="468"/>
      <c r="AT196" s="165"/>
      <c r="AU196" s="165"/>
      <c r="AV196" s="165"/>
      <c r="AW196" s="165"/>
      <c r="AX196" s="165"/>
      <c r="AY196" s="165"/>
      <c r="AZ196" s="165"/>
      <c r="BA196" s="165"/>
      <c r="BB196" s="165"/>
      <c r="BC196" s="165"/>
      <c r="BD196" s="167"/>
    </row>
    <row r="197" spans="1:56" s="239" customFormat="1" ht="38.25" x14ac:dyDescent="0.25">
      <c r="A197" s="469">
        <v>132</v>
      </c>
      <c r="B197" s="468" t="s">
        <v>5109</v>
      </c>
      <c r="C197" s="429" t="s">
        <v>1941</v>
      </c>
      <c r="D197" s="429" t="s">
        <v>935</v>
      </c>
      <c r="E197" s="429" t="s">
        <v>5243</v>
      </c>
      <c r="F197" s="520" t="s">
        <v>5573</v>
      </c>
      <c r="G197" s="431">
        <v>11069</v>
      </c>
      <c r="H197" s="507" t="s">
        <v>680</v>
      </c>
      <c r="I197" s="104" t="s">
        <v>5565</v>
      </c>
      <c r="J197" s="589" t="s">
        <v>5566</v>
      </c>
      <c r="K197" s="509">
        <v>41697</v>
      </c>
      <c r="L197" s="653">
        <v>185428</v>
      </c>
      <c r="M197" s="431">
        <v>11281</v>
      </c>
      <c r="N197" s="509">
        <v>41697</v>
      </c>
      <c r="O197" s="509">
        <v>42062</v>
      </c>
      <c r="P197" s="507" t="s">
        <v>3905</v>
      </c>
      <c r="Q197" s="429"/>
      <c r="R197" s="429"/>
      <c r="S197" s="429"/>
      <c r="T197" s="466" t="s">
        <v>5503</v>
      </c>
      <c r="U197" s="429"/>
      <c r="V197" s="429"/>
      <c r="W197" s="429"/>
      <c r="X197" s="518"/>
      <c r="Y197" s="429"/>
      <c r="Z197" s="429"/>
      <c r="AA197" s="429"/>
      <c r="AB197" s="429"/>
      <c r="AC197" s="476"/>
      <c r="AD197" s="429"/>
      <c r="AE197" s="644"/>
      <c r="AF197" s="476"/>
      <c r="AG197" s="653">
        <v>135257</v>
      </c>
      <c r="AH197" s="645"/>
      <c r="AI197" s="466" t="s">
        <v>1639</v>
      </c>
      <c r="AJ197" s="508">
        <v>11104</v>
      </c>
      <c r="AK197" s="520" t="s">
        <v>5504</v>
      </c>
      <c r="AL197" s="433">
        <v>11104</v>
      </c>
      <c r="AM197" s="179"/>
      <c r="AN197" s="181"/>
      <c r="AO197" s="181"/>
      <c r="AP197" s="181"/>
      <c r="AQ197" s="181"/>
      <c r="AR197" s="182"/>
      <c r="AS197" s="468"/>
      <c r="AT197" s="165"/>
      <c r="AU197" s="165"/>
      <c r="AV197" s="165"/>
      <c r="AW197" s="165"/>
      <c r="AX197" s="165"/>
      <c r="AY197" s="165"/>
      <c r="AZ197" s="165"/>
      <c r="BA197" s="165"/>
      <c r="BB197" s="165"/>
      <c r="BC197" s="165"/>
      <c r="BD197" s="167"/>
    </row>
    <row r="198" spans="1:56" s="239" customFormat="1" ht="38.25" x14ac:dyDescent="0.25">
      <c r="A198" s="469">
        <v>133</v>
      </c>
      <c r="B198" s="468" t="s">
        <v>5574</v>
      </c>
      <c r="C198" s="429" t="s">
        <v>5121</v>
      </c>
      <c r="D198" s="429" t="s">
        <v>935</v>
      </c>
      <c r="E198" s="429" t="s">
        <v>5288</v>
      </c>
      <c r="F198" s="520" t="s">
        <v>5572</v>
      </c>
      <c r="G198" s="431">
        <v>11041</v>
      </c>
      <c r="H198" s="507" t="s">
        <v>683</v>
      </c>
      <c r="I198" s="104" t="s">
        <v>5565</v>
      </c>
      <c r="J198" s="589" t="s">
        <v>5566</v>
      </c>
      <c r="K198" s="509">
        <v>41694</v>
      </c>
      <c r="L198" s="653">
        <v>369278.35</v>
      </c>
      <c r="M198" s="431">
        <v>11274</v>
      </c>
      <c r="N198" s="509">
        <v>41694</v>
      </c>
      <c r="O198" s="509">
        <v>42059</v>
      </c>
      <c r="P198" s="507" t="s">
        <v>3905</v>
      </c>
      <c r="Q198" s="429"/>
      <c r="R198" s="429"/>
      <c r="S198" s="429"/>
      <c r="T198" s="466" t="s">
        <v>316</v>
      </c>
      <c r="U198" s="429"/>
      <c r="V198" s="429"/>
      <c r="W198" s="429"/>
      <c r="X198" s="518"/>
      <c r="Y198" s="429"/>
      <c r="Z198" s="429"/>
      <c r="AA198" s="429"/>
      <c r="AB198" s="429"/>
      <c r="AC198" s="476"/>
      <c r="AD198" s="429"/>
      <c r="AE198" s="644"/>
      <c r="AF198" s="476"/>
      <c r="AG198" s="653">
        <v>87120.6</v>
      </c>
      <c r="AH198" s="645"/>
      <c r="AI198" s="466" t="s">
        <v>4798</v>
      </c>
      <c r="AJ198" s="508">
        <v>11077</v>
      </c>
      <c r="AK198" s="520" t="s">
        <v>5504</v>
      </c>
      <c r="AL198" s="433">
        <v>11077</v>
      </c>
      <c r="AM198" s="179"/>
      <c r="AN198" s="181"/>
      <c r="AO198" s="181"/>
      <c r="AP198" s="181"/>
      <c r="AQ198" s="181"/>
      <c r="AR198" s="182"/>
      <c r="AS198" s="468"/>
      <c r="AT198" s="165"/>
      <c r="AU198" s="165"/>
      <c r="AV198" s="165"/>
      <c r="AW198" s="165"/>
      <c r="AX198" s="165"/>
      <c r="AY198" s="165"/>
      <c r="AZ198" s="165"/>
      <c r="BA198" s="165"/>
      <c r="BB198" s="165"/>
      <c r="BC198" s="165"/>
      <c r="BD198" s="167"/>
    </row>
    <row r="199" spans="1:56" s="239" customFormat="1" ht="51" x14ac:dyDescent="0.25">
      <c r="A199" s="469">
        <v>134</v>
      </c>
      <c r="B199" s="468" t="s">
        <v>5575</v>
      </c>
      <c r="C199" s="429" t="s">
        <v>5576</v>
      </c>
      <c r="D199" s="429" t="s">
        <v>935</v>
      </c>
      <c r="E199" s="429" t="s">
        <v>5243</v>
      </c>
      <c r="F199" s="104" t="s">
        <v>5577</v>
      </c>
      <c r="G199" s="431">
        <v>10843</v>
      </c>
      <c r="H199" s="507" t="s">
        <v>1019</v>
      </c>
      <c r="I199" s="104" t="s">
        <v>5578</v>
      </c>
      <c r="J199" s="589" t="s">
        <v>5579</v>
      </c>
      <c r="K199" s="509">
        <v>41407</v>
      </c>
      <c r="L199" s="653">
        <v>92500</v>
      </c>
      <c r="M199" s="431">
        <v>11110</v>
      </c>
      <c r="N199" s="509">
        <v>41407</v>
      </c>
      <c r="O199" s="509">
        <v>41772</v>
      </c>
      <c r="P199" s="507" t="s">
        <v>3905</v>
      </c>
      <c r="Q199" s="429"/>
      <c r="R199" s="429"/>
      <c r="S199" s="429"/>
      <c r="T199" s="466" t="s">
        <v>5503</v>
      </c>
      <c r="U199" s="429"/>
      <c r="V199" s="429"/>
      <c r="W199" s="429"/>
      <c r="X199" s="518"/>
      <c r="Y199" s="429"/>
      <c r="Z199" s="429"/>
      <c r="AA199" s="429"/>
      <c r="AB199" s="429"/>
      <c r="AC199" s="476"/>
      <c r="AD199" s="429"/>
      <c r="AE199" s="644"/>
      <c r="AF199" s="476">
        <v>28725</v>
      </c>
      <c r="AG199" s="653">
        <v>37750</v>
      </c>
      <c r="AH199" s="645">
        <f>SUM(AF199:AG199)</f>
        <v>66475</v>
      </c>
      <c r="AI199" s="466" t="s">
        <v>2635</v>
      </c>
      <c r="AJ199" s="508">
        <v>10843</v>
      </c>
      <c r="AK199" s="520" t="s">
        <v>5580</v>
      </c>
      <c r="AL199" s="433">
        <v>10883</v>
      </c>
      <c r="AM199" s="179"/>
      <c r="AN199" s="181"/>
      <c r="AO199" s="181"/>
      <c r="AP199" s="181"/>
      <c r="AQ199" s="181"/>
      <c r="AR199" s="182"/>
      <c r="AS199" s="468"/>
      <c r="AT199" s="165"/>
      <c r="AU199" s="165"/>
      <c r="AV199" s="165"/>
      <c r="AW199" s="165"/>
      <c r="AX199" s="165"/>
      <c r="AY199" s="165"/>
      <c r="AZ199" s="165"/>
      <c r="BA199" s="165"/>
      <c r="BB199" s="165"/>
      <c r="BC199" s="165"/>
      <c r="BD199" s="167"/>
    </row>
    <row r="200" spans="1:56" s="239" customFormat="1" ht="63.75" x14ac:dyDescent="0.25">
      <c r="A200" s="469">
        <v>135</v>
      </c>
      <c r="B200" s="468" t="s">
        <v>5581</v>
      </c>
      <c r="C200" s="429" t="s">
        <v>5568</v>
      </c>
      <c r="D200" s="429" t="s">
        <v>935</v>
      </c>
      <c r="E200" s="429" t="s">
        <v>5243</v>
      </c>
      <c r="F200" s="520" t="s">
        <v>5582</v>
      </c>
      <c r="G200" s="431">
        <v>10812</v>
      </c>
      <c r="H200" s="507" t="s">
        <v>5500</v>
      </c>
      <c r="I200" s="104" t="s">
        <v>5583</v>
      </c>
      <c r="J200" s="589" t="s">
        <v>5584</v>
      </c>
      <c r="K200" s="509">
        <v>41331</v>
      </c>
      <c r="L200" s="653">
        <v>123739.6</v>
      </c>
      <c r="M200" s="431">
        <v>10837</v>
      </c>
      <c r="N200" s="509">
        <v>41331</v>
      </c>
      <c r="O200" s="509">
        <v>41696</v>
      </c>
      <c r="P200" s="507" t="s">
        <v>3905</v>
      </c>
      <c r="Q200" s="429"/>
      <c r="R200" s="429"/>
      <c r="S200" s="429"/>
      <c r="T200" s="466" t="s">
        <v>5503</v>
      </c>
      <c r="U200" s="429"/>
      <c r="V200" s="429"/>
      <c r="W200" s="429"/>
      <c r="X200" s="518"/>
      <c r="Y200" s="429"/>
      <c r="Z200" s="429"/>
      <c r="AA200" s="429"/>
      <c r="AB200" s="429"/>
      <c r="AC200" s="476"/>
      <c r="AD200" s="429"/>
      <c r="AE200" s="644"/>
      <c r="AF200" s="476">
        <v>20978.29</v>
      </c>
      <c r="AG200" s="653">
        <v>12680.13</v>
      </c>
      <c r="AH200" s="645">
        <f>SUM(AF200:AG200)</f>
        <v>33658.42</v>
      </c>
      <c r="AI200" s="466" t="s">
        <v>5570</v>
      </c>
      <c r="AJ200" s="508">
        <v>10812</v>
      </c>
      <c r="AK200" s="520" t="s">
        <v>5512</v>
      </c>
      <c r="AL200" s="433">
        <v>10812</v>
      </c>
      <c r="AM200" s="179"/>
      <c r="AN200" s="181"/>
      <c r="AO200" s="181"/>
      <c r="AP200" s="181"/>
      <c r="AQ200" s="181"/>
      <c r="AR200" s="182"/>
      <c r="AS200" s="468"/>
      <c r="AT200" s="165"/>
      <c r="AU200" s="165"/>
      <c r="AV200" s="165"/>
      <c r="AW200" s="165"/>
      <c r="AX200" s="165"/>
      <c r="AY200" s="165"/>
      <c r="AZ200" s="165"/>
      <c r="BA200" s="165"/>
      <c r="BB200" s="165"/>
      <c r="BC200" s="165"/>
      <c r="BD200" s="167"/>
    </row>
    <row r="201" spans="1:56" s="239" customFormat="1" ht="63.75" x14ac:dyDescent="0.25">
      <c r="A201" s="469">
        <v>136</v>
      </c>
      <c r="B201" s="479" t="s">
        <v>5585</v>
      </c>
      <c r="C201" s="429" t="s">
        <v>5586</v>
      </c>
      <c r="D201" s="429" t="s">
        <v>935</v>
      </c>
      <c r="E201" s="429" t="s">
        <v>5243</v>
      </c>
      <c r="F201" s="520" t="s">
        <v>5587</v>
      </c>
      <c r="G201" s="431">
        <v>11089</v>
      </c>
      <c r="H201" s="507" t="s">
        <v>4339</v>
      </c>
      <c r="I201" s="104" t="s">
        <v>5583</v>
      </c>
      <c r="J201" s="589" t="s">
        <v>5584</v>
      </c>
      <c r="K201" s="509">
        <v>41597</v>
      </c>
      <c r="L201" s="653">
        <v>244500</v>
      </c>
      <c r="M201" s="431">
        <v>11118</v>
      </c>
      <c r="N201" s="509">
        <v>41597</v>
      </c>
      <c r="O201" s="509">
        <v>41962</v>
      </c>
      <c r="P201" s="507" t="s">
        <v>3905</v>
      </c>
      <c r="Q201" s="429"/>
      <c r="R201" s="429"/>
      <c r="S201" s="429"/>
      <c r="T201" s="466" t="s">
        <v>5503</v>
      </c>
      <c r="U201" s="429"/>
      <c r="V201" s="429"/>
      <c r="W201" s="429"/>
      <c r="X201" s="518"/>
      <c r="Y201" s="429"/>
      <c r="Z201" s="429"/>
      <c r="AA201" s="429"/>
      <c r="AB201" s="429"/>
      <c r="AC201" s="476"/>
      <c r="AD201" s="429"/>
      <c r="AE201" s="644"/>
      <c r="AF201" s="476"/>
      <c r="AG201" s="653">
        <v>32320</v>
      </c>
      <c r="AH201" s="645"/>
      <c r="AI201" s="466" t="s">
        <v>5588</v>
      </c>
      <c r="AJ201" s="508">
        <v>11118</v>
      </c>
      <c r="AK201" s="520" t="s">
        <v>5512</v>
      </c>
      <c r="AL201" s="433">
        <v>11118</v>
      </c>
      <c r="AM201" s="179"/>
      <c r="AN201" s="181"/>
      <c r="AO201" s="181"/>
      <c r="AP201" s="181"/>
      <c r="AQ201" s="181"/>
      <c r="AR201" s="182"/>
      <c r="AS201" s="468"/>
      <c r="AT201" s="165"/>
      <c r="AU201" s="165"/>
      <c r="AV201" s="165"/>
      <c r="AW201" s="165"/>
      <c r="AX201" s="165"/>
      <c r="AY201" s="165"/>
      <c r="AZ201" s="165"/>
      <c r="BA201" s="165"/>
      <c r="BB201" s="165"/>
      <c r="BC201" s="165"/>
      <c r="BD201" s="167"/>
    </row>
    <row r="202" spans="1:56" s="239" customFormat="1" ht="63.75" x14ac:dyDescent="0.25">
      <c r="A202" s="469">
        <v>137</v>
      </c>
      <c r="B202" s="468" t="s">
        <v>5589</v>
      </c>
      <c r="C202" s="429" t="s">
        <v>5073</v>
      </c>
      <c r="D202" s="429" t="s">
        <v>935</v>
      </c>
      <c r="E202" s="429" t="s">
        <v>5243</v>
      </c>
      <c r="F202" s="520" t="s">
        <v>5590</v>
      </c>
      <c r="G202" s="431">
        <v>11076</v>
      </c>
      <c r="H202" s="507" t="s">
        <v>1289</v>
      </c>
      <c r="I202" s="104" t="s">
        <v>5591</v>
      </c>
      <c r="J202" s="589" t="s">
        <v>5076</v>
      </c>
      <c r="K202" s="509">
        <v>41597</v>
      </c>
      <c r="L202" s="653">
        <v>738000</v>
      </c>
      <c r="M202" s="431">
        <v>11065</v>
      </c>
      <c r="N202" s="509">
        <v>41597</v>
      </c>
      <c r="O202" s="509">
        <v>41962</v>
      </c>
      <c r="P202" s="507" t="s">
        <v>3905</v>
      </c>
      <c r="Q202" s="429"/>
      <c r="R202" s="429"/>
      <c r="S202" s="429"/>
      <c r="T202" s="466" t="s">
        <v>5503</v>
      </c>
      <c r="U202" s="429"/>
      <c r="V202" s="429"/>
      <c r="W202" s="429"/>
      <c r="X202" s="518"/>
      <c r="Y202" s="429"/>
      <c r="Z202" s="429"/>
      <c r="AA202" s="429"/>
      <c r="AB202" s="429"/>
      <c r="AC202" s="476"/>
      <c r="AD202" s="429"/>
      <c r="AE202" s="644"/>
      <c r="AF202" s="476"/>
      <c r="AG202" s="653">
        <v>27896</v>
      </c>
      <c r="AH202" s="645"/>
      <c r="AI202" s="466" t="s">
        <v>1070</v>
      </c>
      <c r="AJ202" s="508">
        <v>11065</v>
      </c>
      <c r="AK202" s="520" t="s">
        <v>5592</v>
      </c>
      <c r="AL202" s="433">
        <v>11085</v>
      </c>
      <c r="AM202" s="179"/>
      <c r="AN202" s="181"/>
      <c r="AO202" s="181"/>
      <c r="AP202" s="181"/>
      <c r="AQ202" s="181"/>
      <c r="AR202" s="182"/>
      <c r="AS202" s="468"/>
      <c r="AT202" s="165"/>
      <c r="AU202" s="165"/>
      <c r="AV202" s="165"/>
      <c r="AW202" s="165"/>
      <c r="AX202" s="165"/>
      <c r="AY202" s="165"/>
      <c r="AZ202" s="165"/>
      <c r="BA202" s="165"/>
      <c r="BB202" s="165"/>
      <c r="BC202" s="165"/>
      <c r="BD202" s="167"/>
    </row>
    <row r="203" spans="1:56" s="239" customFormat="1" ht="63.75" x14ac:dyDescent="0.25">
      <c r="A203" s="469">
        <v>138</v>
      </c>
      <c r="B203" s="468" t="s">
        <v>5593</v>
      </c>
      <c r="C203" s="429" t="s">
        <v>5594</v>
      </c>
      <c r="D203" s="429" t="s">
        <v>935</v>
      </c>
      <c r="E203" s="429" t="s">
        <v>5288</v>
      </c>
      <c r="F203" s="520" t="s">
        <v>5595</v>
      </c>
      <c r="G203" s="431">
        <v>10815</v>
      </c>
      <c r="H203" s="507" t="s">
        <v>5596</v>
      </c>
      <c r="I203" s="104" t="s">
        <v>5597</v>
      </c>
      <c r="J203" s="589" t="s">
        <v>437</v>
      </c>
      <c r="K203" s="509">
        <v>41109</v>
      </c>
      <c r="L203" s="653">
        <v>110483</v>
      </c>
      <c r="M203" s="431">
        <v>10817</v>
      </c>
      <c r="N203" s="666">
        <v>41109</v>
      </c>
      <c r="O203" s="666">
        <v>41474</v>
      </c>
      <c r="P203" s="507" t="s">
        <v>3905</v>
      </c>
      <c r="Q203" s="429"/>
      <c r="R203" s="429"/>
      <c r="S203" s="429"/>
      <c r="T203" s="466" t="s">
        <v>316</v>
      </c>
      <c r="U203" s="429"/>
      <c r="V203" s="429"/>
      <c r="W203" s="429"/>
      <c r="X203" s="518"/>
      <c r="Y203" s="429"/>
      <c r="Z203" s="429"/>
      <c r="AA203" s="429"/>
      <c r="AB203" s="429"/>
      <c r="AC203" s="476"/>
      <c r="AD203" s="429"/>
      <c r="AE203" s="644"/>
      <c r="AF203" s="476">
        <v>32430</v>
      </c>
      <c r="AG203" s="653">
        <v>27171</v>
      </c>
      <c r="AH203" s="645">
        <f>SUM(AF203:AG203)</f>
        <v>59601</v>
      </c>
      <c r="AI203" s="466" t="s">
        <v>937</v>
      </c>
      <c r="AJ203" s="508">
        <v>10780</v>
      </c>
      <c r="AK203" s="520" t="s">
        <v>5598</v>
      </c>
      <c r="AL203" s="433">
        <v>10780</v>
      </c>
      <c r="AM203" s="179"/>
      <c r="AN203" s="181"/>
      <c r="AO203" s="181"/>
      <c r="AP203" s="181"/>
      <c r="AQ203" s="181"/>
      <c r="AR203" s="182"/>
      <c r="AS203" s="468"/>
      <c r="AT203" s="165"/>
      <c r="AU203" s="165"/>
      <c r="AV203" s="165"/>
      <c r="AW203" s="165"/>
      <c r="AX203" s="165"/>
      <c r="AY203" s="165"/>
      <c r="AZ203" s="165"/>
      <c r="BA203" s="165"/>
      <c r="BB203" s="165"/>
      <c r="BC203" s="165"/>
      <c r="BD203" s="167"/>
    </row>
    <row r="204" spans="1:56" s="239" customFormat="1" ht="38.25" x14ac:dyDescent="0.25">
      <c r="A204" s="469">
        <v>139</v>
      </c>
      <c r="B204" s="468" t="s">
        <v>389</v>
      </c>
      <c r="C204" s="429" t="s">
        <v>390</v>
      </c>
      <c r="D204" s="429" t="s">
        <v>935</v>
      </c>
      <c r="E204" s="429" t="s">
        <v>5243</v>
      </c>
      <c r="F204" s="520" t="s">
        <v>5553</v>
      </c>
      <c r="G204" s="431">
        <v>11289</v>
      </c>
      <c r="H204" s="507" t="s">
        <v>750</v>
      </c>
      <c r="I204" s="104" t="s">
        <v>5599</v>
      </c>
      <c r="J204" s="589" t="s">
        <v>394</v>
      </c>
      <c r="K204" s="509">
        <v>41837</v>
      </c>
      <c r="L204" s="653">
        <v>65140</v>
      </c>
      <c r="M204" s="431">
        <v>11359</v>
      </c>
      <c r="N204" s="509">
        <v>41837</v>
      </c>
      <c r="O204" s="509">
        <v>42202</v>
      </c>
      <c r="P204" s="507" t="s">
        <v>3905</v>
      </c>
      <c r="Q204" s="429"/>
      <c r="R204" s="429"/>
      <c r="S204" s="429"/>
      <c r="T204" s="466" t="s">
        <v>316</v>
      </c>
      <c r="U204" s="429"/>
      <c r="V204" s="429"/>
      <c r="W204" s="429"/>
      <c r="X204" s="518"/>
      <c r="Y204" s="429"/>
      <c r="Z204" s="429"/>
      <c r="AA204" s="429"/>
      <c r="AB204" s="429"/>
      <c r="AC204" s="476"/>
      <c r="AD204" s="429"/>
      <c r="AE204" s="644"/>
      <c r="AF204" s="476"/>
      <c r="AG204" s="653">
        <v>15628.7</v>
      </c>
      <c r="AH204" s="645"/>
      <c r="AI204" s="466" t="s">
        <v>683</v>
      </c>
      <c r="AJ204" s="508">
        <v>11322</v>
      </c>
      <c r="AK204" s="520" t="s">
        <v>5600</v>
      </c>
      <c r="AL204" s="433">
        <v>11322</v>
      </c>
      <c r="AM204" s="179"/>
      <c r="AN204" s="181"/>
      <c r="AO204" s="181"/>
      <c r="AP204" s="181"/>
      <c r="AQ204" s="181"/>
      <c r="AR204" s="182"/>
      <c r="AS204" s="468"/>
      <c r="AT204" s="165"/>
      <c r="AU204" s="165"/>
      <c r="AV204" s="165"/>
      <c r="AW204" s="165"/>
      <c r="AX204" s="165"/>
      <c r="AY204" s="165"/>
      <c r="AZ204" s="165"/>
      <c r="BA204" s="165"/>
      <c r="BB204" s="165"/>
      <c r="BC204" s="165"/>
      <c r="BD204" s="167"/>
    </row>
    <row r="205" spans="1:56" s="239" customFormat="1" ht="51" x14ac:dyDescent="0.25">
      <c r="A205" s="469">
        <v>140</v>
      </c>
      <c r="B205" s="468" t="s">
        <v>1417</v>
      </c>
      <c r="C205" s="429" t="s">
        <v>1057</v>
      </c>
      <c r="D205" s="429" t="s">
        <v>935</v>
      </c>
      <c r="E205" s="429" t="s">
        <v>5243</v>
      </c>
      <c r="F205" s="520" t="s">
        <v>5601</v>
      </c>
      <c r="G205" s="431">
        <v>11063</v>
      </c>
      <c r="H205" s="507" t="s">
        <v>1498</v>
      </c>
      <c r="I205" s="104" t="s">
        <v>5602</v>
      </c>
      <c r="J205" s="589" t="s">
        <v>639</v>
      </c>
      <c r="K205" s="509">
        <v>41507</v>
      </c>
      <c r="L205" s="653">
        <v>43200</v>
      </c>
      <c r="M205" s="431">
        <v>11107</v>
      </c>
      <c r="N205" s="666">
        <v>41507</v>
      </c>
      <c r="O205" s="666" t="s">
        <v>5603</v>
      </c>
      <c r="P205" s="507" t="s">
        <v>3905</v>
      </c>
      <c r="Q205" s="429" t="s">
        <v>5604</v>
      </c>
      <c r="R205" s="429"/>
      <c r="S205" s="429"/>
      <c r="T205" s="466" t="s">
        <v>5503</v>
      </c>
      <c r="U205" s="507" t="s">
        <v>5275</v>
      </c>
      <c r="V205" s="432">
        <v>41872</v>
      </c>
      <c r="W205" s="431">
        <v>11447</v>
      </c>
      <c r="X205" s="518" t="s">
        <v>5252</v>
      </c>
      <c r="Y205" s="432">
        <v>41872</v>
      </c>
      <c r="Z205" s="432">
        <v>42237</v>
      </c>
      <c r="AA205" s="429"/>
      <c r="AB205" s="429"/>
      <c r="AC205" s="476">
        <v>43200</v>
      </c>
      <c r="AD205" s="429"/>
      <c r="AE205" s="644">
        <v>86400</v>
      </c>
      <c r="AF205" s="476">
        <v>5400</v>
      </c>
      <c r="AG205" s="653">
        <v>14400</v>
      </c>
      <c r="AH205" s="645">
        <f>SUM(AF205:AG205)</f>
        <v>19800</v>
      </c>
      <c r="AI205" s="466" t="s">
        <v>901</v>
      </c>
      <c r="AJ205" s="508">
        <v>11063</v>
      </c>
      <c r="AK205" s="520" t="s">
        <v>5605</v>
      </c>
      <c r="AL205" s="433">
        <v>11107</v>
      </c>
      <c r="AM205" s="179"/>
      <c r="AN205" s="181"/>
      <c r="AO205" s="181"/>
      <c r="AP205" s="181"/>
      <c r="AQ205" s="181"/>
      <c r="AR205" s="182"/>
      <c r="AS205" s="468"/>
      <c r="AT205" s="165"/>
      <c r="AU205" s="165"/>
      <c r="AV205" s="165"/>
      <c r="AW205" s="165"/>
      <c r="AX205" s="165"/>
      <c r="AY205" s="165"/>
      <c r="AZ205" s="165"/>
      <c r="BA205" s="165"/>
      <c r="BB205" s="165"/>
      <c r="BC205" s="165"/>
      <c r="BD205" s="167"/>
    </row>
    <row r="206" spans="1:56" s="239" customFormat="1" ht="38.25" x14ac:dyDescent="0.25">
      <c r="A206" s="469">
        <v>141</v>
      </c>
      <c r="B206" s="468" t="s">
        <v>5606</v>
      </c>
      <c r="C206" s="429" t="s">
        <v>1070</v>
      </c>
      <c r="D206" s="429" t="s">
        <v>935</v>
      </c>
      <c r="E206" s="429" t="s">
        <v>5243</v>
      </c>
      <c r="F206" s="520" t="s">
        <v>5607</v>
      </c>
      <c r="G206" s="431">
        <v>10978</v>
      </c>
      <c r="H206" s="507" t="s">
        <v>1430</v>
      </c>
      <c r="I206" s="104" t="s">
        <v>5608</v>
      </c>
      <c r="J206" s="589" t="s">
        <v>4414</v>
      </c>
      <c r="K206" s="509">
        <v>41498</v>
      </c>
      <c r="L206" s="653">
        <v>306396.79999999999</v>
      </c>
      <c r="M206" s="431">
        <v>11026</v>
      </c>
      <c r="N206" s="509">
        <v>41498</v>
      </c>
      <c r="O206" s="509">
        <v>41863</v>
      </c>
      <c r="P206" s="507" t="s">
        <v>3905</v>
      </c>
      <c r="Q206" s="429"/>
      <c r="R206" s="429"/>
      <c r="S206" s="429"/>
      <c r="T206" s="466" t="s">
        <v>316</v>
      </c>
      <c r="U206" s="429"/>
      <c r="V206" s="429"/>
      <c r="W206" s="429"/>
      <c r="X206" s="518"/>
      <c r="Y206" s="429"/>
      <c r="Z206" s="429"/>
      <c r="AA206" s="429"/>
      <c r="AB206" s="429"/>
      <c r="AC206" s="476"/>
      <c r="AD206" s="429"/>
      <c r="AE206" s="644"/>
      <c r="AF206" s="476">
        <v>13741.14</v>
      </c>
      <c r="AG206" s="653">
        <v>17507.990000000002</v>
      </c>
      <c r="AH206" s="645">
        <f>SUM(AF206:AG206)</f>
        <v>31249.13</v>
      </c>
      <c r="AI206" s="466" t="s">
        <v>403</v>
      </c>
      <c r="AJ206" s="508">
        <v>10978</v>
      </c>
      <c r="AK206" s="520" t="s">
        <v>5519</v>
      </c>
      <c r="AL206" s="433">
        <v>11026</v>
      </c>
      <c r="AM206" s="179"/>
      <c r="AN206" s="181"/>
      <c r="AO206" s="181"/>
      <c r="AP206" s="181"/>
      <c r="AQ206" s="181"/>
      <c r="AR206" s="182"/>
      <c r="AS206" s="468"/>
      <c r="AT206" s="165"/>
      <c r="AU206" s="165"/>
      <c r="AV206" s="165"/>
      <c r="AW206" s="165"/>
      <c r="AX206" s="165"/>
      <c r="AY206" s="165"/>
      <c r="AZ206" s="165"/>
      <c r="BA206" s="165"/>
      <c r="BB206" s="165"/>
      <c r="BC206" s="165"/>
      <c r="BD206" s="167"/>
    </row>
    <row r="207" spans="1:56" s="239" customFormat="1" ht="63.75" x14ac:dyDescent="0.25">
      <c r="A207" s="469">
        <v>142</v>
      </c>
      <c r="B207" s="668" t="s">
        <v>5609</v>
      </c>
      <c r="C207" s="429" t="s">
        <v>5610</v>
      </c>
      <c r="D207" s="429" t="s">
        <v>935</v>
      </c>
      <c r="E207" s="429" t="s">
        <v>5243</v>
      </c>
      <c r="F207" s="520" t="s">
        <v>5611</v>
      </c>
      <c r="G207" s="657">
        <v>10845</v>
      </c>
      <c r="H207" s="507" t="s">
        <v>5500</v>
      </c>
      <c r="I207" s="104" t="s">
        <v>5069</v>
      </c>
      <c r="J207" s="589" t="s">
        <v>5070</v>
      </c>
      <c r="K207" s="509">
        <v>41380</v>
      </c>
      <c r="L207" s="653">
        <v>125000</v>
      </c>
      <c r="M207" s="657">
        <v>10866</v>
      </c>
      <c r="N207" s="509">
        <v>41380</v>
      </c>
      <c r="O207" s="509">
        <v>41745</v>
      </c>
      <c r="P207" s="507" t="s">
        <v>3905</v>
      </c>
      <c r="Q207" s="429"/>
      <c r="R207" s="429"/>
      <c r="S207" s="429"/>
      <c r="T207" s="466" t="s">
        <v>316</v>
      </c>
      <c r="U207" s="429"/>
      <c r="V207" s="429"/>
      <c r="W207" s="429"/>
      <c r="X207" s="518"/>
      <c r="Y207" s="429"/>
      <c r="Z207" s="429"/>
      <c r="AA207" s="429"/>
      <c r="AB207" s="429"/>
      <c r="AC207" s="476"/>
      <c r="AD207" s="429"/>
      <c r="AE207" s="644"/>
      <c r="AF207" s="476">
        <v>44568.6</v>
      </c>
      <c r="AG207" s="653">
        <v>45303.31</v>
      </c>
      <c r="AH207" s="645">
        <f>SUM(AF207:AG207)</f>
        <v>89871.91</v>
      </c>
      <c r="AI207" s="466" t="s">
        <v>5612</v>
      </c>
      <c r="AJ207" s="508">
        <v>10845</v>
      </c>
      <c r="AK207" s="520" t="s">
        <v>5512</v>
      </c>
      <c r="AL207" s="657">
        <v>10845</v>
      </c>
      <c r="AM207" s="179"/>
      <c r="AN207" s="181"/>
      <c r="AO207" s="181"/>
      <c r="AP207" s="181"/>
      <c r="AQ207" s="181"/>
      <c r="AR207" s="182"/>
      <c r="AS207" s="468"/>
      <c r="AT207" s="165"/>
      <c r="AU207" s="165"/>
      <c r="AV207" s="165"/>
      <c r="AW207" s="165"/>
      <c r="AX207" s="165"/>
      <c r="AY207" s="165"/>
      <c r="AZ207" s="165"/>
      <c r="BA207" s="165"/>
      <c r="BB207" s="165"/>
      <c r="BC207" s="165"/>
      <c r="BD207" s="167"/>
    </row>
    <row r="208" spans="1:56" s="239" customFormat="1" ht="63.75" x14ac:dyDescent="0.25">
      <c r="A208" s="469">
        <v>143</v>
      </c>
      <c r="B208" s="468" t="s">
        <v>986</v>
      </c>
      <c r="C208" s="429" t="s">
        <v>5613</v>
      </c>
      <c r="D208" s="429" t="s">
        <v>935</v>
      </c>
      <c r="E208" s="429" t="s">
        <v>5243</v>
      </c>
      <c r="F208" s="520" t="s">
        <v>4507</v>
      </c>
      <c r="G208" s="431">
        <v>11121</v>
      </c>
      <c r="H208" s="507" t="s">
        <v>741</v>
      </c>
      <c r="I208" s="104" t="s">
        <v>5069</v>
      </c>
      <c r="J208" s="589" t="s">
        <v>5070</v>
      </c>
      <c r="K208" s="509">
        <v>41764</v>
      </c>
      <c r="L208" s="653">
        <v>103000</v>
      </c>
      <c r="M208" s="431">
        <v>11315</v>
      </c>
      <c r="N208" s="509">
        <v>41764</v>
      </c>
      <c r="O208" s="509">
        <v>42129</v>
      </c>
      <c r="P208" s="507" t="s">
        <v>3905</v>
      </c>
      <c r="Q208" s="429"/>
      <c r="R208" s="429"/>
      <c r="S208" s="429"/>
      <c r="T208" s="466" t="s">
        <v>316</v>
      </c>
      <c r="U208" s="429"/>
      <c r="V208" s="429"/>
      <c r="W208" s="429"/>
      <c r="X208" s="518"/>
      <c r="Y208" s="429"/>
      <c r="Z208" s="429"/>
      <c r="AA208" s="429"/>
      <c r="AB208" s="429"/>
      <c r="AC208" s="476"/>
      <c r="AD208" s="429"/>
      <c r="AE208" s="644"/>
      <c r="AF208" s="476"/>
      <c r="AG208" s="653">
        <v>34376.85</v>
      </c>
      <c r="AH208" s="645"/>
      <c r="AI208" s="466" t="s">
        <v>5307</v>
      </c>
      <c r="AJ208" s="508">
        <v>11151</v>
      </c>
      <c r="AK208" s="520" t="s">
        <v>5512</v>
      </c>
      <c r="AL208" s="433">
        <v>11151</v>
      </c>
      <c r="AM208" s="179"/>
      <c r="AN208" s="181"/>
      <c r="AO208" s="181"/>
      <c r="AP208" s="181"/>
      <c r="AQ208" s="181"/>
      <c r="AR208" s="182"/>
      <c r="AS208" s="468"/>
      <c r="AT208" s="165"/>
      <c r="AU208" s="165"/>
      <c r="AV208" s="165"/>
      <c r="AW208" s="165"/>
      <c r="AX208" s="165"/>
      <c r="AY208" s="165"/>
      <c r="AZ208" s="165"/>
      <c r="BA208" s="165"/>
      <c r="BB208" s="165"/>
      <c r="BC208" s="165"/>
      <c r="BD208" s="167"/>
    </row>
    <row r="209" spans="1:56" s="239" customFormat="1" ht="63.75" x14ac:dyDescent="0.25">
      <c r="A209" s="469">
        <v>144</v>
      </c>
      <c r="B209" s="468" t="s">
        <v>1638</v>
      </c>
      <c r="C209" s="429" t="s">
        <v>5066</v>
      </c>
      <c r="D209" s="429" t="s">
        <v>935</v>
      </c>
      <c r="E209" s="429" t="s">
        <v>5243</v>
      </c>
      <c r="F209" s="520" t="s">
        <v>4507</v>
      </c>
      <c r="G209" s="431">
        <v>11147</v>
      </c>
      <c r="H209" s="507" t="s">
        <v>744</v>
      </c>
      <c r="I209" s="104" t="s">
        <v>5069</v>
      </c>
      <c r="J209" s="589" t="s">
        <v>5070</v>
      </c>
      <c r="K209" s="509">
        <v>41764</v>
      </c>
      <c r="L209" s="653">
        <v>879856</v>
      </c>
      <c r="M209" s="431">
        <v>11315</v>
      </c>
      <c r="N209" s="509">
        <v>41764</v>
      </c>
      <c r="O209" s="509">
        <v>42129</v>
      </c>
      <c r="P209" s="507" t="s">
        <v>3905</v>
      </c>
      <c r="Q209" s="429"/>
      <c r="R209" s="429"/>
      <c r="S209" s="429"/>
      <c r="T209" s="466" t="s">
        <v>316</v>
      </c>
      <c r="U209" s="429"/>
      <c r="V209" s="429"/>
      <c r="W209" s="429"/>
      <c r="X209" s="518"/>
      <c r="Y209" s="429"/>
      <c r="Z209" s="429"/>
      <c r="AA209" s="429"/>
      <c r="AB209" s="429"/>
      <c r="AC209" s="476"/>
      <c r="AD209" s="429"/>
      <c r="AE209" s="644"/>
      <c r="AF209" s="476"/>
      <c r="AG209" s="653">
        <v>47685.59</v>
      </c>
      <c r="AH209" s="645"/>
      <c r="AI209" s="466" t="s">
        <v>1387</v>
      </c>
      <c r="AJ209" s="508">
        <v>11166</v>
      </c>
      <c r="AK209" s="520" t="s">
        <v>5512</v>
      </c>
      <c r="AL209" s="433">
        <v>11166</v>
      </c>
      <c r="AM209" s="179"/>
      <c r="AN209" s="181"/>
      <c r="AO209" s="181"/>
      <c r="AP209" s="181"/>
      <c r="AQ209" s="181"/>
      <c r="AR209" s="182"/>
      <c r="AS209" s="468"/>
      <c r="AT209" s="165"/>
      <c r="AU209" s="165"/>
      <c r="AV209" s="165"/>
      <c r="AW209" s="165"/>
      <c r="AX209" s="165"/>
      <c r="AY209" s="165"/>
      <c r="AZ209" s="165"/>
      <c r="BA209" s="165"/>
      <c r="BB209" s="165"/>
      <c r="BC209" s="165"/>
      <c r="BD209" s="167"/>
    </row>
    <row r="210" spans="1:56" s="239" customFormat="1" ht="51" x14ac:dyDescent="0.25">
      <c r="A210" s="469">
        <v>145</v>
      </c>
      <c r="B210" s="468" t="s">
        <v>5614</v>
      </c>
      <c r="C210" s="429" t="s">
        <v>5615</v>
      </c>
      <c r="D210" s="429" t="s">
        <v>935</v>
      </c>
      <c r="E210" s="429" t="s">
        <v>5243</v>
      </c>
      <c r="F210" s="520" t="s">
        <v>5616</v>
      </c>
      <c r="G210" s="431">
        <v>11386</v>
      </c>
      <c r="H210" s="507" t="s">
        <v>784</v>
      </c>
      <c r="I210" s="104" t="s">
        <v>5617</v>
      </c>
      <c r="J210" s="589" t="s">
        <v>5618</v>
      </c>
      <c r="K210" s="509">
        <v>41967</v>
      </c>
      <c r="L210" s="653">
        <v>44975</v>
      </c>
      <c r="M210" s="431">
        <v>11483</v>
      </c>
      <c r="N210" s="509">
        <v>41967</v>
      </c>
      <c r="O210" s="509">
        <v>42332</v>
      </c>
      <c r="P210" s="507" t="s">
        <v>3905</v>
      </c>
      <c r="Q210" s="429"/>
      <c r="R210" s="429"/>
      <c r="S210" s="429"/>
      <c r="T210" s="508" t="s">
        <v>408</v>
      </c>
      <c r="U210" s="429"/>
      <c r="V210" s="429"/>
      <c r="W210" s="429"/>
      <c r="X210" s="518"/>
      <c r="Y210" s="429"/>
      <c r="Z210" s="429"/>
      <c r="AA210" s="429"/>
      <c r="AB210" s="429"/>
      <c r="AC210" s="476"/>
      <c r="AD210" s="429"/>
      <c r="AE210" s="644"/>
      <c r="AF210" s="476"/>
      <c r="AG210" s="653">
        <v>44975</v>
      </c>
      <c r="AH210" s="645"/>
      <c r="AI210" s="466" t="s">
        <v>747</v>
      </c>
      <c r="AJ210" s="508">
        <v>11431</v>
      </c>
      <c r="AK210" s="520" t="s">
        <v>5550</v>
      </c>
      <c r="AL210" s="657">
        <v>11431</v>
      </c>
      <c r="AM210" s="179"/>
      <c r="AN210" s="181"/>
      <c r="AO210" s="181"/>
      <c r="AP210" s="181"/>
      <c r="AQ210" s="181"/>
      <c r="AR210" s="182"/>
      <c r="AS210" s="468"/>
      <c r="AT210" s="165"/>
      <c r="AU210" s="165"/>
      <c r="AV210" s="165"/>
      <c r="AW210" s="165"/>
      <c r="AX210" s="165"/>
      <c r="AY210" s="165"/>
      <c r="AZ210" s="165"/>
      <c r="BA210" s="165"/>
      <c r="BB210" s="165"/>
      <c r="BC210" s="165"/>
      <c r="BD210" s="167"/>
    </row>
    <row r="211" spans="1:56" s="239" customFormat="1" ht="51" x14ac:dyDescent="0.25">
      <c r="A211" s="469">
        <v>146</v>
      </c>
      <c r="B211" s="468" t="s">
        <v>5619</v>
      </c>
      <c r="C211" s="429" t="s">
        <v>5620</v>
      </c>
      <c r="D211" s="429" t="s">
        <v>935</v>
      </c>
      <c r="E211" s="429" t="s">
        <v>5288</v>
      </c>
      <c r="F211" s="520" t="s">
        <v>5621</v>
      </c>
      <c r="G211" s="431">
        <v>10776</v>
      </c>
      <c r="H211" s="507" t="s">
        <v>2727</v>
      </c>
      <c r="I211" s="104" t="s">
        <v>5622</v>
      </c>
      <c r="J211" s="589" t="s">
        <v>5623</v>
      </c>
      <c r="K211" s="509">
        <v>41442</v>
      </c>
      <c r="L211" s="653">
        <v>20498.400000000001</v>
      </c>
      <c r="M211" s="431">
        <v>11110</v>
      </c>
      <c r="N211" s="509">
        <v>41442</v>
      </c>
      <c r="O211" s="509">
        <v>41807</v>
      </c>
      <c r="P211" s="507" t="s">
        <v>3905</v>
      </c>
      <c r="Q211" s="429"/>
      <c r="R211" s="429"/>
      <c r="S211" s="429"/>
      <c r="T211" s="466" t="s">
        <v>5503</v>
      </c>
      <c r="U211" s="429"/>
      <c r="V211" s="429"/>
      <c r="W211" s="429"/>
      <c r="X211" s="518"/>
      <c r="Y211" s="429"/>
      <c r="Z211" s="429"/>
      <c r="AA211" s="429"/>
      <c r="AB211" s="429"/>
      <c r="AC211" s="476"/>
      <c r="AD211" s="429"/>
      <c r="AE211" s="644"/>
      <c r="AF211" s="476">
        <v>1655.64</v>
      </c>
      <c r="AG211" s="653">
        <v>5834.16</v>
      </c>
      <c r="AH211" s="645">
        <f>SUM(AF211:AG211)</f>
        <v>7489.8</v>
      </c>
      <c r="AI211" s="466" t="s">
        <v>5624</v>
      </c>
      <c r="AJ211" s="508">
        <v>10769</v>
      </c>
      <c r="AK211" s="520" t="s">
        <v>5497</v>
      </c>
      <c r="AL211" s="433">
        <v>10823</v>
      </c>
      <c r="AM211" s="179"/>
      <c r="AN211" s="181"/>
      <c r="AO211" s="181"/>
      <c r="AP211" s="181"/>
      <c r="AQ211" s="181"/>
      <c r="AR211" s="182"/>
      <c r="AS211" s="468"/>
      <c r="AT211" s="165"/>
      <c r="AU211" s="165"/>
      <c r="AV211" s="165"/>
      <c r="AW211" s="165"/>
      <c r="AX211" s="165"/>
      <c r="AY211" s="165"/>
      <c r="AZ211" s="165"/>
      <c r="BA211" s="165"/>
      <c r="BB211" s="165"/>
      <c r="BC211" s="165"/>
      <c r="BD211" s="167"/>
    </row>
    <row r="212" spans="1:56" s="239" customFormat="1" ht="63.75" x14ac:dyDescent="0.25">
      <c r="A212" s="469">
        <v>147</v>
      </c>
      <c r="B212" s="468" t="s">
        <v>5625</v>
      </c>
      <c r="C212" s="429" t="s">
        <v>5626</v>
      </c>
      <c r="D212" s="429" t="s">
        <v>935</v>
      </c>
      <c r="E212" s="429" t="s">
        <v>5288</v>
      </c>
      <c r="F212" s="104" t="s">
        <v>5572</v>
      </c>
      <c r="G212" s="431">
        <v>10741</v>
      </c>
      <c r="H212" s="507" t="s">
        <v>5500</v>
      </c>
      <c r="I212" s="104" t="s">
        <v>5627</v>
      </c>
      <c r="J212" s="589" t="s">
        <v>5481</v>
      </c>
      <c r="K212" s="509">
        <v>41354</v>
      </c>
      <c r="L212" s="653">
        <v>159100</v>
      </c>
      <c r="M212" s="431">
        <v>10780</v>
      </c>
      <c r="N212" s="509">
        <v>41354</v>
      </c>
      <c r="O212" s="509">
        <v>41719</v>
      </c>
      <c r="P212" s="507" t="s">
        <v>3905</v>
      </c>
      <c r="Q212" s="429"/>
      <c r="R212" s="429"/>
      <c r="S212" s="429"/>
      <c r="T212" s="466" t="s">
        <v>316</v>
      </c>
      <c r="U212" s="429"/>
      <c r="V212" s="429"/>
      <c r="W212" s="429"/>
      <c r="X212" s="518"/>
      <c r="Y212" s="429"/>
      <c r="Z212" s="429"/>
      <c r="AA212" s="429"/>
      <c r="AB212" s="429"/>
      <c r="AC212" s="476"/>
      <c r="AD212" s="429"/>
      <c r="AE212" s="644"/>
      <c r="AF212" s="476">
        <v>38114.129999999997</v>
      </c>
      <c r="AG212" s="653">
        <v>11448.65</v>
      </c>
      <c r="AH212" s="645">
        <f>SUM(AF212:AG212)</f>
        <v>49562.78</v>
      </c>
      <c r="AI212" s="466" t="s">
        <v>4769</v>
      </c>
      <c r="AJ212" s="508">
        <v>10710</v>
      </c>
      <c r="AK212" s="520" t="s">
        <v>5512</v>
      </c>
      <c r="AL212" s="433">
        <v>10780</v>
      </c>
      <c r="AM212" s="179"/>
      <c r="AN212" s="181"/>
      <c r="AO212" s="181"/>
      <c r="AP212" s="181"/>
      <c r="AQ212" s="181"/>
      <c r="AR212" s="182"/>
      <c r="AS212" s="468"/>
      <c r="AT212" s="165"/>
      <c r="AU212" s="165"/>
      <c r="AV212" s="165"/>
      <c r="AW212" s="165"/>
      <c r="AX212" s="165"/>
      <c r="AY212" s="165"/>
      <c r="AZ212" s="165"/>
      <c r="BA212" s="165"/>
      <c r="BB212" s="165"/>
      <c r="BC212" s="165"/>
      <c r="BD212" s="167"/>
    </row>
    <row r="213" spans="1:56" s="239" customFormat="1" ht="38.25" x14ac:dyDescent="0.25">
      <c r="A213" s="469">
        <v>148</v>
      </c>
      <c r="B213" s="468" t="s">
        <v>2791</v>
      </c>
      <c r="C213" s="429" t="s">
        <v>3004</v>
      </c>
      <c r="D213" s="429" t="s">
        <v>935</v>
      </c>
      <c r="E213" s="429" t="s">
        <v>5243</v>
      </c>
      <c r="F213" s="104" t="s">
        <v>5628</v>
      </c>
      <c r="G213" s="431">
        <v>11093</v>
      </c>
      <c r="H213" s="507" t="s">
        <v>1478</v>
      </c>
      <c r="I213" s="104" t="s">
        <v>5629</v>
      </c>
      <c r="J213" s="589" t="s">
        <v>5630</v>
      </c>
      <c r="K213" s="509">
        <v>41506</v>
      </c>
      <c r="L213" s="653">
        <v>508660</v>
      </c>
      <c r="M213" s="429">
        <v>11.93</v>
      </c>
      <c r="N213" s="509">
        <v>41506</v>
      </c>
      <c r="O213" s="509">
        <v>41871</v>
      </c>
      <c r="P213" s="507" t="s">
        <v>3905</v>
      </c>
      <c r="Q213" s="429"/>
      <c r="R213" s="429"/>
      <c r="S213" s="429"/>
      <c r="T213" s="466" t="s">
        <v>316</v>
      </c>
      <c r="U213" s="429"/>
      <c r="V213" s="429"/>
      <c r="W213" s="429"/>
      <c r="X213" s="518"/>
      <c r="Y213" s="429"/>
      <c r="Z213" s="429"/>
      <c r="AA213" s="429"/>
      <c r="AB213" s="429"/>
      <c r="AC213" s="476"/>
      <c r="AD213" s="429"/>
      <c r="AE213" s="644"/>
      <c r="AF213" s="476">
        <v>31291.3</v>
      </c>
      <c r="AG213" s="653">
        <v>31169.68</v>
      </c>
      <c r="AH213" s="645">
        <f>SUM(AF213:AG213)</f>
        <v>62460.979999999996</v>
      </c>
      <c r="AI213" s="466" t="s">
        <v>1295</v>
      </c>
      <c r="AJ213" s="508">
        <v>11082</v>
      </c>
      <c r="AK213" s="520" t="s">
        <v>5504</v>
      </c>
      <c r="AL213" s="433">
        <v>11082</v>
      </c>
      <c r="AM213" s="179"/>
      <c r="AN213" s="181"/>
      <c r="AO213" s="181"/>
      <c r="AP213" s="181"/>
      <c r="AQ213" s="181"/>
      <c r="AR213" s="182"/>
      <c r="AS213" s="468"/>
      <c r="AT213" s="165"/>
      <c r="AU213" s="165"/>
      <c r="AV213" s="165"/>
      <c r="AW213" s="165"/>
      <c r="AX213" s="165"/>
      <c r="AY213" s="165"/>
      <c r="AZ213" s="165"/>
      <c r="BA213" s="165"/>
      <c r="BB213" s="165"/>
      <c r="BC213" s="165"/>
      <c r="BD213" s="167"/>
    </row>
    <row r="214" spans="1:56" s="239" customFormat="1" ht="25.5" x14ac:dyDescent="0.25">
      <c r="A214" s="469">
        <v>149</v>
      </c>
      <c r="B214" s="468"/>
      <c r="C214" s="429"/>
      <c r="D214" s="429"/>
      <c r="E214" s="429"/>
      <c r="F214" s="669"/>
      <c r="G214" s="431"/>
      <c r="H214" s="527"/>
      <c r="I214" s="518" t="s">
        <v>5631</v>
      </c>
      <c r="J214" s="589" t="s">
        <v>5632</v>
      </c>
      <c r="K214" s="436"/>
      <c r="L214" s="569"/>
      <c r="M214" s="429"/>
      <c r="N214" s="519"/>
      <c r="O214" s="519"/>
      <c r="P214" s="507" t="s">
        <v>3905</v>
      </c>
      <c r="Q214" s="429"/>
      <c r="R214" s="429"/>
      <c r="S214" s="429"/>
      <c r="T214" s="456" t="s">
        <v>208</v>
      </c>
      <c r="U214" s="429"/>
      <c r="V214" s="429"/>
      <c r="W214" s="429"/>
      <c r="X214" s="518"/>
      <c r="Y214" s="429"/>
      <c r="Z214" s="429"/>
      <c r="AA214" s="429"/>
      <c r="AB214" s="429"/>
      <c r="AC214" s="476"/>
      <c r="AD214" s="429"/>
      <c r="AE214" s="644"/>
      <c r="AF214" s="476"/>
      <c r="AG214" s="476">
        <v>2003.4</v>
      </c>
      <c r="AH214" s="645"/>
      <c r="AI214" s="179"/>
      <c r="AJ214" s="107"/>
      <c r="AK214" s="107"/>
      <c r="AL214" s="670"/>
      <c r="AM214" s="179"/>
      <c r="AN214" s="181"/>
      <c r="AO214" s="181"/>
      <c r="AP214" s="181"/>
      <c r="AQ214" s="181"/>
      <c r="AR214" s="182"/>
      <c r="AS214" s="468"/>
      <c r="AT214" s="165"/>
      <c r="AU214" s="165"/>
      <c r="AV214" s="165"/>
      <c r="AW214" s="165"/>
      <c r="AX214" s="165"/>
      <c r="AY214" s="165"/>
      <c r="AZ214" s="165"/>
      <c r="BA214" s="165"/>
      <c r="BB214" s="165"/>
      <c r="BC214" s="165"/>
      <c r="BD214" s="167"/>
    </row>
    <row r="215" spans="1:56" s="239" customFormat="1" ht="25.5" x14ac:dyDescent="0.25">
      <c r="A215" s="469">
        <v>150</v>
      </c>
      <c r="B215" s="468"/>
      <c r="C215" s="429"/>
      <c r="D215" s="429"/>
      <c r="E215" s="429"/>
      <c r="F215" s="669"/>
      <c r="G215" s="431"/>
      <c r="H215" s="527"/>
      <c r="I215" s="518" t="s">
        <v>5633</v>
      </c>
      <c r="J215" s="589" t="s">
        <v>5634</v>
      </c>
      <c r="K215" s="436"/>
      <c r="L215" s="569"/>
      <c r="M215" s="429"/>
      <c r="N215" s="519"/>
      <c r="O215" s="519"/>
      <c r="P215" s="507" t="s">
        <v>3905</v>
      </c>
      <c r="Q215" s="429"/>
      <c r="R215" s="429"/>
      <c r="S215" s="429"/>
      <c r="T215" s="456" t="s">
        <v>208</v>
      </c>
      <c r="U215" s="429"/>
      <c r="V215" s="429"/>
      <c r="W215" s="429"/>
      <c r="X215" s="518"/>
      <c r="Y215" s="429"/>
      <c r="Z215" s="429"/>
      <c r="AA215" s="429"/>
      <c r="AB215" s="429"/>
      <c r="AC215" s="476"/>
      <c r="AD215" s="429"/>
      <c r="AE215" s="644"/>
      <c r="AF215" s="476"/>
      <c r="AG215" s="476">
        <v>4702.63</v>
      </c>
      <c r="AH215" s="645"/>
      <c r="AI215" s="179"/>
      <c r="AJ215" s="107"/>
      <c r="AK215" s="107"/>
      <c r="AL215" s="670"/>
      <c r="AM215" s="179"/>
      <c r="AN215" s="181"/>
      <c r="AO215" s="181"/>
      <c r="AP215" s="181"/>
      <c r="AQ215" s="181"/>
      <c r="AR215" s="182"/>
      <c r="AS215" s="468"/>
      <c r="AT215" s="165"/>
      <c r="AU215" s="165"/>
      <c r="AV215" s="165"/>
      <c r="AW215" s="165"/>
      <c r="AX215" s="165"/>
      <c r="AY215" s="165"/>
      <c r="AZ215" s="165"/>
      <c r="BA215" s="165"/>
      <c r="BB215" s="165"/>
      <c r="BC215" s="165"/>
      <c r="BD215" s="167"/>
    </row>
    <row r="216" spans="1:56" s="239" customFormat="1" x14ac:dyDescent="0.25">
      <c r="A216" s="469">
        <v>151</v>
      </c>
      <c r="B216" s="468"/>
      <c r="C216" s="429"/>
      <c r="D216" s="429"/>
      <c r="E216" s="429"/>
      <c r="F216" s="669"/>
      <c r="G216" s="431"/>
      <c r="H216" s="527"/>
      <c r="I216" s="518" t="s">
        <v>5635</v>
      </c>
      <c r="J216" s="589" t="s">
        <v>5636</v>
      </c>
      <c r="K216" s="436"/>
      <c r="L216" s="569"/>
      <c r="M216" s="429"/>
      <c r="N216" s="519"/>
      <c r="O216" s="519"/>
      <c r="P216" s="507" t="s">
        <v>3905</v>
      </c>
      <c r="Q216" s="429"/>
      <c r="R216" s="429"/>
      <c r="S216" s="429"/>
      <c r="T216" s="456" t="s">
        <v>5637</v>
      </c>
      <c r="U216" s="429"/>
      <c r="V216" s="429"/>
      <c r="W216" s="429"/>
      <c r="X216" s="518"/>
      <c r="Y216" s="429"/>
      <c r="Z216" s="429"/>
      <c r="AA216" s="429"/>
      <c r="AB216" s="429"/>
      <c r="AC216" s="476"/>
      <c r="AD216" s="429"/>
      <c r="AE216" s="644"/>
      <c r="AF216" s="476"/>
      <c r="AG216" s="476">
        <v>53976.26</v>
      </c>
      <c r="AH216" s="645"/>
      <c r="AI216" s="179"/>
      <c r="AJ216" s="107"/>
      <c r="AK216" s="107"/>
      <c r="AL216" s="670"/>
      <c r="AM216" s="179"/>
      <c r="AN216" s="181"/>
      <c r="AO216" s="181"/>
      <c r="AP216" s="181"/>
      <c r="AQ216" s="181"/>
      <c r="AR216" s="182"/>
      <c r="AS216" s="468"/>
      <c r="AT216" s="165"/>
      <c r="AU216" s="165"/>
      <c r="AV216" s="165"/>
      <c r="AW216" s="165"/>
      <c r="AX216" s="165"/>
      <c r="AY216" s="165"/>
      <c r="AZ216" s="165"/>
      <c r="BA216" s="165"/>
      <c r="BB216" s="165"/>
      <c r="BC216" s="165"/>
      <c r="BD216" s="167"/>
    </row>
    <row r="217" spans="1:56" s="239" customFormat="1" ht="25.5" x14ac:dyDescent="0.25">
      <c r="A217" s="469">
        <v>152</v>
      </c>
      <c r="B217" s="468"/>
      <c r="C217" s="429"/>
      <c r="D217" s="429"/>
      <c r="E217" s="429"/>
      <c r="F217" s="669"/>
      <c r="G217" s="431"/>
      <c r="H217" s="527"/>
      <c r="I217" s="518" t="s">
        <v>5638</v>
      </c>
      <c r="J217" s="589" t="s">
        <v>363</v>
      </c>
      <c r="K217" s="436"/>
      <c r="L217" s="569"/>
      <c r="M217" s="429"/>
      <c r="N217" s="519"/>
      <c r="O217" s="519"/>
      <c r="P217" s="507" t="s">
        <v>3905</v>
      </c>
      <c r="Q217" s="429"/>
      <c r="R217" s="429"/>
      <c r="S217" s="429"/>
      <c r="T217" s="456" t="s">
        <v>208</v>
      </c>
      <c r="U217" s="429"/>
      <c r="V217" s="429"/>
      <c r="W217" s="429"/>
      <c r="X217" s="518"/>
      <c r="Y217" s="429"/>
      <c r="Z217" s="429"/>
      <c r="AA217" s="429"/>
      <c r="AB217" s="429"/>
      <c r="AC217" s="476"/>
      <c r="AD217" s="429"/>
      <c r="AE217" s="644"/>
      <c r="AF217" s="476"/>
      <c r="AG217" s="476">
        <v>900</v>
      </c>
      <c r="AH217" s="645"/>
      <c r="AI217" s="179"/>
      <c r="AJ217" s="107"/>
      <c r="AK217" s="107"/>
      <c r="AL217" s="670"/>
      <c r="AM217" s="216"/>
      <c r="AN217" s="345" t="s">
        <v>5639</v>
      </c>
      <c r="AO217" s="181"/>
      <c r="AP217" s="181"/>
      <c r="AQ217" s="181"/>
      <c r="AR217" s="182"/>
      <c r="AS217" s="468"/>
      <c r="AT217" s="165"/>
      <c r="AU217" s="165"/>
      <c r="AV217" s="165"/>
      <c r="AW217" s="165"/>
      <c r="AX217" s="165"/>
      <c r="AY217" s="165"/>
      <c r="AZ217" s="165"/>
      <c r="BA217" s="165"/>
      <c r="BB217" s="165"/>
      <c r="BC217" s="165"/>
      <c r="BD217" s="167"/>
    </row>
    <row r="218" spans="1:56" s="239" customFormat="1" ht="25.5" x14ac:dyDescent="0.25">
      <c r="A218" s="469">
        <v>153</v>
      </c>
      <c r="B218" s="468"/>
      <c r="C218" s="429"/>
      <c r="D218" s="429"/>
      <c r="E218" s="429"/>
      <c r="F218" s="669"/>
      <c r="G218" s="431"/>
      <c r="H218" s="527"/>
      <c r="I218" s="518" t="s">
        <v>5640</v>
      </c>
      <c r="J218" s="589" t="s">
        <v>374</v>
      </c>
      <c r="K218" s="436"/>
      <c r="L218" s="569"/>
      <c r="M218" s="429"/>
      <c r="N218" s="519"/>
      <c r="O218" s="519"/>
      <c r="P218" s="507" t="s">
        <v>3905</v>
      </c>
      <c r="Q218" s="429"/>
      <c r="R218" s="429"/>
      <c r="S218" s="429"/>
      <c r="T218" s="456" t="s">
        <v>208</v>
      </c>
      <c r="U218" s="429"/>
      <c r="V218" s="429"/>
      <c r="W218" s="429"/>
      <c r="X218" s="518"/>
      <c r="Y218" s="429"/>
      <c r="Z218" s="429"/>
      <c r="AA218" s="429"/>
      <c r="AB218" s="429"/>
      <c r="AC218" s="476"/>
      <c r="AD218" s="429"/>
      <c r="AE218" s="644"/>
      <c r="AF218" s="476"/>
      <c r="AG218" s="476">
        <v>450</v>
      </c>
      <c r="AH218" s="645"/>
      <c r="AI218" s="179"/>
      <c r="AJ218" s="107"/>
      <c r="AK218" s="107"/>
      <c r="AL218" s="670"/>
      <c r="AM218" s="216"/>
      <c r="AN218" s="345" t="s">
        <v>5639</v>
      </c>
      <c r="AO218" s="181"/>
      <c r="AP218" s="181"/>
      <c r="AQ218" s="181"/>
      <c r="AR218" s="182"/>
      <c r="AS218" s="468"/>
      <c r="AT218" s="165"/>
      <c r="AU218" s="165"/>
      <c r="AV218" s="165"/>
      <c r="AW218" s="165"/>
      <c r="AX218" s="165"/>
      <c r="AY218" s="165"/>
      <c r="AZ218" s="165"/>
      <c r="BA218" s="165"/>
      <c r="BB218" s="165"/>
      <c r="BC218" s="165"/>
      <c r="BD218" s="167"/>
    </row>
    <row r="219" spans="1:56" s="239" customFormat="1" ht="25.5" x14ac:dyDescent="0.25">
      <c r="A219" s="469">
        <v>154</v>
      </c>
      <c r="B219" s="468"/>
      <c r="C219" s="429"/>
      <c r="D219" s="429"/>
      <c r="E219" s="429"/>
      <c r="F219" s="669"/>
      <c r="G219" s="431"/>
      <c r="H219" s="527"/>
      <c r="I219" s="518" t="s">
        <v>5641</v>
      </c>
      <c r="J219" s="589" t="s">
        <v>5642</v>
      </c>
      <c r="K219" s="436"/>
      <c r="L219" s="569"/>
      <c r="M219" s="429"/>
      <c r="N219" s="519"/>
      <c r="O219" s="519"/>
      <c r="P219" s="507" t="s">
        <v>3905</v>
      </c>
      <c r="Q219" s="429"/>
      <c r="R219" s="429"/>
      <c r="S219" s="429"/>
      <c r="T219" s="456" t="s">
        <v>208</v>
      </c>
      <c r="U219" s="429"/>
      <c r="V219" s="429"/>
      <c r="W219" s="429"/>
      <c r="X219" s="518"/>
      <c r="Y219" s="429"/>
      <c r="Z219" s="429"/>
      <c r="AA219" s="429"/>
      <c r="AB219" s="429"/>
      <c r="AC219" s="476"/>
      <c r="AD219" s="429"/>
      <c r="AE219" s="644"/>
      <c r="AF219" s="476"/>
      <c r="AG219" s="476">
        <v>6456.1</v>
      </c>
      <c r="AH219" s="645"/>
      <c r="AI219" s="179"/>
      <c r="AJ219" s="107"/>
      <c r="AK219" s="107"/>
      <c r="AL219" s="670"/>
      <c r="AM219" s="216"/>
      <c r="AN219" s="345"/>
      <c r="AO219" s="181"/>
      <c r="AP219" s="181"/>
      <c r="AQ219" s="181"/>
      <c r="AR219" s="182"/>
      <c r="AS219" s="468"/>
      <c r="AT219" s="165"/>
      <c r="AU219" s="165"/>
      <c r="AV219" s="165"/>
      <c r="AW219" s="165"/>
      <c r="AX219" s="165"/>
      <c r="AY219" s="165"/>
      <c r="AZ219" s="165"/>
      <c r="BA219" s="165"/>
      <c r="BB219" s="165"/>
      <c r="BC219" s="165"/>
      <c r="BD219" s="167"/>
    </row>
    <row r="220" spans="1:56" s="239" customFormat="1" ht="25.5" x14ac:dyDescent="0.25">
      <c r="A220" s="469">
        <v>155</v>
      </c>
      <c r="B220" s="468"/>
      <c r="C220" s="429"/>
      <c r="D220" s="429"/>
      <c r="E220" s="429"/>
      <c r="F220" s="669"/>
      <c r="G220" s="431"/>
      <c r="H220" s="527"/>
      <c r="I220" s="518" t="s">
        <v>5643</v>
      </c>
      <c r="J220" s="589" t="s">
        <v>5644</v>
      </c>
      <c r="K220" s="436"/>
      <c r="L220" s="569"/>
      <c r="M220" s="429"/>
      <c r="N220" s="519"/>
      <c r="O220" s="519"/>
      <c r="P220" s="507" t="s">
        <v>3905</v>
      </c>
      <c r="Q220" s="429"/>
      <c r="R220" s="429"/>
      <c r="S220" s="429"/>
      <c r="T220" s="456" t="s">
        <v>316</v>
      </c>
      <c r="U220" s="429"/>
      <c r="V220" s="429"/>
      <c r="W220" s="429"/>
      <c r="X220" s="518"/>
      <c r="Y220" s="429"/>
      <c r="Z220" s="429"/>
      <c r="AA220" s="429"/>
      <c r="AB220" s="429"/>
      <c r="AC220" s="476"/>
      <c r="AD220" s="429"/>
      <c r="AE220" s="644"/>
      <c r="AF220" s="476"/>
      <c r="AG220" s="476">
        <v>7998</v>
      </c>
      <c r="AH220" s="645"/>
      <c r="AI220" s="179"/>
      <c r="AJ220" s="107"/>
      <c r="AK220" s="107"/>
      <c r="AL220" s="670"/>
      <c r="AM220" s="216" t="s">
        <v>5645</v>
      </c>
      <c r="AN220" s="345" t="s">
        <v>5646</v>
      </c>
      <c r="AO220" s="181"/>
      <c r="AP220" s="181"/>
      <c r="AQ220" s="181"/>
      <c r="AR220" s="182"/>
      <c r="AS220" s="468"/>
      <c r="AT220" s="165"/>
      <c r="AU220" s="165"/>
      <c r="AV220" s="165"/>
      <c r="AW220" s="165"/>
      <c r="AX220" s="165"/>
      <c r="AY220" s="165"/>
      <c r="AZ220" s="165"/>
      <c r="BA220" s="165"/>
      <c r="BB220" s="165"/>
      <c r="BC220" s="165"/>
      <c r="BD220" s="167"/>
    </row>
    <row r="221" spans="1:56" s="239" customFormat="1" ht="25.5" x14ac:dyDescent="0.25">
      <c r="A221" s="469">
        <v>156</v>
      </c>
      <c r="B221" s="468"/>
      <c r="C221" s="429"/>
      <c r="D221" s="429"/>
      <c r="E221" s="429"/>
      <c r="F221" s="669"/>
      <c r="G221" s="431"/>
      <c r="H221" s="527"/>
      <c r="I221" s="518" t="s">
        <v>5647</v>
      </c>
      <c r="J221" s="589" t="s">
        <v>5648</v>
      </c>
      <c r="K221" s="436"/>
      <c r="L221" s="569"/>
      <c r="M221" s="429"/>
      <c r="N221" s="519"/>
      <c r="O221" s="519"/>
      <c r="P221" s="507" t="s">
        <v>3905</v>
      </c>
      <c r="Q221" s="429"/>
      <c r="R221" s="429"/>
      <c r="S221" s="429"/>
      <c r="T221" s="456" t="s">
        <v>316</v>
      </c>
      <c r="U221" s="429"/>
      <c r="V221" s="429"/>
      <c r="W221" s="429"/>
      <c r="X221" s="518"/>
      <c r="Y221" s="429"/>
      <c r="Z221" s="429"/>
      <c r="AA221" s="429"/>
      <c r="AB221" s="429"/>
      <c r="AC221" s="476"/>
      <c r="AD221" s="429"/>
      <c r="AE221" s="644"/>
      <c r="AF221" s="476"/>
      <c r="AG221" s="476">
        <v>1060</v>
      </c>
      <c r="AH221" s="645"/>
      <c r="AI221" s="179"/>
      <c r="AJ221" s="107"/>
      <c r="AK221" s="107"/>
      <c r="AL221" s="670"/>
      <c r="AM221" s="216" t="s">
        <v>5645</v>
      </c>
      <c r="AN221" s="345" t="s">
        <v>5646</v>
      </c>
      <c r="AO221" s="181"/>
      <c r="AP221" s="181"/>
      <c r="AQ221" s="181"/>
      <c r="AR221" s="182"/>
      <c r="AS221" s="468"/>
      <c r="AT221" s="165"/>
      <c r="AU221" s="165"/>
      <c r="AV221" s="165"/>
      <c r="AW221" s="165"/>
      <c r="AX221" s="165"/>
      <c r="AY221" s="165"/>
      <c r="AZ221" s="165"/>
      <c r="BA221" s="165"/>
      <c r="BB221" s="165"/>
      <c r="BC221" s="165"/>
      <c r="BD221" s="167"/>
    </row>
    <row r="222" spans="1:56" s="239" customFormat="1" ht="25.5" x14ac:dyDescent="0.25">
      <c r="A222" s="469">
        <v>157</v>
      </c>
      <c r="B222" s="468"/>
      <c r="C222" s="429"/>
      <c r="D222" s="429"/>
      <c r="E222" s="429"/>
      <c r="F222" s="669"/>
      <c r="G222" s="431"/>
      <c r="H222" s="527"/>
      <c r="I222" s="518" t="s">
        <v>5649</v>
      </c>
      <c r="J222" s="589" t="s">
        <v>394</v>
      </c>
      <c r="K222" s="436"/>
      <c r="L222" s="569"/>
      <c r="M222" s="429"/>
      <c r="N222" s="519"/>
      <c r="O222" s="519"/>
      <c r="P222" s="507" t="s">
        <v>3905</v>
      </c>
      <c r="Q222" s="429"/>
      <c r="R222" s="429"/>
      <c r="S222" s="429"/>
      <c r="T222" s="456" t="s">
        <v>208</v>
      </c>
      <c r="U222" s="429"/>
      <c r="V222" s="429"/>
      <c r="W222" s="429"/>
      <c r="X222" s="518"/>
      <c r="Y222" s="429"/>
      <c r="Z222" s="429"/>
      <c r="AA222" s="429"/>
      <c r="AB222" s="429"/>
      <c r="AC222" s="476"/>
      <c r="AD222" s="429"/>
      <c r="AE222" s="644"/>
      <c r="AF222" s="476"/>
      <c r="AG222" s="476">
        <v>4072</v>
      </c>
      <c r="AH222" s="645"/>
      <c r="AI222" s="179"/>
      <c r="AJ222" s="107"/>
      <c r="AK222" s="107"/>
      <c r="AL222" s="670"/>
      <c r="AM222" s="216" t="s">
        <v>5645</v>
      </c>
      <c r="AN222" s="345" t="s">
        <v>5646</v>
      </c>
      <c r="AO222" s="181"/>
      <c r="AP222" s="181"/>
      <c r="AQ222" s="181"/>
      <c r="AR222" s="182"/>
      <c r="AS222" s="468"/>
      <c r="AT222" s="165"/>
      <c r="AU222" s="165"/>
      <c r="AV222" s="165"/>
      <c r="AW222" s="165"/>
      <c r="AX222" s="165"/>
      <c r="AY222" s="165"/>
      <c r="AZ222" s="165"/>
      <c r="BA222" s="165"/>
      <c r="BB222" s="165"/>
      <c r="BC222" s="165"/>
      <c r="BD222" s="167"/>
    </row>
    <row r="223" spans="1:56" s="239" customFormat="1" ht="25.5" x14ac:dyDescent="0.25">
      <c r="A223" s="469">
        <v>158</v>
      </c>
      <c r="B223" s="468"/>
      <c r="C223" s="429"/>
      <c r="D223" s="429"/>
      <c r="E223" s="429"/>
      <c r="F223" s="669"/>
      <c r="G223" s="431"/>
      <c r="H223" s="527"/>
      <c r="I223" s="518" t="s">
        <v>5650</v>
      </c>
      <c r="J223" s="589" t="s">
        <v>5651</v>
      </c>
      <c r="K223" s="436"/>
      <c r="L223" s="569"/>
      <c r="M223" s="429"/>
      <c r="N223" s="519"/>
      <c r="O223" s="519"/>
      <c r="P223" s="507" t="s">
        <v>3905</v>
      </c>
      <c r="Q223" s="429"/>
      <c r="R223" s="429"/>
      <c r="S223" s="429"/>
      <c r="T223" s="456" t="s">
        <v>208</v>
      </c>
      <c r="U223" s="429"/>
      <c r="V223" s="429"/>
      <c r="W223" s="429"/>
      <c r="X223" s="518"/>
      <c r="Y223" s="429"/>
      <c r="Z223" s="429"/>
      <c r="AA223" s="429"/>
      <c r="AB223" s="429"/>
      <c r="AC223" s="476"/>
      <c r="AD223" s="429"/>
      <c r="AE223" s="644"/>
      <c r="AF223" s="476"/>
      <c r="AG223" s="476">
        <v>5039.7</v>
      </c>
      <c r="AH223" s="645"/>
      <c r="AI223" s="179"/>
      <c r="AJ223" s="107"/>
      <c r="AK223" s="107"/>
      <c r="AL223" s="670"/>
      <c r="AM223" s="216" t="s">
        <v>5645</v>
      </c>
      <c r="AN223" s="345" t="s">
        <v>5652</v>
      </c>
      <c r="AO223" s="181"/>
      <c r="AP223" s="181"/>
      <c r="AQ223" s="181"/>
      <c r="AR223" s="182"/>
      <c r="AS223" s="468"/>
      <c r="AT223" s="165"/>
      <c r="AU223" s="165"/>
      <c r="AV223" s="165"/>
      <c r="AW223" s="165"/>
      <c r="AX223" s="165"/>
      <c r="AY223" s="165"/>
      <c r="AZ223" s="165"/>
      <c r="BA223" s="165"/>
      <c r="BB223" s="165"/>
      <c r="BC223" s="165"/>
      <c r="BD223" s="167"/>
    </row>
    <row r="224" spans="1:56" s="239" customFormat="1" ht="25.5" x14ac:dyDescent="0.25">
      <c r="A224" s="469">
        <v>159</v>
      </c>
      <c r="B224" s="468"/>
      <c r="C224" s="429"/>
      <c r="D224" s="429"/>
      <c r="E224" s="429"/>
      <c r="F224" s="669"/>
      <c r="G224" s="431"/>
      <c r="H224" s="527"/>
      <c r="I224" s="518" t="s">
        <v>5653</v>
      </c>
      <c r="J224" s="589" t="s">
        <v>5654</v>
      </c>
      <c r="K224" s="436"/>
      <c r="L224" s="569"/>
      <c r="M224" s="429"/>
      <c r="N224" s="519"/>
      <c r="O224" s="519"/>
      <c r="P224" s="507" t="s">
        <v>3905</v>
      </c>
      <c r="Q224" s="429"/>
      <c r="R224" s="429"/>
      <c r="S224" s="429"/>
      <c r="T224" s="456" t="s">
        <v>208</v>
      </c>
      <c r="U224" s="429"/>
      <c r="V224" s="429"/>
      <c r="W224" s="429"/>
      <c r="X224" s="518"/>
      <c r="Y224" s="429"/>
      <c r="Z224" s="429"/>
      <c r="AA224" s="429"/>
      <c r="AB224" s="429"/>
      <c r="AC224" s="476"/>
      <c r="AD224" s="429"/>
      <c r="AE224" s="644"/>
      <c r="AF224" s="476"/>
      <c r="AG224" s="476">
        <v>2100</v>
      </c>
      <c r="AH224" s="645"/>
      <c r="AI224" s="179"/>
      <c r="AJ224" s="107"/>
      <c r="AK224" s="107"/>
      <c r="AL224" s="670"/>
      <c r="AM224" s="216" t="s">
        <v>5645</v>
      </c>
      <c r="AN224" s="345" t="s">
        <v>5646</v>
      </c>
      <c r="AO224" s="181"/>
      <c r="AP224" s="181"/>
      <c r="AQ224" s="181"/>
      <c r="AR224" s="182"/>
      <c r="AS224" s="468"/>
      <c r="AT224" s="165"/>
      <c r="AU224" s="165"/>
      <c r="AV224" s="165"/>
      <c r="AW224" s="165"/>
      <c r="AX224" s="165"/>
      <c r="AY224" s="165"/>
      <c r="AZ224" s="165"/>
      <c r="BA224" s="165"/>
      <c r="BB224" s="165"/>
      <c r="BC224" s="165"/>
      <c r="BD224" s="167"/>
    </row>
    <row r="225" spans="1:56" s="239" customFormat="1" ht="25.5" x14ac:dyDescent="0.25">
      <c r="A225" s="469">
        <v>160</v>
      </c>
      <c r="B225" s="468"/>
      <c r="C225" s="429"/>
      <c r="D225" s="429"/>
      <c r="E225" s="429"/>
      <c r="F225" s="669"/>
      <c r="G225" s="431"/>
      <c r="H225" s="527"/>
      <c r="I225" s="518" t="s">
        <v>5655</v>
      </c>
      <c r="J225" s="589" t="s">
        <v>368</v>
      </c>
      <c r="K225" s="436"/>
      <c r="L225" s="569"/>
      <c r="M225" s="429"/>
      <c r="N225" s="519"/>
      <c r="O225" s="519"/>
      <c r="P225" s="507" t="s">
        <v>3905</v>
      </c>
      <c r="Q225" s="429"/>
      <c r="R225" s="429"/>
      <c r="S225" s="429"/>
      <c r="T225" s="456" t="s">
        <v>208</v>
      </c>
      <c r="U225" s="429"/>
      <c r="V225" s="429"/>
      <c r="W225" s="429"/>
      <c r="X225" s="518"/>
      <c r="Y225" s="429"/>
      <c r="Z225" s="429"/>
      <c r="AA225" s="429"/>
      <c r="AB225" s="429"/>
      <c r="AC225" s="476"/>
      <c r="AD225" s="429"/>
      <c r="AE225" s="644"/>
      <c r="AF225" s="476"/>
      <c r="AG225" s="476">
        <v>450</v>
      </c>
      <c r="AH225" s="645"/>
      <c r="AI225" s="179"/>
      <c r="AJ225" s="107"/>
      <c r="AK225" s="107"/>
      <c r="AL225" s="670"/>
      <c r="AM225" s="216"/>
      <c r="AN225" s="345" t="s">
        <v>5639</v>
      </c>
      <c r="AO225" s="181"/>
      <c r="AP225" s="181"/>
      <c r="AQ225" s="181"/>
      <c r="AR225" s="182"/>
      <c r="AS225" s="468"/>
      <c r="AT225" s="165"/>
      <c r="AU225" s="165"/>
      <c r="AV225" s="165"/>
      <c r="AW225" s="165"/>
      <c r="AX225" s="165"/>
      <c r="AY225" s="165"/>
      <c r="AZ225" s="165"/>
      <c r="BA225" s="165"/>
      <c r="BB225" s="165"/>
      <c r="BC225" s="165"/>
      <c r="BD225" s="167"/>
    </row>
    <row r="226" spans="1:56" s="239" customFormat="1" ht="25.5" x14ac:dyDescent="0.25">
      <c r="A226" s="469">
        <v>161</v>
      </c>
      <c r="B226" s="468"/>
      <c r="C226" s="429"/>
      <c r="D226" s="429"/>
      <c r="E226" s="429"/>
      <c r="F226" s="669"/>
      <c r="G226" s="431"/>
      <c r="H226" s="527"/>
      <c r="I226" s="518" t="s">
        <v>5656</v>
      </c>
      <c r="J226" s="589" t="s">
        <v>5657</v>
      </c>
      <c r="K226" s="436"/>
      <c r="L226" s="569"/>
      <c r="M226" s="429"/>
      <c r="N226" s="519"/>
      <c r="O226" s="519"/>
      <c r="P226" s="507" t="s">
        <v>3905</v>
      </c>
      <c r="Q226" s="429"/>
      <c r="R226" s="429"/>
      <c r="S226" s="429"/>
      <c r="T226" s="456" t="s">
        <v>316</v>
      </c>
      <c r="U226" s="429"/>
      <c r="V226" s="429"/>
      <c r="W226" s="429"/>
      <c r="X226" s="518"/>
      <c r="Y226" s="429"/>
      <c r="Z226" s="429"/>
      <c r="AA226" s="429"/>
      <c r="AB226" s="429"/>
      <c r="AC226" s="476"/>
      <c r="AD226" s="429"/>
      <c r="AE226" s="644"/>
      <c r="AF226" s="476"/>
      <c r="AG226" s="476">
        <v>7900</v>
      </c>
      <c r="AH226" s="645"/>
      <c r="AI226" s="179"/>
      <c r="AJ226" s="107"/>
      <c r="AK226" s="107"/>
      <c r="AL226" s="670"/>
      <c r="AM226" s="216" t="s">
        <v>5645</v>
      </c>
      <c r="AN226" s="345" t="s">
        <v>5646</v>
      </c>
      <c r="AO226" s="181"/>
      <c r="AP226" s="181"/>
      <c r="AQ226" s="181"/>
      <c r="AR226" s="182"/>
      <c r="AS226" s="468"/>
      <c r="AT226" s="165"/>
      <c r="AU226" s="165"/>
      <c r="AV226" s="165"/>
      <c r="AW226" s="165"/>
      <c r="AX226" s="165"/>
      <c r="AY226" s="165"/>
      <c r="AZ226" s="165"/>
      <c r="BA226" s="165"/>
      <c r="BB226" s="165"/>
      <c r="BC226" s="165"/>
      <c r="BD226" s="167"/>
    </row>
    <row r="227" spans="1:56" s="239" customFormat="1" ht="25.5" x14ac:dyDescent="0.25">
      <c r="A227" s="469">
        <v>162</v>
      </c>
      <c r="B227" s="468"/>
      <c r="C227" s="429"/>
      <c r="D227" s="429"/>
      <c r="E227" s="429"/>
      <c r="F227" s="669"/>
      <c r="G227" s="431"/>
      <c r="H227" s="527"/>
      <c r="I227" s="518" t="s">
        <v>5658</v>
      </c>
      <c r="J227" s="589" t="s">
        <v>5659</v>
      </c>
      <c r="K227" s="436"/>
      <c r="L227" s="569"/>
      <c r="M227" s="429"/>
      <c r="N227" s="519"/>
      <c r="O227" s="519"/>
      <c r="P227" s="507" t="s">
        <v>3905</v>
      </c>
      <c r="Q227" s="429"/>
      <c r="R227" s="429"/>
      <c r="S227" s="429"/>
      <c r="T227" s="456" t="s">
        <v>208</v>
      </c>
      <c r="U227" s="429"/>
      <c r="V227" s="429"/>
      <c r="W227" s="429"/>
      <c r="X227" s="518"/>
      <c r="Y227" s="429"/>
      <c r="Z227" s="429"/>
      <c r="AA227" s="429"/>
      <c r="AB227" s="429"/>
      <c r="AC227" s="476"/>
      <c r="AD227" s="429"/>
      <c r="AE227" s="644"/>
      <c r="AF227" s="476"/>
      <c r="AG227" s="476">
        <v>7674</v>
      </c>
      <c r="AH227" s="645"/>
      <c r="AI227" s="179"/>
      <c r="AJ227" s="107"/>
      <c r="AK227" s="107"/>
      <c r="AL227" s="670"/>
      <c r="AM227" s="216" t="s">
        <v>5645</v>
      </c>
      <c r="AN227" s="345" t="s">
        <v>5646</v>
      </c>
      <c r="AO227" s="181"/>
      <c r="AP227" s="181"/>
      <c r="AQ227" s="181"/>
      <c r="AR227" s="182"/>
      <c r="AS227" s="468"/>
      <c r="AT227" s="165"/>
      <c r="AU227" s="165"/>
      <c r="AV227" s="165"/>
      <c r="AW227" s="165"/>
      <c r="AX227" s="165"/>
      <c r="AY227" s="165"/>
      <c r="AZ227" s="165"/>
      <c r="BA227" s="165"/>
      <c r="BB227" s="165"/>
      <c r="BC227" s="165"/>
      <c r="BD227" s="167"/>
    </row>
    <row r="228" spans="1:56" s="239" customFormat="1" ht="26.25" thickBot="1" x14ac:dyDescent="0.3">
      <c r="A228" s="470">
        <v>163</v>
      </c>
      <c r="B228" s="489"/>
      <c r="C228" s="439"/>
      <c r="D228" s="439"/>
      <c r="E228" s="439"/>
      <c r="F228" s="671"/>
      <c r="G228" s="445"/>
      <c r="H228" s="672"/>
      <c r="I228" s="512" t="s">
        <v>4959</v>
      </c>
      <c r="J228" s="673" t="s">
        <v>371</v>
      </c>
      <c r="K228" s="443"/>
      <c r="L228" s="592"/>
      <c r="M228" s="439"/>
      <c r="N228" s="674"/>
      <c r="O228" s="674"/>
      <c r="P228" s="675" t="s">
        <v>3905</v>
      </c>
      <c r="Q228" s="439"/>
      <c r="R228" s="439"/>
      <c r="S228" s="439"/>
      <c r="T228" s="343" t="s">
        <v>208</v>
      </c>
      <c r="U228" s="439"/>
      <c r="V228" s="439"/>
      <c r="W228" s="439"/>
      <c r="X228" s="512"/>
      <c r="Y228" s="439"/>
      <c r="Z228" s="439"/>
      <c r="AA228" s="439"/>
      <c r="AB228" s="439"/>
      <c r="AC228" s="477"/>
      <c r="AD228" s="439"/>
      <c r="AE228" s="676"/>
      <c r="AF228" s="477"/>
      <c r="AG228" s="477">
        <v>900</v>
      </c>
      <c r="AH228" s="677"/>
      <c r="AI228" s="284"/>
      <c r="AJ228" s="285"/>
      <c r="AK228" s="285"/>
      <c r="AL228" s="678"/>
      <c r="AM228" s="352"/>
      <c r="AN228" s="353" t="s">
        <v>5639</v>
      </c>
      <c r="AO228" s="287"/>
      <c r="AP228" s="287"/>
      <c r="AQ228" s="287"/>
      <c r="AR228" s="288"/>
      <c r="AS228" s="489"/>
      <c r="AT228" s="281"/>
      <c r="AU228" s="281"/>
      <c r="AV228" s="281"/>
      <c r="AW228" s="281"/>
      <c r="AX228" s="281"/>
      <c r="AY228" s="281"/>
      <c r="AZ228" s="281"/>
      <c r="BA228" s="281"/>
      <c r="BB228" s="281"/>
      <c r="BC228" s="281"/>
      <c r="BD228" s="289"/>
    </row>
    <row r="229" spans="1:56" s="239" customFormat="1" ht="15.75" thickBot="1" x14ac:dyDescent="0.3">
      <c r="A229" s="2168" t="s">
        <v>601</v>
      </c>
      <c r="B229" s="2169"/>
      <c r="C229" s="2169"/>
      <c r="D229" s="2169"/>
      <c r="E229" s="2169"/>
      <c r="F229" s="2169"/>
      <c r="G229" s="2169"/>
      <c r="H229" s="2169"/>
      <c r="I229" s="2169"/>
      <c r="J229" s="2169"/>
      <c r="K229" s="2170"/>
      <c r="L229" s="295">
        <f>SUM(L25:L228)</f>
        <v>68552909.790000021</v>
      </c>
      <c r="M229" s="296"/>
      <c r="N229" s="296"/>
      <c r="O229" s="296"/>
      <c r="P229" s="296"/>
      <c r="Q229" s="296"/>
      <c r="R229" s="296"/>
      <c r="S229" s="296"/>
      <c r="T229" s="296"/>
      <c r="U229" s="296"/>
      <c r="V229" s="296"/>
      <c r="W229" s="296"/>
      <c r="X229" s="679"/>
      <c r="Y229" s="296"/>
      <c r="Z229" s="296"/>
      <c r="AA229" s="296"/>
      <c r="AB229" s="296"/>
      <c r="AC229" s="680">
        <f t="shared" ref="AC229:AH229" si="2">SUM(AC25:AC228)</f>
        <v>24347428.530000001</v>
      </c>
      <c r="AD229" s="297">
        <f t="shared" si="2"/>
        <v>0</v>
      </c>
      <c r="AE229" s="680">
        <f t="shared" si="2"/>
        <v>42773751.529999994</v>
      </c>
      <c r="AF229" s="680">
        <f t="shared" si="2"/>
        <v>21692680.290000014</v>
      </c>
      <c r="AG229" s="680">
        <f t="shared" si="2"/>
        <v>37865248.64000003</v>
      </c>
      <c r="AH229" s="681">
        <f t="shared" si="2"/>
        <v>35567522.559999995</v>
      </c>
      <c r="AI229" s="397"/>
      <c r="AJ229" s="297"/>
      <c r="AK229" s="297"/>
      <c r="AL229" s="682"/>
      <c r="AM229" s="397"/>
      <c r="AN229" s="399"/>
      <c r="AO229" s="399"/>
      <c r="AP229" s="399"/>
      <c r="AQ229" s="399"/>
      <c r="AR229" s="683"/>
      <c r="AS229" s="403"/>
      <c r="AT229" s="300"/>
      <c r="AU229" s="300"/>
      <c r="AV229" s="300"/>
      <c r="AW229" s="300"/>
      <c r="AX229" s="300"/>
      <c r="AY229" s="300"/>
      <c r="AZ229" s="300"/>
      <c r="BA229" s="300"/>
      <c r="BB229" s="300"/>
      <c r="BC229" s="300"/>
      <c r="BD229" s="301"/>
    </row>
    <row r="232" spans="1:56" s="239" customFormat="1" x14ac:dyDescent="0.25">
      <c r="A232" s="1082" t="s">
        <v>7559</v>
      </c>
      <c r="B232" s="1082"/>
      <c r="C232" s="1082"/>
      <c r="D232" s="1082" t="s">
        <v>7574</v>
      </c>
      <c r="AF232" s="1666"/>
      <c r="AL232" s="1667"/>
    </row>
    <row r="233" spans="1:56" s="239" customFormat="1" x14ac:dyDescent="0.25">
      <c r="A233" s="2478" t="s">
        <v>7575</v>
      </c>
      <c r="B233" s="2478"/>
      <c r="C233" s="2478"/>
      <c r="D233" s="2478"/>
      <c r="E233" s="2478"/>
      <c r="F233" s="1668"/>
      <c r="AF233" s="1666"/>
      <c r="AL233" s="1667"/>
    </row>
  </sheetData>
  <mergeCells count="196">
    <mergeCell ref="A9:BD9"/>
    <mergeCell ref="A11:BD11"/>
    <mergeCell ref="A233:E233"/>
    <mergeCell ref="A13:AS13"/>
    <mergeCell ref="A14:J14"/>
    <mergeCell ref="A15:E15"/>
    <mergeCell ref="A17:AS17"/>
    <mergeCell ref="A18:AS18"/>
    <mergeCell ref="AE23:AH23"/>
    <mergeCell ref="AI23:AI24"/>
    <mergeCell ref="AJ23:AJ24"/>
    <mergeCell ref="AK23:AK24"/>
    <mergeCell ref="AL23:AL24"/>
    <mergeCell ref="AM23:AM24"/>
    <mergeCell ref="A19:AS19"/>
    <mergeCell ref="A22:A25"/>
    <mergeCell ref="B22:G23"/>
    <mergeCell ref="H22:AH22"/>
    <mergeCell ref="AI22:AL22"/>
    <mergeCell ref="AM22:AR22"/>
    <mergeCell ref="AS22:BD22"/>
    <mergeCell ref="H23:T23"/>
    <mergeCell ref="U23:AD23"/>
    <mergeCell ref="AT23:AT24"/>
    <mergeCell ref="AU23:AW23"/>
    <mergeCell ref="AX23:AY23"/>
    <mergeCell ref="AZ23:AZ24"/>
    <mergeCell ref="BA23:BA24"/>
    <mergeCell ref="BB23:BD23"/>
    <mergeCell ref="AN23:AN24"/>
    <mergeCell ref="AO23:AO24"/>
    <mergeCell ref="AP23:AP24"/>
    <mergeCell ref="AQ23:AQ24"/>
    <mergeCell ref="AR23:AR24"/>
    <mergeCell ref="AS23:AS24"/>
    <mergeCell ref="A31:A34"/>
    <mergeCell ref="B31:B34"/>
    <mergeCell ref="C31:C34"/>
    <mergeCell ref="D31:D34"/>
    <mergeCell ref="E31:E34"/>
    <mergeCell ref="F31:F34"/>
    <mergeCell ref="G31:G34"/>
    <mergeCell ref="H31:H34"/>
    <mergeCell ref="M26:M27"/>
    <mergeCell ref="G26:G27"/>
    <mergeCell ref="H26:H27"/>
    <mergeCell ref="I26:I27"/>
    <mergeCell ref="J26:J27"/>
    <mergeCell ref="K26:K27"/>
    <mergeCell ref="L26:L27"/>
    <mergeCell ref="A26:A27"/>
    <mergeCell ref="B26:B27"/>
    <mergeCell ref="C26:C27"/>
    <mergeCell ref="D26:D27"/>
    <mergeCell ref="E26:E27"/>
    <mergeCell ref="F26:F27"/>
    <mergeCell ref="T31:T34"/>
    <mergeCell ref="I31:I34"/>
    <mergeCell ref="J31:J34"/>
    <mergeCell ref="K31:K34"/>
    <mergeCell ref="L31:L34"/>
    <mergeCell ref="M31:M34"/>
    <mergeCell ref="N31:N34"/>
    <mergeCell ref="S26:S27"/>
    <mergeCell ref="T26:T27"/>
    <mergeCell ref="N26:N27"/>
    <mergeCell ref="O26:O27"/>
    <mergeCell ref="P26:P27"/>
    <mergeCell ref="Q26:Q27"/>
    <mergeCell ref="R26:R27"/>
    <mergeCell ref="C35:C42"/>
    <mergeCell ref="D35:D42"/>
    <mergeCell ref="E35:E42"/>
    <mergeCell ref="F35:F42"/>
    <mergeCell ref="O31:O34"/>
    <mergeCell ref="P31:P34"/>
    <mergeCell ref="Q31:Q34"/>
    <mergeCell ref="R31:R34"/>
    <mergeCell ref="S31:S34"/>
    <mergeCell ref="S35:S42"/>
    <mergeCell ref="T35:T42"/>
    <mergeCell ref="A43:A52"/>
    <mergeCell ref="B43:B52"/>
    <mergeCell ref="C43:C52"/>
    <mergeCell ref="D43:D52"/>
    <mergeCell ref="E43:E52"/>
    <mergeCell ref="F43:F52"/>
    <mergeCell ref="G43:G52"/>
    <mergeCell ref="H43:H52"/>
    <mergeCell ref="M35:M42"/>
    <mergeCell ref="N35:N42"/>
    <mergeCell ref="O35:O42"/>
    <mergeCell ref="P35:P42"/>
    <mergeCell ref="Q35:Q42"/>
    <mergeCell ref="R35:R42"/>
    <mergeCell ref="G35:G42"/>
    <mergeCell ref="H35:H42"/>
    <mergeCell ref="I35:I42"/>
    <mergeCell ref="J35:J42"/>
    <mergeCell ref="K35:K42"/>
    <mergeCell ref="L35:L42"/>
    <mergeCell ref="A35:A42"/>
    <mergeCell ref="B35:B42"/>
    <mergeCell ref="O43:O52"/>
    <mergeCell ref="P43:P52"/>
    <mergeCell ref="Q43:Q52"/>
    <mergeCell ref="R43:R52"/>
    <mergeCell ref="S43:S52"/>
    <mergeCell ref="T43:T52"/>
    <mergeCell ref="I43:I52"/>
    <mergeCell ref="J43:J52"/>
    <mergeCell ref="K43:K52"/>
    <mergeCell ref="L43:L52"/>
    <mergeCell ref="M43:M52"/>
    <mergeCell ref="N43:N52"/>
    <mergeCell ref="A63:A67"/>
    <mergeCell ref="B63:B67"/>
    <mergeCell ref="C63:C67"/>
    <mergeCell ref="D63:D67"/>
    <mergeCell ref="E63:E67"/>
    <mergeCell ref="F63:F67"/>
    <mergeCell ref="G63:G67"/>
    <mergeCell ref="H63:H67"/>
    <mergeCell ref="M53:M62"/>
    <mergeCell ref="G53:G62"/>
    <mergeCell ref="H53:H62"/>
    <mergeCell ref="I53:I62"/>
    <mergeCell ref="J53:J62"/>
    <mergeCell ref="K53:K62"/>
    <mergeCell ref="L53:L62"/>
    <mergeCell ref="A53:A62"/>
    <mergeCell ref="B53:B62"/>
    <mergeCell ref="C53:C62"/>
    <mergeCell ref="D53:D62"/>
    <mergeCell ref="E53:E62"/>
    <mergeCell ref="F53:F62"/>
    <mergeCell ref="T63:T67"/>
    <mergeCell ref="I63:I67"/>
    <mergeCell ref="J63:J67"/>
    <mergeCell ref="K63:K67"/>
    <mergeCell ref="L63:L67"/>
    <mergeCell ref="M63:M67"/>
    <mergeCell ref="N63:N67"/>
    <mergeCell ref="S53:S62"/>
    <mergeCell ref="T53:T62"/>
    <mergeCell ref="N53:N62"/>
    <mergeCell ref="O53:O62"/>
    <mergeCell ref="P53:P62"/>
    <mergeCell ref="Q53:Q62"/>
    <mergeCell ref="R53:R62"/>
    <mergeCell ref="D68:D74"/>
    <mergeCell ref="E68:E74"/>
    <mergeCell ref="F68:F74"/>
    <mergeCell ref="O63:O67"/>
    <mergeCell ref="P63:P67"/>
    <mergeCell ref="Q63:Q67"/>
    <mergeCell ref="R63:R67"/>
    <mergeCell ref="S63:S67"/>
    <mergeCell ref="S68:S74"/>
    <mergeCell ref="T68:T74"/>
    <mergeCell ref="A90:A91"/>
    <mergeCell ref="B90:B91"/>
    <mergeCell ref="C90:C91"/>
    <mergeCell ref="D90:D91"/>
    <mergeCell ref="E90:E91"/>
    <mergeCell ref="F90:F91"/>
    <mergeCell ref="G90:G91"/>
    <mergeCell ref="H90:H91"/>
    <mergeCell ref="M68:M74"/>
    <mergeCell ref="N68:N74"/>
    <mergeCell ref="O68:O74"/>
    <mergeCell ref="P68:P74"/>
    <mergeCell ref="Q68:Q74"/>
    <mergeCell ref="R68:R74"/>
    <mergeCell ref="G68:G74"/>
    <mergeCell ref="H68:H74"/>
    <mergeCell ref="I68:I74"/>
    <mergeCell ref="J68:J74"/>
    <mergeCell ref="K68:K74"/>
    <mergeCell ref="L68:L74"/>
    <mergeCell ref="A68:A74"/>
    <mergeCell ref="B68:B74"/>
    <mergeCell ref="C68:C74"/>
    <mergeCell ref="A229:K229"/>
    <mergeCell ref="O90:O91"/>
    <mergeCell ref="P90:P91"/>
    <mergeCell ref="Q90:Q91"/>
    <mergeCell ref="R90:R91"/>
    <mergeCell ref="S90:S91"/>
    <mergeCell ref="T90:T91"/>
    <mergeCell ref="I90:I91"/>
    <mergeCell ref="J90:J91"/>
    <mergeCell ref="K90:K91"/>
    <mergeCell ref="L90:L91"/>
    <mergeCell ref="M90:M91"/>
    <mergeCell ref="N90:N91"/>
  </mergeCells>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topLeftCell="O1" workbookViewId="0">
      <selection sqref="A1:XFD11"/>
    </sheetView>
  </sheetViews>
  <sheetFormatPr defaultRowHeight="15" x14ac:dyDescent="0.25"/>
  <cols>
    <col min="2" max="2" width="14.28515625" customWidth="1"/>
    <col min="3" max="4" width="12.7109375" customWidth="1"/>
    <col min="5" max="5" width="11.5703125" bestFit="1" customWidth="1"/>
    <col min="6" max="6" width="57.140625" bestFit="1" customWidth="1"/>
    <col min="7" max="7" width="10.7109375" customWidth="1"/>
    <col min="8" max="8" width="11.5703125" customWidth="1"/>
    <col min="9" max="9" width="30.85546875" customWidth="1"/>
    <col min="10" max="10" width="12.85546875" customWidth="1"/>
    <col min="11" max="11" width="12.140625" customWidth="1"/>
    <col min="12" max="12" width="11.7109375" customWidth="1"/>
    <col min="13" max="13" width="12.7109375" customWidth="1"/>
    <col min="14" max="15" width="10.140625" bestFit="1" customWidth="1"/>
    <col min="17" max="17" width="18.28515625" customWidth="1"/>
    <col min="18" max="18" width="11.85546875" bestFit="1" customWidth="1"/>
    <col min="19" max="19" width="14.42578125" customWidth="1"/>
    <col min="21" max="21" width="12.5703125" customWidth="1"/>
    <col min="22" max="22" width="10.140625" bestFit="1" customWidth="1"/>
    <col min="23" max="23" width="11.28515625" customWidth="1"/>
    <col min="24" max="24" width="17.5703125" bestFit="1" customWidth="1"/>
    <col min="25" max="25" width="15.42578125" customWidth="1"/>
    <col min="26" max="26" width="10.140625" bestFit="1" customWidth="1"/>
    <col min="29" max="29" width="12.85546875" bestFit="1" customWidth="1"/>
    <col min="30" max="30" width="10.28515625" bestFit="1" customWidth="1"/>
    <col min="31" max="31" width="23.42578125" customWidth="1"/>
    <col min="32" max="33" width="12.85546875" bestFit="1" customWidth="1"/>
    <col min="34" max="34" width="17.42578125" customWidth="1"/>
    <col min="35" max="35" width="10.7109375" customWidth="1"/>
    <col min="36" max="36" width="16.7109375" customWidth="1"/>
    <col min="37" max="37" width="13.28515625" customWidth="1"/>
    <col min="38" max="38" width="15.28515625" customWidth="1"/>
    <col min="39" max="39" width="15.42578125" customWidth="1"/>
    <col min="40" max="40" width="16.7109375" customWidth="1"/>
    <col min="41" max="41" width="15.140625" customWidth="1"/>
    <col min="42" max="42" width="11.140625" customWidth="1"/>
    <col min="43" max="43" width="15.7109375" customWidth="1"/>
    <col min="44" max="44" width="12.42578125" bestFit="1" customWidth="1"/>
    <col min="45" max="45" width="11.5703125" customWidth="1"/>
    <col min="46" max="46" width="14.42578125" customWidth="1"/>
    <col min="47" max="47" width="11.28515625" customWidth="1"/>
    <col min="49" max="49" width="4.42578125" bestFit="1" customWidth="1"/>
    <col min="50" max="50" width="4.85546875" bestFit="1" customWidth="1"/>
    <col min="51" max="51" width="10.140625" bestFit="1" customWidth="1"/>
    <col min="52" max="52" width="18.42578125" bestFit="1" customWidth="1"/>
    <col min="53" max="53" width="23.140625" bestFit="1" customWidth="1"/>
    <col min="54" max="54" width="6" bestFit="1" customWidth="1"/>
    <col min="55" max="55" width="8.42578125" bestFit="1" customWidth="1"/>
    <col min="56" max="56" width="7" bestFit="1"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3" spans="1:56" s="1672" customFormat="1" ht="16.5" customHeight="1" x14ac:dyDescent="0.25">
      <c r="A13" s="1677" t="s">
        <v>1</v>
      </c>
      <c r="B13" s="1677"/>
      <c r="C13" s="1677"/>
      <c r="D13" s="1677"/>
      <c r="E13" s="1677"/>
      <c r="F13" s="1677"/>
      <c r="G13" s="1677"/>
      <c r="H13" s="1677"/>
      <c r="I13" s="1677"/>
      <c r="J13" s="1677"/>
      <c r="K13" s="1677"/>
      <c r="L13" s="1677"/>
      <c r="M13" s="1677"/>
      <c r="N13" s="1677"/>
      <c r="O13" s="1677"/>
      <c r="P13" s="1677"/>
      <c r="Q13" s="1677"/>
      <c r="R13" s="1677"/>
      <c r="S13" s="1677"/>
      <c r="T13" s="1677"/>
      <c r="U13" s="1677"/>
      <c r="V13" s="1677"/>
      <c r="W13" s="1677"/>
      <c r="X13" s="1677"/>
      <c r="Y13" s="1677"/>
      <c r="Z13" s="1677"/>
      <c r="AA13" s="1677"/>
      <c r="AB13" s="1677"/>
      <c r="AC13" s="1677"/>
      <c r="AD13" s="1677"/>
      <c r="AE13" s="1677"/>
      <c r="AF13" s="1677"/>
      <c r="AG13" s="1669"/>
      <c r="AH13" s="1670"/>
      <c r="AI13" s="1670"/>
      <c r="AJ13" s="1670"/>
      <c r="AK13" s="1670"/>
      <c r="AL13" s="1670"/>
      <c r="AM13" s="1671"/>
      <c r="AN13" s="1670"/>
      <c r="AO13" s="1670"/>
      <c r="AP13" s="1670"/>
      <c r="AQ13" s="1670"/>
      <c r="AR13" s="1670"/>
      <c r="AS13" s="1670"/>
    </row>
    <row r="14" spans="1:56" s="1672" customFormat="1" ht="15.75" x14ac:dyDescent="0.25">
      <c r="A14" s="1677" t="s">
        <v>2</v>
      </c>
      <c r="B14" s="1677"/>
      <c r="C14" s="1677"/>
      <c r="D14" s="1677"/>
      <c r="E14" s="1677"/>
      <c r="F14" s="1670"/>
      <c r="G14" s="1670"/>
      <c r="H14" s="1670"/>
      <c r="I14" s="1670"/>
      <c r="J14" s="1670"/>
      <c r="K14" s="1670"/>
      <c r="L14" s="1670"/>
      <c r="M14" s="1670"/>
      <c r="N14" s="1670"/>
      <c r="O14" s="1670"/>
      <c r="P14" s="1670"/>
      <c r="Q14" s="1670"/>
      <c r="R14" s="1670"/>
      <c r="S14" s="1670"/>
      <c r="T14" s="1670"/>
      <c r="U14" s="1671"/>
      <c r="V14" s="1670"/>
      <c r="W14" s="1670"/>
      <c r="X14" s="1670"/>
      <c r="Y14" s="1670"/>
      <c r="Z14" s="1670"/>
      <c r="AA14" s="1670"/>
      <c r="AB14" s="1670"/>
      <c r="AC14" s="1670"/>
      <c r="AD14" s="1670"/>
      <c r="AE14" s="1670"/>
      <c r="AF14" s="1670"/>
      <c r="AG14" s="1669"/>
      <c r="AH14" s="1670"/>
      <c r="AI14" s="1670"/>
      <c r="AJ14" s="1670"/>
      <c r="AK14" s="1670"/>
      <c r="AL14" s="1670"/>
      <c r="AM14" s="1671"/>
      <c r="AN14" s="1670"/>
      <c r="AO14" s="1670"/>
      <c r="AP14" s="1670"/>
      <c r="AQ14" s="1670"/>
      <c r="AR14" s="1670"/>
      <c r="AS14" s="1670"/>
    </row>
    <row r="15" spans="1:56" s="1672" customFormat="1" ht="15.75" x14ac:dyDescent="0.25">
      <c r="A15" s="1677" t="s">
        <v>3</v>
      </c>
      <c r="B15" s="1677"/>
      <c r="C15" s="1677"/>
      <c r="D15" s="1677"/>
      <c r="E15" s="1677"/>
      <c r="F15" s="1670"/>
      <c r="G15" s="1670"/>
      <c r="H15" s="1670"/>
      <c r="I15" s="1670"/>
      <c r="J15" s="1670"/>
      <c r="K15" s="1670"/>
      <c r="L15" s="1670"/>
      <c r="M15" s="1670"/>
      <c r="N15" s="1670"/>
      <c r="O15" s="1670"/>
      <c r="P15" s="1670"/>
      <c r="Q15" s="1670"/>
      <c r="R15" s="1670"/>
      <c r="S15" s="1670"/>
      <c r="T15" s="1670"/>
      <c r="U15" s="1671"/>
      <c r="V15" s="1670"/>
      <c r="W15" s="1670"/>
      <c r="X15" s="1670"/>
      <c r="Y15" s="1670"/>
      <c r="Z15" s="1670"/>
      <c r="AA15" s="1670"/>
      <c r="AB15" s="1670"/>
      <c r="AC15" s="1670"/>
      <c r="AD15" s="1670"/>
      <c r="AE15" s="1670"/>
      <c r="AF15" s="1670"/>
      <c r="AG15" s="1669"/>
      <c r="AH15" s="1670"/>
      <c r="AI15" s="1670"/>
      <c r="AJ15" s="1670"/>
      <c r="AK15" s="1670"/>
      <c r="AL15" s="1670"/>
      <c r="AM15" s="1671"/>
      <c r="AN15" s="1670"/>
      <c r="AO15" s="1670"/>
      <c r="AP15" s="1670"/>
      <c r="AQ15" s="1670"/>
      <c r="AR15" s="1670"/>
      <c r="AS15" s="1670"/>
    </row>
    <row r="16" spans="1:56" s="1672" customFormat="1" ht="15.75" x14ac:dyDescent="0.25">
      <c r="A16" s="1670"/>
      <c r="B16" s="1670"/>
      <c r="C16" s="1670"/>
      <c r="D16" s="1670"/>
      <c r="E16" s="1670"/>
      <c r="F16" s="1670"/>
      <c r="G16" s="1670"/>
      <c r="H16" s="1670"/>
      <c r="I16" s="1670"/>
      <c r="J16" s="1670"/>
      <c r="K16" s="1670"/>
      <c r="L16" s="1670"/>
      <c r="M16" s="1670"/>
      <c r="N16" s="1670"/>
      <c r="O16" s="1670"/>
      <c r="P16" s="1670"/>
      <c r="Q16" s="1670"/>
      <c r="R16" s="1670"/>
      <c r="S16" s="1670"/>
      <c r="T16" s="1670"/>
      <c r="U16" s="1671"/>
      <c r="V16" s="1670"/>
      <c r="W16" s="1670"/>
      <c r="X16" s="1670"/>
      <c r="Y16" s="1670"/>
      <c r="Z16" s="1670"/>
      <c r="AA16" s="1670"/>
      <c r="AB16" s="1670"/>
      <c r="AC16" s="1670"/>
      <c r="AD16" s="1670"/>
      <c r="AE16" s="1670"/>
      <c r="AF16" s="1670"/>
      <c r="AG16" s="1669"/>
      <c r="AH16" s="1670"/>
      <c r="AI16" s="1670"/>
      <c r="AJ16" s="1670"/>
      <c r="AK16" s="1670"/>
      <c r="AL16" s="1670"/>
      <c r="AM16" s="1671"/>
      <c r="AN16" s="1670"/>
      <c r="AO16" s="1670"/>
      <c r="AP16" s="1670"/>
      <c r="AQ16" s="1670"/>
      <c r="AR16" s="1670"/>
      <c r="AS16" s="1670"/>
    </row>
    <row r="17" spans="1:56" s="1672" customFormat="1" ht="15.75" x14ac:dyDescent="0.25">
      <c r="A17" s="1677" t="s">
        <v>7577</v>
      </c>
      <c r="B17" s="1677"/>
      <c r="C17" s="1677"/>
      <c r="D17" s="1677"/>
      <c r="E17" s="1677"/>
      <c r="F17" s="1677"/>
      <c r="G17" s="1677"/>
      <c r="H17" s="1677"/>
      <c r="I17" s="1677"/>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69"/>
      <c r="AH17" s="1670"/>
      <c r="AI17" s="1670"/>
      <c r="AJ17" s="1670"/>
      <c r="AK17" s="1670"/>
      <c r="AL17" s="1670"/>
      <c r="AM17" s="1671"/>
      <c r="AN17" s="1670"/>
      <c r="AO17" s="1670"/>
      <c r="AP17" s="1670"/>
      <c r="AQ17" s="1670"/>
      <c r="AR17" s="1670"/>
      <c r="AS17" s="1670"/>
    </row>
    <row r="18" spans="1:56" s="1672" customFormat="1" ht="15.75" x14ac:dyDescent="0.25">
      <c r="A18" s="1677" t="s">
        <v>7576</v>
      </c>
      <c r="B18" s="1677"/>
      <c r="C18" s="1677"/>
      <c r="D18" s="1677"/>
      <c r="E18" s="1677"/>
      <c r="F18" s="1677"/>
      <c r="G18" s="1677"/>
      <c r="H18" s="1677"/>
      <c r="I18" s="1677"/>
      <c r="J18" s="1677"/>
      <c r="K18" s="1677"/>
      <c r="L18" s="1677"/>
      <c r="M18" s="1677"/>
      <c r="N18" s="1677"/>
      <c r="O18" s="1677"/>
      <c r="P18" s="1677"/>
      <c r="Q18" s="1677"/>
      <c r="R18" s="1677"/>
      <c r="S18" s="1677"/>
      <c r="T18" s="1677"/>
      <c r="U18" s="1677"/>
      <c r="V18" s="1677"/>
      <c r="W18" s="1677"/>
      <c r="X18" s="1677"/>
      <c r="Y18" s="1677"/>
      <c r="Z18" s="1677"/>
      <c r="AA18" s="1677"/>
      <c r="AB18" s="1677"/>
      <c r="AC18" s="1677"/>
      <c r="AD18" s="1677"/>
      <c r="AE18" s="1677"/>
      <c r="AF18" s="1677"/>
      <c r="AG18" s="1669"/>
      <c r="AH18" s="1670"/>
      <c r="AI18" s="1670"/>
      <c r="AJ18" s="1670"/>
      <c r="AK18" s="1670"/>
      <c r="AL18" s="1670"/>
      <c r="AM18" s="1671"/>
      <c r="AN18" s="1670"/>
      <c r="AO18" s="1670"/>
      <c r="AP18" s="1670"/>
      <c r="AQ18" s="1670"/>
      <c r="AR18" s="1670"/>
      <c r="AS18" s="1670"/>
    </row>
    <row r="19" spans="1:56" s="684" customFormat="1" x14ac:dyDescent="0.2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685"/>
      <c r="AF19" s="686"/>
      <c r="AG19" s="687"/>
      <c r="AH19" s="685"/>
      <c r="AI19" s="145"/>
      <c r="AJ19" s="145"/>
      <c r="AK19" s="145"/>
      <c r="AL19" s="145"/>
      <c r="AM19" s="145"/>
      <c r="AN19" s="145"/>
      <c r="AO19" s="145"/>
      <c r="AP19" s="145"/>
      <c r="AQ19" s="145"/>
      <c r="AR19" s="145"/>
    </row>
    <row r="20" spans="1:56" s="684" customFormat="1" ht="15.75" customHeight="1" thickBot="1" x14ac:dyDescent="0.3">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673"/>
      <c r="AM20" s="1673"/>
      <c r="AN20" s="1673"/>
      <c r="AO20" s="1673"/>
      <c r="AP20" s="1673"/>
      <c r="AQ20" s="1673"/>
      <c r="AR20" s="1673"/>
      <c r="AS20" s="1673"/>
      <c r="AT20" s="1673"/>
      <c r="AU20" s="1673"/>
      <c r="AV20" s="1673"/>
      <c r="AW20" s="1673"/>
      <c r="AX20" s="1673"/>
      <c r="AY20" s="1673"/>
      <c r="AZ20" s="1673"/>
      <c r="BA20" s="1673"/>
      <c r="BB20" s="1673"/>
      <c r="BC20" s="1673"/>
      <c r="BD20" s="1673"/>
    </row>
    <row r="21" spans="1:56" s="684" customFormat="1" ht="15.75" customHeight="1" x14ac:dyDescent="0.25">
      <c r="A21" s="2520" t="s">
        <v>5</v>
      </c>
      <c r="B21" s="2523" t="s">
        <v>6</v>
      </c>
      <c r="C21" s="2524"/>
      <c r="D21" s="2524"/>
      <c r="E21" s="2524"/>
      <c r="F21" s="2524"/>
      <c r="G21" s="2524"/>
      <c r="H21" s="2524" t="s">
        <v>7</v>
      </c>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t="s">
        <v>8</v>
      </c>
      <c r="AJ21" s="2524"/>
      <c r="AK21" s="2524"/>
      <c r="AL21" s="2524"/>
      <c r="AM21" s="2524" t="s">
        <v>9</v>
      </c>
      <c r="AN21" s="2524"/>
      <c r="AO21" s="2524"/>
      <c r="AP21" s="2524"/>
      <c r="AQ21" s="2524"/>
      <c r="AR21" s="2524"/>
      <c r="AS21" s="2524" t="s">
        <v>10</v>
      </c>
      <c r="AT21" s="2524"/>
      <c r="AU21" s="2524"/>
      <c r="AV21" s="2524"/>
      <c r="AW21" s="2524"/>
      <c r="AX21" s="2524"/>
      <c r="AY21" s="2524"/>
      <c r="AZ21" s="2524"/>
      <c r="BA21" s="2524"/>
      <c r="BB21" s="2524"/>
      <c r="BC21" s="2524"/>
      <c r="BD21" s="2526"/>
    </row>
    <row r="22" spans="1:56" s="684" customFormat="1" ht="15.75" customHeight="1" x14ac:dyDescent="0.25">
      <c r="A22" s="2521"/>
      <c r="B22" s="2525"/>
      <c r="C22" s="2342"/>
      <c r="D22" s="2342"/>
      <c r="E22" s="2342"/>
      <c r="F22" s="2342"/>
      <c r="G22" s="2342"/>
      <c r="H22" s="2342" t="s">
        <v>11</v>
      </c>
      <c r="I22" s="2342"/>
      <c r="J22" s="2342"/>
      <c r="K22" s="2342"/>
      <c r="L22" s="2342"/>
      <c r="M22" s="2342"/>
      <c r="N22" s="2342"/>
      <c r="O22" s="2342"/>
      <c r="P22" s="2342"/>
      <c r="Q22" s="2342"/>
      <c r="R22" s="2342"/>
      <c r="S22" s="2342"/>
      <c r="T22" s="2342"/>
      <c r="U22" s="2342" t="s">
        <v>12</v>
      </c>
      <c r="V22" s="2342"/>
      <c r="W22" s="2342"/>
      <c r="X22" s="2342"/>
      <c r="Y22" s="2342"/>
      <c r="Z22" s="2342"/>
      <c r="AA22" s="2342"/>
      <c r="AB22" s="2342"/>
      <c r="AC22" s="2342"/>
      <c r="AD22" s="2342"/>
      <c r="AE22" s="2342" t="s">
        <v>13</v>
      </c>
      <c r="AF22" s="2342"/>
      <c r="AG22" s="2342"/>
      <c r="AH22" s="2342"/>
      <c r="AI22" s="2342" t="s">
        <v>14</v>
      </c>
      <c r="AJ22" s="2342" t="s">
        <v>15</v>
      </c>
      <c r="AK22" s="2342" t="s">
        <v>16</v>
      </c>
      <c r="AL22" s="2342" t="s">
        <v>581</v>
      </c>
      <c r="AM22" s="2342" t="s">
        <v>18</v>
      </c>
      <c r="AN22" s="2342" t="s">
        <v>19</v>
      </c>
      <c r="AO22" s="2342" t="s">
        <v>20</v>
      </c>
      <c r="AP22" s="2342" t="s">
        <v>21</v>
      </c>
      <c r="AQ22" s="2342" t="s">
        <v>22</v>
      </c>
      <c r="AR22" s="2342" t="s">
        <v>21</v>
      </c>
      <c r="AS22" s="2342" t="s">
        <v>23</v>
      </c>
      <c r="AT22" s="2342" t="s">
        <v>24</v>
      </c>
      <c r="AU22" s="2527" t="s">
        <v>25</v>
      </c>
      <c r="AV22" s="2527"/>
      <c r="AW22" s="2527"/>
      <c r="AX22" s="2527" t="s">
        <v>26</v>
      </c>
      <c r="AY22" s="2527"/>
      <c r="AZ22" s="2342" t="s">
        <v>27</v>
      </c>
      <c r="BA22" s="2342" t="s">
        <v>28</v>
      </c>
      <c r="BB22" s="2527" t="s">
        <v>29</v>
      </c>
      <c r="BC22" s="2527"/>
      <c r="BD22" s="2528"/>
    </row>
    <row r="23" spans="1:56" s="684" customFormat="1" ht="38.25" x14ac:dyDescent="0.25">
      <c r="A23" s="2521"/>
      <c r="B23" s="688" t="s">
        <v>30</v>
      </c>
      <c r="C23" s="642" t="s">
        <v>31</v>
      </c>
      <c r="D23" s="642" t="s">
        <v>32</v>
      </c>
      <c r="E23" s="642" t="s">
        <v>23</v>
      </c>
      <c r="F23" s="642" t="s">
        <v>33</v>
      </c>
      <c r="G23" s="642" t="s">
        <v>34</v>
      </c>
      <c r="H23" s="689" t="s">
        <v>35</v>
      </c>
      <c r="I23" s="642" t="s">
        <v>36</v>
      </c>
      <c r="J23" s="642" t="s">
        <v>37</v>
      </c>
      <c r="K23" s="642" t="s">
        <v>38</v>
      </c>
      <c r="L23" s="642" t="s">
        <v>39</v>
      </c>
      <c r="M23" s="642" t="s">
        <v>40</v>
      </c>
      <c r="N23" s="642" t="s">
        <v>41</v>
      </c>
      <c r="O23" s="642" t="s">
        <v>42</v>
      </c>
      <c r="P23" s="642" t="s">
        <v>43</v>
      </c>
      <c r="Q23" s="642" t="s">
        <v>44</v>
      </c>
      <c r="R23" s="642" t="s">
        <v>45</v>
      </c>
      <c r="S23" s="642" t="s">
        <v>46</v>
      </c>
      <c r="T23" s="642" t="s">
        <v>47</v>
      </c>
      <c r="U23" s="642" t="s">
        <v>48</v>
      </c>
      <c r="V23" s="642" t="s">
        <v>38</v>
      </c>
      <c r="W23" s="642" t="s">
        <v>40</v>
      </c>
      <c r="X23" s="642" t="s">
        <v>49</v>
      </c>
      <c r="Y23" s="642" t="s">
        <v>41</v>
      </c>
      <c r="Z23" s="642" t="s">
        <v>42</v>
      </c>
      <c r="AA23" s="642" t="s">
        <v>50</v>
      </c>
      <c r="AB23" s="642" t="s">
        <v>51</v>
      </c>
      <c r="AC23" s="642" t="s">
        <v>52</v>
      </c>
      <c r="AD23" s="642" t="s">
        <v>53</v>
      </c>
      <c r="AE23" s="642" t="s">
        <v>54</v>
      </c>
      <c r="AF23" s="642" t="s">
        <v>55</v>
      </c>
      <c r="AG23" s="642" t="s">
        <v>56</v>
      </c>
      <c r="AH23" s="642" t="s">
        <v>57</v>
      </c>
      <c r="AI23" s="2342"/>
      <c r="AJ23" s="2342"/>
      <c r="AK23" s="2342"/>
      <c r="AL23" s="2342"/>
      <c r="AM23" s="2342"/>
      <c r="AN23" s="2342"/>
      <c r="AO23" s="2342"/>
      <c r="AP23" s="2342"/>
      <c r="AQ23" s="2342"/>
      <c r="AR23" s="2342"/>
      <c r="AS23" s="2342"/>
      <c r="AT23" s="2342"/>
      <c r="AU23" s="690" t="s">
        <v>58</v>
      </c>
      <c r="AV23" s="690" t="s">
        <v>59</v>
      </c>
      <c r="AW23" s="690" t="s">
        <v>60</v>
      </c>
      <c r="AX23" s="690" t="s">
        <v>61</v>
      </c>
      <c r="AY23" s="642" t="s">
        <v>62</v>
      </c>
      <c r="AZ23" s="2342"/>
      <c r="BA23" s="2342"/>
      <c r="BB23" s="690" t="s">
        <v>58</v>
      </c>
      <c r="BC23" s="690" t="s">
        <v>63</v>
      </c>
      <c r="BD23" s="691" t="s">
        <v>64</v>
      </c>
    </row>
    <row r="24" spans="1:56" s="684" customFormat="1" ht="15.75" thickBot="1" x14ac:dyDescent="0.3">
      <c r="A24" s="2522"/>
      <c r="B24" s="692" t="s">
        <v>65</v>
      </c>
      <c r="C24" s="693" t="s">
        <v>66</v>
      </c>
      <c r="D24" s="694" t="s">
        <v>67</v>
      </c>
      <c r="E24" s="693" t="s">
        <v>68</v>
      </c>
      <c r="F24" s="693" t="s">
        <v>69</v>
      </c>
      <c r="G24" s="693" t="s">
        <v>70</v>
      </c>
      <c r="H24" s="694" t="s">
        <v>71</v>
      </c>
      <c r="I24" s="693" t="s">
        <v>72</v>
      </c>
      <c r="J24" s="693" t="s">
        <v>73</v>
      </c>
      <c r="K24" s="693" t="s">
        <v>74</v>
      </c>
      <c r="L24" s="695" t="s">
        <v>75</v>
      </c>
      <c r="M24" s="693" t="s">
        <v>76</v>
      </c>
      <c r="N24" s="693" t="s">
        <v>77</v>
      </c>
      <c r="O24" s="693" t="s">
        <v>78</v>
      </c>
      <c r="P24" s="693" t="s">
        <v>79</v>
      </c>
      <c r="Q24" s="693" t="s">
        <v>80</v>
      </c>
      <c r="R24" s="693" t="s">
        <v>81</v>
      </c>
      <c r="S24" s="693" t="s">
        <v>82</v>
      </c>
      <c r="T24" s="693" t="s">
        <v>83</v>
      </c>
      <c r="U24" s="693" t="s">
        <v>84</v>
      </c>
      <c r="V24" s="693" t="s">
        <v>85</v>
      </c>
      <c r="W24" s="693" t="s">
        <v>86</v>
      </c>
      <c r="X24" s="693" t="s">
        <v>87</v>
      </c>
      <c r="Y24" s="693" t="s">
        <v>88</v>
      </c>
      <c r="Z24" s="693" t="s">
        <v>89</v>
      </c>
      <c r="AA24" s="693" t="s">
        <v>90</v>
      </c>
      <c r="AB24" s="693" t="s">
        <v>91</v>
      </c>
      <c r="AC24" s="693" t="s">
        <v>92</v>
      </c>
      <c r="AD24" s="693" t="s">
        <v>93</v>
      </c>
      <c r="AE24" s="693" t="s">
        <v>94</v>
      </c>
      <c r="AF24" s="693" t="s">
        <v>95</v>
      </c>
      <c r="AG24" s="696" t="s">
        <v>96</v>
      </c>
      <c r="AH24" s="693" t="s">
        <v>97</v>
      </c>
      <c r="AI24" s="693" t="s">
        <v>98</v>
      </c>
      <c r="AJ24" s="693" t="s">
        <v>99</v>
      </c>
      <c r="AK24" s="693" t="s">
        <v>100</v>
      </c>
      <c r="AL24" s="693" t="s">
        <v>101</v>
      </c>
      <c r="AM24" s="697" t="s">
        <v>102</v>
      </c>
      <c r="AN24" s="697" t="s">
        <v>103</v>
      </c>
      <c r="AO24" s="697" t="s">
        <v>104</v>
      </c>
      <c r="AP24" s="697" t="s">
        <v>105</v>
      </c>
      <c r="AQ24" s="697" t="s">
        <v>106</v>
      </c>
      <c r="AR24" s="697" t="s">
        <v>107</v>
      </c>
      <c r="AS24" s="697" t="s">
        <v>108</v>
      </c>
      <c r="AT24" s="697" t="s">
        <v>109</v>
      </c>
      <c r="AU24" s="697" t="s">
        <v>110</v>
      </c>
      <c r="AV24" s="697" t="s">
        <v>111</v>
      </c>
      <c r="AW24" s="697" t="s">
        <v>112</v>
      </c>
      <c r="AX24" s="697" t="s">
        <v>113</v>
      </c>
      <c r="AY24" s="697" t="s">
        <v>114</v>
      </c>
      <c r="AZ24" s="697" t="s">
        <v>115</v>
      </c>
      <c r="BA24" s="697" t="s">
        <v>116</v>
      </c>
      <c r="BB24" s="697" t="s">
        <v>117</v>
      </c>
      <c r="BC24" s="697" t="s">
        <v>118</v>
      </c>
      <c r="BD24" s="698" t="s">
        <v>119</v>
      </c>
    </row>
    <row r="25" spans="1:56" s="684" customFormat="1" ht="25.5" x14ac:dyDescent="0.25">
      <c r="A25" s="2509">
        <v>1</v>
      </c>
      <c r="B25" s="2255" t="s">
        <v>5169</v>
      </c>
      <c r="C25" s="2164">
        <v>35</v>
      </c>
      <c r="D25" s="2164" t="s">
        <v>122</v>
      </c>
      <c r="E25" s="2164" t="s">
        <v>168</v>
      </c>
      <c r="F25" s="2251" t="s">
        <v>5660</v>
      </c>
      <c r="G25" s="2164">
        <v>10626</v>
      </c>
      <c r="H25" s="2215" t="s">
        <v>5661</v>
      </c>
      <c r="I25" s="2232" t="s">
        <v>5662</v>
      </c>
      <c r="J25" s="2518" t="s">
        <v>5663</v>
      </c>
      <c r="K25" s="2174">
        <v>40817</v>
      </c>
      <c r="L25" s="2166">
        <v>402587.16</v>
      </c>
      <c r="M25" s="2164">
        <v>10658</v>
      </c>
      <c r="N25" s="2174">
        <v>40817</v>
      </c>
      <c r="O25" s="2174">
        <v>40908</v>
      </c>
      <c r="P25" s="2175">
        <v>1</v>
      </c>
      <c r="Q25" s="2175"/>
      <c r="R25" s="2175"/>
      <c r="S25" s="2175"/>
      <c r="T25" s="2164">
        <v>33903900</v>
      </c>
      <c r="U25" s="483">
        <v>1</v>
      </c>
      <c r="V25" s="487">
        <v>40904</v>
      </c>
      <c r="W25" s="483">
        <v>10709</v>
      </c>
      <c r="X25" s="699" t="s">
        <v>5664</v>
      </c>
      <c r="Y25" s="487">
        <v>40909</v>
      </c>
      <c r="Z25" s="487">
        <v>41274</v>
      </c>
      <c r="AA25" s="2175"/>
      <c r="AB25" s="2175"/>
      <c r="AC25" s="700">
        <v>1520410.8</v>
      </c>
      <c r="AD25" s="2175"/>
      <c r="AE25" s="701">
        <f>L25+AC25</f>
        <v>1922997.96</v>
      </c>
      <c r="AF25" s="2211">
        <v>3287004.51</v>
      </c>
      <c r="AG25" s="2517">
        <v>2928197.05</v>
      </c>
      <c r="AH25" s="2211">
        <f t="shared" ref="AH25:AH32" si="0">AF25+AG25</f>
        <v>6215201.5599999996</v>
      </c>
      <c r="AI25" s="2502"/>
      <c r="AJ25" s="2502"/>
      <c r="AK25" s="2211"/>
      <c r="AL25" s="2502"/>
      <c r="AM25" s="2502"/>
      <c r="AN25" s="2502"/>
      <c r="AO25" s="2502"/>
      <c r="AP25" s="2502"/>
      <c r="AQ25" s="2502"/>
      <c r="AR25" s="2502"/>
      <c r="AS25" s="2175"/>
      <c r="AT25" s="2501"/>
      <c r="AU25" s="2501"/>
      <c r="AV25" s="2501"/>
      <c r="AW25" s="2501"/>
      <c r="AX25" s="2501"/>
      <c r="AY25" s="2501"/>
      <c r="AZ25" s="2501"/>
      <c r="BA25" s="2501"/>
      <c r="BB25" s="2501"/>
      <c r="BC25" s="2501"/>
      <c r="BD25" s="2501"/>
    </row>
    <row r="26" spans="1:56" s="684" customFormat="1" ht="25.5" x14ac:dyDescent="0.25">
      <c r="A26" s="2509"/>
      <c r="B26" s="2495"/>
      <c r="C26" s="2024"/>
      <c r="D26" s="2024"/>
      <c r="E26" s="2024"/>
      <c r="F26" s="2251"/>
      <c r="G26" s="2024"/>
      <c r="H26" s="2496"/>
      <c r="I26" s="2326"/>
      <c r="J26" s="2519"/>
      <c r="K26" s="2337"/>
      <c r="L26" s="1993"/>
      <c r="M26" s="2024"/>
      <c r="N26" s="2337"/>
      <c r="O26" s="2337"/>
      <c r="P26" s="2175"/>
      <c r="Q26" s="2175"/>
      <c r="R26" s="2175"/>
      <c r="S26" s="2175"/>
      <c r="T26" s="2024"/>
      <c r="U26" s="459">
        <v>2</v>
      </c>
      <c r="V26" s="57">
        <v>41037</v>
      </c>
      <c r="W26" s="459">
        <v>10805</v>
      </c>
      <c r="X26" s="625" t="s">
        <v>5665</v>
      </c>
      <c r="Y26" s="57">
        <v>41061</v>
      </c>
      <c r="Z26" s="57">
        <v>40909</v>
      </c>
      <c r="AA26" s="2175"/>
      <c r="AB26" s="2175"/>
      <c r="AC26" s="702">
        <v>39869.5</v>
      </c>
      <c r="AD26" s="2175"/>
      <c r="AE26" s="703">
        <f>AE25+AC26</f>
        <v>1962867.46</v>
      </c>
      <c r="AF26" s="2211"/>
      <c r="AG26" s="2503"/>
      <c r="AH26" s="2211"/>
      <c r="AI26" s="2502"/>
      <c r="AJ26" s="2502"/>
      <c r="AK26" s="2211"/>
      <c r="AL26" s="2502"/>
      <c r="AM26" s="2502"/>
      <c r="AN26" s="2502"/>
      <c r="AO26" s="2502"/>
      <c r="AP26" s="2502"/>
      <c r="AQ26" s="2502"/>
      <c r="AR26" s="2502"/>
      <c r="AS26" s="2175"/>
      <c r="AT26" s="2501"/>
      <c r="AU26" s="2501"/>
      <c r="AV26" s="2501"/>
      <c r="AW26" s="2501"/>
      <c r="AX26" s="2501"/>
      <c r="AY26" s="2501"/>
      <c r="AZ26" s="2501"/>
      <c r="BA26" s="2501"/>
      <c r="BB26" s="2501"/>
      <c r="BC26" s="2501"/>
      <c r="BD26" s="2501"/>
    </row>
    <row r="27" spans="1:56" s="684" customFormat="1" ht="25.5" x14ac:dyDescent="0.25">
      <c r="A27" s="2509"/>
      <c r="B27" s="2495"/>
      <c r="C27" s="2024"/>
      <c r="D27" s="2024"/>
      <c r="E27" s="2024"/>
      <c r="F27" s="2251"/>
      <c r="G27" s="2024"/>
      <c r="H27" s="2496"/>
      <c r="I27" s="2326"/>
      <c r="J27" s="2519"/>
      <c r="K27" s="2337"/>
      <c r="L27" s="1993"/>
      <c r="M27" s="2024"/>
      <c r="N27" s="2337"/>
      <c r="O27" s="2337"/>
      <c r="P27" s="2175"/>
      <c r="Q27" s="2175"/>
      <c r="R27" s="2175"/>
      <c r="S27" s="2175"/>
      <c r="T27" s="2024"/>
      <c r="U27" s="459">
        <v>4</v>
      </c>
      <c r="V27" s="57">
        <v>41271</v>
      </c>
      <c r="W27" s="459">
        <v>10974</v>
      </c>
      <c r="X27" s="625" t="s">
        <v>5664</v>
      </c>
      <c r="Y27" s="57">
        <v>41275</v>
      </c>
      <c r="Z27" s="57">
        <v>41639</v>
      </c>
      <c r="AA27" s="2175"/>
      <c r="AB27" s="2175"/>
      <c r="AC27" s="702">
        <v>1582708.01</v>
      </c>
      <c r="AD27" s="2175"/>
      <c r="AE27" s="703">
        <f>AE26+AC27</f>
        <v>3545575.4699999997</v>
      </c>
      <c r="AF27" s="2211"/>
      <c r="AG27" s="2503"/>
      <c r="AH27" s="2211"/>
      <c r="AI27" s="2502"/>
      <c r="AJ27" s="2502"/>
      <c r="AK27" s="2211"/>
      <c r="AL27" s="2502"/>
      <c r="AM27" s="2502"/>
      <c r="AN27" s="2502"/>
      <c r="AO27" s="2502"/>
      <c r="AP27" s="2502"/>
      <c r="AQ27" s="2502"/>
      <c r="AR27" s="2502"/>
      <c r="AS27" s="2175"/>
      <c r="AT27" s="2501"/>
      <c r="AU27" s="2501"/>
      <c r="AV27" s="2501"/>
      <c r="AW27" s="2501"/>
      <c r="AX27" s="2501"/>
      <c r="AY27" s="2501"/>
      <c r="AZ27" s="2501"/>
      <c r="BA27" s="2501"/>
      <c r="BB27" s="2501"/>
      <c r="BC27" s="2501"/>
      <c r="BD27" s="2501"/>
    </row>
    <row r="28" spans="1:56" s="684" customFormat="1" ht="38.25" x14ac:dyDescent="0.25">
      <c r="A28" s="2509"/>
      <c r="B28" s="2495"/>
      <c r="C28" s="2024"/>
      <c r="D28" s="2024"/>
      <c r="E28" s="2024"/>
      <c r="F28" s="2251"/>
      <c r="G28" s="2024"/>
      <c r="H28" s="2496"/>
      <c r="I28" s="2326"/>
      <c r="J28" s="2519"/>
      <c r="K28" s="2337"/>
      <c r="L28" s="1993"/>
      <c r="M28" s="2024"/>
      <c r="N28" s="2337"/>
      <c r="O28" s="2337"/>
      <c r="P28" s="2175"/>
      <c r="Q28" s="2175"/>
      <c r="R28" s="2175"/>
      <c r="S28" s="2175"/>
      <c r="T28" s="2024"/>
      <c r="U28" s="459">
        <v>6</v>
      </c>
      <c r="V28" s="57">
        <v>41360</v>
      </c>
      <c r="W28" s="459">
        <v>11019</v>
      </c>
      <c r="X28" s="625" t="s">
        <v>5666</v>
      </c>
      <c r="Y28" s="57">
        <v>41360</v>
      </c>
      <c r="Z28" s="57">
        <v>41639</v>
      </c>
      <c r="AA28" s="2175"/>
      <c r="AB28" s="2175"/>
      <c r="AC28" s="702">
        <v>60359.58</v>
      </c>
      <c r="AD28" s="2175"/>
      <c r="AE28" s="703">
        <f t="shared" ref="AE28:AE31" si="1">AE27+AC28</f>
        <v>3605935.05</v>
      </c>
      <c r="AF28" s="2211"/>
      <c r="AG28" s="2503"/>
      <c r="AH28" s="2211"/>
      <c r="AI28" s="2502"/>
      <c r="AJ28" s="2502"/>
      <c r="AK28" s="2211"/>
      <c r="AL28" s="2502"/>
      <c r="AM28" s="2502"/>
      <c r="AN28" s="2502"/>
      <c r="AO28" s="2502"/>
      <c r="AP28" s="2502"/>
      <c r="AQ28" s="2502"/>
      <c r="AR28" s="2502"/>
      <c r="AS28" s="2175"/>
      <c r="AT28" s="2501"/>
      <c r="AU28" s="2501"/>
      <c r="AV28" s="2501"/>
      <c r="AW28" s="2501"/>
      <c r="AX28" s="2501"/>
      <c r="AY28" s="2501"/>
      <c r="AZ28" s="2501"/>
      <c r="BA28" s="2501"/>
      <c r="BB28" s="2501"/>
      <c r="BC28" s="2501"/>
      <c r="BD28" s="2501"/>
    </row>
    <row r="29" spans="1:56" s="684" customFormat="1" ht="25.5" x14ac:dyDescent="0.25">
      <c r="A29" s="2509"/>
      <c r="B29" s="2495"/>
      <c r="C29" s="2024"/>
      <c r="D29" s="2024"/>
      <c r="E29" s="2024"/>
      <c r="F29" s="2251"/>
      <c r="G29" s="2024"/>
      <c r="H29" s="2496"/>
      <c r="I29" s="2326"/>
      <c r="J29" s="2519"/>
      <c r="K29" s="2337"/>
      <c r="L29" s="1993"/>
      <c r="M29" s="2024"/>
      <c r="N29" s="2337"/>
      <c r="O29" s="2337"/>
      <c r="P29" s="2175"/>
      <c r="Q29" s="2175"/>
      <c r="R29" s="2175"/>
      <c r="S29" s="2175"/>
      <c r="T29" s="2024"/>
      <c r="U29" s="459">
        <v>7</v>
      </c>
      <c r="V29" s="57">
        <v>41496</v>
      </c>
      <c r="W29" s="459">
        <v>11123</v>
      </c>
      <c r="X29" s="625" t="s">
        <v>5667</v>
      </c>
      <c r="Y29" s="57">
        <v>41496</v>
      </c>
      <c r="Z29" s="57">
        <v>41639</v>
      </c>
      <c r="AA29" s="2175"/>
      <c r="AB29" s="2175"/>
      <c r="AC29" s="702">
        <v>266216.55</v>
      </c>
      <c r="AD29" s="2175"/>
      <c r="AE29" s="703">
        <f t="shared" si="1"/>
        <v>3872151.5999999996</v>
      </c>
      <c r="AF29" s="2211"/>
      <c r="AG29" s="2503"/>
      <c r="AH29" s="2211"/>
      <c r="AI29" s="2502"/>
      <c r="AJ29" s="2502"/>
      <c r="AK29" s="2211"/>
      <c r="AL29" s="2502"/>
      <c r="AM29" s="2502"/>
      <c r="AN29" s="2502"/>
      <c r="AO29" s="2502"/>
      <c r="AP29" s="2502"/>
      <c r="AQ29" s="2502"/>
      <c r="AR29" s="2502"/>
      <c r="AS29" s="2175"/>
      <c r="AT29" s="2501"/>
      <c r="AU29" s="2501"/>
      <c r="AV29" s="2501"/>
      <c r="AW29" s="2501"/>
      <c r="AX29" s="2501"/>
      <c r="AY29" s="2501"/>
      <c r="AZ29" s="2501"/>
      <c r="BA29" s="2501"/>
      <c r="BB29" s="2501"/>
      <c r="BC29" s="2501"/>
      <c r="BD29" s="2501"/>
    </row>
    <row r="30" spans="1:56" s="684" customFormat="1" ht="38.25" x14ac:dyDescent="0.25">
      <c r="A30" s="2509"/>
      <c r="B30" s="2495"/>
      <c r="C30" s="2024"/>
      <c r="D30" s="2024"/>
      <c r="E30" s="2024"/>
      <c r="F30" s="2251"/>
      <c r="G30" s="2024"/>
      <c r="H30" s="2496"/>
      <c r="I30" s="2326"/>
      <c r="J30" s="2519"/>
      <c r="K30" s="2337"/>
      <c r="L30" s="1993"/>
      <c r="M30" s="2024"/>
      <c r="N30" s="2337"/>
      <c r="O30" s="2337"/>
      <c r="P30" s="2175"/>
      <c r="Q30" s="2175"/>
      <c r="R30" s="2175"/>
      <c r="S30" s="2175"/>
      <c r="T30" s="2024"/>
      <c r="U30" s="459">
        <v>8</v>
      </c>
      <c r="V30" s="57">
        <v>41519</v>
      </c>
      <c r="W30" s="459">
        <v>11132</v>
      </c>
      <c r="X30" s="625" t="s">
        <v>5668</v>
      </c>
      <c r="Y30" s="57">
        <v>41519</v>
      </c>
      <c r="Z30" s="57">
        <v>41639</v>
      </c>
      <c r="AA30" s="2175"/>
      <c r="AB30" s="2175"/>
      <c r="AC30" s="702">
        <v>45800</v>
      </c>
      <c r="AD30" s="2175"/>
      <c r="AE30" s="703">
        <f t="shared" si="1"/>
        <v>3917951.5999999996</v>
      </c>
      <c r="AF30" s="2211"/>
      <c r="AG30" s="2503"/>
      <c r="AH30" s="2211"/>
      <c r="AI30" s="2502"/>
      <c r="AJ30" s="2502"/>
      <c r="AK30" s="2211"/>
      <c r="AL30" s="2502"/>
      <c r="AM30" s="2502"/>
      <c r="AN30" s="2502"/>
      <c r="AO30" s="2502"/>
      <c r="AP30" s="2502"/>
      <c r="AQ30" s="2502"/>
      <c r="AR30" s="2502"/>
      <c r="AS30" s="2175"/>
      <c r="AT30" s="2501"/>
      <c r="AU30" s="2501"/>
      <c r="AV30" s="2501"/>
      <c r="AW30" s="2501"/>
      <c r="AX30" s="2501"/>
      <c r="AY30" s="2501"/>
      <c r="AZ30" s="2501"/>
      <c r="BA30" s="2501"/>
      <c r="BB30" s="2501"/>
      <c r="BC30" s="2501"/>
      <c r="BD30" s="2501"/>
    </row>
    <row r="31" spans="1:56" s="684" customFormat="1" ht="38.25" x14ac:dyDescent="0.25">
      <c r="A31" s="2491"/>
      <c r="B31" s="2495"/>
      <c r="C31" s="2024"/>
      <c r="D31" s="2024"/>
      <c r="E31" s="2024"/>
      <c r="F31" s="2232"/>
      <c r="G31" s="2024"/>
      <c r="H31" s="2496"/>
      <c r="I31" s="2326"/>
      <c r="J31" s="2519"/>
      <c r="K31" s="2337"/>
      <c r="L31" s="1993"/>
      <c r="M31" s="2024"/>
      <c r="N31" s="2337"/>
      <c r="O31" s="2337"/>
      <c r="P31" s="2164"/>
      <c r="Q31" s="2164"/>
      <c r="R31" s="2164"/>
      <c r="S31" s="2164"/>
      <c r="T31" s="2024"/>
      <c r="U31" s="459">
        <v>9</v>
      </c>
      <c r="V31" s="57">
        <v>41640</v>
      </c>
      <c r="W31" s="459">
        <v>11214</v>
      </c>
      <c r="X31" s="625" t="s">
        <v>5668</v>
      </c>
      <c r="Y31" s="57">
        <v>41640</v>
      </c>
      <c r="Z31" s="57">
        <v>42004</v>
      </c>
      <c r="AA31" s="2164"/>
      <c r="AB31" s="2164"/>
      <c r="AC31" s="702">
        <v>135650.5</v>
      </c>
      <c r="AD31" s="2164"/>
      <c r="AE31" s="703">
        <f t="shared" si="1"/>
        <v>4053602.0999999996</v>
      </c>
      <c r="AF31" s="2212"/>
      <c r="AG31" s="2503"/>
      <c r="AH31" s="2212"/>
      <c r="AI31" s="2488"/>
      <c r="AJ31" s="2488"/>
      <c r="AK31" s="2212"/>
      <c r="AL31" s="2488"/>
      <c r="AM31" s="2488"/>
      <c r="AN31" s="2488"/>
      <c r="AO31" s="2488"/>
      <c r="AP31" s="2488"/>
      <c r="AQ31" s="2488"/>
      <c r="AR31" s="2488"/>
      <c r="AS31" s="2164"/>
      <c r="AT31" s="2486"/>
      <c r="AU31" s="2486"/>
      <c r="AV31" s="2486"/>
      <c r="AW31" s="2486"/>
      <c r="AX31" s="2486"/>
      <c r="AY31" s="2486"/>
      <c r="AZ31" s="2486"/>
      <c r="BA31" s="2486"/>
      <c r="BB31" s="2486"/>
      <c r="BC31" s="2486"/>
      <c r="BD31" s="2486"/>
    </row>
    <row r="32" spans="1:56" s="684" customFormat="1" ht="38.25" customHeight="1" x14ac:dyDescent="0.25">
      <c r="A32" s="2490">
        <v>2</v>
      </c>
      <c r="B32" s="2495" t="s">
        <v>3232</v>
      </c>
      <c r="C32" s="2024">
        <v>8</v>
      </c>
      <c r="D32" s="2024" t="s">
        <v>122</v>
      </c>
      <c r="E32" s="2024" t="s">
        <v>168</v>
      </c>
      <c r="F32" s="2231" t="s">
        <v>5669</v>
      </c>
      <c r="G32" s="2024">
        <v>10496</v>
      </c>
      <c r="H32" s="2504" t="s">
        <v>5670</v>
      </c>
      <c r="I32" s="2514" t="s">
        <v>5671</v>
      </c>
      <c r="J32" s="2024" t="s">
        <v>5672</v>
      </c>
      <c r="K32" s="2337">
        <v>40645</v>
      </c>
      <c r="L32" s="2508">
        <v>204375</v>
      </c>
      <c r="M32" s="2506">
        <v>10526</v>
      </c>
      <c r="N32" s="2337">
        <v>40645</v>
      </c>
      <c r="O32" s="2337">
        <v>40908</v>
      </c>
      <c r="P32" s="2485">
        <v>1</v>
      </c>
      <c r="Q32" s="2163"/>
      <c r="R32" s="2163"/>
      <c r="S32" s="2163"/>
      <c r="T32" s="2024">
        <v>33903900</v>
      </c>
      <c r="U32" s="459">
        <v>1</v>
      </c>
      <c r="V32" s="57">
        <v>40645</v>
      </c>
      <c r="W32" s="459">
        <v>10674</v>
      </c>
      <c r="X32" s="625" t="s">
        <v>5673</v>
      </c>
      <c r="Y32" s="57">
        <v>40854</v>
      </c>
      <c r="Z32" s="57">
        <v>40908</v>
      </c>
      <c r="AA32" s="704">
        <v>6.3600000000000004E-2</v>
      </c>
      <c r="AB32" s="459"/>
      <c r="AC32" s="705">
        <v>13000</v>
      </c>
      <c r="AD32" s="459"/>
      <c r="AE32" s="703">
        <f t="shared" ref="AE32" si="2">L32-AD32+AC32</f>
        <v>217375</v>
      </c>
      <c r="AF32" s="2493">
        <v>322567</v>
      </c>
      <c r="AG32" s="2503">
        <v>162761.54</v>
      </c>
      <c r="AH32" s="2493">
        <f t="shared" si="0"/>
        <v>485328.54000000004</v>
      </c>
      <c r="AI32" s="2511"/>
      <c r="AJ32" s="2210"/>
      <c r="AK32" s="2210"/>
      <c r="AL32" s="2487"/>
      <c r="AM32" s="2487"/>
      <c r="AN32" s="2487"/>
      <c r="AO32" s="2487"/>
      <c r="AP32" s="2487"/>
      <c r="AQ32" s="2487"/>
      <c r="AR32" s="2487"/>
      <c r="AS32" s="2163"/>
      <c r="AT32" s="2485"/>
      <c r="AU32" s="2485"/>
      <c r="AV32" s="2485"/>
      <c r="AW32" s="2485"/>
      <c r="AX32" s="2485"/>
      <c r="AY32" s="2485"/>
      <c r="AZ32" s="2485"/>
      <c r="BA32" s="2485"/>
      <c r="BB32" s="2485"/>
      <c r="BC32" s="2485"/>
      <c r="BD32" s="2485"/>
    </row>
    <row r="33" spans="1:56" s="684" customFormat="1" ht="25.5" x14ac:dyDescent="0.25">
      <c r="A33" s="2509"/>
      <c r="B33" s="2495"/>
      <c r="C33" s="2024"/>
      <c r="D33" s="2024"/>
      <c r="E33" s="2024"/>
      <c r="F33" s="2251"/>
      <c r="G33" s="2024"/>
      <c r="H33" s="2504"/>
      <c r="I33" s="2515"/>
      <c r="J33" s="2024"/>
      <c r="K33" s="2337"/>
      <c r="L33" s="2508"/>
      <c r="M33" s="2506"/>
      <c r="N33" s="2337"/>
      <c r="O33" s="2337"/>
      <c r="P33" s="2501"/>
      <c r="Q33" s="2175"/>
      <c r="R33" s="2175"/>
      <c r="S33" s="2175"/>
      <c r="T33" s="2024"/>
      <c r="U33" s="459">
        <v>2</v>
      </c>
      <c r="V33" s="57">
        <v>40897</v>
      </c>
      <c r="W33" s="459">
        <v>10707</v>
      </c>
      <c r="X33" s="625" t="s">
        <v>5664</v>
      </c>
      <c r="Y33" s="57">
        <v>40909</v>
      </c>
      <c r="Z33" s="57">
        <v>41274</v>
      </c>
      <c r="AA33" s="704">
        <v>9.9199999999999997E-2</v>
      </c>
      <c r="AB33" s="459"/>
      <c r="AC33" s="705">
        <v>20277.63</v>
      </c>
      <c r="AD33" s="459"/>
      <c r="AE33" s="703">
        <f>AE32+AC33</f>
        <v>237652.63</v>
      </c>
      <c r="AF33" s="2493"/>
      <c r="AG33" s="2503"/>
      <c r="AH33" s="2493"/>
      <c r="AI33" s="2512"/>
      <c r="AJ33" s="2211"/>
      <c r="AK33" s="2211"/>
      <c r="AL33" s="2502"/>
      <c r="AM33" s="2502"/>
      <c r="AN33" s="2502"/>
      <c r="AO33" s="2502"/>
      <c r="AP33" s="2502"/>
      <c r="AQ33" s="2502"/>
      <c r="AR33" s="2502"/>
      <c r="AS33" s="2175"/>
      <c r="AT33" s="2501"/>
      <c r="AU33" s="2501"/>
      <c r="AV33" s="2501"/>
      <c r="AW33" s="2501"/>
      <c r="AX33" s="2501"/>
      <c r="AY33" s="2501"/>
      <c r="AZ33" s="2501"/>
      <c r="BA33" s="2501"/>
      <c r="BB33" s="2501"/>
      <c r="BC33" s="2501"/>
      <c r="BD33" s="2501"/>
    </row>
    <row r="34" spans="1:56" s="684" customFormat="1" ht="25.5" x14ac:dyDescent="0.25">
      <c r="A34" s="2509"/>
      <c r="B34" s="2495"/>
      <c r="C34" s="2024"/>
      <c r="D34" s="2024"/>
      <c r="E34" s="2024"/>
      <c r="F34" s="2251"/>
      <c r="G34" s="2024"/>
      <c r="H34" s="2504"/>
      <c r="I34" s="2515"/>
      <c r="J34" s="2024"/>
      <c r="K34" s="2337"/>
      <c r="L34" s="2508"/>
      <c r="M34" s="2506"/>
      <c r="N34" s="2337"/>
      <c r="O34" s="2337"/>
      <c r="P34" s="2501"/>
      <c r="Q34" s="2175"/>
      <c r="R34" s="2175"/>
      <c r="S34" s="2175"/>
      <c r="T34" s="2024"/>
      <c r="U34" s="459">
        <v>3</v>
      </c>
      <c r="V34" s="57">
        <v>41271</v>
      </c>
      <c r="W34" s="459">
        <v>10974</v>
      </c>
      <c r="X34" s="625" t="s">
        <v>5674</v>
      </c>
      <c r="Y34" s="57">
        <v>41275</v>
      </c>
      <c r="Z34" s="57">
        <v>41639</v>
      </c>
      <c r="AA34" s="459"/>
      <c r="AB34" s="704">
        <v>0.182</v>
      </c>
      <c r="AC34" s="702"/>
      <c r="AD34" s="702">
        <v>43262.03</v>
      </c>
      <c r="AE34" s="703">
        <f>AE33-AD34</f>
        <v>194390.6</v>
      </c>
      <c r="AF34" s="2493"/>
      <c r="AG34" s="2503"/>
      <c r="AH34" s="2493"/>
      <c r="AI34" s="2512"/>
      <c r="AJ34" s="2211"/>
      <c r="AK34" s="2211"/>
      <c r="AL34" s="2502"/>
      <c r="AM34" s="2502"/>
      <c r="AN34" s="2502"/>
      <c r="AO34" s="2502"/>
      <c r="AP34" s="2502"/>
      <c r="AQ34" s="2502"/>
      <c r="AR34" s="2502"/>
      <c r="AS34" s="2175"/>
      <c r="AT34" s="2501"/>
      <c r="AU34" s="2501"/>
      <c r="AV34" s="2501"/>
      <c r="AW34" s="2501"/>
      <c r="AX34" s="2501"/>
      <c r="AY34" s="2501"/>
      <c r="AZ34" s="2501"/>
      <c r="BA34" s="2501"/>
      <c r="BB34" s="2501"/>
      <c r="BC34" s="2501"/>
      <c r="BD34" s="2501"/>
    </row>
    <row r="35" spans="1:56" s="684" customFormat="1" ht="25.5" x14ac:dyDescent="0.25">
      <c r="A35" s="2509"/>
      <c r="B35" s="2495"/>
      <c r="C35" s="2024"/>
      <c r="D35" s="2024"/>
      <c r="E35" s="2024"/>
      <c r="F35" s="2251"/>
      <c r="G35" s="2024"/>
      <c r="H35" s="2504"/>
      <c r="I35" s="2515"/>
      <c r="J35" s="2024"/>
      <c r="K35" s="2337"/>
      <c r="L35" s="2508"/>
      <c r="M35" s="2506"/>
      <c r="N35" s="2337"/>
      <c r="O35" s="2337"/>
      <c r="P35" s="2501"/>
      <c r="Q35" s="2175"/>
      <c r="R35" s="2175"/>
      <c r="S35" s="2175"/>
      <c r="T35" s="2024"/>
      <c r="U35" s="459">
        <v>5</v>
      </c>
      <c r="V35" s="57">
        <v>41638</v>
      </c>
      <c r="W35" s="459">
        <v>11214</v>
      </c>
      <c r="X35" s="625" t="s">
        <v>5664</v>
      </c>
      <c r="Y35" s="57">
        <v>41640</v>
      </c>
      <c r="Z35" s="57">
        <v>42004</v>
      </c>
      <c r="AA35" s="706"/>
      <c r="AB35" s="459"/>
      <c r="AC35" s="702">
        <v>135650.5</v>
      </c>
      <c r="AD35" s="459"/>
      <c r="AE35" s="703">
        <f>AE34+AC35</f>
        <v>330041.09999999998</v>
      </c>
      <c r="AF35" s="2493"/>
      <c r="AG35" s="2503"/>
      <c r="AH35" s="2493"/>
      <c r="AI35" s="2512"/>
      <c r="AJ35" s="2211"/>
      <c r="AK35" s="2211"/>
      <c r="AL35" s="2502"/>
      <c r="AM35" s="2502"/>
      <c r="AN35" s="2502"/>
      <c r="AO35" s="2502"/>
      <c r="AP35" s="2502"/>
      <c r="AQ35" s="2502"/>
      <c r="AR35" s="2502"/>
      <c r="AS35" s="2175"/>
      <c r="AT35" s="2501"/>
      <c r="AU35" s="2501"/>
      <c r="AV35" s="2501"/>
      <c r="AW35" s="2501"/>
      <c r="AX35" s="2501"/>
      <c r="AY35" s="2501"/>
      <c r="AZ35" s="2501"/>
      <c r="BA35" s="2501"/>
      <c r="BB35" s="2501"/>
      <c r="BC35" s="2501"/>
      <c r="BD35" s="2501"/>
    </row>
    <row r="36" spans="1:56" s="684" customFormat="1" x14ac:dyDescent="0.25">
      <c r="A36" s="2491"/>
      <c r="B36" s="2495"/>
      <c r="C36" s="2024"/>
      <c r="D36" s="2024"/>
      <c r="E36" s="2024"/>
      <c r="F36" s="2232"/>
      <c r="G36" s="2024"/>
      <c r="H36" s="2504"/>
      <c r="I36" s="2516"/>
      <c r="J36" s="2024"/>
      <c r="K36" s="2337"/>
      <c r="L36" s="2508"/>
      <c r="M36" s="2506"/>
      <c r="N36" s="2337"/>
      <c r="O36" s="2337"/>
      <c r="P36" s="2486"/>
      <c r="Q36" s="2164"/>
      <c r="R36" s="2164"/>
      <c r="S36" s="2164"/>
      <c r="T36" s="2024"/>
      <c r="U36" s="459">
        <v>6</v>
      </c>
      <c r="V36" s="57">
        <v>41946</v>
      </c>
      <c r="W36" s="459"/>
      <c r="X36" s="625" t="s">
        <v>5675</v>
      </c>
      <c r="Y36" s="57">
        <v>41946</v>
      </c>
      <c r="Z36" s="57">
        <v>42004</v>
      </c>
      <c r="AA36" s="707">
        <v>0.2</v>
      </c>
      <c r="AB36" s="459"/>
      <c r="AC36" s="702">
        <v>27130.1</v>
      </c>
      <c r="AD36" s="459"/>
      <c r="AE36" s="703">
        <f>AE35+AC36</f>
        <v>357171.19999999995</v>
      </c>
      <c r="AF36" s="2493"/>
      <c r="AG36" s="2503"/>
      <c r="AH36" s="2493"/>
      <c r="AI36" s="2513"/>
      <c r="AJ36" s="2212"/>
      <c r="AK36" s="2212"/>
      <c r="AL36" s="2488"/>
      <c r="AM36" s="2488"/>
      <c r="AN36" s="2488"/>
      <c r="AO36" s="2488"/>
      <c r="AP36" s="2488"/>
      <c r="AQ36" s="2488"/>
      <c r="AR36" s="2488"/>
      <c r="AS36" s="2164"/>
      <c r="AT36" s="2486"/>
      <c r="AU36" s="2486"/>
      <c r="AV36" s="2486"/>
      <c r="AW36" s="2486"/>
      <c r="AX36" s="2486"/>
      <c r="AY36" s="2486"/>
      <c r="AZ36" s="2486"/>
      <c r="BA36" s="2486"/>
      <c r="BB36" s="2486"/>
      <c r="BC36" s="2486"/>
      <c r="BD36" s="2486"/>
    </row>
    <row r="37" spans="1:56" s="684" customFormat="1" ht="25.5" x14ac:dyDescent="0.25">
      <c r="A37" s="2490">
        <v>3</v>
      </c>
      <c r="B37" s="2510" t="s">
        <v>5676</v>
      </c>
      <c r="C37" s="2506" t="s">
        <v>1236</v>
      </c>
      <c r="D37" s="2506" t="s">
        <v>152</v>
      </c>
      <c r="E37" s="2506" t="s">
        <v>168</v>
      </c>
      <c r="F37" s="2505" t="s">
        <v>5677</v>
      </c>
      <c r="G37" s="2506"/>
      <c r="H37" s="2504" t="s">
        <v>5678</v>
      </c>
      <c r="I37" s="2505" t="s">
        <v>5679</v>
      </c>
      <c r="J37" s="2506" t="s">
        <v>5680</v>
      </c>
      <c r="K37" s="2507">
        <v>40603</v>
      </c>
      <c r="L37" s="2508">
        <v>18000</v>
      </c>
      <c r="M37" s="2024">
        <v>10506</v>
      </c>
      <c r="N37" s="2337">
        <v>40603</v>
      </c>
      <c r="O37" s="2337">
        <v>40786</v>
      </c>
      <c r="P37" s="2024">
        <v>1</v>
      </c>
      <c r="Q37" s="2024"/>
      <c r="R37" s="2024"/>
      <c r="S37" s="2024"/>
      <c r="T37" s="2024" t="s">
        <v>158</v>
      </c>
      <c r="U37" s="459">
        <v>1</v>
      </c>
      <c r="V37" s="57">
        <v>40788</v>
      </c>
      <c r="W37" s="459">
        <v>10674</v>
      </c>
      <c r="X37" s="625" t="s">
        <v>5674</v>
      </c>
      <c r="Y37" s="57">
        <v>40788</v>
      </c>
      <c r="Z37" s="57">
        <v>40849</v>
      </c>
      <c r="AA37" s="707">
        <v>0.25</v>
      </c>
      <c r="AB37" s="459"/>
      <c r="AC37" s="708">
        <v>4500</v>
      </c>
      <c r="AD37" s="459"/>
      <c r="AE37" s="703">
        <f>L37+AC37</f>
        <v>22500</v>
      </c>
      <c r="AF37" s="2493">
        <v>82500</v>
      </c>
      <c r="AG37" s="2503">
        <v>36000</v>
      </c>
      <c r="AH37" s="2493">
        <f>AF37+AG37</f>
        <v>118500</v>
      </c>
      <c r="AI37" s="2487"/>
      <c r="AJ37" s="2487"/>
      <c r="AK37" s="2487"/>
      <c r="AL37" s="2487"/>
      <c r="AM37" s="2487"/>
      <c r="AN37" s="2487"/>
      <c r="AO37" s="2487"/>
      <c r="AP37" s="2487"/>
      <c r="AQ37" s="2487"/>
      <c r="AR37" s="2487"/>
      <c r="AS37" s="2163"/>
      <c r="AT37" s="2485"/>
      <c r="AU37" s="2485"/>
      <c r="AV37" s="2485"/>
      <c r="AW37" s="2485"/>
      <c r="AX37" s="2485"/>
      <c r="AY37" s="2485"/>
      <c r="AZ37" s="2485"/>
      <c r="BA37" s="2485"/>
      <c r="BB37" s="2485"/>
      <c r="BC37" s="2485"/>
      <c r="BD37" s="2485"/>
    </row>
    <row r="38" spans="1:56" s="684" customFormat="1" ht="25.5" x14ac:dyDescent="0.25">
      <c r="A38" s="2509"/>
      <c r="B38" s="2510"/>
      <c r="C38" s="2506"/>
      <c r="D38" s="2506"/>
      <c r="E38" s="2506"/>
      <c r="F38" s="2505"/>
      <c r="G38" s="2506"/>
      <c r="H38" s="2504"/>
      <c r="I38" s="2505"/>
      <c r="J38" s="2506"/>
      <c r="K38" s="2507"/>
      <c r="L38" s="2508"/>
      <c r="M38" s="2024"/>
      <c r="N38" s="2337"/>
      <c r="O38" s="2337"/>
      <c r="P38" s="2024"/>
      <c r="Q38" s="2024"/>
      <c r="R38" s="2024"/>
      <c r="S38" s="2024"/>
      <c r="T38" s="2024"/>
      <c r="U38" s="459">
        <v>2</v>
      </c>
      <c r="V38" s="57">
        <v>40850</v>
      </c>
      <c r="W38" s="459">
        <v>10696</v>
      </c>
      <c r="X38" s="625" t="s">
        <v>5664</v>
      </c>
      <c r="Y38" s="57">
        <v>40849</v>
      </c>
      <c r="Z38" s="57">
        <v>40908</v>
      </c>
      <c r="AA38" s="459"/>
      <c r="AB38" s="459"/>
      <c r="AC38" s="702">
        <v>3000</v>
      </c>
      <c r="AD38" s="459"/>
      <c r="AE38" s="703">
        <f>AE37+AC38</f>
        <v>25500</v>
      </c>
      <c r="AF38" s="2493"/>
      <c r="AG38" s="2503"/>
      <c r="AH38" s="2493"/>
      <c r="AI38" s="2502"/>
      <c r="AJ38" s="2502"/>
      <c r="AK38" s="2502"/>
      <c r="AL38" s="2502"/>
      <c r="AM38" s="2502"/>
      <c r="AN38" s="2502"/>
      <c r="AO38" s="2502"/>
      <c r="AP38" s="2502"/>
      <c r="AQ38" s="2502"/>
      <c r="AR38" s="2502"/>
      <c r="AS38" s="2175"/>
      <c r="AT38" s="2501"/>
      <c r="AU38" s="2501"/>
      <c r="AV38" s="2501"/>
      <c r="AW38" s="2501"/>
      <c r="AX38" s="2501"/>
      <c r="AY38" s="2501"/>
      <c r="AZ38" s="2501"/>
      <c r="BA38" s="2501"/>
      <c r="BB38" s="2501"/>
      <c r="BC38" s="2501"/>
      <c r="BD38" s="2501"/>
    </row>
    <row r="39" spans="1:56" s="684" customFormat="1" ht="25.5" x14ac:dyDescent="0.25">
      <c r="A39" s="2509"/>
      <c r="B39" s="2510"/>
      <c r="C39" s="2506"/>
      <c r="D39" s="2506"/>
      <c r="E39" s="2506"/>
      <c r="F39" s="2505"/>
      <c r="G39" s="2506"/>
      <c r="H39" s="2504"/>
      <c r="I39" s="2505"/>
      <c r="J39" s="2506"/>
      <c r="K39" s="2507"/>
      <c r="L39" s="2508"/>
      <c r="M39" s="2024"/>
      <c r="N39" s="2337"/>
      <c r="O39" s="2337"/>
      <c r="P39" s="2024"/>
      <c r="Q39" s="2024"/>
      <c r="R39" s="2024"/>
      <c r="S39" s="2024"/>
      <c r="T39" s="2024"/>
      <c r="U39" s="459">
        <v>3</v>
      </c>
      <c r="V39" s="57">
        <v>40903</v>
      </c>
      <c r="W39" s="459">
        <v>10711</v>
      </c>
      <c r="X39" s="625" t="s">
        <v>5664</v>
      </c>
      <c r="Y39" s="57">
        <v>40909</v>
      </c>
      <c r="Z39" s="57">
        <v>41274</v>
      </c>
      <c r="AA39" s="459"/>
      <c r="AB39" s="459"/>
      <c r="AC39" s="706">
        <v>36000</v>
      </c>
      <c r="AD39" s="459"/>
      <c r="AE39" s="703">
        <f>L37+AC39</f>
        <v>54000</v>
      </c>
      <c r="AF39" s="2493"/>
      <c r="AG39" s="2503"/>
      <c r="AH39" s="2493"/>
      <c r="AI39" s="2502"/>
      <c r="AJ39" s="2502"/>
      <c r="AK39" s="2502"/>
      <c r="AL39" s="2502"/>
      <c r="AM39" s="2502"/>
      <c r="AN39" s="2502"/>
      <c r="AO39" s="2502"/>
      <c r="AP39" s="2502"/>
      <c r="AQ39" s="2502"/>
      <c r="AR39" s="2502"/>
      <c r="AS39" s="2175"/>
      <c r="AT39" s="2501"/>
      <c r="AU39" s="2501"/>
      <c r="AV39" s="2501"/>
      <c r="AW39" s="2501"/>
      <c r="AX39" s="2501"/>
      <c r="AY39" s="2501"/>
      <c r="AZ39" s="2501"/>
      <c r="BA39" s="2501"/>
      <c r="BB39" s="2501"/>
      <c r="BC39" s="2501"/>
      <c r="BD39" s="2501"/>
    </row>
    <row r="40" spans="1:56" s="684" customFormat="1" ht="25.5" x14ac:dyDescent="0.25">
      <c r="A40" s="2509"/>
      <c r="B40" s="2510"/>
      <c r="C40" s="2506"/>
      <c r="D40" s="2506"/>
      <c r="E40" s="2506"/>
      <c r="F40" s="2505"/>
      <c r="G40" s="2506"/>
      <c r="H40" s="2504"/>
      <c r="I40" s="2505"/>
      <c r="J40" s="2506"/>
      <c r="K40" s="2507"/>
      <c r="L40" s="2508"/>
      <c r="M40" s="2024"/>
      <c r="N40" s="2337"/>
      <c r="O40" s="2337"/>
      <c r="P40" s="2024"/>
      <c r="Q40" s="2024"/>
      <c r="R40" s="2024"/>
      <c r="S40" s="2024"/>
      <c r="T40" s="2024"/>
      <c r="U40" s="459">
        <v>4</v>
      </c>
      <c r="V40" s="57">
        <v>41271</v>
      </c>
      <c r="W40" s="459">
        <v>10972</v>
      </c>
      <c r="X40" s="625" t="s">
        <v>5664</v>
      </c>
      <c r="Y40" s="57">
        <v>41307</v>
      </c>
      <c r="Z40" s="57">
        <v>41639</v>
      </c>
      <c r="AA40" s="459"/>
      <c r="AB40" s="459"/>
      <c r="AC40" s="702">
        <v>36000</v>
      </c>
      <c r="AD40" s="459"/>
      <c r="AE40" s="703">
        <f>AE39+AC40</f>
        <v>90000</v>
      </c>
      <c r="AF40" s="2493"/>
      <c r="AG40" s="2503"/>
      <c r="AH40" s="2493"/>
      <c r="AI40" s="2502"/>
      <c r="AJ40" s="2502"/>
      <c r="AK40" s="2502"/>
      <c r="AL40" s="2502"/>
      <c r="AM40" s="2502"/>
      <c r="AN40" s="2502"/>
      <c r="AO40" s="2502"/>
      <c r="AP40" s="2502"/>
      <c r="AQ40" s="2502"/>
      <c r="AR40" s="2502"/>
      <c r="AS40" s="2175"/>
      <c r="AT40" s="2501"/>
      <c r="AU40" s="2501"/>
      <c r="AV40" s="2501"/>
      <c r="AW40" s="2501"/>
      <c r="AX40" s="2501"/>
      <c r="AY40" s="2501"/>
      <c r="AZ40" s="2501"/>
      <c r="BA40" s="2501"/>
      <c r="BB40" s="2501"/>
      <c r="BC40" s="2501"/>
      <c r="BD40" s="2501"/>
    </row>
    <row r="41" spans="1:56" s="684" customFormat="1" ht="25.5" x14ac:dyDescent="0.25">
      <c r="A41" s="2491"/>
      <c r="B41" s="2510"/>
      <c r="C41" s="2506"/>
      <c r="D41" s="2506"/>
      <c r="E41" s="2506"/>
      <c r="F41" s="2505"/>
      <c r="G41" s="2506"/>
      <c r="H41" s="2504"/>
      <c r="I41" s="2505"/>
      <c r="J41" s="2506"/>
      <c r="K41" s="2507"/>
      <c r="L41" s="2508"/>
      <c r="M41" s="2024"/>
      <c r="N41" s="2337"/>
      <c r="O41" s="2337"/>
      <c r="P41" s="2024"/>
      <c r="Q41" s="2024"/>
      <c r="R41" s="2024"/>
      <c r="S41" s="2024"/>
      <c r="T41" s="2024"/>
      <c r="U41" s="459">
        <v>5</v>
      </c>
      <c r="V41" s="57">
        <v>41638</v>
      </c>
      <c r="W41" s="459">
        <v>11241</v>
      </c>
      <c r="X41" s="625" t="s">
        <v>5664</v>
      </c>
      <c r="Y41" s="57">
        <v>41640</v>
      </c>
      <c r="Z41" s="57">
        <v>42004</v>
      </c>
      <c r="AA41" s="459"/>
      <c r="AB41" s="459"/>
      <c r="AC41" s="702">
        <v>36000</v>
      </c>
      <c r="AD41" s="459"/>
      <c r="AE41" s="703">
        <f>AE40+AC41</f>
        <v>126000</v>
      </c>
      <c r="AF41" s="2493"/>
      <c r="AG41" s="2503"/>
      <c r="AH41" s="2493"/>
      <c r="AI41" s="2488"/>
      <c r="AJ41" s="2488"/>
      <c r="AK41" s="2488"/>
      <c r="AL41" s="2488"/>
      <c r="AM41" s="2488"/>
      <c r="AN41" s="2488"/>
      <c r="AO41" s="2488"/>
      <c r="AP41" s="2488"/>
      <c r="AQ41" s="2488"/>
      <c r="AR41" s="2488"/>
      <c r="AS41" s="2164"/>
      <c r="AT41" s="2486"/>
      <c r="AU41" s="2486"/>
      <c r="AV41" s="2486"/>
      <c r="AW41" s="2486"/>
      <c r="AX41" s="2486"/>
      <c r="AY41" s="2486"/>
      <c r="AZ41" s="2486"/>
      <c r="BA41" s="2486"/>
      <c r="BB41" s="2486"/>
      <c r="BC41" s="2486"/>
      <c r="BD41" s="2486"/>
    </row>
    <row r="42" spans="1:56" s="684" customFormat="1" ht="25.5" x14ac:dyDescent="0.25">
      <c r="A42" s="709">
        <v>4</v>
      </c>
      <c r="B42" s="710" t="s">
        <v>5475</v>
      </c>
      <c r="C42" s="459" t="s">
        <v>1056</v>
      </c>
      <c r="D42" s="459" t="s">
        <v>122</v>
      </c>
      <c r="E42" s="459" t="s">
        <v>168</v>
      </c>
      <c r="F42" s="94" t="s">
        <v>5681</v>
      </c>
      <c r="G42" s="459">
        <v>11038</v>
      </c>
      <c r="H42" s="81" t="s">
        <v>2259</v>
      </c>
      <c r="I42" s="94" t="s">
        <v>5682</v>
      </c>
      <c r="J42" s="459" t="s">
        <v>5683</v>
      </c>
      <c r="K42" s="57">
        <v>41428</v>
      </c>
      <c r="L42" s="438">
        <v>95400</v>
      </c>
      <c r="M42" s="459">
        <v>11065</v>
      </c>
      <c r="N42" s="57">
        <v>41428</v>
      </c>
      <c r="O42" s="57">
        <v>41790</v>
      </c>
      <c r="P42" s="459">
        <v>1</v>
      </c>
      <c r="Q42" s="459"/>
      <c r="R42" s="459"/>
      <c r="S42" s="459"/>
      <c r="T42" s="459" t="s">
        <v>158</v>
      </c>
      <c r="U42" s="459">
        <v>1</v>
      </c>
      <c r="V42" s="57">
        <v>41787</v>
      </c>
      <c r="W42" s="459">
        <v>11324</v>
      </c>
      <c r="X42" s="625" t="s">
        <v>5664</v>
      </c>
      <c r="Y42" s="57">
        <v>41791</v>
      </c>
      <c r="Z42" s="57">
        <v>42004</v>
      </c>
      <c r="AA42" s="459"/>
      <c r="AB42" s="459"/>
      <c r="AC42" s="702">
        <v>55650</v>
      </c>
      <c r="AD42" s="459"/>
      <c r="AE42" s="703">
        <f>L42+AC42</f>
        <v>151050</v>
      </c>
      <c r="AF42" s="702">
        <f>128500-55650</f>
        <v>72850</v>
      </c>
      <c r="AG42" s="711">
        <f>[2]Julho!AG33</f>
        <v>95400</v>
      </c>
      <c r="AH42" s="711">
        <f>AF42+AG42</f>
        <v>168250</v>
      </c>
      <c r="AI42" s="712"/>
      <c r="AJ42" s="712"/>
      <c r="AK42" s="712"/>
      <c r="AL42" s="712"/>
      <c r="AM42" s="713"/>
      <c r="AN42" s="712"/>
      <c r="AO42" s="712"/>
      <c r="AP42" s="712"/>
      <c r="AQ42" s="712"/>
      <c r="AR42" s="712"/>
      <c r="AS42" s="459"/>
      <c r="AT42" s="81"/>
      <c r="AU42" s="81"/>
      <c r="AV42" s="81"/>
      <c r="AW42" s="81"/>
      <c r="AX42" s="81"/>
      <c r="AY42" s="81"/>
      <c r="AZ42" s="81"/>
      <c r="BA42" s="81"/>
      <c r="BB42" s="81"/>
      <c r="BC42" s="81"/>
      <c r="BD42" s="81"/>
    </row>
    <row r="43" spans="1:56" s="684" customFormat="1" ht="25.5" x14ac:dyDescent="0.25">
      <c r="A43" s="709">
        <v>5</v>
      </c>
      <c r="B43" s="710" t="s">
        <v>5475</v>
      </c>
      <c r="C43" s="459" t="s">
        <v>1478</v>
      </c>
      <c r="D43" s="459" t="s">
        <v>122</v>
      </c>
      <c r="E43" s="459" t="s">
        <v>168</v>
      </c>
      <c r="F43" s="94" t="s">
        <v>5681</v>
      </c>
      <c r="G43" s="459">
        <v>11065</v>
      </c>
      <c r="H43" s="81" t="s">
        <v>727</v>
      </c>
      <c r="I43" s="94" t="s">
        <v>5684</v>
      </c>
      <c r="J43" s="459" t="s">
        <v>5685</v>
      </c>
      <c r="K43" s="57">
        <v>41435</v>
      </c>
      <c r="L43" s="438">
        <v>46680</v>
      </c>
      <c r="M43" s="459">
        <v>11065</v>
      </c>
      <c r="N43" s="57">
        <v>41428</v>
      </c>
      <c r="O43" s="57">
        <v>41790</v>
      </c>
      <c r="P43" s="459">
        <v>1</v>
      </c>
      <c r="Q43" s="459"/>
      <c r="R43" s="459"/>
      <c r="S43" s="459"/>
      <c r="T43" s="459" t="s">
        <v>158</v>
      </c>
      <c r="U43" s="459">
        <v>1</v>
      </c>
      <c r="V43" s="57">
        <v>41787</v>
      </c>
      <c r="W43" s="459">
        <v>11324</v>
      </c>
      <c r="X43" s="625" t="s">
        <v>5664</v>
      </c>
      <c r="Y43" s="57">
        <v>41791</v>
      </c>
      <c r="Z43" s="57">
        <v>42004</v>
      </c>
      <c r="AA43" s="459"/>
      <c r="AB43" s="459"/>
      <c r="AC43" s="702">
        <v>27230</v>
      </c>
      <c r="AD43" s="459"/>
      <c r="AE43" s="703">
        <f>L43+AC43</f>
        <v>73910</v>
      </c>
      <c r="AF43" s="702">
        <f>42790-27230</f>
        <v>15560</v>
      </c>
      <c r="AG43" s="711">
        <v>46680</v>
      </c>
      <c r="AH43" s="711">
        <f>AF43+AG43</f>
        <v>62240</v>
      </c>
      <c r="AI43" s="712"/>
      <c r="AJ43" s="712"/>
      <c r="AK43" s="712"/>
      <c r="AL43" s="712"/>
      <c r="AM43" s="713"/>
      <c r="AN43" s="712"/>
      <c r="AO43" s="712"/>
      <c r="AP43" s="712"/>
      <c r="AQ43" s="712"/>
      <c r="AR43" s="712"/>
      <c r="AS43" s="459"/>
      <c r="AT43" s="81"/>
      <c r="AU43" s="81"/>
      <c r="AV43" s="81"/>
      <c r="AW43" s="81"/>
      <c r="AX43" s="81"/>
      <c r="AY43" s="81"/>
      <c r="AZ43" s="81"/>
      <c r="BA43" s="81"/>
      <c r="BB43" s="81"/>
      <c r="BC43" s="81"/>
      <c r="BD43" s="81"/>
    </row>
    <row r="44" spans="1:56" s="684" customFormat="1" ht="39.75" customHeight="1" x14ac:dyDescent="0.25">
      <c r="A44" s="709">
        <v>6</v>
      </c>
      <c r="B44" s="714" t="s">
        <v>5686</v>
      </c>
      <c r="C44" s="459" t="s">
        <v>3624</v>
      </c>
      <c r="D44" s="459" t="s">
        <v>935</v>
      </c>
      <c r="E44" s="459" t="s">
        <v>168</v>
      </c>
      <c r="F44" s="625" t="s">
        <v>5687</v>
      </c>
      <c r="G44" s="459">
        <v>11039</v>
      </c>
      <c r="H44" s="58" t="s">
        <v>5319</v>
      </c>
      <c r="I44" s="625" t="s">
        <v>5688</v>
      </c>
      <c r="J44" s="459" t="s">
        <v>5415</v>
      </c>
      <c r="K44" s="57">
        <v>41154</v>
      </c>
      <c r="L44" s="438">
        <v>17824.2</v>
      </c>
      <c r="M44" s="459">
        <v>11131</v>
      </c>
      <c r="N44" s="57">
        <v>41519</v>
      </c>
      <c r="O44" s="57">
        <v>41882</v>
      </c>
      <c r="P44" s="459">
        <v>1</v>
      </c>
      <c r="Q44" s="459"/>
      <c r="R44" s="459"/>
      <c r="S44" s="459"/>
      <c r="T44" s="459" t="s">
        <v>158</v>
      </c>
      <c r="U44" s="459"/>
      <c r="V44" s="459"/>
      <c r="W44" s="459"/>
      <c r="X44" s="459"/>
      <c r="Y44" s="459"/>
      <c r="Z44" s="459"/>
      <c r="AA44" s="459"/>
      <c r="AB44" s="459"/>
      <c r="AC44" s="459"/>
      <c r="AD44" s="459"/>
      <c r="AE44" s="703"/>
      <c r="AF44" s="702">
        <v>4456.05</v>
      </c>
      <c r="AG44" s="711">
        <v>17824.2</v>
      </c>
      <c r="AH44" s="711">
        <f>AF44+AG44</f>
        <v>22280.25</v>
      </c>
      <c r="AI44" s="459" t="s">
        <v>1280</v>
      </c>
      <c r="AJ44" s="706"/>
      <c r="AK44" s="459" t="s">
        <v>1085</v>
      </c>
      <c r="AL44" s="459">
        <v>11087</v>
      </c>
      <c r="AM44" s="713"/>
      <c r="AN44" s="712"/>
      <c r="AO44" s="712"/>
      <c r="AP44" s="712"/>
      <c r="AQ44" s="712"/>
      <c r="AR44" s="712"/>
      <c r="AS44" s="459"/>
      <c r="AT44" s="81"/>
      <c r="AU44" s="81"/>
      <c r="AV44" s="81"/>
      <c r="AW44" s="81"/>
      <c r="AX44" s="81"/>
      <c r="AY44" s="81"/>
      <c r="AZ44" s="81"/>
      <c r="BA44" s="81"/>
      <c r="BB44" s="81"/>
      <c r="BC44" s="81"/>
      <c r="BD44" s="81"/>
    </row>
    <row r="45" spans="1:56" s="684" customFormat="1" ht="25.5" x14ac:dyDescent="0.25">
      <c r="A45" s="2490">
        <v>7</v>
      </c>
      <c r="B45" s="2253" t="s">
        <v>2625</v>
      </c>
      <c r="C45" s="2163" t="s">
        <v>403</v>
      </c>
      <c r="D45" s="2163" t="s">
        <v>935</v>
      </c>
      <c r="E45" s="2163" t="s">
        <v>168</v>
      </c>
      <c r="F45" s="2231" t="s">
        <v>5689</v>
      </c>
      <c r="G45" s="2163">
        <v>11043</v>
      </c>
      <c r="H45" s="2496" t="s">
        <v>1631</v>
      </c>
      <c r="I45" s="2326" t="s">
        <v>5690</v>
      </c>
      <c r="J45" s="2326" t="s">
        <v>2740</v>
      </c>
      <c r="K45" s="2497">
        <v>41397</v>
      </c>
      <c r="L45" s="2500">
        <v>25000</v>
      </c>
      <c r="M45" s="2326">
        <v>11043</v>
      </c>
      <c r="N45" s="2497">
        <v>41397</v>
      </c>
      <c r="O45" s="2497">
        <v>41639</v>
      </c>
      <c r="P45" s="2024">
        <v>1</v>
      </c>
      <c r="Q45" s="2163"/>
      <c r="R45" s="2163"/>
      <c r="S45" s="2163"/>
      <c r="T45" s="2163" t="s">
        <v>208</v>
      </c>
      <c r="U45" s="459">
        <v>1</v>
      </c>
      <c r="V45" s="715">
        <v>41638</v>
      </c>
      <c r="W45" s="459">
        <v>11214</v>
      </c>
      <c r="X45" s="625" t="s">
        <v>5664</v>
      </c>
      <c r="Y45" s="57">
        <v>41640</v>
      </c>
      <c r="Z45" s="57">
        <v>42004</v>
      </c>
      <c r="AA45" s="459"/>
      <c r="AB45" s="2163"/>
      <c r="AC45" s="702">
        <v>30000</v>
      </c>
      <c r="AD45" s="2163"/>
      <c r="AE45" s="703">
        <f>AC45+L45</f>
        <v>55000</v>
      </c>
      <c r="AF45" s="2493">
        <v>26746.58</v>
      </c>
      <c r="AG45" s="711">
        <f>[2]Julho!AG36</f>
        <v>30000</v>
      </c>
      <c r="AH45" s="711">
        <f>AF45+AG45</f>
        <v>56746.58</v>
      </c>
      <c r="AI45" s="2163" t="s">
        <v>993</v>
      </c>
      <c r="AJ45" s="2240"/>
      <c r="AK45" s="2163" t="s">
        <v>1182</v>
      </c>
      <c r="AL45" s="2163">
        <v>11000</v>
      </c>
      <c r="AM45" s="2163"/>
      <c r="AN45" s="2487"/>
      <c r="AO45" s="2487"/>
      <c r="AP45" s="2487"/>
      <c r="AQ45" s="2487"/>
      <c r="AR45" s="2487"/>
      <c r="AS45" s="2163"/>
      <c r="AT45" s="2485"/>
      <c r="AU45" s="2485"/>
      <c r="AV45" s="2485"/>
      <c r="AW45" s="2485"/>
      <c r="AX45" s="2485"/>
      <c r="AY45" s="2485"/>
      <c r="AZ45" s="2485"/>
      <c r="BA45" s="2485"/>
      <c r="BB45" s="2485"/>
      <c r="BC45" s="2485"/>
      <c r="BD45" s="2485"/>
    </row>
    <row r="46" spans="1:56" s="684" customFormat="1" x14ac:dyDescent="0.25">
      <c r="A46" s="2491"/>
      <c r="B46" s="2255"/>
      <c r="C46" s="2164"/>
      <c r="D46" s="2164"/>
      <c r="E46" s="2164"/>
      <c r="F46" s="2232"/>
      <c r="G46" s="2164"/>
      <c r="H46" s="2496"/>
      <c r="I46" s="2326"/>
      <c r="J46" s="2499"/>
      <c r="K46" s="2497"/>
      <c r="L46" s="2500"/>
      <c r="M46" s="2499"/>
      <c r="N46" s="2497"/>
      <c r="O46" s="2497"/>
      <c r="P46" s="2498"/>
      <c r="Q46" s="2164"/>
      <c r="R46" s="2164"/>
      <c r="S46" s="2164"/>
      <c r="T46" s="2164"/>
      <c r="U46" s="716">
        <v>2</v>
      </c>
      <c r="V46" s="715">
        <v>41946</v>
      </c>
      <c r="W46" s="716">
        <v>11451</v>
      </c>
      <c r="X46" s="625" t="s">
        <v>5691</v>
      </c>
      <c r="Y46" s="57">
        <v>41946</v>
      </c>
      <c r="Z46" s="57">
        <v>42004</v>
      </c>
      <c r="AA46" s="707">
        <v>0.25</v>
      </c>
      <c r="AB46" s="2164"/>
      <c r="AC46" s="702">
        <v>7500</v>
      </c>
      <c r="AD46" s="2175"/>
      <c r="AE46" s="703">
        <f>AE45+AC46</f>
        <v>62500</v>
      </c>
      <c r="AF46" s="2493"/>
      <c r="AG46" s="711">
        <v>7500</v>
      </c>
      <c r="AH46" s="711">
        <f>AH45+AC46</f>
        <v>64246.58</v>
      </c>
      <c r="AI46" s="2164"/>
      <c r="AJ46" s="2242"/>
      <c r="AK46" s="2164"/>
      <c r="AL46" s="2164"/>
      <c r="AM46" s="2164"/>
      <c r="AN46" s="2488"/>
      <c r="AO46" s="2488"/>
      <c r="AP46" s="2488"/>
      <c r="AQ46" s="2488"/>
      <c r="AR46" s="2488"/>
      <c r="AS46" s="2164"/>
      <c r="AT46" s="2486"/>
      <c r="AU46" s="2486"/>
      <c r="AV46" s="2486"/>
      <c r="AW46" s="2486"/>
      <c r="AX46" s="2486"/>
      <c r="AY46" s="2486"/>
      <c r="AZ46" s="2486"/>
      <c r="BA46" s="2486"/>
      <c r="BB46" s="2486"/>
      <c r="BC46" s="2486"/>
      <c r="BD46" s="2486"/>
    </row>
    <row r="47" spans="1:56" s="684" customFormat="1" ht="25.5" x14ac:dyDescent="0.25">
      <c r="A47" s="709">
        <v>8</v>
      </c>
      <c r="B47" s="714" t="s">
        <v>5692</v>
      </c>
      <c r="C47" s="459" t="s">
        <v>1031</v>
      </c>
      <c r="D47" s="459" t="s">
        <v>122</v>
      </c>
      <c r="E47" s="459" t="s">
        <v>168</v>
      </c>
      <c r="F47" s="625" t="s">
        <v>5693</v>
      </c>
      <c r="G47" s="459">
        <v>10967</v>
      </c>
      <c r="H47" s="58" t="s">
        <v>686</v>
      </c>
      <c r="I47" s="625" t="s">
        <v>5694</v>
      </c>
      <c r="J47" s="459" t="s">
        <v>5695</v>
      </c>
      <c r="K47" s="57">
        <v>41641</v>
      </c>
      <c r="L47" s="438">
        <v>45291.8</v>
      </c>
      <c r="M47" s="459">
        <v>11231</v>
      </c>
      <c r="N47" s="57">
        <v>41641</v>
      </c>
      <c r="O47" s="57">
        <v>42004</v>
      </c>
      <c r="P47" s="459">
        <v>1</v>
      </c>
      <c r="Q47" s="459"/>
      <c r="R47" s="459"/>
      <c r="S47" s="459"/>
      <c r="T47" s="459" t="s">
        <v>316</v>
      </c>
      <c r="U47" s="459"/>
      <c r="V47" s="459"/>
      <c r="W47" s="459"/>
      <c r="X47" s="459"/>
      <c r="Y47" s="459"/>
      <c r="Z47" s="459"/>
      <c r="AA47" s="459"/>
      <c r="AB47" s="459"/>
      <c r="AC47" s="459"/>
      <c r="AD47" s="717"/>
      <c r="AE47" s="703"/>
      <c r="AF47" s="702">
        <v>0</v>
      </c>
      <c r="AG47" s="711">
        <v>22645.9</v>
      </c>
      <c r="AH47" s="711">
        <v>22645.9</v>
      </c>
      <c r="AI47" s="712"/>
      <c r="AJ47" s="712"/>
      <c r="AK47" s="712"/>
      <c r="AL47" s="712"/>
      <c r="AM47" s="713"/>
      <c r="AN47" s="712"/>
      <c r="AO47" s="712"/>
      <c r="AP47" s="712"/>
      <c r="AQ47" s="712"/>
      <c r="AR47" s="712"/>
      <c r="AS47" s="459"/>
      <c r="AT47" s="81"/>
      <c r="AU47" s="81"/>
      <c r="AV47" s="81"/>
      <c r="AW47" s="81"/>
      <c r="AX47" s="81"/>
      <c r="AY47" s="81"/>
      <c r="AZ47" s="81"/>
      <c r="BA47" s="81"/>
      <c r="BB47" s="81"/>
      <c r="BC47" s="81"/>
      <c r="BD47" s="81"/>
    </row>
    <row r="48" spans="1:56" s="684" customFormat="1" ht="25.5" x14ac:dyDescent="0.25">
      <c r="A48" s="709">
        <v>9</v>
      </c>
      <c r="B48" s="714" t="s">
        <v>5692</v>
      </c>
      <c r="C48" s="459" t="s">
        <v>1031</v>
      </c>
      <c r="D48" s="459" t="s">
        <v>122</v>
      </c>
      <c r="E48" s="459" t="s">
        <v>168</v>
      </c>
      <c r="F48" s="625" t="s">
        <v>5693</v>
      </c>
      <c r="G48" s="459">
        <v>10967</v>
      </c>
      <c r="H48" s="58" t="s">
        <v>675</v>
      </c>
      <c r="I48" s="625" t="s">
        <v>5696</v>
      </c>
      <c r="J48" s="459" t="s">
        <v>5697</v>
      </c>
      <c r="K48" s="57">
        <v>41641</v>
      </c>
      <c r="L48" s="438">
        <v>39631</v>
      </c>
      <c r="M48" s="459">
        <v>11214</v>
      </c>
      <c r="N48" s="57">
        <v>41641</v>
      </c>
      <c r="O48" s="57">
        <v>42004</v>
      </c>
      <c r="P48" s="459">
        <v>1</v>
      </c>
      <c r="Q48" s="459"/>
      <c r="R48" s="459"/>
      <c r="S48" s="459"/>
      <c r="T48" s="459" t="s">
        <v>316</v>
      </c>
      <c r="U48" s="459"/>
      <c r="V48" s="459"/>
      <c r="W48" s="459"/>
      <c r="X48" s="459"/>
      <c r="Y48" s="459"/>
      <c r="Z48" s="459"/>
      <c r="AA48" s="459"/>
      <c r="AB48" s="459"/>
      <c r="AC48" s="459"/>
      <c r="AD48" s="459"/>
      <c r="AE48" s="703"/>
      <c r="AF48" s="702">
        <v>0</v>
      </c>
      <c r="AG48" s="711">
        <f>[2]Julho!AG38</f>
        <v>39631</v>
      </c>
      <c r="AH48" s="711">
        <f>AG48</f>
        <v>39631</v>
      </c>
      <c r="AI48" s="712"/>
      <c r="AJ48" s="712"/>
      <c r="AK48" s="712"/>
      <c r="AL48" s="712"/>
      <c r="AM48" s="713"/>
      <c r="AN48" s="712"/>
      <c r="AO48" s="712"/>
      <c r="AP48" s="712"/>
      <c r="AQ48" s="712"/>
      <c r="AR48" s="712"/>
      <c r="AS48" s="459"/>
      <c r="AT48" s="81"/>
      <c r="AU48" s="81"/>
      <c r="AV48" s="81"/>
      <c r="AW48" s="81"/>
      <c r="AX48" s="81"/>
      <c r="AY48" s="81"/>
      <c r="AZ48" s="81"/>
      <c r="BA48" s="81"/>
      <c r="BB48" s="81"/>
      <c r="BC48" s="81"/>
      <c r="BD48" s="81"/>
    </row>
    <row r="49" spans="1:56" s="684" customFormat="1" ht="25.5" x14ac:dyDescent="0.25">
      <c r="A49" s="709">
        <v>10</v>
      </c>
      <c r="B49" s="714" t="s">
        <v>5692</v>
      </c>
      <c r="C49" s="459" t="s">
        <v>1031</v>
      </c>
      <c r="D49" s="459" t="s">
        <v>122</v>
      </c>
      <c r="E49" s="459" t="s">
        <v>168</v>
      </c>
      <c r="F49" s="625" t="s">
        <v>5693</v>
      </c>
      <c r="G49" s="459">
        <v>10967</v>
      </c>
      <c r="H49" s="58" t="s">
        <v>683</v>
      </c>
      <c r="I49" s="625" t="s">
        <v>1088</v>
      </c>
      <c r="J49" s="459" t="s">
        <v>225</v>
      </c>
      <c r="K49" s="57">
        <v>41641</v>
      </c>
      <c r="L49" s="438">
        <v>7104</v>
      </c>
      <c r="M49" s="459">
        <v>11231</v>
      </c>
      <c r="N49" s="57">
        <v>41641</v>
      </c>
      <c r="O49" s="57">
        <v>42004</v>
      </c>
      <c r="P49" s="459">
        <v>1</v>
      </c>
      <c r="Q49" s="459"/>
      <c r="R49" s="459"/>
      <c r="S49" s="459"/>
      <c r="T49" s="459" t="s">
        <v>316</v>
      </c>
      <c r="U49" s="459"/>
      <c r="V49" s="459"/>
      <c r="W49" s="459"/>
      <c r="X49" s="459"/>
      <c r="Y49" s="459"/>
      <c r="Z49" s="459"/>
      <c r="AA49" s="459"/>
      <c r="AB49" s="459"/>
      <c r="AC49" s="459"/>
      <c r="AD49" s="459"/>
      <c r="AE49" s="703"/>
      <c r="AF49" s="702">
        <v>0</v>
      </c>
      <c r="AG49" s="711">
        <v>6704.2</v>
      </c>
      <c r="AH49" s="711">
        <v>6704.2</v>
      </c>
      <c r="AI49" s="712"/>
      <c r="AJ49" s="712"/>
      <c r="AK49" s="712"/>
      <c r="AL49" s="712"/>
      <c r="AM49" s="713"/>
      <c r="AN49" s="712"/>
      <c r="AO49" s="712"/>
      <c r="AP49" s="712"/>
      <c r="AQ49" s="712"/>
      <c r="AR49" s="712"/>
      <c r="AS49" s="459"/>
      <c r="AT49" s="81"/>
      <c r="AU49" s="81"/>
      <c r="AV49" s="81"/>
      <c r="AW49" s="81"/>
      <c r="AX49" s="81"/>
      <c r="AY49" s="81"/>
      <c r="AZ49" s="81"/>
      <c r="BA49" s="81"/>
      <c r="BB49" s="81"/>
      <c r="BC49" s="81"/>
      <c r="BD49" s="81"/>
    </row>
    <row r="50" spans="1:56" s="684" customFormat="1" ht="25.5" x14ac:dyDescent="0.25">
      <c r="A50" s="709">
        <v>11</v>
      </c>
      <c r="B50" s="714" t="s">
        <v>5692</v>
      </c>
      <c r="C50" s="459" t="s">
        <v>1031</v>
      </c>
      <c r="D50" s="459" t="s">
        <v>122</v>
      </c>
      <c r="E50" s="459" t="s">
        <v>168</v>
      </c>
      <c r="F50" s="625" t="s">
        <v>5693</v>
      </c>
      <c r="G50" s="459">
        <v>10967</v>
      </c>
      <c r="H50" s="58" t="s">
        <v>704</v>
      </c>
      <c r="I50" s="625" t="s">
        <v>5698</v>
      </c>
      <c r="J50" s="459" t="s">
        <v>4259</v>
      </c>
      <c r="K50" s="57">
        <v>41641</v>
      </c>
      <c r="L50" s="438">
        <v>11024</v>
      </c>
      <c r="M50" s="459">
        <v>11231</v>
      </c>
      <c r="N50" s="57">
        <v>41641</v>
      </c>
      <c r="O50" s="57">
        <v>42004</v>
      </c>
      <c r="P50" s="459">
        <v>1</v>
      </c>
      <c r="Q50" s="459"/>
      <c r="R50" s="459"/>
      <c r="S50" s="459"/>
      <c r="T50" s="459" t="s">
        <v>316</v>
      </c>
      <c r="U50" s="459"/>
      <c r="V50" s="459"/>
      <c r="W50" s="459"/>
      <c r="X50" s="459"/>
      <c r="Y50" s="459"/>
      <c r="Z50" s="459"/>
      <c r="AA50" s="459"/>
      <c r="AB50" s="459"/>
      <c r="AC50" s="459"/>
      <c r="AD50" s="459"/>
      <c r="AE50" s="703"/>
      <c r="AF50" s="702">
        <v>0</v>
      </c>
      <c r="AG50" s="711">
        <v>3640</v>
      </c>
      <c r="AH50" s="711">
        <v>3640</v>
      </c>
      <c r="AI50" s="712"/>
      <c r="AJ50" s="712"/>
      <c r="AK50" s="712"/>
      <c r="AL50" s="712"/>
      <c r="AM50" s="713"/>
      <c r="AN50" s="712"/>
      <c r="AO50" s="712"/>
      <c r="AP50" s="712"/>
      <c r="AQ50" s="712"/>
      <c r="AR50" s="712"/>
      <c r="AS50" s="459"/>
      <c r="AT50" s="81"/>
      <c r="AU50" s="81"/>
      <c r="AV50" s="81"/>
      <c r="AW50" s="81"/>
      <c r="AX50" s="81"/>
      <c r="AY50" s="81"/>
      <c r="AZ50" s="81"/>
      <c r="BA50" s="81"/>
      <c r="BB50" s="81"/>
      <c r="BC50" s="81"/>
      <c r="BD50" s="81"/>
    </row>
    <row r="51" spans="1:56" s="684" customFormat="1" ht="25.5" x14ac:dyDescent="0.25">
      <c r="A51" s="709">
        <v>12</v>
      </c>
      <c r="B51" s="714" t="s">
        <v>478</v>
      </c>
      <c r="C51" s="459" t="s">
        <v>1737</v>
      </c>
      <c r="D51" s="459" t="s">
        <v>122</v>
      </c>
      <c r="E51" s="459" t="s">
        <v>168</v>
      </c>
      <c r="F51" s="625" t="s">
        <v>5693</v>
      </c>
      <c r="G51" s="459">
        <v>11264</v>
      </c>
      <c r="H51" s="58" t="s">
        <v>757</v>
      </c>
      <c r="I51" s="625" t="s">
        <v>5699</v>
      </c>
      <c r="J51" s="459" t="s">
        <v>4314</v>
      </c>
      <c r="K51" s="57">
        <v>41792</v>
      </c>
      <c r="L51" s="438">
        <v>35481.599999999999</v>
      </c>
      <c r="M51" s="459">
        <v>11331</v>
      </c>
      <c r="N51" s="57">
        <v>41792</v>
      </c>
      <c r="O51" s="57">
        <v>42004</v>
      </c>
      <c r="P51" s="459">
        <v>1</v>
      </c>
      <c r="Q51" s="459"/>
      <c r="R51" s="459"/>
      <c r="S51" s="459"/>
      <c r="T51" s="459" t="s">
        <v>316</v>
      </c>
      <c r="U51" s="459"/>
      <c r="V51" s="459"/>
      <c r="W51" s="459"/>
      <c r="X51" s="459"/>
      <c r="Y51" s="459"/>
      <c r="Z51" s="459"/>
      <c r="AA51" s="459"/>
      <c r="AB51" s="459"/>
      <c r="AC51" s="459"/>
      <c r="AD51" s="459"/>
      <c r="AE51" s="703"/>
      <c r="AF51" s="702">
        <v>0</v>
      </c>
      <c r="AG51" s="711">
        <f>[2]Julho!AG41</f>
        <v>35481.599999999999</v>
      </c>
      <c r="AH51" s="712">
        <v>0</v>
      </c>
      <c r="AI51" s="712"/>
      <c r="AJ51" s="712"/>
      <c r="AK51" s="712"/>
      <c r="AL51" s="712"/>
      <c r="AM51" s="713"/>
      <c r="AN51" s="712"/>
      <c r="AO51" s="712"/>
      <c r="AP51" s="712"/>
      <c r="AQ51" s="712"/>
      <c r="AR51" s="712"/>
      <c r="AS51" s="459"/>
      <c r="AT51" s="81"/>
      <c r="AU51" s="81"/>
      <c r="AV51" s="81"/>
      <c r="AW51" s="81"/>
      <c r="AX51" s="81"/>
      <c r="AY51" s="81"/>
      <c r="AZ51" s="81"/>
      <c r="BA51" s="81"/>
      <c r="BB51" s="81"/>
      <c r="BC51" s="81"/>
      <c r="BD51" s="81"/>
    </row>
    <row r="52" spans="1:56" s="684" customFormat="1" ht="25.5" x14ac:dyDescent="0.25">
      <c r="A52" s="709">
        <v>13</v>
      </c>
      <c r="B52" s="714" t="s">
        <v>478</v>
      </c>
      <c r="C52" s="459" t="s">
        <v>478</v>
      </c>
      <c r="D52" s="459" t="s">
        <v>122</v>
      </c>
      <c r="E52" s="459" t="s">
        <v>168</v>
      </c>
      <c r="F52" s="625" t="s">
        <v>5693</v>
      </c>
      <c r="G52" s="459">
        <v>11264</v>
      </c>
      <c r="H52" s="58" t="s">
        <v>804</v>
      </c>
      <c r="I52" s="625" t="s">
        <v>5699</v>
      </c>
      <c r="J52" s="459" t="s">
        <v>4314</v>
      </c>
      <c r="K52" s="57">
        <v>41902</v>
      </c>
      <c r="L52" s="438">
        <v>55955.16</v>
      </c>
      <c r="M52" s="459">
        <v>11430</v>
      </c>
      <c r="N52" s="57">
        <v>41902</v>
      </c>
      <c r="O52" s="57">
        <v>42004</v>
      </c>
      <c r="P52" s="459">
        <v>1</v>
      </c>
      <c r="Q52" s="459"/>
      <c r="R52" s="459"/>
      <c r="S52" s="459"/>
      <c r="T52" s="459" t="s">
        <v>316</v>
      </c>
      <c r="U52" s="459"/>
      <c r="V52" s="459"/>
      <c r="W52" s="459"/>
      <c r="X52" s="459"/>
      <c r="Y52" s="459"/>
      <c r="Z52" s="459"/>
      <c r="AA52" s="459"/>
      <c r="AB52" s="459"/>
      <c r="AC52" s="459"/>
      <c r="AD52" s="459"/>
      <c r="AE52" s="703"/>
      <c r="AF52" s="702">
        <v>0</v>
      </c>
      <c r="AG52" s="711">
        <v>51955.16</v>
      </c>
      <c r="AH52" s="712">
        <v>0</v>
      </c>
      <c r="AI52" s="712"/>
      <c r="AJ52" s="712"/>
      <c r="AK52" s="712"/>
      <c r="AL52" s="712"/>
      <c r="AM52" s="713"/>
      <c r="AN52" s="712"/>
      <c r="AO52" s="712"/>
      <c r="AP52" s="712"/>
      <c r="AQ52" s="712"/>
      <c r="AR52" s="712"/>
      <c r="AS52" s="459"/>
      <c r="AT52" s="81"/>
      <c r="AU52" s="81"/>
      <c r="AV52" s="81"/>
      <c r="AW52" s="81"/>
      <c r="AX52" s="81"/>
      <c r="AY52" s="81"/>
      <c r="AZ52" s="81"/>
      <c r="BA52" s="81"/>
      <c r="BB52" s="81"/>
      <c r="BC52" s="81"/>
      <c r="BD52" s="81"/>
    </row>
    <row r="53" spans="1:56" s="684" customFormat="1" ht="25.5" x14ac:dyDescent="0.25">
      <c r="A53" s="709">
        <v>14</v>
      </c>
      <c r="B53" s="714" t="s">
        <v>478</v>
      </c>
      <c r="C53" s="459" t="s">
        <v>1737</v>
      </c>
      <c r="D53" s="459" t="s">
        <v>122</v>
      </c>
      <c r="E53" s="459" t="s">
        <v>168</v>
      </c>
      <c r="F53" s="625" t="s">
        <v>5693</v>
      </c>
      <c r="G53" s="459">
        <v>11331</v>
      </c>
      <c r="H53" s="58" t="s">
        <v>765</v>
      </c>
      <c r="I53" s="625" t="s">
        <v>5696</v>
      </c>
      <c r="J53" s="459" t="s">
        <v>4137</v>
      </c>
      <c r="K53" s="57">
        <v>41792</v>
      </c>
      <c r="L53" s="438">
        <v>28916.880000000001</v>
      </c>
      <c r="M53" s="459">
        <v>11331</v>
      </c>
      <c r="N53" s="57">
        <v>41792</v>
      </c>
      <c r="O53" s="57">
        <v>42004</v>
      </c>
      <c r="P53" s="459">
        <v>1</v>
      </c>
      <c r="Q53" s="459"/>
      <c r="R53" s="459"/>
      <c r="S53" s="459"/>
      <c r="T53" s="459" t="s">
        <v>316</v>
      </c>
      <c r="U53" s="459"/>
      <c r="V53" s="459"/>
      <c r="W53" s="459"/>
      <c r="X53" s="459"/>
      <c r="Y53" s="459"/>
      <c r="Z53" s="459"/>
      <c r="AA53" s="459"/>
      <c r="AB53" s="459"/>
      <c r="AC53" s="459"/>
      <c r="AD53" s="459"/>
      <c r="AE53" s="703"/>
      <c r="AF53" s="702">
        <v>0</v>
      </c>
      <c r="AG53" s="711">
        <f>[2]Julho!AG42</f>
        <v>28916.880000000001</v>
      </c>
      <c r="AH53" s="712"/>
      <c r="AI53" s="712"/>
      <c r="AJ53" s="712"/>
      <c r="AK53" s="712"/>
      <c r="AL53" s="712"/>
      <c r="AM53" s="713"/>
      <c r="AN53" s="712"/>
      <c r="AO53" s="712"/>
      <c r="AP53" s="712"/>
      <c r="AQ53" s="712"/>
      <c r="AR53" s="712"/>
      <c r="AS53" s="459"/>
      <c r="AT53" s="81"/>
      <c r="AU53" s="81"/>
      <c r="AV53" s="81"/>
      <c r="AW53" s="81"/>
      <c r="AX53" s="81"/>
      <c r="AY53" s="81"/>
      <c r="AZ53" s="81"/>
      <c r="BA53" s="81"/>
      <c r="BB53" s="81"/>
      <c r="BC53" s="81"/>
      <c r="BD53" s="81"/>
    </row>
    <row r="54" spans="1:56" s="684" customFormat="1" ht="38.25" x14ac:dyDescent="0.25">
      <c r="A54" s="709">
        <v>15</v>
      </c>
      <c r="B54" s="714" t="s">
        <v>5121</v>
      </c>
      <c r="C54" s="459" t="s">
        <v>4286</v>
      </c>
      <c r="D54" s="459" t="s">
        <v>935</v>
      </c>
      <c r="E54" s="459" t="s">
        <v>168</v>
      </c>
      <c r="F54" s="625" t="s">
        <v>5700</v>
      </c>
      <c r="G54" s="459">
        <v>11183</v>
      </c>
      <c r="H54" s="58" t="s">
        <v>724</v>
      </c>
      <c r="I54" s="625" t="s">
        <v>5701</v>
      </c>
      <c r="J54" s="459" t="s">
        <v>3921</v>
      </c>
      <c r="K54" s="57">
        <v>41729</v>
      </c>
      <c r="L54" s="438">
        <v>6000</v>
      </c>
      <c r="M54" s="459">
        <v>11289</v>
      </c>
      <c r="N54" s="57">
        <v>41729</v>
      </c>
      <c r="O54" s="57">
        <v>42004</v>
      </c>
      <c r="P54" s="459">
        <v>1</v>
      </c>
      <c r="Q54" s="459"/>
      <c r="R54" s="459"/>
      <c r="S54" s="459"/>
      <c r="T54" s="459" t="s">
        <v>316</v>
      </c>
      <c r="U54" s="459"/>
      <c r="V54" s="459"/>
      <c r="W54" s="459"/>
      <c r="X54" s="459"/>
      <c r="Y54" s="459"/>
      <c r="Z54" s="459"/>
      <c r="AA54" s="459"/>
      <c r="AB54" s="459"/>
      <c r="AC54" s="459"/>
      <c r="AD54" s="459"/>
      <c r="AE54" s="703"/>
      <c r="AF54" s="702">
        <v>0</v>
      </c>
      <c r="AG54" s="711">
        <f>[2]Julho!AG43</f>
        <v>6000</v>
      </c>
      <c r="AH54" s="711">
        <f>AG54</f>
        <v>6000</v>
      </c>
      <c r="AI54" s="459" t="s">
        <v>1451</v>
      </c>
      <c r="AJ54" s="459"/>
      <c r="AK54" s="718" t="s">
        <v>981</v>
      </c>
      <c r="AL54" s="459">
        <v>11221</v>
      </c>
      <c r="AM54" s="713"/>
      <c r="AN54" s="712"/>
      <c r="AO54" s="712"/>
      <c r="AP54" s="712"/>
      <c r="AQ54" s="712"/>
      <c r="AR54" s="712"/>
      <c r="AS54" s="459"/>
      <c r="AT54" s="81"/>
      <c r="AU54" s="81"/>
      <c r="AV54" s="81"/>
      <c r="AW54" s="81"/>
      <c r="AX54" s="81"/>
      <c r="AY54" s="81"/>
      <c r="AZ54" s="81"/>
      <c r="BA54" s="81"/>
      <c r="BB54" s="81"/>
      <c r="BC54" s="81"/>
      <c r="BD54" s="81"/>
    </row>
    <row r="55" spans="1:56" s="684" customFormat="1" ht="38.25" x14ac:dyDescent="0.25">
      <c r="A55" s="709">
        <v>16</v>
      </c>
      <c r="B55" s="714" t="s">
        <v>5121</v>
      </c>
      <c r="C55" s="459" t="s">
        <v>4286</v>
      </c>
      <c r="D55" s="459" t="s">
        <v>935</v>
      </c>
      <c r="E55" s="459" t="s">
        <v>168</v>
      </c>
      <c r="F55" s="625" t="s">
        <v>5702</v>
      </c>
      <c r="G55" s="459">
        <v>11183</v>
      </c>
      <c r="H55" s="58" t="s">
        <v>724</v>
      </c>
      <c r="I55" s="625" t="s">
        <v>5701</v>
      </c>
      <c r="J55" s="459" t="s">
        <v>3921</v>
      </c>
      <c r="K55" s="57">
        <v>41729</v>
      </c>
      <c r="L55" s="438">
        <v>14000</v>
      </c>
      <c r="M55" s="459">
        <v>11289</v>
      </c>
      <c r="N55" s="57">
        <v>41729</v>
      </c>
      <c r="O55" s="57">
        <v>42004</v>
      </c>
      <c r="P55" s="459">
        <v>1</v>
      </c>
      <c r="Q55" s="459"/>
      <c r="R55" s="459"/>
      <c r="S55" s="459"/>
      <c r="T55" s="459" t="s">
        <v>208</v>
      </c>
      <c r="U55" s="459"/>
      <c r="V55" s="459"/>
      <c r="W55" s="459"/>
      <c r="X55" s="459"/>
      <c r="Y55" s="459"/>
      <c r="Z55" s="459"/>
      <c r="AA55" s="459"/>
      <c r="AB55" s="459"/>
      <c r="AC55" s="459"/>
      <c r="AD55" s="459"/>
      <c r="AE55" s="703"/>
      <c r="AF55" s="702">
        <v>0</v>
      </c>
      <c r="AG55" s="711">
        <f>[2]Julho!AG44</f>
        <v>14000</v>
      </c>
      <c r="AH55" s="711">
        <f>AG55</f>
        <v>14000</v>
      </c>
      <c r="AI55" s="459" t="s">
        <v>1451</v>
      </c>
      <c r="AJ55" s="459"/>
      <c r="AK55" s="718" t="s">
        <v>981</v>
      </c>
      <c r="AL55" s="459">
        <v>11221</v>
      </c>
      <c r="AM55" s="713"/>
      <c r="AN55" s="712"/>
      <c r="AO55" s="712"/>
      <c r="AP55" s="712"/>
      <c r="AQ55" s="712"/>
      <c r="AR55" s="712"/>
      <c r="AS55" s="459"/>
      <c r="AT55" s="81"/>
      <c r="AU55" s="81"/>
      <c r="AV55" s="81"/>
      <c r="AW55" s="81"/>
      <c r="AX55" s="81"/>
      <c r="AY55" s="81"/>
      <c r="AZ55" s="81"/>
      <c r="BA55" s="81"/>
      <c r="BB55" s="81"/>
      <c r="BC55" s="81"/>
      <c r="BD55" s="81"/>
    </row>
    <row r="56" spans="1:56" s="684" customFormat="1" ht="25.5" x14ac:dyDescent="0.25">
      <c r="A56" s="709">
        <v>17</v>
      </c>
      <c r="B56" s="714" t="s">
        <v>1046</v>
      </c>
      <c r="C56" s="459" t="s">
        <v>1056</v>
      </c>
      <c r="D56" s="459" t="s">
        <v>935</v>
      </c>
      <c r="E56" s="459" t="s">
        <v>168</v>
      </c>
      <c r="F56" s="625" t="s">
        <v>5703</v>
      </c>
      <c r="G56" s="459">
        <v>10974</v>
      </c>
      <c r="H56" s="58" t="s">
        <v>680</v>
      </c>
      <c r="I56" s="625" t="s">
        <v>5704</v>
      </c>
      <c r="J56" s="459" t="s">
        <v>1874</v>
      </c>
      <c r="K56" s="57">
        <v>41697</v>
      </c>
      <c r="L56" s="438">
        <v>31468</v>
      </c>
      <c r="M56" s="459">
        <v>11266</v>
      </c>
      <c r="N56" s="57">
        <v>41697</v>
      </c>
      <c r="O56" s="57">
        <v>42004</v>
      </c>
      <c r="P56" s="459">
        <v>1</v>
      </c>
      <c r="Q56" s="459"/>
      <c r="R56" s="459"/>
      <c r="S56" s="459"/>
      <c r="T56" s="459" t="s">
        <v>316</v>
      </c>
      <c r="U56" s="459"/>
      <c r="V56" s="459"/>
      <c r="W56" s="459"/>
      <c r="X56" s="459"/>
      <c r="Y56" s="459"/>
      <c r="Z56" s="459"/>
      <c r="AA56" s="459"/>
      <c r="AB56" s="459"/>
      <c r="AC56" s="459"/>
      <c r="AD56" s="459"/>
      <c r="AE56" s="703"/>
      <c r="AF56" s="702">
        <v>0</v>
      </c>
      <c r="AG56" s="711">
        <v>17983</v>
      </c>
      <c r="AH56" s="711">
        <v>10083</v>
      </c>
      <c r="AI56" s="712"/>
      <c r="AJ56" s="712"/>
      <c r="AK56" s="718"/>
      <c r="AL56" s="712"/>
      <c r="AM56" s="713"/>
      <c r="AN56" s="712"/>
      <c r="AO56" s="712"/>
      <c r="AP56" s="712"/>
      <c r="AQ56" s="712"/>
      <c r="AR56" s="712"/>
      <c r="AS56" s="459"/>
      <c r="AT56" s="81"/>
      <c r="AU56" s="81"/>
      <c r="AV56" s="81"/>
      <c r="AW56" s="81"/>
      <c r="AX56" s="81"/>
      <c r="AY56" s="81"/>
      <c r="AZ56" s="81"/>
      <c r="BA56" s="81"/>
      <c r="BB56" s="81"/>
      <c r="BC56" s="81"/>
      <c r="BD56" s="81"/>
    </row>
    <row r="57" spans="1:56" s="684" customFormat="1" x14ac:dyDescent="0.25">
      <c r="A57" s="2490">
        <v>18</v>
      </c>
      <c r="B57" s="2495" t="s">
        <v>5705</v>
      </c>
      <c r="C57" s="2024" t="s">
        <v>1717</v>
      </c>
      <c r="D57" s="2163" t="s">
        <v>935</v>
      </c>
      <c r="E57" s="2024" t="s">
        <v>168</v>
      </c>
      <c r="F57" s="2231" t="s">
        <v>5706</v>
      </c>
      <c r="G57" s="2494">
        <v>11073</v>
      </c>
      <c r="H57" s="2496" t="s">
        <v>296</v>
      </c>
      <c r="I57" s="2231" t="s">
        <v>5707</v>
      </c>
      <c r="J57" s="2024" t="s">
        <v>5708</v>
      </c>
      <c r="K57" s="2337">
        <v>41761</v>
      </c>
      <c r="L57" s="1993">
        <v>16548.599999999999</v>
      </c>
      <c r="M57" s="2494">
        <v>11317</v>
      </c>
      <c r="N57" s="2337">
        <v>41761</v>
      </c>
      <c r="O57" s="2337">
        <v>42004</v>
      </c>
      <c r="P57" s="2024">
        <v>1</v>
      </c>
      <c r="Q57" s="459"/>
      <c r="R57" s="459"/>
      <c r="S57" s="459"/>
      <c r="T57" s="2163" t="s">
        <v>316</v>
      </c>
      <c r="U57" s="459"/>
      <c r="V57" s="459"/>
      <c r="W57" s="2494">
        <v>11428</v>
      </c>
      <c r="X57" s="2024" t="s">
        <v>5691</v>
      </c>
      <c r="Y57" s="2337">
        <v>41899</v>
      </c>
      <c r="Z57" s="2337">
        <v>42004</v>
      </c>
      <c r="AA57" s="2492">
        <v>0.25</v>
      </c>
      <c r="AB57" s="2024"/>
      <c r="AC57" s="2024"/>
      <c r="AD57" s="2024"/>
      <c r="AE57" s="1993"/>
      <c r="AF57" s="702">
        <v>0</v>
      </c>
      <c r="AG57" s="711">
        <v>16548.599999999999</v>
      </c>
      <c r="AH57" s="2493">
        <f>AG57+AG58</f>
        <v>20685.75</v>
      </c>
      <c r="AI57" s="2024" t="s">
        <v>1430</v>
      </c>
      <c r="AJ57" s="2024"/>
      <c r="AK57" s="2489" t="s">
        <v>981</v>
      </c>
      <c r="AL57" s="2024">
        <v>11075</v>
      </c>
      <c r="AM57" s="713"/>
      <c r="AN57" s="712"/>
      <c r="AO57" s="712"/>
      <c r="AP57" s="712"/>
      <c r="AQ57" s="712"/>
      <c r="AR57" s="712"/>
      <c r="AS57" s="459"/>
      <c r="AT57" s="81"/>
      <c r="AU57" s="81"/>
      <c r="AV57" s="81"/>
      <c r="AW57" s="81"/>
      <c r="AX57" s="81"/>
      <c r="AY57" s="81"/>
      <c r="AZ57" s="81"/>
      <c r="BA57" s="81"/>
      <c r="BB57" s="81"/>
      <c r="BC57" s="81"/>
      <c r="BD57" s="81"/>
    </row>
    <row r="58" spans="1:56" s="684" customFormat="1" x14ac:dyDescent="0.25">
      <c r="A58" s="2491"/>
      <c r="B58" s="2495"/>
      <c r="C58" s="2024"/>
      <c r="D58" s="2164"/>
      <c r="E58" s="2024"/>
      <c r="F58" s="2232"/>
      <c r="G58" s="2494"/>
      <c r="H58" s="2496"/>
      <c r="I58" s="2232"/>
      <c r="J58" s="2024"/>
      <c r="K58" s="2337"/>
      <c r="L58" s="1993"/>
      <c r="M58" s="2494"/>
      <c r="N58" s="2337"/>
      <c r="O58" s="2337"/>
      <c r="P58" s="2024"/>
      <c r="Q58" s="459"/>
      <c r="R58" s="459"/>
      <c r="S58" s="459"/>
      <c r="T58" s="2164"/>
      <c r="U58" s="459"/>
      <c r="V58" s="459"/>
      <c r="W58" s="2494"/>
      <c r="X58" s="2024"/>
      <c r="Y58" s="2337"/>
      <c r="Z58" s="2337"/>
      <c r="AA58" s="2492"/>
      <c r="AB58" s="2024"/>
      <c r="AC58" s="2024"/>
      <c r="AD58" s="2024"/>
      <c r="AE58" s="1993"/>
      <c r="AF58" s="702">
        <v>0</v>
      </c>
      <c r="AG58" s="711">
        <v>4137.1499999999996</v>
      </c>
      <c r="AH58" s="2493"/>
      <c r="AI58" s="2024"/>
      <c r="AJ58" s="2024"/>
      <c r="AK58" s="2489"/>
      <c r="AL58" s="2024"/>
      <c r="AM58" s="713"/>
      <c r="AN58" s="712"/>
      <c r="AO58" s="712"/>
      <c r="AP58" s="712"/>
      <c r="AQ58" s="712"/>
      <c r="AR58" s="712"/>
      <c r="AS58" s="459"/>
      <c r="AT58" s="81"/>
      <c r="AU58" s="81"/>
      <c r="AV58" s="81"/>
      <c r="AW58" s="81"/>
      <c r="AX58" s="81"/>
      <c r="AY58" s="81"/>
      <c r="AZ58" s="81"/>
      <c r="BA58" s="81"/>
      <c r="BB58" s="81"/>
      <c r="BC58" s="81"/>
      <c r="BD58" s="81"/>
    </row>
    <row r="59" spans="1:56" s="684" customFormat="1" ht="25.5" customHeight="1" x14ac:dyDescent="0.25">
      <c r="A59" s="709">
        <v>19</v>
      </c>
      <c r="B59" s="714" t="s">
        <v>5709</v>
      </c>
      <c r="C59" s="459" t="s">
        <v>1744</v>
      </c>
      <c r="D59" s="459" t="s">
        <v>935</v>
      </c>
      <c r="E59" s="459" t="s">
        <v>168</v>
      </c>
      <c r="F59" s="625" t="s">
        <v>5710</v>
      </c>
      <c r="G59" s="77">
        <v>11232</v>
      </c>
      <c r="H59" s="58" t="s">
        <v>319</v>
      </c>
      <c r="I59" s="625" t="s">
        <v>5711</v>
      </c>
      <c r="J59" s="459" t="s">
        <v>458</v>
      </c>
      <c r="K59" s="57">
        <v>41792</v>
      </c>
      <c r="L59" s="438">
        <v>15000</v>
      </c>
      <c r="M59" s="77">
        <v>11337</v>
      </c>
      <c r="N59" s="57">
        <v>41792</v>
      </c>
      <c r="O59" s="57">
        <v>42004</v>
      </c>
      <c r="P59" s="459">
        <v>1</v>
      </c>
      <c r="Q59" s="459"/>
      <c r="R59" s="459"/>
      <c r="S59" s="459"/>
      <c r="T59" s="459" t="s">
        <v>316</v>
      </c>
      <c r="U59" s="459"/>
      <c r="V59" s="459"/>
      <c r="W59" s="459"/>
      <c r="X59" s="459"/>
      <c r="Y59" s="459"/>
      <c r="Z59" s="459"/>
      <c r="AA59" s="459"/>
      <c r="AB59" s="459"/>
      <c r="AC59" s="459"/>
      <c r="AD59" s="459"/>
      <c r="AE59" s="703"/>
      <c r="AF59" s="702">
        <v>0</v>
      </c>
      <c r="AG59" s="711">
        <f>[2]Julho!AG47</f>
        <v>15000</v>
      </c>
      <c r="AH59" s="711">
        <f t="shared" ref="AH59:AH63" si="3">AG59</f>
        <v>15000</v>
      </c>
      <c r="AI59" s="459" t="s">
        <v>675</v>
      </c>
      <c r="AJ59" s="459"/>
      <c r="AK59" s="718" t="s">
        <v>5712</v>
      </c>
      <c r="AL59" s="459">
        <v>11250</v>
      </c>
      <c r="AM59" s="713"/>
      <c r="AN59" s="712"/>
      <c r="AO59" s="712"/>
      <c r="AP59" s="712"/>
      <c r="AQ59" s="712"/>
      <c r="AR59" s="712"/>
      <c r="AS59" s="459"/>
      <c r="AT59" s="81"/>
      <c r="AU59" s="81"/>
      <c r="AV59" s="81"/>
      <c r="AW59" s="81"/>
      <c r="AX59" s="81"/>
      <c r="AY59" s="81"/>
      <c r="AZ59" s="81"/>
      <c r="BA59" s="81"/>
      <c r="BB59" s="81"/>
      <c r="BC59" s="81"/>
      <c r="BD59" s="81"/>
    </row>
    <row r="60" spans="1:56" s="684" customFormat="1" ht="38.25" x14ac:dyDescent="0.25">
      <c r="A60" s="709">
        <v>20</v>
      </c>
      <c r="B60" s="714" t="s">
        <v>840</v>
      </c>
      <c r="C60" s="459" t="s">
        <v>823</v>
      </c>
      <c r="D60" s="459" t="s">
        <v>935</v>
      </c>
      <c r="E60" s="459" t="s">
        <v>168</v>
      </c>
      <c r="F60" s="625" t="s">
        <v>5713</v>
      </c>
      <c r="G60" s="77">
        <v>11242</v>
      </c>
      <c r="H60" s="58" t="s">
        <v>750</v>
      </c>
      <c r="I60" s="625" t="s">
        <v>5714</v>
      </c>
      <c r="J60" s="459" t="s">
        <v>2333</v>
      </c>
      <c r="K60" s="57">
        <v>41792</v>
      </c>
      <c r="L60" s="438">
        <v>15000</v>
      </c>
      <c r="M60" s="77">
        <v>11337</v>
      </c>
      <c r="N60" s="57">
        <v>41792</v>
      </c>
      <c r="O60" s="57">
        <v>42004</v>
      </c>
      <c r="P60" s="459">
        <v>1</v>
      </c>
      <c r="Q60" s="459"/>
      <c r="R60" s="459"/>
      <c r="S60" s="459"/>
      <c r="T60" s="459" t="s">
        <v>208</v>
      </c>
      <c r="U60" s="459"/>
      <c r="V60" s="459"/>
      <c r="W60" s="459"/>
      <c r="X60" s="459"/>
      <c r="Y60" s="459"/>
      <c r="Z60" s="459"/>
      <c r="AA60" s="459"/>
      <c r="AB60" s="459"/>
      <c r="AC60" s="459"/>
      <c r="AD60" s="459"/>
      <c r="AE60" s="703"/>
      <c r="AF60" s="702">
        <v>0</v>
      </c>
      <c r="AG60" s="711">
        <v>9044.6299999999992</v>
      </c>
      <c r="AH60" s="711">
        <v>9044.6299999999992</v>
      </c>
      <c r="AI60" s="459" t="s">
        <v>724</v>
      </c>
      <c r="AJ60" s="459"/>
      <c r="AK60" s="718" t="s">
        <v>981</v>
      </c>
      <c r="AL60" s="459">
        <v>11263</v>
      </c>
      <c r="AM60" s="713"/>
      <c r="AN60" s="712"/>
      <c r="AO60" s="712"/>
      <c r="AP60" s="712"/>
      <c r="AQ60" s="712"/>
      <c r="AR60" s="712"/>
      <c r="AS60" s="459"/>
      <c r="AT60" s="81"/>
      <c r="AU60" s="81"/>
      <c r="AV60" s="81"/>
      <c r="AW60" s="81"/>
      <c r="AX60" s="81"/>
      <c r="AY60" s="81"/>
      <c r="AZ60" s="81"/>
      <c r="BA60" s="81"/>
      <c r="BB60" s="81"/>
      <c r="BC60" s="81"/>
      <c r="BD60" s="81"/>
    </row>
    <row r="61" spans="1:56" s="684" customFormat="1" ht="38.25" x14ac:dyDescent="0.25">
      <c r="A61" s="709">
        <v>21</v>
      </c>
      <c r="B61" s="714" t="s">
        <v>539</v>
      </c>
      <c r="C61" s="459" t="s">
        <v>4740</v>
      </c>
      <c r="D61" s="459" t="s">
        <v>935</v>
      </c>
      <c r="E61" s="459" t="s">
        <v>168</v>
      </c>
      <c r="F61" s="625" t="s">
        <v>5715</v>
      </c>
      <c r="G61" s="77">
        <v>11016</v>
      </c>
      <c r="H61" s="58" t="s">
        <v>744</v>
      </c>
      <c r="I61" s="625" t="s">
        <v>1751</v>
      </c>
      <c r="J61" s="459" t="s">
        <v>315</v>
      </c>
      <c r="K61" s="57">
        <v>41761</v>
      </c>
      <c r="L61" s="438">
        <v>9465.84</v>
      </c>
      <c r="M61" s="77">
        <v>11337</v>
      </c>
      <c r="N61" s="57">
        <v>41761</v>
      </c>
      <c r="O61" s="57">
        <v>42004</v>
      </c>
      <c r="P61" s="459">
        <v>1</v>
      </c>
      <c r="Q61" s="459"/>
      <c r="R61" s="459"/>
      <c r="S61" s="459"/>
      <c r="T61" s="459" t="s">
        <v>316</v>
      </c>
      <c r="U61" s="459"/>
      <c r="V61" s="459"/>
      <c r="W61" s="459"/>
      <c r="X61" s="459"/>
      <c r="Y61" s="459"/>
      <c r="Z61" s="459"/>
      <c r="AA61" s="459"/>
      <c r="AB61" s="459"/>
      <c r="AC61" s="459"/>
      <c r="AD61" s="459"/>
      <c r="AE61" s="703"/>
      <c r="AF61" s="702">
        <v>0</v>
      </c>
      <c r="AG61" s="711">
        <f>[2]Julho!AG49</f>
        <v>9465.84</v>
      </c>
      <c r="AH61" s="711">
        <f t="shared" si="3"/>
        <v>9465.84</v>
      </c>
      <c r="AI61" s="459" t="s">
        <v>1059</v>
      </c>
      <c r="AJ61" s="459"/>
      <c r="AK61" s="718" t="s">
        <v>981</v>
      </c>
      <c r="AL61" s="459">
        <v>11053</v>
      </c>
      <c r="AM61" s="713"/>
      <c r="AN61" s="712"/>
      <c r="AO61" s="712"/>
      <c r="AP61" s="712"/>
      <c r="AQ61" s="712"/>
      <c r="AR61" s="712"/>
      <c r="AS61" s="459"/>
      <c r="AT61" s="81"/>
      <c r="AU61" s="81"/>
      <c r="AV61" s="81"/>
      <c r="AW61" s="81"/>
      <c r="AX61" s="81"/>
      <c r="AY61" s="81"/>
      <c r="AZ61" s="81"/>
      <c r="BA61" s="81"/>
      <c r="BB61" s="81"/>
      <c r="BC61" s="81"/>
      <c r="BD61" s="81"/>
    </row>
    <row r="62" spans="1:56" s="684" customFormat="1" ht="38.25" x14ac:dyDescent="0.25">
      <c r="A62" s="709">
        <v>22</v>
      </c>
      <c r="B62" s="714" t="s">
        <v>320</v>
      </c>
      <c r="C62" s="459" t="s">
        <v>321</v>
      </c>
      <c r="D62" s="459" t="s">
        <v>935</v>
      </c>
      <c r="E62" s="459" t="s">
        <v>168</v>
      </c>
      <c r="F62" s="625" t="s">
        <v>5716</v>
      </c>
      <c r="G62" s="459">
        <v>11125</v>
      </c>
      <c r="H62" s="58" t="s">
        <v>388</v>
      </c>
      <c r="I62" s="625" t="s">
        <v>1751</v>
      </c>
      <c r="J62" s="459" t="s">
        <v>315</v>
      </c>
      <c r="K62" s="57">
        <v>41729</v>
      </c>
      <c r="L62" s="438">
        <v>14649</v>
      </c>
      <c r="M62" s="459">
        <v>11289</v>
      </c>
      <c r="N62" s="57">
        <v>41729</v>
      </c>
      <c r="O62" s="57">
        <v>42004</v>
      </c>
      <c r="P62" s="459">
        <v>1</v>
      </c>
      <c r="Q62" s="459"/>
      <c r="R62" s="459"/>
      <c r="S62" s="459"/>
      <c r="T62" s="459" t="s">
        <v>316</v>
      </c>
      <c r="U62" s="459"/>
      <c r="V62" s="459"/>
      <c r="W62" s="459"/>
      <c r="X62" s="459"/>
      <c r="Y62" s="459"/>
      <c r="Z62" s="459"/>
      <c r="AA62" s="459"/>
      <c r="AB62" s="459"/>
      <c r="AC62" s="459"/>
      <c r="AD62" s="459"/>
      <c r="AE62" s="703">
        <f>L62-AD62+AC62</f>
        <v>14649</v>
      </c>
      <c r="AF62" s="702">
        <v>0</v>
      </c>
      <c r="AG62" s="711">
        <f>[2]Julho!AG50</f>
        <v>14649</v>
      </c>
      <c r="AH62" s="711">
        <f t="shared" si="3"/>
        <v>14649</v>
      </c>
      <c r="AI62" s="459" t="s">
        <v>5717</v>
      </c>
      <c r="AJ62" s="459"/>
      <c r="AK62" s="718" t="s">
        <v>5718</v>
      </c>
      <c r="AL62" s="459">
        <v>11155</v>
      </c>
      <c r="AM62" s="713"/>
      <c r="AN62" s="712"/>
      <c r="AO62" s="712"/>
      <c r="AP62" s="712"/>
      <c r="AQ62" s="712"/>
      <c r="AR62" s="712"/>
      <c r="AS62" s="459"/>
      <c r="AT62" s="81"/>
      <c r="AU62" s="81"/>
      <c r="AV62" s="81"/>
      <c r="AW62" s="81"/>
      <c r="AX62" s="81"/>
      <c r="AY62" s="81"/>
      <c r="AZ62" s="81"/>
      <c r="BA62" s="81"/>
      <c r="BB62" s="81"/>
      <c r="BC62" s="81"/>
      <c r="BD62" s="81"/>
    </row>
    <row r="63" spans="1:56" s="684" customFormat="1" ht="38.25" x14ac:dyDescent="0.25">
      <c r="A63" s="709">
        <v>23</v>
      </c>
      <c r="B63" s="714" t="s">
        <v>5719</v>
      </c>
      <c r="C63" s="459" t="s">
        <v>1007</v>
      </c>
      <c r="D63" s="459" t="s">
        <v>1431</v>
      </c>
      <c r="E63" s="459" t="s">
        <v>168</v>
      </c>
      <c r="F63" s="625" t="s">
        <v>5720</v>
      </c>
      <c r="G63" s="459" t="s">
        <v>5721</v>
      </c>
      <c r="H63" s="58" t="s">
        <v>980</v>
      </c>
      <c r="I63" s="625" t="s">
        <v>5722</v>
      </c>
      <c r="J63" s="459" t="s">
        <v>5723</v>
      </c>
      <c r="K63" s="57">
        <v>41603</v>
      </c>
      <c r="L63" s="438">
        <v>210000</v>
      </c>
      <c r="M63" s="459">
        <v>11226</v>
      </c>
      <c r="N63" s="57">
        <v>41603</v>
      </c>
      <c r="O63" s="57">
        <v>41937</v>
      </c>
      <c r="P63" s="459">
        <v>6</v>
      </c>
      <c r="Q63" s="719" t="s">
        <v>5724</v>
      </c>
      <c r="R63" s="459" t="s">
        <v>5725</v>
      </c>
      <c r="S63" s="702">
        <v>9200</v>
      </c>
      <c r="T63" s="459" t="s">
        <v>5726</v>
      </c>
      <c r="U63" s="459"/>
      <c r="V63" s="459"/>
      <c r="W63" s="459"/>
      <c r="X63" s="459"/>
      <c r="Y63" s="459"/>
      <c r="Z63" s="459"/>
      <c r="AA63" s="459"/>
      <c r="AB63" s="459"/>
      <c r="AC63" s="459"/>
      <c r="AD63" s="459"/>
      <c r="AE63" s="703"/>
      <c r="AF63" s="702">
        <v>0</v>
      </c>
      <c r="AG63" s="711">
        <v>126000</v>
      </c>
      <c r="AH63" s="711">
        <f t="shared" si="3"/>
        <v>126000</v>
      </c>
      <c r="AI63" s="459"/>
      <c r="AJ63" s="459"/>
      <c r="AK63" s="718"/>
      <c r="AL63" s="459"/>
      <c r="AM63" s="713"/>
      <c r="AN63" s="712"/>
      <c r="AO63" s="712"/>
      <c r="AP63" s="712"/>
      <c r="AQ63" s="712"/>
      <c r="AR63" s="712"/>
      <c r="AS63" s="459"/>
      <c r="AT63" s="81"/>
      <c r="AU63" s="81"/>
      <c r="AV63" s="81"/>
      <c r="AW63" s="81"/>
      <c r="AX63" s="81"/>
      <c r="AY63" s="81"/>
      <c r="AZ63" s="81"/>
      <c r="BA63" s="81"/>
      <c r="BB63" s="81"/>
      <c r="BC63" s="81"/>
      <c r="BD63" s="81"/>
    </row>
    <row r="64" spans="1:56" s="684" customFormat="1" ht="41.25" customHeight="1" x14ac:dyDescent="0.25">
      <c r="A64" s="2490">
        <v>24</v>
      </c>
      <c r="B64" s="2253" t="s">
        <v>261</v>
      </c>
      <c r="C64" s="2163" t="s">
        <v>1006</v>
      </c>
      <c r="D64" s="2163" t="s">
        <v>935</v>
      </c>
      <c r="E64" s="2163" t="s">
        <v>168</v>
      </c>
      <c r="F64" s="2231" t="s">
        <v>5727</v>
      </c>
      <c r="G64" s="2163">
        <v>10988</v>
      </c>
      <c r="H64" s="2213" t="s">
        <v>381</v>
      </c>
      <c r="I64" s="2231" t="s">
        <v>5728</v>
      </c>
      <c r="J64" s="2231" t="s">
        <v>265</v>
      </c>
      <c r="K64" s="2172">
        <v>41710</v>
      </c>
      <c r="L64" s="2165">
        <v>15000</v>
      </c>
      <c r="M64" s="2163">
        <v>11277</v>
      </c>
      <c r="N64" s="2172">
        <v>41710</v>
      </c>
      <c r="O64" s="2172">
        <v>42004</v>
      </c>
      <c r="P64" s="2163">
        <v>1</v>
      </c>
      <c r="Q64" s="2163"/>
      <c r="R64" s="2163"/>
      <c r="S64" s="2163"/>
      <c r="T64" s="2163" t="s">
        <v>130</v>
      </c>
      <c r="U64" s="2163"/>
      <c r="V64" s="2163"/>
      <c r="W64" s="2163"/>
      <c r="X64" s="2163"/>
      <c r="Y64" s="2163"/>
      <c r="Z64" s="2163"/>
      <c r="AA64" s="2163"/>
      <c r="AB64" s="2163"/>
      <c r="AC64" s="2163"/>
      <c r="AD64" s="2163"/>
      <c r="AE64" s="2165"/>
      <c r="AF64" s="2210">
        <v>0</v>
      </c>
      <c r="AG64" s="2210">
        <f>9640.63+1800.45</f>
        <v>11441.08</v>
      </c>
      <c r="AH64" s="2210">
        <f>9640.63+1800.45</f>
        <v>11441.08</v>
      </c>
      <c r="AI64" s="2163" t="s">
        <v>967</v>
      </c>
      <c r="AJ64" s="2163"/>
      <c r="AK64" s="2487" t="s">
        <v>266</v>
      </c>
      <c r="AL64" s="2163">
        <v>11022</v>
      </c>
      <c r="AM64" s="2487"/>
      <c r="AN64" s="2487"/>
      <c r="AO64" s="2487"/>
      <c r="AP64" s="2487"/>
      <c r="AQ64" s="2487"/>
      <c r="AR64" s="2487"/>
      <c r="AS64" s="2163"/>
      <c r="AT64" s="2485"/>
      <c r="AU64" s="2485"/>
      <c r="AV64" s="2485"/>
      <c r="AW64" s="2485"/>
      <c r="AX64" s="2485"/>
      <c r="AY64" s="2485"/>
      <c r="AZ64" s="2485"/>
      <c r="BA64" s="2485"/>
      <c r="BB64" s="2485"/>
      <c r="BC64" s="2485"/>
      <c r="BD64" s="2485"/>
    </row>
    <row r="65" spans="1:56" s="684" customFormat="1" ht="41.25" customHeight="1" x14ac:dyDescent="0.25">
      <c r="A65" s="2491"/>
      <c r="B65" s="2255"/>
      <c r="C65" s="2164"/>
      <c r="D65" s="2164"/>
      <c r="E65" s="2164"/>
      <c r="F65" s="2232"/>
      <c r="G65" s="2164"/>
      <c r="H65" s="2215"/>
      <c r="I65" s="2232"/>
      <c r="J65" s="2232"/>
      <c r="K65" s="2174"/>
      <c r="L65" s="2166"/>
      <c r="M65" s="2164"/>
      <c r="N65" s="2174"/>
      <c r="O65" s="2174"/>
      <c r="P65" s="2164"/>
      <c r="Q65" s="2164"/>
      <c r="R65" s="2164"/>
      <c r="S65" s="2164"/>
      <c r="T65" s="2164"/>
      <c r="U65" s="2164"/>
      <c r="V65" s="2164"/>
      <c r="W65" s="2164"/>
      <c r="X65" s="2164"/>
      <c r="Y65" s="2164"/>
      <c r="Z65" s="2164"/>
      <c r="AA65" s="2164"/>
      <c r="AB65" s="2164"/>
      <c r="AC65" s="2164"/>
      <c r="AD65" s="2164"/>
      <c r="AE65" s="2166"/>
      <c r="AF65" s="2212"/>
      <c r="AG65" s="2212"/>
      <c r="AH65" s="2212"/>
      <c r="AI65" s="2164"/>
      <c r="AJ65" s="2164"/>
      <c r="AK65" s="2488"/>
      <c r="AL65" s="2164"/>
      <c r="AM65" s="2488"/>
      <c r="AN65" s="2488"/>
      <c r="AO65" s="2488"/>
      <c r="AP65" s="2488"/>
      <c r="AQ65" s="2488"/>
      <c r="AR65" s="2488"/>
      <c r="AS65" s="2164"/>
      <c r="AT65" s="2486"/>
      <c r="AU65" s="2486"/>
      <c r="AV65" s="2486"/>
      <c r="AW65" s="2486"/>
      <c r="AX65" s="2486"/>
      <c r="AY65" s="2486"/>
      <c r="AZ65" s="2486"/>
      <c r="BA65" s="2486"/>
      <c r="BB65" s="2486"/>
      <c r="BC65" s="2486"/>
      <c r="BD65" s="2486"/>
    </row>
    <row r="66" spans="1:56" s="684" customFormat="1" ht="51" x14ac:dyDescent="0.25">
      <c r="A66" s="709">
        <v>25</v>
      </c>
      <c r="B66" s="714" t="s">
        <v>2678</v>
      </c>
      <c r="C66" s="459" t="s">
        <v>2967</v>
      </c>
      <c r="D66" s="459" t="s">
        <v>935</v>
      </c>
      <c r="E66" s="459" t="s">
        <v>168</v>
      </c>
      <c r="F66" s="625" t="s">
        <v>5729</v>
      </c>
      <c r="G66" s="459">
        <v>11071</v>
      </c>
      <c r="H66" s="58" t="s">
        <v>747</v>
      </c>
      <c r="I66" s="625" t="s">
        <v>5730</v>
      </c>
      <c r="J66" s="459" t="s">
        <v>5360</v>
      </c>
      <c r="K66" s="57">
        <v>41786</v>
      </c>
      <c r="L66" s="438">
        <v>54453</v>
      </c>
      <c r="M66" s="459">
        <v>11335</v>
      </c>
      <c r="N66" s="57">
        <f>K66</f>
        <v>41786</v>
      </c>
      <c r="O66" s="57">
        <v>42004</v>
      </c>
      <c r="P66" s="459">
        <v>1</v>
      </c>
      <c r="Q66" s="459"/>
      <c r="R66" s="459"/>
      <c r="S66" s="459"/>
      <c r="T66" s="459" t="s">
        <v>208</v>
      </c>
      <c r="U66" s="459"/>
      <c r="V66" s="459"/>
      <c r="W66" s="459"/>
      <c r="X66" s="459"/>
      <c r="Y66" s="459"/>
      <c r="Z66" s="459"/>
      <c r="AA66" s="459"/>
      <c r="AB66" s="459"/>
      <c r="AC66" s="459"/>
      <c r="AD66" s="459"/>
      <c r="AE66" s="703"/>
      <c r="AF66" s="459"/>
      <c r="AG66" s="711">
        <v>38895</v>
      </c>
      <c r="AH66" s="711">
        <v>38895</v>
      </c>
      <c r="AI66" s="459" t="s">
        <v>1006</v>
      </c>
      <c r="AJ66" s="459"/>
      <c r="AK66" s="718" t="s">
        <v>5731</v>
      </c>
      <c r="AL66" s="459">
        <v>11546</v>
      </c>
      <c r="AM66" s="713"/>
      <c r="AN66" s="712"/>
      <c r="AO66" s="712"/>
      <c r="AP66" s="712"/>
      <c r="AQ66" s="712"/>
      <c r="AR66" s="712"/>
      <c r="AS66" s="459"/>
      <c r="AT66" s="81"/>
      <c r="AU66" s="81"/>
      <c r="AV66" s="81"/>
      <c r="AW66" s="81"/>
      <c r="AX66" s="81"/>
      <c r="AY66" s="81"/>
      <c r="AZ66" s="81"/>
      <c r="BA66" s="81"/>
      <c r="BB66" s="81"/>
      <c r="BC66" s="81"/>
      <c r="BD66" s="81"/>
    </row>
    <row r="67" spans="1:56" s="684" customFormat="1" ht="38.25" x14ac:dyDescent="0.25">
      <c r="A67" s="709">
        <v>26</v>
      </c>
      <c r="B67" s="714" t="s">
        <v>738</v>
      </c>
      <c r="C67" s="459" t="s">
        <v>1330</v>
      </c>
      <c r="D67" s="459" t="s">
        <v>1431</v>
      </c>
      <c r="E67" s="459" t="s">
        <v>168</v>
      </c>
      <c r="F67" s="625" t="s">
        <v>5732</v>
      </c>
      <c r="G67" s="459" t="s">
        <v>5733</v>
      </c>
      <c r="H67" s="58" t="s">
        <v>4790</v>
      </c>
      <c r="I67" s="625" t="s">
        <v>5734</v>
      </c>
      <c r="J67" s="459" t="s">
        <v>5735</v>
      </c>
      <c r="K67" s="57">
        <v>41456</v>
      </c>
      <c r="L67" s="438">
        <v>41162.230000000003</v>
      </c>
      <c r="M67" s="459">
        <v>11117</v>
      </c>
      <c r="N67" s="57">
        <v>41456</v>
      </c>
      <c r="O67" s="57">
        <v>41639</v>
      </c>
      <c r="P67" s="459">
        <v>6</v>
      </c>
      <c r="Q67" s="95" t="s">
        <v>5736</v>
      </c>
      <c r="R67" s="95" t="s">
        <v>5737</v>
      </c>
      <c r="S67" s="706">
        <v>20235.060000000001</v>
      </c>
      <c r="T67" s="459" t="s">
        <v>158</v>
      </c>
      <c r="U67" s="459">
        <v>1</v>
      </c>
      <c r="V67" s="57">
        <v>41641</v>
      </c>
      <c r="W67" s="459">
        <v>11233</v>
      </c>
      <c r="X67" s="625" t="s">
        <v>5664</v>
      </c>
      <c r="Y67" s="57">
        <v>41641</v>
      </c>
      <c r="Z67" s="57">
        <v>42094</v>
      </c>
      <c r="AA67" s="459"/>
      <c r="AB67" s="459"/>
      <c r="AC67" s="459"/>
      <c r="AD67" s="459"/>
      <c r="AE67" s="703"/>
      <c r="AF67" s="702">
        <v>41162.230000000003</v>
      </c>
      <c r="AG67" s="711">
        <v>3951.57</v>
      </c>
      <c r="AH67" s="711">
        <f>AF67+AG67</f>
        <v>45113.8</v>
      </c>
      <c r="AI67" s="459"/>
      <c r="AJ67" s="459"/>
      <c r="AK67" s="718"/>
      <c r="AL67" s="459"/>
      <c r="AM67" s="713"/>
      <c r="AN67" s="712"/>
      <c r="AO67" s="712"/>
      <c r="AP67" s="712"/>
      <c r="AQ67" s="712"/>
      <c r="AR67" s="712"/>
      <c r="AS67" s="459"/>
      <c r="AT67" s="81"/>
      <c r="AU67" s="81"/>
      <c r="AV67" s="81"/>
      <c r="AW67" s="81"/>
      <c r="AX67" s="81"/>
      <c r="AY67" s="81"/>
      <c r="AZ67" s="81"/>
      <c r="BA67" s="81"/>
      <c r="BB67" s="81"/>
      <c r="BC67" s="81"/>
      <c r="BD67" s="81"/>
    </row>
    <row r="68" spans="1:56" s="684" customFormat="1" ht="46.5" customHeight="1" x14ac:dyDescent="0.25">
      <c r="A68" s="709">
        <v>27</v>
      </c>
      <c r="B68" s="714" t="s">
        <v>5738</v>
      </c>
      <c r="C68" s="459" t="s">
        <v>1529</v>
      </c>
      <c r="D68" s="459" t="s">
        <v>1431</v>
      </c>
      <c r="E68" s="459" t="s">
        <v>168</v>
      </c>
      <c r="F68" s="625" t="s">
        <v>5739</v>
      </c>
      <c r="G68" s="459">
        <v>11174</v>
      </c>
      <c r="H68" s="58" t="s">
        <v>1748</v>
      </c>
      <c r="I68" s="625" t="s">
        <v>5740</v>
      </c>
      <c r="J68" s="459" t="s">
        <v>5741</v>
      </c>
      <c r="K68" s="57">
        <v>41614</v>
      </c>
      <c r="L68" s="438">
        <v>86980</v>
      </c>
      <c r="M68" s="459">
        <v>11213</v>
      </c>
      <c r="N68" s="57">
        <v>41614</v>
      </c>
      <c r="O68" s="57">
        <v>41735</v>
      </c>
      <c r="P68" s="459">
        <v>1</v>
      </c>
      <c r="Q68" s="459"/>
      <c r="R68" s="459"/>
      <c r="S68" s="459"/>
      <c r="T68" s="459" t="s">
        <v>208</v>
      </c>
      <c r="U68" s="459">
        <v>3</v>
      </c>
      <c r="V68" s="57">
        <v>41883</v>
      </c>
      <c r="W68" s="459">
        <v>11429</v>
      </c>
      <c r="X68" s="459" t="s">
        <v>918</v>
      </c>
      <c r="Y68" s="459"/>
      <c r="Z68" s="459"/>
      <c r="AA68" s="459"/>
      <c r="AB68" s="459"/>
      <c r="AC68" s="459"/>
      <c r="AD68" s="459"/>
      <c r="AE68" s="703">
        <v>108718.91</v>
      </c>
      <c r="AF68" s="702"/>
      <c r="AG68" s="703">
        <v>14328.51</v>
      </c>
      <c r="AH68" s="711">
        <v>94389.56</v>
      </c>
      <c r="AI68" s="706"/>
      <c r="AJ68" s="459"/>
      <c r="AK68" s="718"/>
      <c r="AL68" s="459"/>
      <c r="AM68" s="713"/>
      <c r="AN68" s="95"/>
      <c r="AO68" s="712"/>
      <c r="AP68" s="712"/>
      <c r="AQ68" s="712"/>
      <c r="AR68" s="712"/>
      <c r="AS68" s="459"/>
      <c r="AT68" s="81"/>
      <c r="AU68" s="720">
        <v>41948</v>
      </c>
      <c r="AV68" s="720">
        <v>42004</v>
      </c>
      <c r="AW68" s="81"/>
      <c r="AX68" s="81" t="s">
        <v>5742</v>
      </c>
      <c r="AY68" s="720">
        <v>41709</v>
      </c>
      <c r="AZ68" s="81" t="s">
        <v>1458</v>
      </c>
      <c r="BA68" s="81"/>
      <c r="BB68" s="81"/>
      <c r="BC68" s="81"/>
      <c r="BD68" s="81"/>
    </row>
    <row r="69" spans="1:56" s="684" customFormat="1" ht="38.25" x14ac:dyDescent="0.25">
      <c r="A69" s="709">
        <v>28</v>
      </c>
      <c r="B69" s="714" t="s">
        <v>765</v>
      </c>
      <c r="C69" s="459" t="s">
        <v>1788</v>
      </c>
      <c r="D69" s="459" t="s">
        <v>935</v>
      </c>
      <c r="E69" s="459" t="s">
        <v>168</v>
      </c>
      <c r="F69" s="625" t="s">
        <v>5743</v>
      </c>
      <c r="G69" s="459" t="s">
        <v>5744</v>
      </c>
      <c r="H69" s="58" t="s">
        <v>795</v>
      </c>
      <c r="I69" s="625" t="s">
        <v>5745</v>
      </c>
      <c r="J69" s="459" t="s">
        <v>5746</v>
      </c>
      <c r="K69" s="57">
        <v>41870</v>
      </c>
      <c r="L69" s="438">
        <v>38918</v>
      </c>
      <c r="M69" s="459">
        <v>11390</v>
      </c>
      <c r="N69" s="57">
        <v>41870</v>
      </c>
      <c r="O69" s="57">
        <v>42004</v>
      </c>
      <c r="P69" s="459">
        <v>1</v>
      </c>
      <c r="Q69" s="95"/>
      <c r="R69" s="95"/>
      <c r="S69" s="706"/>
      <c r="T69" s="459" t="s">
        <v>208</v>
      </c>
      <c r="U69" s="459"/>
      <c r="V69" s="57"/>
      <c r="W69" s="459"/>
      <c r="X69" s="625"/>
      <c r="Y69" s="57"/>
      <c r="Z69" s="57"/>
      <c r="AA69" s="459"/>
      <c r="AB69" s="459"/>
      <c r="AC69" s="459"/>
      <c r="AD69" s="459"/>
      <c r="AE69" s="703"/>
      <c r="AF69" s="702">
        <v>0</v>
      </c>
      <c r="AG69" s="711">
        <v>23350.2</v>
      </c>
      <c r="AH69" s="702">
        <v>0</v>
      </c>
      <c r="AI69" s="459">
        <v>15</v>
      </c>
      <c r="AJ69" s="459">
        <v>11334</v>
      </c>
      <c r="AK69" s="718" t="s">
        <v>981</v>
      </c>
      <c r="AL69" s="459">
        <v>11390</v>
      </c>
      <c r="AM69" s="713"/>
      <c r="AN69" s="712"/>
      <c r="AO69" s="712"/>
      <c r="AP69" s="712"/>
      <c r="AQ69" s="712"/>
      <c r="AR69" s="712"/>
      <c r="AS69" s="459"/>
      <c r="AT69" s="81"/>
      <c r="AU69" s="81"/>
      <c r="AV69" s="81"/>
      <c r="AW69" s="81"/>
      <c r="AX69" s="81"/>
      <c r="AY69" s="81"/>
      <c r="AZ69" s="81"/>
      <c r="BA69" s="81"/>
      <c r="BB69" s="81"/>
      <c r="BC69" s="81"/>
      <c r="BD69" s="81"/>
    </row>
    <row r="70" spans="1:56" s="684" customFormat="1" ht="25.5" x14ac:dyDescent="0.25">
      <c r="A70" s="709">
        <v>29</v>
      </c>
      <c r="B70" s="714"/>
      <c r="C70" s="459"/>
      <c r="D70" s="459" t="s">
        <v>122</v>
      </c>
      <c r="E70" s="459" t="s">
        <v>168</v>
      </c>
      <c r="F70" s="625" t="s">
        <v>5747</v>
      </c>
      <c r="G70" s="459"/>
      <c r="H70" s="58"/>
      <c r="I70" s="625" t="s">
        <v>5748</v>
      </c>
      <c r="J70" s="459" t="s">
        <v>5746</v>
      </c>
      <c r="K70" s="57">
        <v>41870</v>
      </c>
      <c r="L70" s="438">
        <v>11172</v>
      </c>
      <c r="M70" s="459"/>
      <c r="N70" s="57"/>
      <c r="O70" s="57"/>
      <c r="P70" s="459">
        <v>1</v>
      </c>
      <c r="Q70" s="95"/>
      <c r="R70" s="95"/>
      <c r="S70" s="706"/>
      <c r="T70" s="459" t="s">
        <v>316</v>
      </c>
      <c r="U70" s="459"/>
      <c r="V70" s="57"/>
      <c r="W70" s="459"/>
      <c r="X70" s="625"/>
      <c r="Y70" s="57"/>
      <c r="Z70" s="57"/>
      <c r="AA70" s="459"/>
      <c r="AB70" s="459"/>
      <c r="AC70" s="459"/>
      <c r="AD70" s="459"/>
      <c r="AE70" s="703"/>
      <c r="AF70" s="702">
        <v>0</v>
      </c>
      <c r="AG70" s="711">
        <v>11172</v>
      </c>
      <c r="AH70" s="702">
        <v>0</v>
      </c>
      <c r="AI70" s="459"/>
      <c r="AJ70" s="459"/>
      <c r="AK70" s="718"/>
      <c r="AL70" s="459"/>
      <c r="AM70" s="713"/>
      <c r="AN70" s="712"/>
      <c r="AO70" s="712"/>
      <c r="AP70" s="712"/>
      <c r="AQ70" s="712"/>
      <c r="AR70" s="712"/>
      <c r="AS70" s="459"/>
      <c r="AT70" s="81"/>
      <c r="AU70" s="81"/>
      <c r="AV70" s="81"/>
      <c r="AW70" s="81"/>
      <c r="AX70" s="81"/>
      <c r="AY70" s="81"/>
      <c r="AZ70" s="81"/>
      <c r="BA70" s="81"/>
      <c r="BB70" s="81"/>
      <c r="BC70" s="81"/>
      <c r="BD70" s="81"/>
    </row>
    <row r="71" spans="1:56" s="684" customFormat="1" ht="38.25" x14ac:dyDescent="0.25">
      <c r="A71" s="709">
        <v>30</v>
      </c>
      <c r="B71" s="714" t="s">
        <v>675</v>
      </c>
      <c r="C71" s="459" t="s">
        <v>724</v>
      </c>
      <c r="D71" s="459" t="s">
        <v>935</v>
      </c>
      <c r="E71" s="459" t="s">
        <v>168</v>
      </c>
      <c r="F71" s="625" t="s">
        <v>5749</v>
      </c>
      <c r="G71" s="459">
        <v>11223</v>
      </c>
      <c r="H71" s="58" t="s">
        <v>787</v>
      </c>
      <c r="I71" s="625" t="s">
        <v>2117</v>
      </c>
      <c r="J71" s="459" t="s">
        <v>5750</v>
      </c>
      <c r="K71" s="57">
        <v>41795</v>
      </c>
      <c r="L71" s="438">
        <v>23047.5</v>
      </c>
      <c r="M71" s="459">
        <v>11355</v>
      </c>
      <c r="N71" s="57">
        <v>41795</v>
      </c>
      <c r="O71" s="57">
        <v>42004</v>
      </c>
      <c r="P71" s="721" t="s">
        <v>5751</v>
      </c>
      <c r="Q71" s="95" t="s">
        <v>5736</v>
      </c>
      <c r="R71" s="95"/>
      <c r="S71" s="706"/>
      <c r="T71" s="459" t="s">
        <v>316</v>
      </c>
      <c r="U71" s="459"/>
      <c r="V71" s="57"/>
      <c r="W71" s="459"/>
      <c r="X71" s="625"/>
      <c r="Y71" s="57"/>
      <c r="Z71" s="57"/>
      <c r="AA71" s="459"/>
      <c r="AB71" s="459"/>
      <c r="AC71" s="459"/>
      <c r="AD71" s="459"/>
      <c r="AE71" s="703"/>
      <c r="AF71" s="702">
        <v>0</v>
      </c>
      <c r="AG71" s="711">
        <v>8739</v>
      </c>
      <c r="AH71" s="702">
        <v>0</v>
      </c>
      <c r="AI71" s="459" t="s">
        <v>683</v>
      </c>
      <c r="AJ71" s="77">
        <v>11253</v>
      </c>
      <c r="AK71" s="718" t="s">
        <v>981</v>
      </c>
      <c r="AL71" s="459">
        <v>11253</v>
      </c>
      <c r="AM71" s="713"/>
      <c r="AN71" s="712"/>
      <c r="AO71" s="712"/>
      <c r="AP71" s="712"/>
      <c r="AQ71" s="712"/>
      <c r="AR71" s="712"/>
      <c r="AS71" s="459"/>
      <c r="AT71" s="81"/>
      <c r="AU71" s="81"/>
      <c r="AV71" s="81"/>
      <c r="AW71" s="81"/>
      <c r="AX71" s="81"/>
      <c r="AY71" s="81"/>
      <c r="AZ71" s="81"/>
      <c r="BA71" s="81"/>
      <c r="BB71" s="81"/>
      <c r="BC71" s="81"/>
      <c r="BD71" s="81"/>
    </row>
    <row r="72" spans="1:56" s="684" customFormat="1" ht="44.25" customHeight="1" x14ac:dyDescent="0.25">
      <c r="A72" s="709">
        <v>31</v>
      </c>
      <c r="B72" s="714"/>
      <c r="C72" s="459"/>
      <c r="D72" s="459" t="s">
        <v>5180</v>
      </c>
      <c r="E72" s="459" t="s">
        <v>168</v>
      </c>
      <c r="F72" s="625" t="s">
        <v>5752</v>
      </c>
      <c r="G72" s="459"/>
      <c r="H72" s="58"/>
      <c r="I72" s="625" t="s">
        <v>5753</v>
      </c>
      <c r="J72" s="459" t="s">
        <v>4543</v>
      </c>
      <c r="K72" s="57">
        <v>41949</v>
      </c>
      <c r="L72" s="438">
        <v>2590</v>
      </c>
      <c r="M72" s="459"/>
      <c r="N72" s="57"/>
      <c r="O72" s="57"/>
      <c r="P72" s="459">
        <v>1</v>
      </c>
      <c r="Q72" s="95"/>
      <c r="R72" s="95"/>
      <c r="S72" s="706"/>
      <c r="T72" s="459" t="s">
        <v>208</v>
      </c>
      <c r="U72" s="459"/>
      <c r="V72" s="57"/>
      <c r="W72" s="459"/>
      <c r="X72" s="625"/>
      <c r="Y72" s="57"/>
      <c r="Z72" s="57"/>
      <c r="AA72" s="459"/>
      <c r="AB72" s="459"/>
      <c r="AC72" s="459"/>
      <c r="AD72" s="459"/>
      <c r="AE72" s="703"/>
      <c r="AF72" s="702">
        <v>0</v>
      </c>
      <c r="AG72" s="711">
        <v>2590</v>
      </c>
      <c r="AH72" s="702">
        <v>0</v>
      </c>
      <c r="AI72" s="459"/>
      <c r="AJ72" s="459"/>
      <c r="AK72" s="718"/>
      <c r="AL72" s="459"/>
      <c r="AM72" s="713" t="s">
        <v>5180</v>
      </c>
      <c r="AN72" s="95" t="s">
        <v>5754</v>
      </c>
      <c r="AO72" s="712"/>
      <c r="AP72" s="712"/>
      <c r="AQ72" s="712"/>
      <c r="AR72" s="712"/>
      <c r="AS72" s="459"/>
      <c r="AT72" s="81"/>
      <c r="AU72" s="81"/>
      <c r="AV72" s="81"/>
      <c r="AW72" s="81"/>
      <c r="AX72" s="81"/>
      <c r="AY72" s="81"/>
      <c r="AZ72" s="81"/>
      <c r="BA72" s="81"/>
      <c r="BB72" s="81"/>
      <c r="BC72" s="81"/>
      <c r="BD72" s="81"/>
    </row>
    <row r="73" spans="1:56" s="684" customFormat="1" ht="63.75" customHeight="1" x14ac:dyDescent="0.25">
      <c r="A73" s="709">
        <v>32</v>
      </c>
      <c r="B73" s="714"/>
      <c r="C73" s="459"/>
      <c r="D73" s="459" t="s">
        <v>5180</v>
      </c>
      <c r="E73" s="459" t="s">
        <v>168</v>
      </c>
      <c r="F73" s="625" t="s">
        <v>5755</v>
      </c>
      <c r="G73" s="459"/>
      <c r="H73" s="58" t="s">
        <v>823</v>
      </c>
      <c r="I73" s="625" t="s">
        <v>5756</v>
      </c>
      <c r="J73" s="459" t="s">
        <v>5757</v>
      </c>
      <c r="K73" s="57">
        <v>41883</v>
      </c>
      <c r="L73" s="438">
        <v>2400</v>
      </c>
      <c r="M73" s="459"/>
      <c r="N73" s="57"/>
      <c r="O73" s="57"/>
      <c r="P73" s="459">
        <v>1</v>
      </c>
      <c r="Q73" s="95"/>
      <c r="R73" s="95"/>
      <c r="S73" s="706"/>
      <c r="T73" s="459" t="s">
        <v>316</v>
      </c>
      <c r="U73" s="459"/>
      <c r="V73" s="57"/>
      <c r="W73" s="459"/>
      <c r="X73" s="625"/>
      <c r="Y73" s="57"/>
      <c r="Z73" s="57"/>
      <c r="AA73" s="459"/>
      <c r="AB73" s="459"/>
      <c r="AC73" s="459"/>
      <c r="AD73" s="459"/>
      <c r="AE73" s="703"/>
      <c r="AF73" s="702">
        <v>0</v>
      </c>
      <c r="AG73" s="711">
        <f>L73</f>
        <v>2400</v>
      </c>
      <c r="AH73" s="702">
        <v>0</v>
      </c>
      <c r="AI73" s="459"/>
      <c r="AJ73" s="459"/>
      <c r="AK73" s="718"/>
      <c r="AL73" s="459"/>
      <c r="AM73" s="713" t="s">
        <v>5180</v>
      </c>
      <c r="AN73" s="95" t="s">
        <v>5754</v>
      </c>
      <c r="AO73" s="712"/>
      <c r="AP73" s="712"/>
      <c r="AQ73" s="712"/>
      <c r="AR73" s="712"/>
      <c r="AS73" s="459"/>
      <c r="AT73" s="81"/>
      <c r="AU73" s="81"/>
      <c r="AV73" s="81"/>
      <c r="AW73" s="81"/>
      <c r="AX73" s="81"/>
      <c r="AY73" s="81"/>
      <c r="AZ73" s="81"/>
      <c r="BA73" s="81"/>
      <c r="BB73" s="81"/>
      <c r="BC73" s="81"/>
      <c r="BD73" s="81"/>
    </row>
    <row r="74" spans="1:56" s="684" customFormat="1" ht="33.75" customHeight="1" x14ac:dyDescent="0.25">
      <c r="A74" s="709">
        <v>33</v>
      </c>
      <c r="B74" s="714"/>
      <c r="C74" s="459"/>
      <c r="D74" s="459" t="s">
        <v>5180</v>
      </c>
      <c r="E74" s="459"/>
      <c r="F74" s="625" t="s">
        <v>5758</v>
      </c>
      <c r="G74" s="459"/>
      <c r="H74" s="58"/>
      <c r="I74" s="625" t="s">
        <v>5759</v>
      </c>
      <c r="J74" s="459" t="s">
        <v>5760</v>
      </c>
      <c r="K74" s="57"/>
      <c r="L74" s="438">
        <v>1250.32</v>
      </c>
      <c r="M74" s="459"/>
      <c r="N74" s="57"/>
      <c r="O74" s="57"/>
      <c r="P74" s="459">
        <v>1</v>
      </c>
      <c r="Q74" s="95"/>
      <c r="R74" s="95"/>
      <c r="S74" s="706"/>
      <c r="T74" s="459" t="s">
        <v>316</v>
      </c>
      <c r="U74" s="459"/>
      <c r="V74" s="57"/>
      <c r="W74" s="459"/>
      <c r="X74" s="625"/>
      <c r="Y74" s="57"/>
      <c r="Z74" s="57"/>
      <c r="AA74" s="459"/>
      <c r="AB74" s="459"/>
      <c r="AC74" s="459"/>
      <c r="AD74" s="459"/>
      <c r="AE74" s="703"/>
      <c r="AF74" s="702">
        <v>0</v>
      </c>
      <c r="AG74" s="711">
        <f>L74</f>
        <v>1250.32</v>
      </c>
      <c r="AH74" s="702">
        <v>0</v>
      </c>
      <c r="AI74" s="459"/>
      <c r="AJ74" s="459"/>
      <c r="AK74" s="718"/>
      <c r="AL74" s="459"/>
      <c r="AM74" s="713" t="s">
        <v>5180</v>
      </c>
      <c r="AN74" s="95" t="s">
        <v>5754</v>
      </c>
      <c r="AO74" s="712"/>
      <c r="AP74" s="712"/>
      <c r="AQ74" s="712"/>
      <c r="AR74" s="712"/>
      <c r="AS74" s="459"/>
      <c r="AT74" s="81"/>
      <c r="AU74" s="81"/>
      <c r="AV74" s="81"/>
      <c r="AW74" s="81"/>
      <c r="AX74" s="81"/>
      <c r="AY74" s="81"/>
      <c r="AZ74" s="81"/>
      <c r="BA74" s="81"/>
      <c r="BB74" s="81"/>
      <c r="BC74" s="81"/>
      <c r="BD74" s="81"/>
    </row>
    <row r="75" spans="1:56" s="684" customFormat="1" ht="38.25" x14ac:dyDescent="0.25">
      <c r="A75" s="709">
        <v>34</v>
      </c>
      <c r="B75" s="714"/>
      <c r="C75" s="459"/>
      <c r="D75" s="459" t="s">
        <v>5180</v>
      </c>
      <c r="E75" s="459"/>
      <c r="F75" s="625" t="s">
        <v>5761</v>
      </c>
      <c r="G75" s="459"/>
      <c r="H75" s="58"/>
      <c r="I75" s="625" t="s">
        <v>5759</v>
      </c>
      <c r="J75" s="459" t="s">
        <v>5760</v>
      </c>
      <c r="K75" s="57">
        <v>41827</v>
      </c>
      <c r="L75" s="438">
        <v>4475</v>
      </c>
      <c r="M75" s="459"/>
      <c r="N75" s="57"/>
      <c r="O75" s="57"/>
      <c r="P75" s="459">
        <v>1</v>
      </c>
      <c r="Q75" s="459"/>
      <c r="R75" s="459"/>
      <c r="S75" s="459"/>
      <c r="T75" s="459" t="s">
        <v>316</v>
      </c>
      <c r="U75" s="459"/>
      <c r="V75" s="459"/>
      <c r="W75" s="459"/>
      <c r="X75" s="459"/>
      <c r="Y75" s="459"/>
      <c r="Z75" s="459"/>
      <c r="AA75" s="459"/>
      <c r="AB75" s="459"/>
      <c r="AC75" s="459"/>
      <c r="AD75" s="459"/>
      <c r="AE75" s="703"/>
      <c r="AF75" s="702">
        <v>0</v>
      </c>
      <c r="AG75" s="711">
        <f>[2]Julho!AG55</f>
        <v>4475</v>
      </c>
      <c r="AH75" s="702">
        <v>0</v>
      </c>
      <c r="AI75" s="459"/>
      <c r="AJ75" s="459"/>
      <c r="AK75" s="718"/>
      <c r="AL75" s="459"/>
      <c r="AM75" s="713" t="s">
        <v>5180</v>
      </c>
      <c r="AN75" s="95" t="s">
        <v>5754</v>
      </c>
      <c r="AO75" s="712"/>
      <c r="AP75" s="712"/>
      <c r="AQ75" s="712"/>
      <c r="AR75" s="712"/>
      <c r="AS75" s="459"/>
      <c r="AT75" s="81"/>
      <c r="AU75" s="81"/>
      <c r="AV75" s="81"/>
      <c r="AW75" s="81"/>
      <c r="AX75" s="81"/>
      <c r="AY75" s="81"/>
      <c r="AZ75" s="81"/>
      <c r="BA75" s="81"/>
      <c r="BB75" s="81"/>
      <c r="BC75" s="81"/>
      <c r="BD75" s="81"/>
    </row>
    <row r="76" spans="1:56" s="684" customFormat="1" ht="38.25" x14ac:dyDescent="0.25">
      <c r="A76" s="709">
        <v>35</v>
      </c>
      <c r="B76" s="714"/>
      <c r="C76" s="459"/>
      <c r="D76" s="459" t="s">
        <v>5180</v>
      </c>
      <c r="E76" s="459"/>
      <c r="F76" s="625" t="s">
        <v>5762</v>
      </c>
      <c r="G76" s="459"/>
      <c r="H76" s="58"/>
      <c r="I76" s="625" t="s">
        <v>5763</v>
      </c>
      <c r="J76" s="459" t="s">
        <v>5764</v>
      </c>
      <c r="K76" s="57">
        <v>41831</v>
      </c>
      <c r="L76" s="438">
        <v>2400</v>
      </c>
      <c r="M76" s="459"/>
      <c r="N76" s="57"/>
      <c r="O76" s="57"/>
      <c r="P76" s="459">
        <v>1</v>
      </c>
      <c r="Q76" s="459"/>
      <c r="R76" s="459"/>
      <c r="S76" s="459"/>
      <c r="T76" s="459" t="s">
        <v>208</v>
      </c>
      <c r="U76" s="459"/>
      <c r="V76" s="459"/>
      <c r="W76" s="459"/>
      <c r="X76" s="459"/>
      <c r="Y76" s="459"/>
      <c r="Z76" s="459"/>
      <c r="AA76" s="459"/>
      <c r="AB76" s="459"/>
      <c r="AC76" s="459"/>
      <c r="AD76" s="459"/>
      <c r="AE76" s="703"/>
      <c r="AF76" s="702">
        <v>0</v>
      </c>
      <c r="AG76" s="711">
        <f>[2]Julho!AG56</f>
        <v>2400</v>
      </c>
      <c r="AH76" s="702">
        <v>0</v>
      </c>
      <c r="AI76" s="459"/>
      <c r="AJ76" s="459"/>
      <c r="AK76" s="718"/>
      <c r="AL76" s="459"/>
      <c r="AM76" s="713" t="s">
        <v>5180</v>
      </c>
      <c r="AN76" s="95" t="s">
        <v>5754</v>
      </c>
      <c r="AO76" s="712"/>
      <c r="AP76" s="712"/>
      <c r="AQ76" s="712"/>
      <c r="AR76" s="712"/>
      <c r="AS76" s="459"/>
      <c r="AT76" s="81"/>
      <c r="AU76" s="81"/>
      <c r="AV76" s="81"/>
      <c r="AW76" s="81"/>
      <c r="AX76" s="81"/>
      <c r="AY76" s="81"/>
      <c r="AZ76" s="81"/>
      <c r="BA76" s="81"/>
      <c r="BB76" s="81"/>
      <c r="BC76" s="81"/>
      <c r="BD76" s="81"/>
    </row>
    <row r="77" spans="1:56" s="684" customFormat="1" ht="38.25" x14ac:dyDescent="0.25">
      <c r="A77" s="709">
        <v>36</v>
      </c>
      <c r="B77" s="714"/>
      <c r="C77" s="459"/>
      <c r="D77" s="459" t="s">
        <v>5180</v>
      </c>
      <c r="E77" s="459"/>
      <c r="F77" s="625" t="s">
        <v>5765</v>
      </c>
      <c r="G77" s="459"/>
      <c r="H77" s="58"/>
      <c r="I77" s="625" t="s">
        <v>5748</v>
      </c>
      <c r="J77" s="459" t="s">
        <v>5766</v>
      </c>
      <c r="K77" s="57">
        <v>41753</v>
      </c>
      <c r="L77" s="438">
        <v>7522</v>
      </c>
      <c r="M77" s="459"/>
      <c r="N77" s="57"/>
      <c r="O77" s="57"/>
      <c r="P77" s="459">
        <v>1</v>
      </c>
      <c r="Q77" s="459"/>
      <c r="R77" s="459"/>
      <c r="S77" s="459"/>
      <c r="T77" s="459" t="s">
        <v>316</v>
      </c>
      <c r="U77" s="459"/>
      <c r="V77" s="459"/>
      <c r="W77" s="459"/>
      <c r="X77" s="459"/>
      <c r="Y77" s="459"/>
      <c r="Z77" s="459"/>
      <c r="AA77" s="459"/>
      <c r="AB77" s="459"/>
      <c r="AC77" s="459"/>
      <c r="AD77" s="459"/>
      <c r="AE77" s="703"/>
      <c r="AF77" s="702">
        <v>0</v>
      </c>
      <c r="AG77" s="711">
        <f>[2]Julho!AG57</f>
        <v>7522</v>
      </c>
      <c r="AH77" s="702">
        <v>0</v>
      </c>
      <c r="AI77" s="459"/>
      <c r="AJ77" s="459"/>
      <c r="AK77" s="718"/>
      <c r="AL77" s="459"/>
      <c r="AM77" s="713" t="s">
        <v>5180</v>
      </c>
      <c r="AN77" s="95" t="s">
        <v>5754</v>
      </c>
      <c r="AO77" s="712"/>
      <c r="AP77" s="712"/>
      <c r="AQ77" s="712"/>
      <c r="AR77" s="712"/>
      <c r="AS77" s="459"/>
      <c r="AT77" s="81"/>
      <c r="AU77" s="81"/>
      <c r="AV77" s="81"/>
      <c r="AW77" s="81"/>
      <c r="AX77" s="81"/>
      <c r="AY77" s="81"/>
      <c r="AZ77" s="81"/>
      <c r="BA77" s="81"/>
      <c r="BB77" s="81"/>
      <c r="BC77" s="81"/>
      <c r="BD77" s="81"/>
    </row>
    <row r="78" spans="1:56" s="684" customFormat="1" ht="38.25" x14ac:dyDescent="0.25">
      <c r="A78" s="709">
        <v>37</v>
      </c>
      <c r="B78" s="714"/>
      <c r="C78" s="459"/>
      <c r="D78" s="459" t="s">
        <v>5180</v>
      </c>
      <c r="E78" s="459"/>
      <c r="F78" s="625" t="s">
        <v>5767</v>
      </c>
      <c r="G78" s="459"/>
      <c r="H78" s="58"/>
      <c r="I78" s="625" t="s">
        <v>5768</v>
      </c>
      <c r="J78" s="459" t="s">
        <v>5769</v>
      </c>
      <c r="K78" s="57">
        <v>41795</v>
      </c>
      <c r="L78" s="438">
        <v>2100</v>
      </c>
      <c r="M78" s="459"/>
      <c r="N78" s="57"/>
      <c r="O78" s="57"/>
      <c r="P78" s="459">
        <v>1</v>
      </c>
      <c r="Q78" s="459"/>
      <c r="R78" s="459"/>
      <c r="S78" s="459"/>
      <c r="T78" s="459" t="s">
        <v>158</v>
      </c>
      <c r="U78" s="459"/>
      <c r="V78" s="459"/>
      <c r="W78" s="459"/>
      <c r="X78" s="459"/>
      <c r="Y78" s="459"/>
      <c r="Z78" s="459"/>
      <c r="AA78" s="459"/>
      <c r="AB78" s="459"/>
      <c r="AC78" s="459"/>
      <c r="AD78" s="459"/>
      <c r="AE78" s="703"/>
      <c r="AF78" s="702">
        <v>0</v>
      </c>
      <c r="AG78" s="711">
        <f>[2]Julho!AG58</f>
        <v>2100</v>
      </c>
      <c r="AH78" s="702">
        <v>0</v>
      </c>
      <c r="AI78" s="459"/>
      <c r="AJ78" s="459"/>
      <c r="AK78" s="718"/>
      <c r="AL78" s="459"/>
      <c r="AM78" s="713" t="s">
        <v>5180</v>
      </c>
      <c r="AN78" s="95" t="s">
        <v>5754</v>
      </c>
      <c r="AO78" s="712"/>
      <c r="AP78" s="712"/>
      <c r="AQ78" s="712"/>
      <c r="AR78" s="712"/>
      <c r="AS78" s="459"/>
      <c r="AT78" s="81"/>
      <c r="AU78" s="81"/>
      <c r="AV78" s="81"/>
      <c r="AW78" s="81"/>
      <c r="AX78" s="81"/>
      <c r="AY78" s="81"/>
      <c r="AZ78" s="81"/>
      <c r="BA78" s="81"/>
      <c r="BB78" s="81"/>
      <c r="BC78" s="81"/>
      <c r="BD78" s="81"/>
    </row>
    <row r="79" spans="1:56" s="684" customFormat="1" ht="38.25" x14ac:dyDescent="0.25">
      <c r="A79" s="709">
        <v>38</v>
      </c>
      <c r="B79" s="714"/>
      <c r="C79" s="459"/>
      <c r="D79" s="459" t="s">
        <v>5180</v>
      </c>
      <c r="E79" s="459"/>
      <c r="F79" s="625" t="s">
        <v>5770</v>
      </c>
      <c r="G79" s="459"/>
      <c r="H79" s="58"/>
      <c r="I79" s="625" t="s">
        <v>5771</v>
      </c>
      <c r="J79" s="459" t="s">
        <v>5772</v>
      </c>
      <c r="K79" s="57">
        <v>41729</v>
      </c>
      <c r="L79" s="438">
        <v>7890</v>
      </c>
      <c r="M79" s="459"/>
      <c r="N79" s="57"/>
      <c r="O79" s="57"/>
      <c r="P79" s="459">
        <v>1</v>
      </c>
      <c r="Q79" s="459"/>
      <c r="R79" s="459"/>
      <c r="S79" s="459"/>
      <c r="T79" s="459" t="s">
        <v>158</v>
      </c>
      <c r="U79" s="459"/>
      <c r="V79" s="459"/>
      <c r="W79" s="459"/>
      <c r="X79" s="459"/>
      <c r="Y79" s="459"/>
      <c r="Z79" s="459"/>
      <c r="AA79" s="459"/>
      <c r="AB79" s="459"/>
      <c r="AC79" s="459"/>
      <c r="AD79" s="459"/>
      <c r="AE79" s="703"/>
      <c r="AF79" s="702">
        <v>0</v>
      </c>
      <c r="AG79" s="711">
        <f>[2]Julho!AG59</f>
        <v>7890</v>
      </c>
      <c r="AH79" s="702">
        <v>0</v>
      </c>
      <c r="AI79" s="459"/>
      <c r="AJ79" s="459"/>
      <c r="AK79" s="718"/>
      <c r="AL79" s="459"/>
      <c r="AM79" s="713" t="s">
        <v>5180</v>
      </c>
      <c r="AN79" s="95" t="s">
        <v>5754</v>
      </c>
      <c r="AO79" s="712"/>
      <c r="AP79" s="712"/>
      <c r="AQ79" s="712"/>
      <c r="AR79" s="712"/>
      <c r="AS79" s="459"/>
      <c r="AT79" s="81"/>
      <c r="AU79" s="81"/>
      <c r="AV79" s="81"/>
      <c r="AW79" s="81"/>
      <c r="AX79" s="81"/>
      <c r="AY79" s="81"/>
      <c r="AZ79" s="81"/>
      <c r="BA79" s="81"/>
      <c r="BB79" s="81"/>
      <c r="BC79" s="81"/>
      <c r="BD79" s="81"/>
    </row>
    <row r="80" spans="1:56" s="684" customFormat="1" ht="26.25" customHeight="1" x14ac:dyDescent="0.25">
      <c r="A80" s="709">
        <v>39</v>
      </c>
      <c r="B80" s="714"/>
      <c r="C80" s="459"/>
      <c r="D80" s="459" t="s">
        <v>5180</v>
      </c>
      <c r="E80" s="459"/>
      <c r="F80" s="625" t="s">
        <v>5773</v>
      </c>
      <c r="G80" s="459"/>
      <c r="H80" s="58"/>
      <c r="I80" s="625" t="s">
        <v>5774</v>
      </c>
      <c r="J80" s="459" t="s">
        <v>5775</v>
      </c>
      <c r="K80" s="57">
        <v>41806</v>
      </c>
      <c r="L80" s="438">
        <v>390.5</v>
      </c>
      <c r="M80" s="459"/>
      <c r="N80" s="57"/>
      <c r="O80" s="57"/>
      <c r="P80" s="459">
        <v>1</v>
      </c>
      <c r="Q80" s="459"/>
      <c r="R80" s="459"/>
      <c r="S80" s="459"/>
      <c r="T80" s="459" t="s">
        <v>316</v>
      </c>
      <c r="U80" s="459"/>
      <c r="V80" s="459"/>
      <c r="W80" s="459"/>
      <c r="X80" s="459"/>
      <c r="Y80" s="459"/>
      <c r="Z80" s="459"/>
      <c r="AA80" s="459"/>
      <c r="AB80" s="459"/>
      <c r="AC80" s="459"/>
      <c r="AD80" s="459"/>
      <c r="AE80" s="703"/>
      <c r="AF80" s="702">
        <v>0</v>
      </c>
      <c r="AG80" s="711">
        <f>[2]Julho!AG60</f>
        <v>390.5</v>
      </c>
      <c r="AH80" s="702">
        <v>0</v>
      </c>
      <c r="AI80" s="459"/>
      <c r="AJ80" s="459"/>
      <c r="AK80" s="718"/>
      <c r="AL80" s="459"/>
      <c r="AM80" s="713"/>
      <c r="AN80" s="95"/>
      <c r="AO80" s="712"/>
      <c r="AP80" s="712"/>
      <c r="AQ80" s="712"/>
      <c r="AR80" s="712"/>
      <c r="AS80" s="459"/>
      <c r="AT80" s="81"/>
      <c r="AU80" s="81"/>
      <c r="AV80" s="81"/>
      <c r="AW80" s="81"/>
      <c r="AX80" s="81"/>
      <c r="AY80" s="81"/>
      <c r="AZ80" s="81"/>
      <c r="BA80" s="81"/>
      <c r="BB80" s="81"/>
      <c r="BC80" s="81"/>
      <c r="BD80" s="81"/>
    </row>
    <row r="81" spans="1:56" s="684" customFormat="1" ht="102" x14ac:dyDescent="0.25">
      <c r="A81" s="709">
        <v>40</v>
      </c>
      <c r="B81" s="714" t="s">
        <v>5776</v>
      </c>
      <c r="C81" s="459"/>
      <c r="D81" s="459" t="s">
        <v>5180</v>
      </c>
      <c r="E81" s="459"/>
      <c r="F81" s="625" t="s">
        <v>5777</v>
      </c>
      <c r="G81" s="459">
        <v>11117</v>
      </c>
      <c r="H81" s="58" t="s">
        <v>967</v>
      </c>
      <c r="I81" s="625" t="s">
        <v>5778</v>
      </c>
      <c r="J81" s="459" t="s">
        <v>5779</v>
      </c>
      <c r="K81" s="57">
        <v>41508</v>
      </c>
      <c r="L81" s="438">
        <v>9000</v>
      </c>
      <c r="M81" s="459">
        <v>11123</v>
      </c>
      <c r="N81" s="57">
        <v>41508</v>
      </c>
      <c r="O81" s="57">
        <v>41882</v>
      </c>
      <c r="P81" s="459">
        <v>1</v>
      </c>
      <c r="Q81" s="459"/>
      <c r="R81" s="459"/>
      <c r="S81" s="459"/>
      <c r="T81" s="459" t="s">
        <v>158</v>
      </c>
      <c r="U81" s="459">
        <v>1</v>
      </c>
      <c r="V81" s="57">
        <v>41879</v>
      </c>
      <c r="W81" s="459"/>
      <c r="X81" s="459" t="s">
        <v>5780</v>
      </c>
      <c r="Y81" s="57">
        <v>41883</v>
      </c>
      <c r="Z81" s="57">
        <v>42825</v>
      </c>
      <c r="AA81" s="459"/>
      <c r="AB81" s="459"/>
      <c r="AC81" s="438">
        <v>3000</v>
      </c>
      <c r="AD81" s="459"/>
      <c r="AE81" s="703">
        <v>12800</v>
      </c>
      <c r="AF81" s="702">
        <v>3750</v>
      </c>
      <c r="AG81" s="711">
        <v>9800</v>
      </c>
      <c r="AH81" s="711">
        <f>AF81+AG81</f>
        <v>13550</v>
      </c>
      <c r="AI81" s="706"/>
      <c r="AJ81" s="459"/>
      <c r="AK81" s="718"/>
      <c r="AL81" s="459"/>
      <c r="AM81" s="713" t="s">
        <v>5180</v>
      </c>
      <c r="AN81" s="95" t="s">
        <v>5754</v>
      </c>
      <c r="AO81" s="712"/>
      <c r="AP81" s="712"/>
      <c r="AQ81" s="712"/>
      <c r="AR81" s="712"/>
      <c r="AS81" s="459"/>
      <c r="AT81" s="81"/>
      <c r="AU81" s="81"/>
      <c r="AV81" s="81"/>
      <c r="AW81" s="81"/>
      <c r="AX81" s="81"/>
      <c r="AY81" s="81"/>
      <c r="AZ81" s="81"/>
      <c r="BA81" s="81"/>
      <c r="BB81" s="81"/>
      <c r="BC81" s="81"/>
      <c r="BD81" s="81"/>
    </row>
    <row r="82" spans="1:56" s="684" customFormat="1" ht="38.25" x14ac:dyDescent="0.25">
      <c r="A82" s="709">
        <v>41</v>
      </c>
      <c r="B82" s="714"/>
      <c r="C82" s="459"/>
      <c r="D82" s="459" t="s">
        <v>5180</v>
      </c>
      <c r="E82" s="459"/>
      <c r="F82" s="625" t="s">
        <v>5781</v>
      </c>
      <c r="G82" s="459"/>
      <c r="H82" s="58"/>
      <c r="I82" s="625" t="s">
        <v>5774</v>
      </c>
      <c r="J82" s="459" t="s">
        <v>5775</v>
      </c>
      <c r="K82" s="57">
        <v>41872</v>
      </c>
      <c r="L82" s="438">
        <v>2053</v>
      </c>
      <c r="M82" s="459"/>
      <c r="N82" s="57"/>
      <c r="O82" s="57"/>
      <c r="P82" s="459">
        <v>1</v>
      </c>
      <c r="Q82" s="459"/>
      <c r="R82" s="459"/>
      <c r="S82" s="459"/>
      <c r="T82" s="459" t="s">
        <v>316</v>
      </c>
      <c r="U82" s="459"/>
      <c r="V82" s="459"/>
      <c r="W82" s="459"/>
      <c r="X82" s="459"/>
      <c r="Y82" s="459"/>
      <c r="Z82" s="459"/>
      <c r="AA82" s="459"/>
      <c r="AB82" s="459"/>
      <c r="AC82" s="459"/>
      <c r="AD82" s="459"/>
      <c r="AE82" s="703"/>
      <c r="AF82" s="702">
        <v>0</v>
      </c>
      <c r="AG82" s="703">
        <v>2053.8000000000002</v>
      </c>
      <c r="AH82" s="702">
        <v>0</v>
      </c>
      <c r="AI82" s="706"/>
      <c r="AJ82" s="459"/>
      <c r="AK82" s="718"/>
      <c r="AL82" s="459"/>
      <c r="AM82" s="713" t="s">
        <v>5180</v>
      </c>
      <c r="AN82" s="95" t="s">
        <v>5754</v>
      </c>
      <c r="AO82" s="712"/>
      <c r="AP82" s="712"/>
      <c r="AQ82" s="712"/>
      <c r="AR82" s="712"/>
      <c r="AS82" s="459"/>
      <c r="AT82" s="81"/>
      <c r="AU82" s="81"/>
      <c r="AV82" s="81"/>
      <c r="AW82" s="81"/>
      <c r="AX82" s="81"/>
      <c r="AY82" s="81"/>
      <c r="AZ82" s="81"/>
      <c r="BA82" s="81"/>
      <c r="BB82" s="81"/>
      <c r="BC82" s="81"/>
      <c r="BD82" s="81"/>
    </row>
    <row r="83" spans="1:56" s="684" customFormat="1" ht="35.25" customHeight="1" x14ac:dyDescent="0.25">
      <c r="A83" s="709">
        <v>42</v>
      </c>
      <c r="B83" s="714"/>
      <c r="C83" s="459"/>
      <c r="D83" s="459" t="s">
        <v>5180</v>
      </c>
      <c r="E83" s="459"/>
      <c r="F83" s="625" t="s">
        <v>5782</v>
      </c>
      <c r="G83" s="459"/>
      <c r="H83" s="58"/>
      <c r="I83" s="625" t="s">
        <v>5783</v>
      </c>
      <c r="J83" s="459" t="s">
        <v>5784</v>
      </c>
      <c r="K83" s="57"/>
      <c r="L83" s="438">
        <v>868</v>
      </c>
      <c r="M83" s="459"/>
      <c r="N83" s="57"/>
      <c r="O83" s="57"/>
      <c r="P83" s="459">
        <v>1</v>
      </c>
      <c r="Q83" s="459"/>
      <c r="R83" s="459"/>
      <c r="S83" s="459"/>
      <c r="T83" s="459" t="s">
        <v>316</v>
      </c>
      <c r="U83" s="459"/>
      <c r="V83" s="459"/>
      <c r="W83" s="459"/>
      <c r="X83" s="459"/>
      <c r="Y83" s="459"/>
      <c r="Z83" s="459"/>
      <c r="AA83" s="459"/>
      <c r="AB83" s="459"/>
      <c r="AC83" s="459"/>
      <c r="AD83" s="459"/>
      <c r="AE83" s="703"/>
      <c r="AF83" s="702">
        <v>0</v>
      </c>
      <c r="AG83" s="703">
        <f>L83</f>
        <v>868</v>
      </c>
      <c r="AH83" s="702">
        <v>0</v>
      </c>
      <c r="AI83" s="706"/>
      <c r="AJ83" s="459"/>
      <c r="AK83" s="718"/>
      <c r="AL83" s="459"/>
      <c r="AM83" s="713" t="s">
        <v>5180</v>
      </c>
      <c r="AN83" s="95" t="s">
        <v>5754</v>
      </c>
      <c r="AO83" s="712"/>
      <c r="AP83" s="712"/>
      <c r="AQ83" s="712"/>
      <c r="AR83" s="712"/>
      <c r="AS83" s="459"/>
      <c r="AT83" s="81"/>
      <c r="AU83" s="81"/>
      <c r="AV83" s="81"/>
      <c r="AW83" s="81"/>
      <c r="AX83" s="81"/>
      <c r="AY83" s="81"/>
      <c r="AZ83" s="81"/>
      <c r="BA83" s="81"/>
      <c r="BB83" s="81"/>
      <c r="BC83" s="81"/>
      <c r="BD83" s="81"/>
    </row>
    <row r="84" spans="1:56" s="684" customFormat="1" ht="35.25" customHeight="1" x14ac:dyDescent="0.25">
      <c r="A84" s="709">
        <v>43</v>
      </c>
      <c r="B84" s="714"/>
      <c r="C84" s="459"/>
      <c r="D84" s="459" t="s">
        <v>5180</v>
      </c>
      <c r="E84" s="459"/>
      <c r="F84" s="625" t="s">
        <v>5785</v>
      </c>
      <c r="G84" s="459"/>
      <c r="H84" s="58"/>
      <c r="I84" s="625" t="s">
        <v>5786</v>
      </c>
      <c r="J84" s="459" t="s">
        <v>5787</v>
      </c>
      <c r="K84" s="57"/>
      <c r="L84" s="438">
        <v>1731</v>
      </c>
      <c r="M84" s="459"/>
      <c r="N84" s="57"/>
      <c r="O84" s="57"/>
      <c r="P84" s="459">
        <v>1</v>
      </c>
      <c r="Q84" s="459"/>
      <c r="R84" s="459"/>
      <c r="S84" s="459"/>
      <c r="T84" s="459" t="s">
        <v>316</v>
      </c>
      <c r="U84" s="459"/>
      <c r="V84" s="459"/>
      <c r="W84" s="459"/>
      <c r="X84" s="459"/>
      <c r="Y84" s="459"/>
      <c r="Z84" s="459"/>
      <c r="AA84" s="459"/>
      <c r="AB84" s="459"/>
      <c r="AC84" s="459"/>
      <c r="AD84" s="459"/>
      <c r="AE84" s="703"/>
      <c r="AF84" s="702">
        <v>0</v>
      </c>
      <c r="AG84" s="703">
        <v>1731</v>
      </c>
      <c r="AH84" s="702">
        <v>0</v>
      </c>
      <c r="AI84" s="706"/>
      <c r="AJ84" s="459"/>
      <c r="AK84" s="718"/>
      <c r="AL84" s="459"/>
      <c r="AM84" s="713" t="s">
        <v>5180</v>
      </c>
      <c r="AN84" s="95" t="s">
        <v>5754</v>
      </c>
      <c r="AO84" s="712"/>
      <c r="AP84" s="712"/>
      <c r="AQ84" s="712"/>
      <c r="AR84" s="712"/>
      <c r="AS84" s="459"/>
      <c r="AT84" s="81"/>
      <c r="AU84" s="81"/>
      <c r="AV84" s="81"/>
      <c r="AW84" s="81"/>
      <c r="AX84" s="81"/>
      <c r="AY84" s="81"/>
      <c r="AZ84" s="81"/>
      <c r="BA84" s="81"/>
      <c r="BB84" s="81"/>
      <c r="BC84" s="81"/>
      <c r="BD84" s="81"/>
    </row>
    <row r="85" spans="1:56" s="684" customFormat="1" ht="35.25" customHeight="1" x14ac:dyDescent="0.25">
      <c r="A85" s="709">
        <v>44</v>
      </c>
      <c r="B85" s="714"/>
      <c r="C85" s="459"/>
      <c r="D85" s="459" t="s">
        <v>5180</v>
      </c>
      <c r="E85" s="459"/>
      <c r="F85" s="625" t="s">
        <v>5788</v>
      </c>
      <c r="G85" s="459"/>
      <c r="H85" s="58"/>
      <c r="I85" s="625" t="s">
        <v>5789</v>
      </c>
      <c r="J85" s="459" t="s">
        <v>5790</v>
      </c>
      <c r="K85" s="57"/>
      <c r="L85" s="438">
        <v>450</v>
      </c>
      <c r="M85" s="459"/>
      <c r="N85" s="57"/>
      <c r="O85" s="57"/>
      <c r="P85" s="459">
        <v>1</v>
      </c>
      <c r="Q85" s="459"/>
      <c r="R85" s="459"/>
      <c r="S85" s="459"/>
      <c r="T85" s="459" t="s">
        <v>208</v>
      </c>
      <c r="U85" s="459"/>
      <c r="V85" s="459"/>
      <c r="W85" s="459"/>
      <c r="X85" s="459"/>
      <c r="Y85" s="459"/>
      <c r="Z85" s="459"/>
      <c r="AA85" s="459"/>
      <c r="AB85" s="459"/>
      <c r="AC85" s="459"/>
      <c r="AD85" s="459"/>
      <c r="AE85" s="703"/>
      <c r="AF85" s="702">
        <v>0</v>
      </c>
      <c r="AG85" s="703">
        <v>450</v>
      </c>
      <c r="AH85" s="702">
        <v>0</v>
      </c>
      <c r="AI85" s="706"/>
      <c r="AJ85" s="459"/>
      <c r="AK85" s="718"/>
      <c r="AL85" s="459"/>
      <c r="AM85" s="713" t="s">
        <v>5180</v>
      </c>
      <c r="AN85" s="95" t="s">
        <v>5754</v>
      </c>
      <c r="AO85" s="712"/>
      <c r="AP85" s="712"/>
      <c r="AQ85" s="712"/>
      <c r="AR85" s="712"/>
      <c r="AS85" s="459"/>
      <c r="AT85" s="81"/>
      <c r="AU85" s="81"/>
      <c r="AV85" s="81"/>
      <c r="AW85" s="81"/>
      <c r="AX85" s="81"/>
      <c r="AY85" s="81"/>
      <c r="AZ85" s="81"/>
      <c r="BA85" s="81"/>
      <c r="BB85" s="81"/>
      <c r="BC85" s="81"/>
      <c r="BD85" s="81"/>
    </row>
    <row r="86" spans="1:56" s="684" customFormat="1" ht="35.25" customHeight="1" x14ac:dyDescent="0.25">
      <c r="A86" s="709">
        <v>45</v>
      </c>
      <c r="B86" s="714"/>
      <c r="C86" s="459"/>
      <c r="D86" s="459" t="s">
        <v>5180</v>
      </c>
      <c r="E86" s="459"/>
      <c r="F86" s="625" t="s">
        <v>5791</v>
      </c>
      <c r="G86" s="459"/>
      <c r="H86" s="58"/>
      <c r="I86" s="625" t="s">
        <v>5792</v>
      </c>
      <c r="J86" s="459" t="s">
        <v>5793</v>
      </c>
      <c r="K86" s="57"/>
      <c r="L86" s="438">
        <v>2170</v>
      </c>
      <c r="M86" s="459"/>
      <c r="N86" s="57"/>
      <c r="O86" s="57"/>
      <c r="P86" s="459">
        <v>1</v>
      </c>
      <c r="Q86" s="459"/>
      <c r="R86" s="459"/>
      <c r="S86" s="459"/>
      <c r="T86" s="459" t="s">
        <v>208</v>
      </c>
      <c r="U86" s="459"/>
      <c r="V86" s="459"/>
      <c r="W86" s="459"/>
      <c r="X86" s="459"/>
      <c r="Y86" s="459"/>
      <c r="Z86" s="459"/>
      <c r="AA86" s="459"/>
      <c r="AB86" s="459"/>
      <c r="AC86" s="459"/>
      <c r="AD86" s="459"/>
      <c r="AE86" s="703"/>
      <c r="AF86" s="702">
        <v>0</v>
      </c>
      <c r="AG86" s="703">
        <v>2170</v>
      </c>
      <c r="AH86" s="702">
        <v>0</v>
      </c>
      <c r="AI86" s="706"/>
      <c r="AJ86" s="459"/>
      <c r="AK86" s="718"/>
      <c r="AL86" s="459"/>
      <c r="AM86" s="713" t="s">
        <v>5180</v>
      </c>
      <c r="AN86" s="95" t="s">
        <v>5754</v>
      </c>
      <c r="AO86" s="712"/>
      <c r="AP86" s="712"/>
      <c r="AQ86" s="712"/>
      <c r="AR86" s="712"/>
      <c r="AS86" s="459"/>
      <c r="AT86" s="81"/>
      <c r="AU86" s="81"/>
      <c r="AV86" s="81"/>
      <c r="AW86" s="81"/>
      <c r="AX86" s="81"/>
      <c r="AY86" s="81"/>
      <c r="AZ86" s="81"/>
      <c r="BA86" s="81"/>
      <c r="BB86" s="81"/>
      <c r="BC86" s="81"/>
      <c r="BD86" s="81"/>
    </row>
    <row r="87" spans="1:56" s="684" customFormat="1" ht="38.25" x14ac:dyDescent="0.25">
      <c r="A87" s="709">
        <v>46</v>
      </c>
      <c r="B87" s="714"/>
      <c r="C87" s="459"/>
      <c r="D87" s="459" t="s">
        <v>5180</v>
      </c>
      <c r="E87" s="459"/>
      <c r="F87" s="625" t="s">
        <v>5794</v>
      </c>
      <c r="G87" s="459"/>
      <c r="H87" s="58"/>
      <c r="I87" s="625" t="s">
        <v>5795</v>
      </c>
      <c r="J87" s="459" t="s">
        <v>5796</v>
      </c>
      <c r="K87" s="57"/>
      <c r="L87" s="438">
        <v>4098</v>
      </c>
      <c r="M87" s="459"/>
      <c r="N87" s="57"/>
      <c r="O87" s="57"/>
      <c r="P87" s="459">
        <v>1</v>
      </c>
      <c r="Q87" s="459"/>
      <c r="R87" s="459"/>
      <c r="S87" s="459"/>
      <c r="T87" s="459" t="s">
        <v>316</v>
      </c>
      <c r="U87" s="459"/>
      <c r="V87" s="459"/>
      <c r="W87" s="459"/>
      <c r="X87" s="459"/>
      <c r="Y87" s="459"/>
      <c r="Z87" s="459"/>
      <c r="AA87" s="459"/>
      <c r="AB87" s="459"/>
      <c r="AC87" s="459"/>
      <c r="AD87" s="459"/>
      <c r="AE87" s="703"/>
      <c r="AF87" s="702">
        <v>0</v>
      </c>
      <c r="AG87" s="703">
        <f>4098+3896</f>
        <v>7994</v>
      </c>
      <c r="AH87" s="702">
        <v>0</v>
      </c>
      <c r="AI87" s="706"/>
      <c r="AJ87" s="459"/>
      <c r="AK87" s="718"/>
      <c r="AL87" s="459"/>
      <c r="AM87" s="713" t="s">
        <v>5180</v>
      </c>
      <c r="AN87" s="95" t="s">
        <v>5754</v>
      </c>
      <c r="AO87" s="712"/>
      <c r="AP87" s="712"/>
      <c r="AQ87" s="712"/>
      <c r="AR87" s="712"/>
      <c r="AS87" s="459"/>
      <c r="AT87" s="81"/>
      <c r="AU87" s="81"/>
      <c r="AV87" s="81"/>
      <c r="AW87" s="81"/>
      <c r="AX87" s="81"/>
      <c r="AY87" s="81"/>
      <c r="AZ87" s="81"/>
      <c r="BA87" s="81"/>
      <c r="BB87" s="81"/>
      <c r="BC87" s="81"/>
      <c r="BD87" s="81"/>
    </row>
    <row r="88" spans="1:56" s="684" customFormat="1" ht="38.25" x14ac:dyDescent="0.25">
      <c r="A88" s="709">
        <v>47</v>
      </c>
      <c r="B88" s="714"/>
      <c r="C88" s="459"/>
      <c r="D88" s="459" t="s">
        <v>5180</v>
      </c>
      <c r="E88" s="459"/>
      <c r="F88" s="625" t="s">
        <v>5797</v>
      </c>
      <c r="G88" s="459"/>
      <c r="H88" s="58"/>
      <c r="I88" s="625" t="s">
        <v>5774</v>
      </c>
      <c r="J88" s="459" t="s">
        <v>5775</v>
      </c>
      <c r="K88" s="57"/>
      <c r="L88" s="438">
        <v>1880</v>
      </c>
      <c r="M88" s="459"/>
      <c r="N88" s="57"/>
      <c r="O88" s="57"/>
      <c r="P88" s="459">
        <v>1</v>
      </c>
      <c r="Q88" s="459"/>
      <c r="R88" s="459"/>
      <c r="S88" s="459"/>
      <c r="T88" s="459" t="s">
        <v>316</v>
      </c>
      <c r="U88" s="459"/>
      <c r="V88" s="459"/>
      <c r="W88" s="459"/>
      <c r="X88" s="459"/>
      <c r="Y88" s="459"/>
      <c r="Z88" s="459"/>
      <c r="AA88" s="459"/>
      <c r="AB88" s="459"/>
      <c r="AC88" s="459"/>
      <c r="AD88" s="459"/>
      <c r="AE88" s="703"/>
      <c r="AF88" s="702">
        <v>0</v>
      </c>
      <c r="AG88" s="703">
        <v>1880</v>
      </c>
      <c r="AH88" s="702">
        <v>0</v>
      </c>
      <c r="AI88" s="706"/>
      <c r="AJ88" s="459"/>
      <c r="AK88" s="718"/>
      <c r="AL88" s="459"/>
      <c r="AM88" s="713" t="s">
        <v>5180</v>
      </c>
      <c r="AN88" s="95" t="s">
        <v>5754</v>
      </c>
      <c r="AO88" s="712"/>
      <c r="AP88" s="712"/>
      <c r="AQ88" s="712"/>
      <c r="AR88" s="712"/>
      <c r="AS88" s="459"/>
      <c r="AT88" s="81"/>
      <c r="AU88" s="81"/>
      <c r="AV88" s="81"/>
      <c r="AW88" s="81"/>
      <c r="AX88" s="81"/>
      <c r="AY88" s="81"/>
      <c r="AZ88" s="81"/>
      <c r="BA88" s="81"/>
      <c r="BB88" s="81"/>
      <c r="BC88" s="81"/>
      <c r="BD88" s="81"/>
    </row>
    <row r="89" spans="1:56" s="684" customFormat="1" ht="38.25" x14ac:dyDescent="0.25">
      <c r="A89" s="709">
        <v>48</v>
      </c>
      <c r="B89" s="714"/>
      <c r="C89" s="459"/>
      <c r="D89" s="459" t="s">
        <v>5180</v>
      </c>
      <c r="E89" s="459"/>
      <c r="F89" s="625" t="s">
        <v>5798</v>
      </c>
      <c r="G89" s="459"/>
      <c r="H89" s="58"/>
      <c r="I89" s="625" t="s">
        <v>5707</v>
      </c>
      <c r="J89" s="459" t="s">
        <v>5708</v>
      </c>
      <c r="K89" s="57"/>
      <c r="L89" s="438">
        <v>691.9</v>
      </c>
      <c r="M89" s="459"/>
      <c r="N89" s="57"/>
      <c r="O89" s="57"/>
      <c r="P89" s="459">
        <v>1</v>
      </c>
      <c r="Q89" s="459"/>
      <c r="R89" s="459"/>
      <c r="S89" s="459"/>
      <c r="T89" s="459" t="s">
        <v>408</v>
      </c>
      <c r="U89" s="459"/>
      <c r="V89" s="459"/>
      <c r="W89" s="459"/>
      <c r="X89" s="459"/>
      <c r="Y89" s="459"/>
      <c r="Z89" s="459"/>
      <c r="AA89" s="459"/>
      <c r="AB89" s="459"/>
      <c r="AC89" s="459"/>
      <c r="AD89" s="459"/>
      <c r="AE89" s="703"/>
      <c r="AF89" s="702">
        <v>0</v>
      </c>
      <c r="AG89" s="703">
        <v>691.9</v>
      </c>
      <c r="AH89" s="702">
        <v>0</v>
      </c>
      <c r="AI89" s="706"/>
      <c r="AJ89" s="459"/>
      <c r="AK89" s="718"/>
      <c r="AL89" s="459"/>
      <c r="AM89" s="713" t="s">
        <v>5180</v>
      </c>
      <c r="AN89" s="95" t="s">
        <v>5799</v>
      </c>
      <c r="AO89" s="712"/>
      <c r="AP89" s="712"/>
      <c r="AQ89" s="712"/>
      <c r="AR89" s="712"/>
      <c r="AS89" s="459"/>
      <c r="AT89" s="81"/>
      <c r="AU89" s="81"/>
      <c r="AV89" s="81"/>
      <c r="AW89" s="81"/>
      <c r="AX89" s="81"/>
      <c r="AY89" s="81"/>
      <c r="AZ89" s="81"/>
      <c r="BA89" s="81"/>
      <c r="BB89" s="81"/>
      <c r="BC89" s="81"/>
      <c r="BD89" s="81"/>
    </row>
    <row r="90" spans="1:56" s="684" customFormat="1" ht="38.25" x14ac:dyDescent="0.25">
      <c r="A90" s="709">
        <v>49</v>
      </c>
      <c r="B90" s="714"/>
      <c r="C90" s="459"/>
      <c r="D90" s="459" t="s">
        <v>5180</v>
      </c>
      <c r="E90" s="459"/>
      <c r="F90" s="625" t="s">
        <v>5781</v>
      </c>
      <c r="G90" s="459"/>
      <c r="H90" s="58"/>
      <c r="I90" s="625" t="s">
        <v>5774</v>
      </c>
      <c r="J90" s="459" t="s">
        <v>5775</v>
      </c>
      <c r="K90" s="57">
        <v>41962</v>
      </c>
      <c r="L90" s="438">
        <v>1970.7</v>
      </c>
      <c r="M90" s="459"/>
      <c r="N90" s="57"/>
      <c r="O90" s="57"/>
      <c r="P90" s="459">
        <v>1</v>
      </c>
      <c r="Q90" s="459"/>
      <c r="R90" s="459"/>
      <c r="S90" s="459"/>
      <c r="T90" s="459" t="s">
        <v>316</v>
      </c>
      <c r="U90" s="459"/>
      <c r="V90" s="459"/>
      <c r="W90" s="459"/>
      <c r="X90" s="459"/>
      <c r="Y90" s="459"/>
      <c r="Z90" s="459"/>
      <c r="AA90" s="459"/>
      <c r="AB90" s="459"/>
      <c r="AC90" s="459"/>
      <c r="AD90" s="459"/>
      <c r="AE90" s="703"/>
      <c r="AF90" s="702">
        <v>0</v>
      </c>
      <c r="AG90" s="703">
        <v>1970.7</v>
      </c>
      <c r="AH90" s="702">
        <v>0</v>
      </c>
      <c r="AI90" s="706"/>
      <c r="AJ90" s="459"/>
      <c r="AK90" s="718"/>
      <c r="AL90" s="459"/>
      <c r="AM90" s="713" t="s">
        <v>5180</v>
      </c>
      <c r="AN90" s="95" t="s">
        <v>5754</v>
      </c>
      <c r="AO90" s="712"/>
      <c r="AP90" s="712"/>
      <c r="AQ90" s="712"/>
      <c r="AR90" s="712"/>
      <c r="AS90" s="459"/>
      <c r="AT90" s="81"/>
      <c r="AU90" s="81"/>
      <c r="AV90" s="81"/>
      <c r="AW90" s="81"/>
      <c r="AX90" s="81"/>
      <c r="AY90" s="81"/>
      <c r="AZ90" s="81"/>
      <c r="BA90" s="81"/>
      <c r="BB90" s="81"/>
      <c r="BC90" s="81"/>
      <c r="BD90" s="81"/>
    </row>
    <row r="91" spans="1:56" s="684" customFormat="1" ht="38.25" x14ac:dyDescent="0.25">
      <c r="A91" s="709">
        <v>50</v>
      </c>
      <c r="B91" s="714"/>
      <c r="C91" s="459"/>
      <c r="D91" s="459" t="s">
        <v>5180</v>
      </c>
      <c r="E91" s="459"/>
      <c r="F91" s="625" t="s">
        <v>5800</v>
      </c>
      <c r="G91" s="459"/>
      <c r="H91" s="58"/>
      <c r="I91" s="625" t="s">
        <v>5774</v>
      </c>
      <c r="J91" s="459" t="s">
        <v>5775</v>
      </c>
      <c r="K91" s="57">
        <v>41941</v>
      </c>
      <c r="L91" s="438">
        <v>370</v>
      </c>
      <c r="M91" s="459"/>
      <c r="N91" s="57"/>
      <c r="O91" s="57"/>
      <c r="P91" s="459">
        <v>1</v>
      </c>
      <c r="Q91" s="459"/>
      <c r="R91" s="459"/>
      <c r="S91" s="459"/>
      <c r="T91" s="459" t="s">
        <v>316</v>
      </c>
      <c r="U91" s="459"/>
      <c r="V91" s="459"/>
      <c r="W91" s="459"/>
      <c r="X91" s="459"/>
      <c r="Y91" s="459"/>
      <c r="Z91" s="459"/>
      <c r="AA91" s="459"/>
      <c r="AB91" s="459"/>
      <c r="AC91" s="459"/>
      <c r="AD91" s="459"/>
      <c r="AE91" s="703"/>
      <c r="AF91" s="702">
        <v>0</v>
      </c>
      <c r="AG91" s="703">
        <v>370</v>
      </c>
      <c r="AH91" s="702">
        <v>0</v>
      </c>
      <c r="AI91" s="706"/>
      <c r="AJ91" s="459"/>
      <c r="AK91" s="718"/>
      <c r="AL91" s="459"/>
      <c r="AM91" s="713" t="s">
        <v>5180</v>
      </c>
      <c r="AN91" s="95" t="s">
        <v>5754</v>
      </c>
      <c r="AO91" s="712"/>
      <c r="AP91" s="712"/>
      <c r="AQ91" s="712"/>
      <c r="AR91" s="712"/>
      <c r="AS91" s="459"/>
      <c r="AT91" s="81"/>
      <c r="AU91" s="81"/>
      <c r="AV91" s="81"/>
      <c r="AW91" s="81"/>
      <c r="AX91" s="81"/>
      <c r="AY91" s="81"/>
      <c r="AZ91" s="81"/>
      <c r="BA91" s="81"/>
      <c r="BB91" s="81"/>
      <c r="BC91" s="81"/>
      <c r="BD91" s="81"/>
    </row>
    <row r="92" spans="1:56" s="684" customFormat="1" ht="35.25" customHeight="1" x14ac:dyDescent="0.25">
      <c r="A92" s="709">
        <v>51</v>
      </c>
      <c r="B92" s="714"/>
      <c r="C92" s="459"/>
      <c r="D92" s="459" t="s">
        <v>5180</v>
      </c>
      <c r="E92" s="459"/>
      <c r="F92" s="625" t="s">
        <v>5801</v>
      </c>
      <c r="G92" s="459"/>
      <c r="H92" s="58"/>
      <c r="I92" s="625" t="s">
        <v>5728</v>
      </c>
      <c r="J92" s="722" t="s">
        <v>265</v>
      </c>
      <c r="K92" s="57"/>
      <c r="L92" s="438">
        <v>5350</v>
      </c>
      <c r="M92" s="459"/>
      <c r="N92" s="57"/>
      <c r="O92" s="57"/>
      <c r="P92" s="459">
        <v>1</v>
      </c>
      <c r="Q92" s="459"/>
      <c r="R92" s="459"/>
      <c r="S92" s="459"/>
      <c r="T92" s="459" t="s">
        <v>130</v>
      </c>
      <c r="U92" s="459"/>
      <c r="V92" s="459"/>
      <c r="W92" s="459"/>
      <c r="X92" s="459"/>
      <c r="Y92" s="459"/>
      <c r="Z92" s="459"/>
      <c r="AA92" s="459"/>
      <c r="AB92" s="459"/>
      <c r="AC92" s="459"/>
      <c r="AD92" s="459"/>
      <c r="AE92" s="703"/>
      <c r="AF92" s="702">
        <v>0</v>
      </c>
      <c r="AG92" s="703">
        <v>5350</v>
      </c>
      <c r="AH92" s="702">
        <v>0</v>
      </c>
      <c r="AI92" s="706"/>
      <c r="AJ92" s="459"/>
      <c r="AK92" s="718"/>
      <c r="AL92" s="459"/>
      <c r="AM92" s="459" t="s">
        <v>5802</v>
      </c>
      <c r="AN92" s="95" t="s">
        <v>5803</v>
      </c>
      <c r="AO92" s="712"/>
      <c r="AP92" s="712"/>
      <c r="AQ92" s="712"/>
      <c r="AR92" s="712"/>
      <c r="AS92" s="459"/>
      <c r="AT92" s="81"/>
      <c r="AU92" s="81"/>
      <c r="AV92" s="81"/>
      <c r="AW92" s="81"/>
      <c r="AX92" s="81"/>
      <c r="AY92" s="81"/>
      <c r="AZ92" s="81"/>
      <c r="BA92" s="81"/>
      <c r="BB92" s="81"/>
      <c r="BC92" s="81"/>
      <c r="BD92" s="81"/>
    </row>
    <row r="93" spans="1:56" s="684" customFormat="1" ht="40.5" customHeight="1" x14ac:dyDescent="0.25">
      <c r="A93" s="709">
        <v>52</v>
      </c>
      <c r="B93" s="714"/>
      <c r="C93" s="459"/>
      <c r="D93" s="459" t="s">
        <v>5180</v>
      </c>
      <c r="E93" s="459"/>
      <c r="F93" s="625" t="s">
        <v>5804</v>
      </c>
      <c r="G93" s="459"/>
      <c r="H93" s="58"/>
      <c r="I93" s="625" t="s">
        <v>5805</v>
      </c>
      <c r="J93" s="459" t="s">
        <v>5806</v>
      </c>
      <c r="K93" s="57"/>
      <c r="L93" s="438">
        <v>1400</v>
      </c>
      <c r="M93" s="459"/>
      <c r="N93" s="57"/>
      <c r="O93" s="57"/>
      <c r="P93" s="459">
        <v>6</v>
      </c>
      <c r="Q93" s="95" t="s">
        <v>5736</v>
      </c>
      <c r="R93" s="95"/>
      <c r="S93" s="459"/>
      <c r="T93" s="459" t="s">
        <v>158</v>
      </c>
      <c r="U93" s="459"/>
      <c r="V93" s="459"/>
      <c r="W93" s="459"/>
      <c r="X93" s="459"/>
      <c r="Y93" s="459"/>
      <c r="Z93" s="459"/>
      <c r="AA93" s="459"/>
      <c r="AB93" s="459"/>
      <c r="AC93" s="459"/>
      <c r="AD93" s="459"/>
      <c r="AE93" s="703"/>
      <c r="AF93" s="702">
        <v>0</v>
      </c>
      <c r="AG93" s="703">
        <f>1400+1750</f>
        <v>3150</v>
      </c>
      <c r="AH93" s="702">
        <v>0</v>
      </c>
      <c r="AI93" s="706"/>
      <c r="AJ93" s="459"/>
      <c r="AK93" s="718"/>
      <c r="AL93" s="459"/>
      <c r="AM93" s="713" t="s">
        <v>5180</v>
      </c>
      <c r="AN93" s="95" t="s">
        <v>5754</v>
      </c>
      <c r="AO93" s="712"/>
      <c r="AP93" s="712"/>
      <c r="AQ93" s="712"/>
      <c r="AR93" s="712"/>
      <c r="AS93" s="459"/>
      <c r="AT93" s="81"/>
      <c r="AU93" s="81"/>
      <c r="AV93" s="81"/>
      <c r="AW93" s="81"/>
      <c r="AX93" s="81"/>
      <c r="AY93" s="81"/>
      <c r="AZ93" s="81"/>
      <c r="BA93" s="81"/>
      <c r="BB93" s="81"/>
      <c r="BC93" s="81"/>
      <c r="BD93" s="81"/>
    </row>
    <row r="94" spans="1:56" s="684" customFormat="1" ht="40.5" customHeight="1" thickBot="1" x14ac:dyDescent="0.3">
      <c r="A94" s="723">
        <v>53</v>
      </c>
      <c r="B94" s="724"/>
      <c r="C94" s="482"/>
      <c r="D94" s="482" t="s">
        <v>5180</v>
      </c>
      <c r="E94" s="482"/>
      <c r="F94" s="725" t="s">
        <v>5807</v>
      </c>
      <c r="G94" s="482"/>
      <c r="H94" s="726"/>
      <c r="I94" s="725" t="s">
        <v>5808</v>
      </c>
      <c r="J94" s="482" t="s">
        <v>5112</v>
      </c>
      <c r="K94" s="486">
        <v>41970</v>
      </c>
      <c r="L94" s="484">
        <v>1513.04</v>
      </c>
      <c r="M94" s="482"/>
      <c r="N94" s="486"/>
      <c r="O94" s="486"/>
      <c r="P94" s="482">
        <v>1</v>
      </c>
      <c r="Q94" s="727"/>
      <c r="R94" s="727"/>
      <c r="S94" s="482"/>
      <c r="T94" s="482" t="s">
        <v>316</v>
      </c>
      <c r="U94" s="482"/>
      <c r="V94" s="482"/>
      <c r="W94" s="482"/>
      <c r="X94" s="482"/>
      <c r="Y94" s="482"/>
      <c r="Z94" s="482"/>
      <c r="AA94" s="482"/>
      <c r="AB94" s="482"/>
      <c r="AC94" s="482"/>
      <c r="AD94" s="482"/>
      <c r="AE94" s="728"/>
      <c r="AF94" s="729">
        <v>0</v>
      </c>
      <c r="AG94" s="728">
        <v>1513.04</v>
      </c>
      <c r="AH94" s="729">
        <v>0</v>
      </c>
      <c r="AI94" s="730"/>
      <c r="AJ94" s="482"/>
      <c r="AK94" s="731"/>
      <c r="AL94" s="482"/>
      <c r="AM94" s="732" t="s">
        <v>5180</v>
      </c>
      <c r="AN94" s="727" t="s">
        <v>5754</v>
      </c>
      <c r="AO94" s="733"/>
      <c r="AP94" s="733"/>
      <c r="AQ94" s="733"/>
      <c r="AR94" s="733"/>
      <c r="AS94" s="482"/>
      <c r="AT94" s="734"/>
      <c r="AU94" s="734"/>
      <c r="AV94" s="734"/>
      <c r="AW94" s="734"/>
      <c r="AX94" s="734"/>
      <c r="AY94" s="734"/>
      <c r="AZ94" s="734"/>
      <c r="BA94" s="734"/>
      <c r="BB94" s="734"/>
      <c r="BC94" s="734"/>
      <c r="BD94" s="734"/>
    </row>
    <row r="95" spans="1:56" s="684" customFormat="1" ht="15.75" thickBot="1" x14ac:dyDescent="0.3">
      <c r="A95" s="2482" t="s">
        <v>5809</v>
      </c>
      <c r="B95" s="2483"/>
      <c r="C95" s="2483"/>
      <c r="D95" s="2483"/>
      <c r="E95" s="2483"/>
      <c r="F95" s="2483"/>
      <c r="G95" s="2483"/>
      <c r="H95" s="2483"/>
      <c r="I95" s="2484"/>
      <c r="J95" s="735"/>
      <c r="K95" s="735"/>
      <c r="L95" s="736">
        <f>SUM(L24:L94)</f>
        <v>1700698.43</v>
      </c>
      <c r="M95" s="737"/>
      <c r="N95" s="737"/>
      <c r="O95" s="737"/>
      <c r="P95" s="737"/>
      <c r="Q95" s="737"/>
      <c r="R95" s="737"/>
      <c r="S95" s="737"/>
      <c r="T95" s="737"/>
      <c r="U95" s="735"/>
      <c r="V95" s="737"/>
      <c r="W95" s="737"/>
      <c r="X95" s="737"/>
      <c r="Y95" s="737"/>
      <c r="Z95" s="737"/>
      <c r="AA95" s="737"/>
      <c r="AB95" s="737"/>
      <c r="AC95" s="738">
        <f>SUM(AC24:AC62)</f>
        <v>4082953.17</v>
      </c>
      <c r="AD95" s="738">
        <f>SUM(AD24:AD62)</f>
        <v>43262.03</v>
      </c>
      <c r="AE95" s="738">
        <f>SUM(AE24:AE62)</f>
        <v>24892820.770000003</v>
      </c>
      <c r="AF95" s="738">
        <f>SUM(AF24:AF62)</f>
        <v>3811684.1399999997</v>
      </c>
      <c r="AG95" s="739">
        <f>SUM(AG25:AG94)</f>
        <v>3929053.3699999996</v>
      </c>
      <c r="AH95" s="740">
        <f>SUM(AH25:AH94)</f>
        <v>7693732.2699999996</v>
      </c>
      <c r="AI95" s="741"/>
      <c r="AJ95" s="741"/>
      <c r="AK95" s="741"/>
      <c r="AL95" s="741"/>
      <c r="AM95" s="742"/>
      <c r="AN95" s="741"/>
      <c r="AO95" s="741"/>
      <c r="AP95" s="741"/>
      <c r="AQ95" s="741"/>
      <c r="AR95" s="741"/>
      <c r="AS95" s="743"/>
      <c r="AT95" s="744"/>
      <c r="AU95" s="744"/>
      <c r="AV95" s="744"/>
      <c r="AW95" s="744"/>
      <c r="AX95" s="744"/>
      <c r="AY95" s="744"/>
      <c r="AZ95" s="744"/>
      <c r="BA95" s="744"/>
      <c r="BB95" s="744"/>
      <c r="BC95" s="744"/>
      <c r="BD95" s="745"/>
    </row>
    <row r="98" spans="1:39" s="684" customFormat="1" x14ac:dyDescent="0.25">
      <c r="A98" s="1082" t="s">
        <v>7559</v>
      </c>
      <c r="B98" s="1082"/>
      <c r="C98" s="1082"/>
      <c r="D98" s="2478" t="s">
        <v>7578</v>
      </c>
      <c r="E98" s="2478"/>
      <c r="F98" s="2478"/>
      <c r="G98" s="2478"/>
      <c r="H98" s="85"/>
      <c r="I98" s="85"/>
      <c r="J98" s="85"/>
      <c r="K98" s="85"/>
      <c r="L98" s="85"/>
      <c r="M98" s="85"/>
      <c r="N98" s="85"/>
      <c r="O98" s="85"/>
      <c r="P98" s="85"/>
      <c r="Q98" s="85"/>
      <c r="R98" s="85"/>
      <c r="S98" s="85"/>
      <c r="T98" s="85"/>
      <c r="U98" s="145"/>
      <c r="V98" s="85"/>
      <c r="W98" s="85"/>
      <c r="X98" s="85"/>
      <c r="AF98" s="1674"/>
      <c r="AG98" s="1675"/>
      <c r="AH98" s="1674"/>
      <c r="AM98" s="1676"/>
    </row>
    <row r="99" spans="1:39" s="684" customFormat="1" x14ac:dyDescent="0.25">
      <c r="A99" s="2478" t="s">
        <v>7579</v>
      </c>
      <c r="B99" s="2478"/>
      <c r="C99" s="2478"/>
      <c r="D99" s="2478"/>
      <c r="E99" s="2478"/>
      <c r="F99" s="2478"/>
      <c r="G99" s="2478"/>
      <c r="H99" s="85"/>
      <c r="I99" s="85"/>
      <c r="J99" s="85"/>
      <c r="K99" s="85"/>
      <c r="L99" s="85"/>
      <c r="M99" s="85"/>
      <c r="N99" s="85"/>
      <c r="O99" s="85"/>
      <c r="P99" s="85"/>
      <c r="Q99" s="85"/>
      <c r="R99" s="85"/>
      <c r="S99" s="85"/>
      <c r="T99" s="85"/>
      <c r="U99" s="145"/>
      <c r="V99" s="85"/>
      <c r="W99" s="85"/>
      <c r="X99" s="85"/>
      <c r="AG99" s="1675"/>
      <c r="AH99" s="1674"/>
      <c r="AM99" s="1676"/>
    </row>
  </sheetData>
  <mergeCells count="301">
    <mergeCell ref="A9:BD9"/>
    <mergeCell ref="A11:BD11"/>
    <mergeCell ref="D98:G98"/>
    <mergeCell ref="A99:G99"/>
    <mergeCell ref="AE22:AH22"/>
    <mergeCell ref="AI22:AI23"/>
    <mergeCell ref="AJ22:AJ23"/>
    <mergeCell ref="A21:A24"/>
    <mergeCell ref="B21:G22"/>
    <mergeCell ref="H21:AH21"/>
    <mergeCell ref="AI21:AL21"/>
    <mergeCell ref="AM21:AR21"/>
    <mergeCell ref="AS21:BD21"/>
    <mergeCell ref="H22:T22"/>
    <mergeCell ref="U22:AD22"/>
    <mergeCell ref="AT22:AT23"/>
    <mergeCell ref="AU22:AW22"/>
    <mergeCell ref="AX22:AY22"/>
    <mergeCell ref="AZ22:AZ23"/>
    <mergeCell ref="BA22:BA23"/>
    <mergeCell ref="BB22:BD22"/>
    <mergeCell ref="AN22:AN23"/>
    <mergeCell ref="AO22:AO23"/>
    <mergeCell ref="AP22:AP23"/>
    <mergeCell ref="AQ22:AQ23"/>
    <mergeCell ref="AR22:AR23"/>
    <mergeCell ref="AS22:AS23"/>
    <mergeCell ref="AK22:AK23"/>
    <mergeCell ref="G25:G31"/>
    <mergeCell ref="H25:H31"/>
    <mergeCell ref="I25:I31"/>
    <mergeCell ref="J25:J31"/>
    <mergeCell ref="K25:K31"/>
    <mergeCell ref="L25:L31"/>
    <mergeCell ref="AL22:AL23"/>
    <mergeCell ref="AM22:AM23"/>
    <mergeCell ref="A25:A31"/>
    <mergeCell ref="B25:B31"/>
    <mergeCell ref="C25:C31"/>
    <mergeCell ref="D25:D31"/>
    <mergeCell ref="E25:E31"/>
    <mergeCell ref="F25:F31"/>
    <mergeCell ref="AB25:AB31"/>
    <mergeCell ref="AD25:AD31"/>
    <mergeCell ref="AF25:AF31"/>
    <mergeCell ref="M25:M31"/>
    <mergeCell ref="N25:N31"/>
    <mergeCell ref="O25:O31"/>
    <mergeCell ref="P25:P31"/>
    <mergeCell ref="Q25:Q31"/>
    <mergeCell ref="R25:R31"/>
    <mergeCell ref="BB25:BB31"/>
    <mergeCell ref="BC25:BC31"/>
    <mergeCell ref="BD25:BD31"/>
    <mergeCell ref="AS25:AS31"/>
    <mergeCell ref="AT25:AT31"/>
    <mergeCell ref="AU25:AU31"/>
    <mergeCell ref="AV25:AV31"/>
    <mergeCell ref="AW25:AW31"/>
    <mergeCell ref="AX25:AX31"/>
    <mergeCell ref="A32:A36"/>
    <mergeCell ref="B32:B36"/>
    <mergeCell ref="C32:C36"/>
    <mergeCell ref="D32:D36"/>
    <mergeCell ref="E32:E36"/>
    <mergeCell ref="F32:F36"/>
    <mergeCell ref="AY25:AY31"/>
    <mergeCell ref="AZ25:AZ31"/>
    <mergeCell ref="BA25:BA31"/>
    <mergeCell ref="AM25:AM31"/>
    <mergeCell ref="AN25:AN31"/>
    <mergeCell ref="AO25:AO31"/>
    <mergeCell ref="AP25:AP31"/>
    <mergeCell ref="AQ25:AQ31"/>
    <mergeCell ref="AR25:AR31"/>
    <mergeCell ref="AG25:AG31"/>
    <mergeCell ref="AH25:AH31"/>
    <mergeCell ref="AI25:AI31"/>
    <mergeCell ref="AJ25:AJ31"/>
    <mergeCell ref="AK25:AK31"/>
    <mergeCell ref="AL25:AL31"/>
    <mergeCell ref="S25:S31"/>
    <mergeCell ref="T25:T31"/>
    <mergeCell ref="AA25:AA31"/>
    <mergeCell ref="M32:M36"/>
    <mergeCell ref="N32:N36"/>
    <mergeCell ref="O32:O36"/>
    <mergeCell ref="P32:P36"/>
    <mergeCell ref="Q32:Q36"/>
    <mergeCell ref="R32:R36"/>
    <mergeCell ref="G32:G36"/>
    <mergeCell ref="H32:H36"/>
    <mergeCell ref="I32:I36"/>
    <mergeCell ref="J32:J36"/>
    <mergeCell ref="K32:K36"/>
    <mergeCell ref="L32:L36"/>
    <mergeCell ref="AL32:AL36"/>
    <mergeCell ref="AM32:AM36"/>
    <mergeCell ref="AN32:AN36"/>
    <mergeCell ref="AO32:AO36"/>
    <mergeCell ref="S32:S36"/>
    <mergeCell ref="T32:T36"/>
    <mergeCell ref="AF32:AF36"/>
    <mergeCell ref="AG32:AG36"/>
    <mergeCell ref="AH32:AH36"/>
    <mergeCell ref="AI32:AI36"/>
    <mergeCell ref="BB32:BB36"/>
    <mergeCell ref="BC32:BC36"/>
    <mergeCell ref="BD32:BD36"/>
    <mergeCell ref="A37:A41"/>
    <mergeCell ref="B37:B41"/>
    <mergeCell ref="C37:C41"/>
    <mergeCell ref="D37:D41"/>
    <mergeCell ref="E37:E41"/>
    <mergeCell ref="F37:F41"/>
    <mergeCell ref="G37:G41"/>
    <mergeCell ref="AV32:AV36"/>
    <mergeCell ref="AW32:AW36"/>
    <mergeCell ref="AX32:AX36"/>
    <mergeCell ref="AY32:AY36"/>
    <mergeCell ref="AZ32:AZ36"/>
    <mergeCell ref="BA32:BA36"/>
    <mergeCell ref="AP32:AP36"/>
    <mergeCell ref="AQ32:AQ36"/>
    <mergeCell ref="AR32:AR36"/>
    <mergeCell ref="AS32:AS36"/>
    <mergeCell ref="AT32:AT36"/>
    <mergeCell ref="AU32:AU36"/>
    <mergeCell ref="AJ32:AJ36"/>
    <mergeCell ref="AK32:AK36"/>
    <mergeCell ref="N37:N41"/>
    <mergeCell ref="O37:O41"/>
    <mergeCell ref="P37:P41"/>
    <mergeCell ref="Q37:Q41"/>
    <mergeCell ref="R37:R41"/>
    <mergeCell ref="S37:S41"/>
    <mergeCell ref="H37:H41"/>
    <mergeCell ref="I37:I41"/>
    <mergeCell ref="J37:J41"/>
    <mergeCell ref="K37:K41"/>
    <mergeCell ref="L37:L41"/>
    <mergeCell ref="M37:M41"/>
    <mergeCell ref="AM37:AM41"/>
    <mergeCell ref="AN37:AN41"/>
    <mergeCell ref="AO37:AO41"/>
    <mergeCell ref="AP37:AP41"/>
    <mergeCell ref="T37:T41"/>
    <mergeCell ref="AF37:AF41"/>
    <mergeCell ref="AG37:AG41"/>
    <mergeCell ref="AH37:AH41"/>
    <mergeCell ref="AI37:AI41"/>
    <mergeCell ref="AJ37:AJ41"/>
    <mergeCell ref="BC37:BC41"/>
    <mergeCell ref="BD37:BD41"/>
    <mergeCell ref="A45:A46"/>
    <mergeCell ref="B45:B46"/>
    <mergeCell ref="C45:C46"/>
    <mergeCell ref="D45:D46"/>
    <mergeCell ref="E45:E46"/>
    <mergeCell ref="F45:F46"/>
    <mergeCell ref="G45:G46"/>
    <mergeCell ref="H45:H46"/>
    <mergeCell ref="AW37:AW41"/>
    <mergeCell ref="AX37:AX41"/>
    <mergeCell ref="AY37:AY41"/>
    <mergeCell ref="AZ37:AZ41"/>
    <mergeCell ref="BA37:BA41"/>
    <mergeCell ref="BB37:BB41"/>
    <mergeCell ref="AQ37:AQ41"/>
    <mergeCell ref="AR37:AR41"/>
    <mergeCell ref="AS37:AS41"/>
    <mergeCell ref="AT37:AT41"/>
    <mergeCell ref="AU37:AU41"/>
    <mergeCell ref="AV37:AV41"/>
    <mergeCell ref="AK37:AK41"/>
    <mergeCell ref="AL37:AL41"/>
    <mergeCell ref="O45:O46"/>
    <mergeCell ref="P45:P46"/>
    <mergeCell ref="Q45:Q46"/>
    <mergeCell ref="R45:R46"/>
    <mergeCell ref="S45:S46"/>
    <mergeCell ref="T45:T46"/>
    <mergeCell ref="I45:I46"/>
    <mergeCell ref="J45:J46"/>
    <mergeCell ref="K45:K46"/>
    <mergeCell ref="L45:L46"/>
    <mergeCell ref="M45:M46"/>
    <mergeCell ref="N45:N46"/>
    <mergeCell ref="AN45:AN46"/>
    <mergeCell ref="AO45:AO46"/>
    <mergeCell ref="AP45:AP46"/>
    <mergeCell ref="AQ45:AQ46"/>
    <mergeCell ref="AB45:AB46"/>
    <mergeCell ref="AD45:AD46"/>
    <mergeCell ref="AF45:AF46"/>
    <mergeCell ref="AI45:AI46"/>
    <mergeCell ref="AJ45:AJ46"/>
    <mergeCell ref="AK45:AK46"/>
    <mergeCell ref="BD45:BD46"/>
    <mergeCell ref="A57:A58"/>
    <mergeCell ref="B57:B58"/>
    <mergeCell ref="C57:C58"/>
    <mergeCell ref="D57:D58"/>
    <mergeCell ref="E57:E58"/>
    <mergeCell ref="F57:F58"/>
    <mergeCell ref="G57:G58"/>
    <mergeCell ref="H57:H58"/>
    <mergeCell ref="I57:I58"/>
    <mergeCell ref="AX45:AX46"/>
    <mergeCell ref="AY45:AY46"/>
    <mergeCell ref="AZ45:AZ46"/>
    <mergeCell ref="BA45:BA46"/>
    <mergeCell ref="BB45:BB46"/>
    <mergeCell ref="BC45:BC46"/>
    <mergeCell ref="AR45:AR46"/>
    <mergeCell ref="AS45:AS46"/>
    <mergeCell ref="AT45:AT46"/>
    <mergeCell ref="AU45:AU46"/>
    <mergeCell ref="AV45:AV46"/>
    <mergeCell ref="AW45:AW46"/>
    <mergeCell ref="AL45:AL46"/>
    <mergeCell ref="AM45:AM46"/>
    <mergeCell ref="AL57:AL58"/>
    <mergeCell ref="A64:A65"/>
    <mergeCell ref="B64:B65"/>
    <mergeCell ref="C64:C65"/>
    <mergeCell ref="D64:D65"/>
    <mergeCell ref="E64:E65"/>
    <mergeCell ref="F64:F65"/>
    <mergeCell ref="AA57:AA58"/>
    <mergeCell ref="AB57:AB58"/>
    <mergeCell ref="AC57:AC58"/>
    <mergeCell ref="AD57:AD58"/>
    <mergeCell ref="AE57:AE58"/>
    <mergeCell ref="AH57:AH58"/>
    <mergeCell ref="P57:P58"/>
    <mergeCell ref="T57:T58"/>
    <mergeCell ref="W57:W58"/>
    <mergeCell ref="X57:X58"/>
    <mergeCell ref="Y57:Y58"/>
    <mergeCell ref="Z57:Z58"/>
    <mergeCell ref="J57:J58"/>
    <mergeCell ref="K57:K58"/>
    <mergeCell ref="L57:L58"/>
    <mergeCell ref="M57:M58"/>
    <mergeCell ref="N57:N58"/>
    <mergeCell ref="AI57:AI58"/>
    <mergeCell ref="AJ57:AJ58"/>
    <mergeCell ref="AK57:AK58"/>
    <mergeCell ref="O57:O58"/>
    <mergeCell ref="S64:S65"/>
    <mergeCell ref="T64:T65"/>
    <mergeCell ref="U64:U65"/>
    <mergeCell ref="V64:V65"/>
    <mergeCell ref="W64:W65"/>
    <mergeCell ref="X64:X65"/>
    <mergeCell ref="O64:O65"/>
    <mergeCell ref="P64:P65"/>
    <mergeCell ref="Q64:Q65"/>
    <mergeCell ref="R64:R65"/>
    <mergeCell ref="AH64:AH65"/>
    <mergeCell ref="AI64:AI65"/>
    <mergeCell ref="Z64:Z65"/>
    <mergeCell ref="AA64:AA65"/>
    <mergeCell ref="AB64:AB65"/>
    <mergeCell ref="AC64:AC65"/>
    <mergeCell ref="AD64:AD65"/>
    <mergeCell ref="BC64:BC65"/>
    <mergeCell ref="BD64:BD65"/>
    <mergeCell ref="G64:G65"/>
    <mergeCell ref="H64:H65"/>
    <mergeCell ref="I64:I65"/>
    <mergeCell ref="J64:J65"/>
    <mergeCell ref="K64:K65"/>
    <mergeCell ref="L64:L65"/>
    <mergeCell ref="M64:M65"/>
    <mergeCell ref="N64:N65"/>
    <mergeCell ref="A95:I95"/>
    <mergeCell ref="AW64:AW65"/>
    <mergeCell ref="AX64:AX65"/>
    <mergeCell ref="AY64:AY65"/>
    <mergeCell ref="AZ64:AZ65"/>
    <mergeCell ref="BA64:BA65"/>
    <mergeCell ref="BB64:BB65"/>
    <mergeCell ref="AQ64:AQ65"/>
    <mergeCell ref="AR64:AR65"/>
    <mergeCell ref="AS64:AS65"/>
    <mergeCell ref="AT64:AT65"/>
    <mergeCell ref="AU64:AU65"/>
    <mergeCell ref="AV64:AV65"/>
    <mergeCell ref="AK64:AK65"/>
    <mergeCell ref="AL64:AL65"/>
    <mergeCell ref="AM64:AM65"/>
    <mergeCell ref="AN64:AN65"/>
    <mergeCell ref="AO64:AO65"/>
    <mergeCell ref="AP64:AP65"/>
    <mergeCell ref="AE64:AE65"/>
    <mergeCell ref="AF64:AF65"/>
    <mergeCell ref="AG64:AG65"/>
    <mergeCell ref="AJ64:AJ65"/>
    <mergeCell ref="Y64:Y65"/>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6"/>
  <sheetViews>
    <sheetView workbookViewId="0">
      <selection activeCell="A13" sqref="A13"/>
    </sheetView>
  </sheetViews>
  <sheetFormatPr defaultRowHeight="15" x14ac:dyDescent="0.25"/>
  <cols>
    <col min="1" max="1" width="7.42578125" style="239" customWidth="1"/>
    <col min="2" max="2" width="14.5703125" style="239" customWidth="1"/>
    <col min="3" max="3" width="9.5703125" style="239" bestFit="1" customWidth="1"/>
    <col min="4" max="4" width="21.5703125" style="239" bestFit="1" customWidth="1"/>
    <col min="5" max="5" width="18.85546875" style="239" bestFit="1" customWidth="1"/>
    <col min="6" max="6" width="50.28515625" style="239" customWidth="1"/>
    <col min="7" max="7" width="11.28515625" style="239" customWidth="1"/>
    <col min="8" max="8" width="9" style="239" bestFit="1" customWidth="1"/>
    <col min="9" max="9" width="36" style="239" bestFit="1" customWidth="1"/>
    <col min="10" max="10" width="18.140625" style="239" bestFit="1" customWidth="1"/>
    <col min="11" max="11" width="10.140625" style="239" bestFit="1" customWidth="1"/>
    <col min="12" max="12" width="11.7109375" style="239" bestFit="1" customWidth="1"/>
    <col min="13" max="13" width="12.140625" style="239" customWidth="1"/>
    <col min="14" max="14" width="10.140625" style="239" bestFit="1" customWidth="1"/>
    <col min="15" max="15" width="12.5703125" style="239" customWidth="1"/>
    <col min="16" max="16" width="9.140625" style="239" bestFit="1" customWidth="1"/>
    <col min="17" max="17" width="18.5703125" style="239" customWidth="1"/>
    <col min="18" max="18" width="14.28515625" style="239" customWidth="1"/>
    <col min="19" max="19" width="14" style="239" customWidth="1"/>
    <col min="20" max="20" width="12.7109375" style="239" customWidth="1"/>
    <col min="21" max="21" width="12.28515625" style="239" bestFit="1" customWidth="1"/>
    <col min="22" max="22" width="10.140625" style="239" bestFit="1" customWidth="1"/>
    <col min="23" max="23" width="14.5703125" style="239" customWidth="1"/>
    <col min="24" max="24" width="35.42578125" style="239" customWidth="1"/>
    <col min="25" max="26" width="10.140625" style="239" bestFit="1" customWidth="1"/>
    <col min="27" max="27" width="12" style="239" customWidth="1"/>
    <col min="28" max="28" width="13.7109375" style="239" customWidth="1"/>
    <col min="29" max="29" width="10.28515625" style="239" customWidth="1"/>
    <col min="30" max="30" width="10.140625" style="239" bestFit="1" customWidth="1"/>
    <col min="31" max="31" width="22.42578125" style="239" customWidth="1"/>
    <col min="32" max="32" width="13.85546875" style="239" customWidth="1"/>
    <col min="33" max="33" width="12.85546875" style="239" bestFit="1" customWidth="1"/>
    <col min="34" max="34" width="17.42578125" style="239" customWidth="1"/>
    <col min="35" max="35" width="9.42578125" style="239" bestFit="1" customWidth="1"/>
    <col min="36" max="36" width="15" style="239" customWidth="1"/>
    <col min="37" max="37" width="12.140625" style="239" customWidth="1"/>
    <col min="38" max="38" width="14.85546875" style="239" customWidth="1"/>
    <col min="39" max="39" width="15.5703125" style="239" bestFit="1" customWidth="1"/>
    <col min="40" max="40" width="17.28515625" style="239" customWidth="1"/>
    <col min="41" max="41" width="16" style="239" customWidth="1"/>
    <col min="42" max="42" width="12.42578125" style="239" bestFit="1" customWidth="1"/>
    <col min="43" max="43" width="15.7109375" style="239" customWidth="1"/>
    <col min="44" max="44" width="11.5703125" style="239" customWidth="1"/>
    <col min="45" max="45" width="5" style="239" bestFit="1" customWidth="1"/>
    <col min="46" max="46" width="19.42578125" style="239" bestFit="1" customWidth="1"/>
    <col min="47" max="47" width="6" style="239" bestFit="1" customWidth="1"/>
    <col min="48" max="48" width="8.5703125" style="239" bestFit="1" customWidth="1"/>
    <col min="49" max="49" width="4.42578125" style="239" bestFit="1" customWidth="1"/>
    <col min="50" max="50" width="4.28515625" style="239" bestFit="1" customWidth="1"/>
    <col min="51" max="51" width="13" style="239" customWidth="1"/>
    <col min="52" max="52" width="18.42578125" style="239" bestFit="1" customWidth="1"/>
    <col min="53" max="53" width="23.140625" style="239" bestFit="1" customWidth="1"/>
    <col min="54" max="54" width="6" style="239" bestFit="1" customWidth="1"/>
    <col min="55" max="55" width="8.42578125" style="239" bestFit="1" customWidth="1"/>
    <col min="56" max="56" width="7" style="239" bestFit="1" customWidth="1"/>
    <col min="57"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422" customFormat="1" x14ac:dyDescent="0.25">
      <c r="AI12" s="1692"/>
      <c r="AJ12" s="144"/>
      <c r="AK12" s="144"/>
      <c r="AL12" s="144"/>
      <c r="AM12" s="144"/>
      <c r="AN12" s="144"/>
      <c r="AO12" s="144"/>
      <c r="AP12" s="144"/>
      <c r="AQ12" s="144"/>
      <c r="AR12" s="144"/>
    </row>
    <row r="13" spans="1:56" s="1694" customFormat="1" ht="15.75" x14ac:dyDescent="0.25">
      <c r="A13" s="1693" t="s">
        <v>5810</v>
      </c>
      <c r="B13" s="1693"/>
      <c r="C13" s="1693"/>
      <c r="D13" s="1693"/>
      <c r="E13" s="1693"/>
      <c r="F13" s="1693"/>
      <c r="G13" s="1693"/>
      <c r="H13" s="1693"/>
      <c r="I13" s="1693"/>
      <c r="J13" s="1693"/>
      <c r="K13" s="1693"/>
      <c r="L13" s="1693"/>
      <c r="M13" s="1693"/>
      <c r="N13" s="1693"/>
      <c r="O13" s="1693"/>
      <c r="P13" s="1693"/>
      <c r="Q13" s="1693"/>
      <c r="R13" s="1693"/>
      <c r="S13" s="1693"/>
      <c r="T13" s="1693"/>
      <c r="U13" s="1693"/>
      <c r="V13" s="1693"/>
      <c r="W13" s="1693"/>
      <c r="X13" s="1693"/>
      <c r="Y13" s="1693"/>
      <c r="Z13" s="1693"/>
      <c r="AA13" s="1693"/>
      <c r="AB13" s="1693"/>
      <c r="AC13" s="1693"/>
      <c r="AD13" s="1693"/>
      <c r="AE13" s="1693"/>
      <c r="AF13" s="1693"/>
      <c r="AG13" s="1693"/>
      <c r="AH13" s="1693"/>
      <c r="AI13" s="1693"/>
      <c r="AJ13" s="1693"/>
      <c r="AK13" s="1693"/>
      <c r="AL13" s="1693"/>
      <c r="AM13" s="1693"/>
      <c r="AN13" s="1693"/>
      <c r="AO13" s="1693"/>
      <c r="AP13" s="1693"/>
      <c r="AQ13" s="1693"/>
      <c r="AR13" s="1693"/>
      <c r="AS13" s="1693"/>
    </row>
    <row r="14" spans="1:56" s="1694" customFormat="1" ht="15.75" x14ac:dyDescent="0.25">
      <c r="A14" s="1693" t="s">
        <v>2</v>
      </c>
      <c r="B14" s="1693"/>
      <c r="C14" s="1693"/>
      <c r="D14" s="1693"/>
      <c r="E14" s="1693"/>
      <c r="F14" s="1693"/>
      <c r="G14" s="1693"/>
      <c r="H14" s="1693"/>
      <c r="I14" s="1693"/>
      <c r="J14" s="1693"/>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695"/>
      <c r="AG14" s="1695"/>
      <c r="AH14" s="1695"/>
      <c r="AI14" s="1696"/>
      <c r="AJ14" s="1695"/>
      <c r="AK14" s="1695"/>
      <c r="AL14" s="1695"/>
      <c r="AM14" s="1695"/>
      <c r="AN14" s="1695"/>
      <c r="AO14" s="1695"/>
      <c r="AP14" s="1695"/>
      <c r="AQ14" s="1695"/>
      <c r="AR14" s="1695"/>
      <c r="AS14" s="1695"/>
    </row>
    <row r="15" spans="1:56" s="1694" customFormat="1" ht="15.75" x14ac:dyDescent="0.25">
      <c r="A15" s="1693" t="s">
        <v>3</v>
      </c>
      <c r="B15" s="1693"/>
      <c r="C15" s="1693"/>
      <c r="D15" s="1693"/>
      <c r="E15" s="1693"/>
      <c r="F15" s="1697"/>
      <c r="G15" s="1625"/>
      <c r="H15" s="1625"/>
      <c r="I15" s="1625"/>
      <c r="J15" s="1698"/>
      <c r="K15" s="1625"/>
      <c r="L15" s="1625"/>
      <c r="M15" s="1625"/>
      <c r="N15" s="1625"/>
      <c r="O15" s="1625"/>
      <c r="P15" s="1625"/>
      <c r="Q15" s="1625"/>
      <c r="R15" s="1625"/>
      <c r="S15" s="1625"/>
      <c r="T15" s="1625"/>
      <c r="U15" s="1625"/>
      <c r="V15" s="1625"/>
      <c r="W15" s="1625"/>
      <c r="X15" s="1625"/>
      <c r="Y15" s="1625"/>
      <c r="Z15" s="1625"/>
      <c r="AA15" s="1625"/>
      <c r="AB15" s="1625"/>
      <c r="AC15" s="1625"/>
      <c r="AD15" s="1625"/>
      <c r="AE15" s="1625"/>
      <c r="AF15" s="1625"/>
      <c r="AG15" s="1625"/>
      <c r="AH15" s="1625"/>
      <c r="AI15" s="1699"/>
      <c r="AJ15" s="1625"/>
      <c r="AK15" s="1625"/>
      <c r="AL15" s="1625"/>
      <c r="AM15" s="1625"/>
      <c r="AN15" s="1625"/>
      <c r="AO15" s="1625"/>
      <c r="AP15" s="1625"/>
      <c r="AQ15" s="1625"/>
      <c r="AR15" s="1625"/>
      <c r="AS15" s="1625"/>
    </row>
    <row r="16" spans="1:56" s="1694" customFormat="1" ht="15.75" x14ac:dyDescent="0.25">
      <c r="A16" s="1700"/>
      <c r="B16" s="1698"/>
      <c r="C16" s="1698"/>
      <c r="D16" s="1698"/>
      <c r="E16" s="1698"/>
      <c r="F16" s="1697"/>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701"/>
      <c r="AJ16" s="1698"/>
      <c r="AK16" s="1698"/>
      <c r="AL16" s="1698"/>
      <c r="AM16" s="1698"/>
      <c r="AN16" s="1698"/>
      <c r="AO16" s="1698"/>
      <c r="AP16" s="1698"/>
      <c r="AQ16" s="1698"/>
      <c r="AR16" s="1698"/>
      <c r="AS16" s="1698"/>
    </row>
    <row r="17" spans="1:56" s="1694" customFormat="1" ht="15.75" x14ac:dyDescent="0.25">
      <c r="A17" s="1693" t="s">
        <v>7582</v>
      </c>
      <c r="B17" s="1693"/>
      <c r="C17" s="1693"/>
      <c r="D17" s="1693"/>
      <c r="E17" s="1693"/>
      <c r="F17" s="1693"/>
      <c r="G17" s="1693"/>
      <c r="H17" s="1693"/>
      <c r="I17" s="1693"/>
      <c r="J17" s="1693"/>
      <c r="K17" s="1693"/>
      <c r="L17" s="1693"/>
      <c r="M17" s="1693"/>
      <c r="N17" s="1693"/>
      <c r="O17" s="1693"/>
      <c r="P17" s="1693"/>
      <c r="Q17" s="1693"/>
      <c r="R17" s="1693"/>
      <c r="S17" s="1693"/>
      <c r="T17" s="1693"/>
      <c r="U17" s="1693"/>
      <c r="V17" s="1693"/>
      <c r="W17" s="1693"/>
      <c r="X17" s="1693"/>
      <c r="Y17" s="1693"/>
      <c r="Z17" s="1693"/>
      <c r="AA17" s="1693"/>
      <c r="AB17" s="1693"/>
      <c r="AC17" s="1693"/>
      <c r="AD17" s="1693"/>
      <c r="AE17" s="1693"/>
      <c r="AF17" s="1693"/>
      <c r="AG17" s="1693"/>
      <c r="AH17" s="1693"/>
      <c r="AI17" s="1702"/>
      <c r="AJ17" s="1693"/>
      <c r="AK17" s="1693"/>
      <c r="AL17" s="1693"/>
      <c r="AM17" s="1693"/>
      <c r="AN17" s="1693"/>
      <c r="AO17" s="1693"/>
      <c r="AP17" s="1693"/>
      <c r="AQ17" s="1693"/>
      <c r="AR17" s="1693"/>
      <c r="AS17" s="1693"/>
    </row>
    <row r="18" spans="1:56" s="1694" customFormat="1" ht="15.75" x14ac:dyDescent="0.25">
      <c r="A18" s="1693" t="s">
        <v>7583</v>
      </c>
      <c r="B18" s="1693"/>
      <c r="C18" s="1693"/>
      <c r="D18" s="1693"/>
      <c r="E18" s="1693"/>
      <c r="F18" s="1693"/>
      <c r="G18" s="1693"/>
      <c r="H18" s="1693"/>
      <c r="I18" s="1693"/>
      <c r="J18" s="1693"/>
      <c r="K18" s="1693"/>
      <c r="L18" s="1693"/>
      <c r="M18" s="1693"/>
      <c r="N18" s="1693"/>
      <c r="O18" s="1693"/>
      <c r="P18" s="1693"/>
      <c r="Q18" s="1693"/>
      <c r="R18" s="1693"/>
      <c r="S18" s="1693"/>
      <c r="T18" s="1693"/>
      <c r="U18" s="1693"/>
      <c r="V18" s="1693"/>
      <c r="W18" s="1693"/>
      <c r="X18" s="1693"/>
      <c r="Y18" s="1693"/>
      <c r="Z18" s="1693"/>
      <c r="AA18" s="1693"/>
      <c r="AB18" s="1693"/>
      <c r="AC18" s="1693"/>
      <c r="AD18" s="1693"/>
      <c r="AE18" s="1693"/>
      <c r="AF18" s="1693"/>
      <c r="AG18" s="1693"/>
      <c r="AH18" s="1693"/>
      <c r="AI18" s="1702"/>
      <c r="AJ18" s="1693"/>
      <c r="AK18" s="1693"/>
      <c r="AL18" s="1693"/>
      <c r="AM18" s="1693"/>
      <c r="AN18" s="1693"/>
      <c r="AO18" s="1693"/>
      <c r="AP18" s="1693"/>
      <c r="AQ18" s="1693"/>
      <c r="AR18" s="1693"/>
      <c r="AS18" s="1693"/>
    </row>
    <row r="19" spans="1:56" s="1694" customFormat="1" ht="15.75" x14ac:dyDescent="0.25">
      <c r="A19" s="1693" t="s">
        <v>7584</v>
      </c>
      <c r="B19" s="1693"/>
      <c r="C19" s="1693"/>
      <c r="D19" s="1693"/>
      <c r="E19" s="1693"/>
      <c r="F19" s="1693"/>
      <c r="G19" s="1693"/>
      <c r="H19" s="1693"/>
      <c r="I19" s="1693"/>
      <c r="J19" s="1693"/>
      <c r="K19" s="1693"/>
      <c r="L19" s="1693"/>
      <c r="M19" s="1693"/>
      <c r="N19" s="1693"/>
      <c r="O19" s="1693"/>
      <c r="P19" s="1693"/>
      <c r="Q19" s="1693"/>
      <c r="R19" s="1693"/>
      <c r="S19" s="1693"/>
      <c r="T19" s="1693"/>
      <c r="U19" s="1693"/>
      <c r="V19" s="1693"/>
      <c r="W19" s="1693"/>
      <c r="X19" s="1693"/>
      <c r="Y19" s="1693"/>
      <c r="Z19" s="1693"/>
      <c r="AA19" s="1693"/>
      <c r="AB19" s="1693"/>
      <c r="AC19" s="1693"/>
      <c r="AD19" s="1693"/>
      <c r="AE19" s="1693"/>
      <c r="AF19" s="1693"/>
      <c r="AG19" s="1693"/>
      <c r="AH19" s="1693"/>
      <c r="AI19" s="1702"/>
      <c r="AJ19" s="1693"/>
      <c r="AK19" s="1693"/>
      <c r="AL19" s="1693"/>
      <c r="AM19" s="1693"/>
      <c r="AN19" s="1693"/>
      <c r="AO19" s="1693"/>
      <c r="AP19" s="1693"/>
      <c r="AQ19" s="1693"/>
      <c r="AR19" s="1693"/>
      <c r="AS19" s="1693"/>
    </row>
    <row r="20" spans="1:56" s="422" customFormat="1" ht="15.75" customHeight="1" thickBot="1" x14ac:dyDescent="0.3">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c r="AL20" s="1703"/>
      <c r="AM20" s="1703"/>
      <c r="AN20" s="1703"/>
      <c r="AO20" s="1703"/>
      <c r="AP20" s="1703"/>
      <c r="AQ20" s="1703"/>
      <c r="AR20" s="1703"/>
      <c r="AS20" s="1703"/>
      <c r="AT20" s="1703"/>
      <c r="AU20" s="1703"/>
      <c r="AV20" s="1703"/>
      <c r="AW20" s="1703"/>
      <c r="AX20" s="1703"/>
      <c r="AY20" s="1703"/>
      <c r="AZ20" s="1703"/>
      <c r="BA20" s="1703"/>
      <c r="BB20" s="1703"/>
      <c r="BC20" s="1703"/>
      <c r="BD20" s="1703"/>
    </row>
    <row r="21" spans="1:56" s="422" customFormat="1" ht="15.75" customHeight="1" thickBot="1" x14ac:dyDescent="0.3">
      <c r="A21" s="2437" t="s">
        <v>5</v>
      </c>
      <c r="B21" s="2056" t="s">
        <v>6</v>
      </c>
      <c r="C21" s="2049"/>
      <c r="D21" s="2049"/>
      <c r="E21" s="2049"/>
      <c r="F21" s="2049"/>
      <c r="G21" s="2051"/>
      <c r="H21" s="2444" t="s">
        <v>7</v>
      </c>
      <c r="I21" s="2445"/>
      <c r="J21" s="2445"/>
      <c r="K21" s="2445"/>
      <c r="L21" s="2445"/>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6"/>
      <c r="AI21" s="2056" t="s">
        <v>8</v>
      </c>
      <c r="AJ21" s="2049"/>
      <c r="AK21" s="2049"/>
      <c r="AL21" s="2051"/>
      <c r="AM21" s="2056" t="s">
        <v>9</v>
      </c>
      <c r="AN21" s="2049"/>
      <c r="AO21" s="2049"/>
      <c r="AP21" s="2049"/>
      <c r="AQ21" s="2049"/>
      <c r="AR21" s="2051"/>
      <c r="AS21" s="2056" t="s">
        <v>10</v>
      </c>
      <c r="AT21" s="2049"/>
      <c r="AU21" s="2049"/>
      <c r="AV21" s="2049"/>
      <c r="AW21" s="2049"/>
      <c r="AX21" s="2049"/>
      <c r="AY21" s="2049"/>
      <c r="AZ21" s="2049"/>
      <c r="BA21" s="2049"/>
      <c r="BB21" s="2049"/>
      <c r="BC21" s="2049"/>
      <c r="BD21" s="2051"/>
    </row>
    <row r="22" spans="1:56" s="422" customFormat="1" x14ac:dyDescent="0.25">
      <c r="A22" s="2438"/>
      <c r="B22" s="2057"/>
      <c r="C22" s="2050"/>
      <c r="D22" s="2050"/>
      <c r="E22" s="2050"/>
      <c r="F22" s="2050"/>
      <c r="G22" s="2052"/>
      <c r="H22" s="2113" t="s">
        <v>11</v>
      </c>
      <c r="I22" s="2115"/>
      <c r="J22" s="2115"/>
      <c r="K22" s="2115"/>
      <c r="L22" s="2115"/>
      <c r="M22" s="2115"/>
      <c r="N22" s="2115"/>
      <c r="O22" s="2115"/>
      <c r="P22" s="2115"/>
      <c r="Q22" s="2115"/>
      <c r="R22" s="2115"/>
      <c r="S22" s="2115"/>
      <c r="T22" s="2117"/>
      <c r="U22" s="2113" t="s">
        <v>12</v>
      </c>
      <c r="V22" s="2115"/>
      <c r="W22" s="2115"/>
      <c r="X22" s="2115"/>
      <c r="Y22" s="2115"/>
      <c r="Z22" s="2115"/>
      <c r="AA22" s="2115"/>
      <c r="AB22" s="2115"/>
      <c r="AC22" s="2115"/>
      <c r="AD22" s="2117"/>
      <c r="AE22" s="2056" t="s">
        <v>13</v>
      </c>
      <c r="AF22" s="2049"/>
      <c r="AG22" s="2049"/>
      <c r="AH22" s="2051"/>
      <c r="AI22" s="2579" t="s">
        <v>14</v>
      </c>
      <c r="AJ22" s="2050" t="s">
        <v>15</v>
      </c>
      <c r="AK22" s="2050" t="s">
        <v>16</v>
      </c>
      <c r="AL22" s="2052" t="s">
        <v>581</v>
      </c>
      <c r="AM22" s="2057" t="s">
        <v>18</v>
      </c>
      <c r="AN22" s="2050" t="s">
        <v>19</v>
      </c>
      <c r="AO22" s="2050" t="s">
        <v>20</v>
      </c>
      <c r="AP22" s="2050" t="s">
        <v>21</v>
      </c>
      <c r="AQ22" s="2050" t="s">
        <v>22</v>
      </c>
      <c r="AR22" s="2052" t="s">
        <v>21</v>
      </c>
      <c r="AS22" s="2057" t="s">
        <v>23</v>
      </c>
      <c r="AT22" s="2050" t="s">
        <v>24</v>
      </c>
      <c r="AU22" s="2435" t="s">
        <v>25</v>
      </c>
      <c r="AV22" s="2435"/>
      <c r="AW22" s="2435"/>
      <c r="AX22" s="2435" t="s">
        <v>26</v>
      </c>
      <c r="AY22" s="2435"/>
      <c r="AZ22" s="2050" t="s">
        <v>27</v>
      </c>
      <c r="BA22" s="2050" t="s">
        <v>28</v>
      </c>
      <c r="BB22" s="2435" t="s">
        <v>29</v>
      </c>
      <c r="BC22" s="2435"/>
      <c r="BD22" s="2440"/>
    </row>
    <row r="23" spans="1:56" s="528" customFormat="1" ht="38.25" x14ac:dyDescent="0.25">
      <c r="A23" s="2438"/>
      <c r="B23" s="1028" t="s">
        <v>30</v>
      </c>
      <c r="C23" s="1026" t="s">
        <v>31</v>
      </c>
      <c r="D23" s="1026" t="s">
        <v>32</v>
      </c>
      <c r="E23" s="1026" t="s">
        <v>23</v>
      </c>
      <c r="F23" s="1026" t="s">
        <v>33</v>
      </c>
      <c r="G23" s="1027" t="s">
        <v>34</v>
      </c>
      <c r="H23" s="1180" t="s">
        <v>35</v>
      </c>
      <c r="I23" s="1026" t="s">
        <v>36</v>
      </c>
      <c r="J23" s="1026" t="s">
        <v>37</v>
      </c>
      <c r="K23" s="1026" t="s">
        <v>38</v>
      </c>
      <c r="L23" s="1026" t="s">
        <v>39</v>
      </c>
      <c r="M23" s="1026" t="s">
        <v>40</v>
      </c>
      <c r="N23" s="1026" t="s">
        <v>41</v>
      </c>
      <c r="O23" s="1026" t="s">
        <v>42</v>
      </c>
      <c r="P23" s="1026" t="s">
        <v>43</v>
      </c>
      <c r="Q23" s="1026" t="s">
        <v>44</v>
      </c>
      <c r="R23" s="1026" t="s">
        <v>45</v>
      </c>
      <c r="S23" s="1026" t="s">
        <v>46</v>
      </c>
      <c r="T23" s="1027" t="s">
        <v>47</v>
      </c>
      <c r="U23" s="1028" t="s">
        <v>48</v>
      </c>
      <c r="V23" s="1026" t="s">
        <v>38</v>
      </c>
      <c r="W23" s="1026" t="s">
        <v>40</v>
      </c>
      <c r="X23" s="1026" t="s">
        <v>49</v>
      </c>
      <c r="Y23" s="1026" t="s">
        <v>41</v>
      </c>
      <c r="Z23" s="1026" t="s">
        <v>42</v>
      </c>
      <c r="AA23" s="1026" t="s">
        <v>50</v>
      </c>
      <c r="AB23" s="1026" t="s">
        <v>51</v>
      </c>
      <c r="AC23" s="1026" t="s">
        <v>52</v>
      </c>
      <c r="AD23" s="1027" t="s">
        <v>53</v>
      </c>
      <c r="AE23" s="1028" t="s">
        <v>54</v>
      </c>
      <c r="AF23" s="1026" t="s">
        <v>55</v>
      </c>
      <c r="AG23" s="1026" t="s">
        <v>56</v>
      </c>
      <c r="AH23" s="1027" t="s">
        <v>57</v>
      </c>
      <c r="AI23" s="2579"/>
      <c r="AJ23" s="2050"/>
      <c r="AK23" s="2050"/>
      <c r="AL23" s="2052"/>
      <c r="AM23" s="2057"/>
      <c r="AN23" s="2050"/>
      <c r="AO23" s="2050"/>
      <c r="AP23" s="2050"/>
      <c r="AQ23" s="2050"/>
      <c r="AR23" s="2052"/>
      <c r="AS23" s="2057"/>
      <c r="AT23" s="2050"/>
      <c r="AU23" s="7" t="s">
        <v>58</v>
      </c>
      <c r="AV23" s="7" t="s">
        <v>59</v>
      </c>
      <c r="AW23" s="7" t="s">
        <v>60</v>
      </c>
      <c r="AX23" s="7" t="s">
        <v>61</v>
      </c>
      <c r="AY23" s="1026" t="s">
        <v>62</v>
      </c>
      <c r="AZ23" s="2050"/>
      <c r="BA23" s="2050"/>
      <c r="BB23" s="7" t="s">
        <v>58</v>
      </c>
      <c r="BC23" s="7" t="s">
        <v>63</v>
      </c>
      <c r="BD23" s="9" t="s">
        <v>64</v>
      </c>
    </row>
    <row r="24" spans="1:56" s="528" customFormat="1" ht="15.75" thickBot="1" x14ac:dyDescent="0.3">
      <c r="A24" s="2439"/>
      <c r="B24" s="10" t="s">
        <v>65</v>
      </c>
      <c r="C24" s="11" t="s">
        <v>66</v>
      </c>
      <c r="D24" s="12" t="s">
        <v>67</v>
      </c>
      <c r="E24" s="11" t="s">
        <v>68</v>
      </c>
      <c r="F24" s="11" t="s">
        <v>69</v>
      </c>
      <c r="G24" s="13" t="s">
        <v>70</v>
      </c>
      <c r="H24" s="14" t="s">
        <v>71</v>
      </c>
      <c r="I24" s="11" t="s">
        <v>72</v>
      </c>
      <c r="J24" s="11" t="s">
        <v>73</v>
      </c>
      <c r="K24" s="11" t="s">
        <v>74</v>
      </c>
      <c r="L24" s="15" t="s">
        <v>75</v>
      </c>
      <c r="M24" s="11" t="s">
        <v>76</v>
      </c>
      <c r="N24" s="11" t="s">
        <v>77</v>
      </c>
      <c r="O24" s="11" t="s">
        <v>78</v>
      </c>
      <c r="P24" s="11" t="s">
        <v>79</v>
      </c>
      <c r="Q24" s="11" t="s">
        <v>80</v>
      </c>
      <c r="R24" s="11" t="s">
        <v>81</v>
      </c>
      <c r="S24" s="11" t="s">
        <v>82</v>
      </c>
      <c r="T24" s="13" t="s">
        <v>83</v>
      </c>
      <c r="U24" s="10" t="s">
        <v>84</v>
      </c>
      <c r="V24" s="11" t="s">
        <v>85</v>
      </c>
      <c r="W24" s="11" t="s">
        <v>86</v>
      </c>
      <c r="X24" s="11" t="s">
        <v>87</v>
      </c>
      <c r="Y24" s="11" t="s">
        <v>88</v>
      </c>
      <c r="Z24" s="11" t="s">
        <v>89</v>
      </c>
      <c r="AA24" s="11" t="s">
        <v>90</v>
      </c>
      <c r="AB24" s="11" t="s">
        <v>91</v>
      </c>
      <c r="AC24" s="11" t="s">
        <v>92</v>
      </c>
      <c r="AD24" s="13" t="s">
        <v>93</v>
      </c>
      <c r="AE24" s="10" t="s">
        <v>94</v>
      </c>
      <c r="AF24" s="11" t="s">
        <v>95</v>
      </c>
      <c r="AG24" s="11" t="s">
        <v>96</v>
      </c>
      <c r="AH24" s="13" t="s">
        <v>97</v>
      </c>
      <c r="AI24" s="14" t="s">
        <v>98</v>
      </c>
      <c r="AJ24" s="11" t="s">
        <v>99</v>
      </c>
      <c r="AK24" s="11" t="s">
        <v>100</v>
      </c>
      <c r="AL24" s="13" t="s">
        <v>101</v>
      </c>
      <c r="AM24" s="17" t="s">
        <v>102</v>
      </c>
      <c r="AN24" s="18" t="s">
        <v>103</v>
      </c>
      <c r="AO24" s="18" t="s">
        <v>104</v>
      </c>
      <c r="AP24" s="18" t="s">
        <v>105</v>
      </c>
      <c r="AQ24" s="18" t="s">
        <v>106</v>
      </c>
      <c r="AR24" s="19" t="s">
        <v>107</v>
      </c>
      <c r="AS24" s="17" t="s">
        <v>108</v>
      </c>
      <c r="AT24" s="18" t="s">
        <v>109</v>
      </c>
      <c r="AU24" s="18" t="s">
        <v>110</v>
      </c>
      <c r="AV24" s="18" t="s">
        <v>111</v>
      </c>
      <c r="AW24" s="18" t="s">
        <v>112</v>
      </c>
      <c r="AX24" s="18" t="s">
        <v>113</v>
      </c>
      <c r="AY24" s="18" t="s">
        <v>114</v>
      </c>
      <c r="AZ24" s="18" t="s">
        <v>115</v>
      </c>
      <c r="BA24" s="18" t="s">
        <v>116</v>
      </c>
      <c r="BB24" s="18" t="s">
        <v>117</v>
      </c>
      <c r="BC24" s="18" t="s">
        <v>118</v>
      </c>
      <c r="BD24" s="19" t="s">
        <v>119</v>
      </c>
    </row>
    <row r="25" spans="1:56" s="528" customFormat="1" ht="28.5" customHeight="1" x14ac:dyDescent="0.25">
      <c r="A25" s="2538">
        <v>1</v>
      </c>
      <c r="B25" s="2540" t="s">
        <v>975</v>
      </c>
      <c r="C25" s="2198" t="s">
        <v>975</v>
      </c>
      <c r="D25" s="2198" t="s">
        <v>1171</v>
      </c>
      <c r="E25" s="2198" t="s">
        <v>5811</v>
      </c>
      <c r="F25" s="2202" t="s">
        <v>5812</v>
      </c>
      <c r="G25" s="2556">
        <v>11000</v>
      </c>
      <c r="H25" s="2545" t="s">
        <v>1056</v>
      </c>
      <c r="I25" s="2202" t="s">
        <v>5813</v>
      </c>
      <c r="J25" s="2198" t="s">
        <v>5814</v>
      </c>
      <c r="K25" s="2203">
        <v>41394</v>
      </c>
      <c r="L25" s="2204">
        <v>28160</v>
      </c>
      <c r="M25" s="2536">
        <v>11041</v>
      </c>
      <c r="N25" s="2203">
        <v>41394</v>
      </c>
      <c r="O25" s="2203">
        <v>41639</v>
      </c>
      <c r="P25" s="2198">
        <v>1</v>
      </c>
      <c r="Q25" s="2198" t="s">
        <v>677</v>
      </c>
      <c r="R25" s="2198"/>
      <c r="S25" s="2198"/>
      <c r="T25" s="2531" t="s">
        <v>5815</v>
      </c>
      <c r="U25" s="1194" t="s">
        <v>1224</v>
      </c>
      <c r="V25" s="1047">
        <v>41628</v>
      </c>
      <c r="W25" s="1104">
        <v>11213</v>
      </c>
      <c r="X25" s="1096" t="s">
        <v>5816</v>
      </c>
      <c r="Y25" s="1047">
        <v>41640</v>
      </c>
      <c r="Z25" s="1047">
        <v>41820</v>
      </c>
      <c r="AA25" s="1199"/>
      <c r="AB25" s="1199"/>
      <c r="AC25" s="1199"/>
      <c r="AD25" s="1209"/>
      <c r="AE25" s="1197"/>
      <c r="AF25" s="1199"/>
      <c r="AG25" s="1199"/>
      <c r="AH25" s="1209"/>
      <c r="AI25" s="1203"/>
      <c r="AJ25" s="1199"/>
      <c r="AK25" s="1201"/>
      <c r="AL25" s="1209"/>
      <c r="AM25" s="1704"/>
      <c r="AN25" s="1705"/>
      <c r="AO25" s="1705"/>
      <c r="AP25" s="1705"/>
      <c r="AQ25" s="1705"/>
      <c r="AR25" s="1706"/>
      <c r="AS25" s="1704"/>
      <c r="AT25" s="1705"/>
      <c r="AU25" s="1705"/>
      <c r="AV25" s="1705"/>
      <c r="AW25" s="1705"/>
      <c r="AX25" s="1705"/>
      <c r="AY25" s="1705"/>
      <c r="AZ25" s="1705"/>
      <c r="BA25" s="1705"/>
      <c r="BB25" s="1705"/>
      <c r="BC25" s="1705"/>
      <c r="BD25" s="1706"/>
    </row>
    <row r="26" spans="1:56" s="528" customFormat="1" ht="28.5" customHeight="1" x14ac:dyDescent="0.25">
      <c r="A26" s="2548"/>
      <c r="B26" s="2549"/>
      <c r="C26" s="2021"/>
      <c r="D26" s="2021"/>
      <c r="E26" s="2021"/>
      <c r="F26" s="2189"/>
      <c r="G26" s="2557"/>
      <c r="H26" s="2551"/>
      <c r="I26" s="2189"/>
      <c r="J26" s="2021"/>
      <c r="K26" s="2033"/>
      <c r="L26" s="2187"/>
      <c r="M26" s="2197"/>
      <c r="N26" s="2033"/>
      <c r="O26" s="2033"/>
      <c r="P26" s="2021"/>
      <c r="Q26" s="2021"/>
      <c r="R26" s="2021"/>
      <c r="S26" s="2021"/>
      <c r="T26" s="2043"/>
      <c r="U26" s="1065" t="s">
        <v>1226</v>
      </c>
      <c r="V26" s="1044">
        <v>41815</v>
      </c>
      <c r="W26" s="1046">
        <v>11337</v>
      </c>
      <c r="X26" s="1103" t="s">
        <v>5817</v>
      </c>
      <c r="Y26" s="1044">
        <v>41821</v>
      </c>
      <c r="Z26" s="1044">
        <v>42004</v>
      </c>
      <c r="AA26" s="1030"/>
      <c r="AB26" s="1030"/>
      <c r="AC26" s="1030"/>
      <c r="AD26" s="1050"/>
      <c r="AE26" s="1029"/>
      <c r="AF26" s="1030"/>
      <c r="AG26" s="1030"/>
      <c r="AH26" s="1050"/>
      <c r="AI26" s="1052"/>
      <c r="AJ26" s="1030"/>
      <c r="AK26" s="1115"/>
      <c r="AL26" s="1050"/>
      <c r="AM26" s="1074"/>
      <c r="AN26" s="1071"/>
      <c r="AO26" s="1071"/>
      <c r="AP26" s="1071"/>
      <c r="AQ26" s="1071"/>
      <c r="AR26" s="53"/>
      <c r="AS26" s="1074"/>
      <c r="AT26" s="1071"/>
      <c r="AU26" s="1071"/>
      <c r="AV26" s="1071"/>
      <c r="AW26" s="1071"/>
      <c r="AX26" s="1071"/>
      <c r="AY26" s="1071"/>
      <c r="AZ26" s="1071"/>
      <c r="BA26" s="1071"/>
      <c r="BB26" s="1071"/>
      <c r="BC26" s="1071"/>
      <c r="BD26" s="53"/>
    </row>
    <row r="27" spans="1:56" s="422" customFormat="1" ht="51.75" thickBot="1" x14ac:dyDescent="0.3">
      <c r="A27" s="2539"/>
      <c r="B27" s="2541"/>
      <c r="C27" s="2530"/>
      <c r="D27" s="2530"/>
      <c r="E27" s="2530"/>
      <c r="F27" s="2542"/>
      <c r="G27" s="2558"/>
      <c r="H27" s="2546"/>
      <c r="I27" s="2542"/>
      <c r="J27" s="2530"/>
      <c r="K27" s="2529"/>
      <c r="L27" s="2535"/>
      <c r="M27" s="2537"/>
      <c r="N27" s="2529"/>
      <c r="O27" s="2529"/>
      <c r="P27" s="2530"/>
      <c r="Q27" s="2530"/>
      <c r="R27" s="2530"/>
      <c r="S27" s="2530"/>
      <c r="T27" s="2532"/>
      <c r="U27" s="1198" t="s">
        <v>1227</v>
      </c>
      <c r="V27" s="1212">
        <v>41905</v>
      </c>
      <c r="W27" s="1216">
        <v>11400</v>
      </c>
      <c r="X27" s="1202" t="s">
        <v>5818</v>
      </c>
      <c r="Y27" s="1212">
        <v>41913</v>
      </c>
      <c r="Z27" s="1212">
        <v>42004</v>
      </c>
      <c r="AA27" s="751">
        <v>8.14E-2</v>
      </c>
      <c r="AB27" s="1200"/>
      <c r="AC27" s="1214">
        <f>286.73*3</f>
        <v>860.19</v>
      </c>
      <c r="AD27" s="752"/>
      <c r="AE27" s="130">
        <f>3520*12+AC27</f>
        <v>43100.19</v>
      </c>
      <c r="AF27" s="753">
        <v>28160</v>
      </c>
      <c r="AG27" s="753">
        <f>21120+3520+3520+3520+3520+286.73+3520+286.73+3520+286.73</f>
        <v>43100.19000000001</v>
      </c>
      <c r="AH27" s="131">
        <f>AF27+AG27</f>
        <v>71260.19</v>
      </c>
      <c r="AI27" s="1204"/>
      <c r="AJ27" s="754"/>
      <c r="AK27" s="1208"/>
      <c r="AL27" s="755"/>
      <c r="AM27" s="756"/>
      <c r="AN27" s="754"/>
      <c r="AO27" s="754"/>
      <c r="AP27" s="754"/>
      <c r="AQ27" s="754"/>
      <c r="AR27" s="755"/>
      <c r="AS27" s="1707"/>
      <c r="AT27" s="1708"/>
      <c r="AU27" s="1708"/>
      <c r="AV27" s="1708"/>
      <c r="AW27" s="1708"/>
      <c r="AX27" s="1708"/>
      <c r="AY27" s="1708"/>
      <c r="AZ27" s="1708"/>
      <c r="BA27" s="1708"/>
      <c r="BB27" s="1708"/>
      <c r="BC27" s="1708"/>
      <c r="BD27" s="1709"/>
    </row>
    <row r="28" spans="1:56" s="422" customFormat="1" ht="26.25" thickBot="1" x14ac:dyDescent="0.3">
      <c r="A28" s="760">
        <v>2</v>
      </c>
      <c r="B28" s="761" t="s">
        <v>1357</v>
      </c>
      <c r="C28" s="762" t="s">
        <v>975</v>
      </c>
      <c r="D28" s="762" t="s">
        <v>1171</v>
      </c>
      <c r="E28" s="762" t="s">
        <v>5811</v>
      </c>
      <c r="F28" s="763" t="s">
        <v>5819</v>
      </c>
      <c r="G28" s="764">
        <v>10990</v>
      </c>
      <c r="H28" s="765" t="s">
        <v>1019</v>
      </c>
      <c r="I28" s="766" t="s">
        <v>5820</v>
      </c>
      <c r="J28" s="762" t="s">
        <v>5821</v>
      </c>
      <c r="K28" s="767">
        <v>41368</v>
      </c>
      <c r="L28" s="768">
        <v>40590</v>
      </c>
      <c r="M28" s="769">
        <v>11025</v>
      </c>
      <c r="N28" s="767">
        <v>41372</v>
      </c>
      <c r="O28" s="767">
        <v>41639</v>
      </c>
      <c r="P28" s="762">
        <v>1</v>
      </c>
      <c r="Q28" s="762" t="s">
        <v>677</v>
      </c>
      <c r="R28" s="762"/>
      <c r="S28" s="762"/>
      <c r="T28" s="770" t="s">
        <v>5822</v>
      </c>
      <c r="U28" s="761" t="s">
        <v>1224</v>
      </c>
      <c r="V28" s="767">
        <v>41628</v>
      </c>
      <c r="W28" s="769">
        <v>11213</v>
      </c>
      <c r="X28" s="771" t="s">
        <v>5817</v>
      </c>
      <c r="Y28" s="767">
        <v>41640</v>
      </c>
      <c r="Z28" s="767">
        <v>41820</v>
      </c>
      <c r="AA28" s="762"/>
      <c r="AB28" s="762"/>
      <c r="AC28" s="772"/>
      <c r="AD28" s="770"/>
      <c r="AE28" s="773">
        <f t="shared" ref="AE28:AE30" si="0">L28-AD28+AC28</f>
        <v>40590</v>
      </c>
      <c r="AF28" s="774">
        <v>38084.43</v>
      </c>
      <c r="AG28" s="774">
        <v>18520</v>
      </c>
      <c r="AH28" s="775">
        <f t="shared" ref="AH28:AH30" si="1">AF28+AG28</f>
        <v>56604.43</v>
      </c>
      <c r="AI28" s="776"/>
      <c r="AJ28" s="777"/>
      <c r="AK28" s="778"/>
      <c r="AL28" s="779"/>
      <c r="AM28" s="780"/>
      <c r="AN28" s="777"/>
      <c r="AO28" s="777"/>
      <c r="AP28" s="777"/>
      <c r="AQ28" s="777"/>
      <c r="AR28" s="779"/>
      <c r="AS28" s="1710"/>
      <c r="AT28" s="1711"/>
      <c r="AU28" s="1711"/>
      <c r="AV28" s="1711"/>
      <c r="AW28" s="1711"/>
      <c r="AX28" s="1711"/>
      <c r="AY28" s="1711"/>
      <c r="AZ28" s="1711"/>
      <c r="BA28" s="1711"/>
      <c r="BB28" s="1711"/>
      <c r="BC28" s="1711"/>
      <c r="BD28" s="1712"/>
    </row>
    <row r="29" spans="1:56" s="422" customFormat="1" ht="26.25" thickBot="1" x14ac:dyDescent="0.3">
      <c r="A29" s="760">
        <v>3</v>
      </c>
      <c r="B29" s="781" t="s">
        <v>1451</v>
      </c>
      <c r="C29" s="762" t="s">
        <v>975</v>
      </c>
      <c r="D29" s="762" t="s">
        <v>1171</v>
      </c>
      <c r="E29" s="762" t="s">
        <v>5811</v>
      </c>
      <c r="F29" s="763" t="s">
        <v>5823</v>
      </c>
      <c r="G29" s="764">
        <v>10990</v>
      </c>
      <c r="H29" s="782" t="s">
        <v>1330</v>
      </c>
      <c r="I29" s="766" t="s">
        <v>5824</v>
      </c>
      <c r="J29" s="762" t="s">
        <v>5825</v>
      </c>
      <c r="K29" s="767">
        <v>41394</v>
      </c>
      <c r="L29" s="768">
        <v>10352</v>
      </c>
      <c r="M29" s="769">
        <v>11068</v>
      </c>
      <c r="N29" s="767">
        <v>41396</v>
      </c>
      <c r="O29" s="767">
        <v>41639</v>
      </c>
      <c r="P29" s="762">
        <v>1</v>
      </c>
      <c r="Q29" s="762" t="s">
        <v>677</v>
      </c>
      <c r="R29" s="762"/>
      <c r="S29" s="762"/>
      <c r="T29" s="770" t="s">
        <v>5826</v>
      </c>
      <c r="U29" s="761" t="s">
        <v>1224</v>
      </c>
      <c r="V29" s="767">
        <v>41628</v>
      </c>
      <c r="W29" s="769">
        <v>11213</v>
      </c>
      <c r="X29" s="771" t="s">
        <v>5817</v>
      </c>
      <c r="Y29" s="767">
        <v>41640</v>
      </c>
      <c r="Z29" s="767">
        <v>41820</v>
      </c>
      <c r="AA29" s="762"/>
      <c r="AB29" s="762"/>
      <c r="AC29" s="772"/>
      <c r="AD29" s="770"/>
      <c r="AE29" s="773">
        <f t="shared" si="0"/>
        <v>10352</v>
      </c>
      <c r="AF29" s="774">
        <v>10352</v>
      </c>
      <c r="AG29" s="774">
        <v>6470</v>
      </c>
      <c r="AH29" s="775">
        <f t="shared" si="1"/>
        <v>16822</v>
      </c>
      <c r="AI29" s="776"/>
      <c r="AJ29" s="777"/>
      <c r="AK29" s="778"/>
      <c r="AL29" s="779"/>
      <c r="AM29" s="780"/>
      <c r="AN29" s="777"/>
      <c r="AO29" s="777"/>
      <c r="AP29" s="777"/>
      <c r="AQ29" s="777"/>
      <c r="AR29" s="779"/>
      <c r="AS29" s="1710"/>
      <c r="AT29" s="1711"/>
      <c r="AU29" s="1711"/>
      <c r="AV29" s="1711"/>
      <c r="AW29" s="1711"/>
      <c r="AX29" s="1711"/>
      <c r="AY29" s="1711"/>
      <c r="AZ29" s="1711"/>
      <c r="BA29" s="1711"/>
      <c r="BB29" s="1711"/>
      <c r="BC29" s="1711"/>
      <c r="BD29" s="1712"/>
    </row>
    <row r="30" spans="1:56" s="422" customFormat="1" ht="26.25" thickBot="1" x14ac:dyDescent="0.3">
      <c r="A30" s="760">
        <v>4</v>
      </c>
      <c r="B30" s="761" t="s">
        <v>1486</v>
      </c>
      <c r="C30" s="762" t="s">
        <v>975</v>
      </c>
      <c r="D30" s="762" t="s">
        <v>1171</v>
      </c>
      <c r="E30" s="762" t="s">
        <v>5811</v>
      </c>
      <c r="F30" s="763" t="s">
        <v>5827</v>
      </c>
      <c r="G30" s="764">
        <v>10990</v>
      </c>
      <c r="H30" s="782" t="s">
        <v>1498</v>
      </c>
      <c r="I30" s="766" t="s">
        <v>5828</v>
      </c>
      <c r="J30" s="762" t="s">
        <v>5829</v>
      </c>
      <c r="K30" s="767">
        <v>41394</v>
      </c>
      <c r="L30" s="768">
        <v>26000</v>
      </c>
      <c r="M30" s="769">
        <v>11043</v>
      </c>
      <c r="N30" s="767">
        <v>41396</v>
      </c>
      <c r="O30" s="767">
        <v>41639</v>
      </c>
      <c r="P30" s="762">
        <v>1</v>
      </c>
      <c r="Q30" s="762" t="s">
        <v>677</v>
      </c>
      <c r="R30" s="762"/>
      <c r="S30" s="762"/>
      <c r="T30" s="770" t="s">
        <v>5822</v>
      </c>
      <c r="U30" s="761" t="s">
        <v>1224</v>
      </c>
      <c r="V30" s="767">
        <v>41628</v>
      </c>
      <c r="W30" s="769">
        <v>11213</v>
      </c>
      <c r="X30" s="771" t="s">
        <v>5817</v>
      </c>
      <c r="Y30" s="767">
        <v>41640</v>
      </c>
      <c r="Z30" s="767">
        <v>41820</v>
      </c>
      <c r="AA30" s="762"/>
      <c r="AB30" s="762"/>
      <c r="AC30" s="772"/>
      <c r="AD30" s="770"/>
      <c r="AE30" s="773">
        <f t="shared" si="0"/>
        <v>26000</v>
      </c>
      <c r="AF30" s="774">
        <v>26000</v>
      </c>
      <c r="AG30" s="774">
        <v>13000</v>
      </c>
      <c r="AH30" s="775">
        <f t="shared" si="1"/>
        <v>39000</v>
      </c>
      <c r="AI30" s="776"/>
      <c r="AJ30" s="777"/>
      <c r="AK30" s="778"/>
      <c r="AL30" s="779"/>
      <c r="AM30" s="780"/>
      <c r="AN30" s="777"/>
      <c r="AO30" s="777"/>
      <c r="AP30" s="777"/>
      <c r="AQ30" s="777"/>
      <c r="AR30" s="779"/>
      <c r="AS30" s="1710"/>
      <c r="AT30" s="1711"/>
      <c r="AU30" s="1711"/>
      <c r="AV30" s="1711"/>
      <c r="AW30" s="1711"/>
      <c r="AX30" s="1711"/>
      <c r="AY30" s="1711"/>
      <c r="AZ30" s="1711"/>
      <c r="BA30" s="1711"/>
      <c r="BB30" s="1711"/>
      <c r="BC30" s="1711"/>
      <c r="BD30" s="1712"/>
    </row>
    <row r="31" spans="1:56" s="422" customFormat="1" ht="27" customHeight="1" x14ac:dyDescent="0.25">
      <c r="A31" s="2538">
        <v>5</v>
      </c>
      <c r="B31" s="2540" t="s">
        <v>1280</v>
      </c>
      <c r="C31" s="2198" t="s">
        <v>975</v>
      </c>
      <c r="D31" s="2198" t="s">
        <v>1171</v>
      </c>
      <c r="E31" s="2198" t="s">
        <v>5811</v>
      </c>
      <c r="F31" s="2202" t="s">
        <v>5830</v>
      </c>
      <c r="G31" s="2543">
        <v>10990</v>
      </c>
      <c r="H31" s="2545" t="s">
        <v>1451</v>
      </c>
      <c r="I31" s="2533" t="s">
        <v>5831</v>
      </c>
      <c r="J31" s="2198" t="s">
        <v>5832</v>
      </c>
      <c r="K31" s="2203">
        <v>41397</v>
      </c>
      <c r="L31" s="2204">
        <v>11800</v>
      </c>
      <c r="M31" s="2198">
        <v>11043</v>
      </c>
      <c r="N31" s="2203">
        <v>41400</v>
      </c>
      <c r="O31" s="2203">
        <v>41639</v>
      </c>
      <c r="P31" s="2198">
        <v>1</v>
      </c>
      <c r="Q31" s="2198" t="s">
        <v>677</v>
      </c>
      <c r="R31" s="2198"/>
      <c r="S31" s="2198"/>
      <c r="T31" s="2531" t="s">
        <v>5822</v>
      </c>
      <c r="U31" s="1182" t="s">
        <v>1224</v>
      </c>
      <c r="V31" s="1098">
        <v>41628</v>
      </c>
      <c r="W31" s="1187">
        <v>11213</v>
      </c>
      <c r="X31" s="785" t="s">
        <v>5817</v>
      </c>
      <c r="Y31" s="1098">
        <v>41640</v>
      </c>
      <c r="Z31" s="1098">
        <v>41820</v>
      </c>
      <c r="AA31" s="1094"/>
      <c r="AB31" s="1094"/>
      <c r="AC31" s="1099"/>
      <c r="AD31" s="1195"/>
      <c r="AE31" s="787"/>
      <c r="AF31" s="788"/>
      <c r="AG31" s="788"/>
      <c r="AH31" s="789"/>
      <c r="AI31" s="790"/>
      <c r="AJ31" s="791"/>
      <c r="AK31" s="792"/>
      <c r="AL31" s="793"/>
      <c r="AM31" s="794"/>
      <c r="AN31" s="791"/>
      <c r="AO31" s="791"/>
      <c r="AP31" s="791"/>
      <c r="AQ31" s="791"/>
      <c r="AR31" s="793"/>
      <c r="AS31" s="1713"/>
      <c r="AT31" s="1714"/>
      <c r="AU31" s="1714"/>
      <c r="AV31" s="1714"/>
      <c r="AW31" s="1714"/>
      <c r="AX31" s="1714"/>
      <c r="AY31" s="1714"/>
      <c r="AZ31" s="1714"/>
      <c r="BA31" s="1714"/>
      <c r="BB31" s="1714"/>
      <c r="BC31" s="1714"/>
      <c r="BD31" s="1715"/>
    </row>
    <row r="32" spans="1:56" s="422" customFormat="1" ht="27" customHeight="1" thickBot="1" x14ac:dyDescent="0.3">
      <c r="A32" s="2539"/>
      <c r="B32" s="2541"/>
      <c r="C32" s="2530"/>
      <c r="D32" s="2530"/>
      <c r="E32" s="2530"/>
      <c r="F32" s="2542"/>
      <c r="G32" s="2544"/>
      <c r="H32" s="2546"/>
      <c r="I32" s="2534"/>
      <c r="J32" s="2530"/>
      <c r="K32" s="2529"/>
      <c r="L32" s="2535"/>
      <c r="M32" s="2530"/>
      <c r="N32" s="2529"/>
      <c r="O32" s="2529"/>
      <c r="P32" s="2530"/>
      <c r="Q32" s="2530"/>
      <c r="R32" s="2530"/>
      <c r="S32" s="2530"/>
      <c r="T32" s="2532"/>
      <c r="U32" s="1198" t="s">
        <v>1226</v>
      </c>
      <c r="V32" s="1212">
        <v>41815</v>
      </c>
      <c r="W32" s="1216">
        <v>11337</v>
      </c>
      <c r="X32" s="798" t="s">
        <v>5817</v>
      </c>
      <c r="Y32" s="1212">
        <v>41821</v>
      </c>
      <c r="Z32" s="1212">
        <v>42004</v>
      </c>
      <c r="AA32" s="1200"/>
      <c r="AB32" s="1200"/>
      <c r="AC32" s="1214"/>
      <c r="AD32" s="1210"/>
      <c r="AE32" s="130"/>
      <c r="AF32" s="753">
        <v>11800</v>
      </c>
      <c r="AG32" s="753">
        <f>9000+1500+1500+1500+1500+3000</f>
        <v>18000</v>
      </c>
      <c r="AH32" s="131">
        <f t="shared" ref="AH32" si="2">AF32+AG32</f>
        <v>29800</v>
      </c>
      <c r="AI32" s="799"/>
      <c r="AJ32" s="754"/>
      <c r="AK32" s="1208"/>
      <c r="AL32" s="755"/>
      <c r="AM32" s="756"/>
      <c r="AN32" s="754"/>
      <c r="AO32" s="754"/>
      <c r="AP32" s="754"/>
      <c r="AQ32" s="754"/>
      <c r="AR32" s="755"/>
      <c r="AS32" s="1707"/>
      <c r="AT32" s="1708"/>
      <c r="AU32" s="1708"/>
      <c r="AV32" s="1708"/>
      <c r="AW32" s="1708"/>
      <c r="AX32" s="1708"/>
      <c r="AY32" s="1708"/>
      <c r="AZ32" s="1708"/>
      <c r="BA32" s="1708"/>
      <c r="BB32" s="1708"/>
      <c r="BC32" s="1708"/>
      <c r="BD32" s="1709"/>
    </row>
    <row r="33" spans="1:56" s="422" customFormat="1" ht="18" customHeight="1" x14ac:dyDescent="0.25">
      <c r="A33" s="2548">
        <v>6</v>
      </c>
      <c r="B33" s="2549" t="s">
        <v>1608</v>
      </c>
      <c r="C33" s="2021" t="s">
        <v>901</v>
      </c>
      <c r="D33" s="2021" t="s">
        <v>5833</v>
      </c>
      <c r="E33" s="2021" t="s">
        <v>5834</v>
      </c>
      <c r="F33" s="2189" t="s">
        <v>5835</v>
      </c>
      <c r="G33" s="2550">
        <v>10710</v>
      </c>
      <c r="H33" s="2551" t="s">
        <v>1486</v>
      </c>
      <c r="I33" s="2547" t="s">
        <v>5836</v>
      </c>
      <c r="J33" s="2021" t="s">
        <v>5837</v>
      </c>
      <c r="K33" s="2033">
        <v>41396</v>
      </c>
      <c r="L33" s="2187">
        <v>690000</v>
      </c>
      <c r="M33" s="2197">
        <v>11046</v>
      </c>
      <c r="N33" s="2033">
        <v>41396</v>
      </c>
      <c r="O33" s="2033">
        <v>41639</v>
      </c>
      <c r="P33" s="2021">
        <v>1</v>
      </c>
      <c r="Q33" s="2021" t="s">
        <v>677</v>
      </c>
      <c r="R33" s="2021"/>
      <c r="S33" s="2021"/>
      <c r="T33" s="2043" t="s">
        <v>5815</v>
      </c>
      <c r="U33" s="1194" t="s">
        <v>1224</v>
      </c>
      <c r="V33" s="1047">
        <v>41571</v>
      </c>
      <c r="W33" s="1104">
        <v>11177</v>
      </c>
      <c r="X33" s="1125" t="s">
        <v>5838</v>
      </c>
      <c r="Y33" s="1047">
        <v>41571</v>
      </c>
      <c r="Z33" s="1047">
        <v>41639</v>
      </c>
      <c r="AA33" s="1038"/>
      <c r="AB33" s="800">
        <v>0.15989999999999999</v>
      </c>
      <c r="AC33" s="1100"/>
      <c r="AD33" s="801">
        <v>110427.41</v>
      </c>
      <c r="AE33" s="802">
        <f>L33-AD33</f>
        <v>579572.59</v>
      </c>
      <c r="AF33" s="282"/>
      <c r="AG33" s="282"/>
      <c r="AH33" s="803"/>
      <c r="AI33" s="804"/>
      <c r="AJ33" s="805"/>
      <c r="AK33" s="806"/>
      <c r="AL33" s="807"/>
      <c r="AM33" s="808"/>
      <c r="AN33" s="805"/>
      <c r="AO33" s="805"/>
      <c r="AP33" s="805"/>
      <c r="AQ33" s="805"/>
      <c r="AR33" s="807"/>
      <c r="AS33" s="1716"/>
      <c r="AT33" s="1717"/>
      <c r="AU33" s="1717"/>
      <c r="AV33" s="1717"/>
      <c r="AW33" s="1717"/>
      <c r="AX33" s="1717"/>
      <c r="AY33" s="1717"/>
      <c r="AZ33" s="1717"/>
      <c r="BA33" s="1717"/>
      <c r="BB33" s="1717"/>
      <c r="BC33" s="1717"/>
      <c r="BD33" s="1718"/>
    </row>
    <row r="34" spans="1:56" s="422" customFormat="1" ht="18" customHeight="1" x14ac:dyDescent="0.25">
      <c r="A34" s="2548"/>
      <c r="B34" s="2549"/>
      <c r="C34" s="2021"/>
      <c r="D34" s="2021"/>
      <c r="E34" s="2021"/>
      <c r="F34" s="2189"/>
      <c r="G34" s="2550"/>
      <c r="H34" s="2551"/>
      <c r="I34" s="2547"/>
      <c r="J34" s="2021"/>
      <c r="K34" s="2033"/>
      <c r="L34" s="2187"/>
      <c r="M34" s="2197"/>
      <c r="N34" s="2033"/>
      <c r="O34" s="2033"/>
      <c r="P34" s="2021"/>
      <c r="Q34" s="2021"/>
      <c r="R34" s="2021"/>
      <c r="S34" s="2021"/>
      <c r="T34" s="2043"/>
      <c r="U34" s="1029" t="s">
        <v>1226</v>
      </c>
      <c r="V34" s="1054">
        <v>41635</v>
      </c>
      <c r="W34" s="1053">
        <v>11121</v>
      </c>
      <c r="X34" s="518" t="s">
        <v>5817</v>
      </c>
      <c r="Y34" s="1054">
        <v>41640</v>
      </c>
      <c r="Z34" s="1054">
        <v>41759</v>
      </c>
      <c r="AA34" s="1030"/>
      <c r="AB34" s="1030"/>
      <c r="AC34" s="1056"/>
      <c r="AD34" s="1050"/>
      <c r="AE34" s="63"/>
      <c r="AF34" s="1162"/>
      <c r="AG34" s="1162"/>
      <c r="AH34" s="33"/>
      <c r="AI34" s="267"/>
      <c r="AJ34" s="107"/>
      <c r="AK34" s="809"/>
      <c r="AL34" s="180"/>
      <c r="AM34" s="179"/>
      <c r="AN34" s="107"/>
      <c r="AO34" s="107"/>
      <c r="AP34" s="107"/>
      <c r="AQ34" s="107"/>
      <c r="AR34" s="180"/>
      <c r="AS34" s="1719"/>
      <c r="AT34" s="1720"/>
      <c r="AU34" s="1720"/>
      <c r="AV34" s="1720"/>
      <c r="AW34" s="1720"/>
      <c r="AX34" s="1720"/>
      <c r="AY34" s="1720"/>
      <c r="AZ34" s="1720"/>
      <c r="BA34" s="1720"/>
      <c r="BB34" s="1720"/>
      <c r="BC34" s="1720"/>
      <c r="BD34" s="1721"/>
    </row>
    <row r="35" spans="1:56" s="422" customFormat="1" ht="18" customHeight="1" x14ac:dyDescent="0.25">
      <c r="A35" s="2548"/>
      <c r="B35" s="2549"/>
      <c r="C35" s="2021"/>
      <c r="D35" s="2021"/>
      <c r="E35" s="2021"/>
      <c r="F35" s="2189"/>
      <c r="G35" s="2550"/>
      <c r="H35" s="2551"/>
      <c r="I35" s="2547"/>
      <c r="J35" s="2021"/>
      <c r="K35" s="2033"/>
      <c r="L35" s="2187"/>
      <c r="M35" s="2197"/>
      <c r="N35" s="2033"/>
      <c r="O35" s="2033"/>
      <c r="P35" s="2021"/>
      <c r="Q35" s="2021"/>
      <c r="R35" s="2021"/>
      <c r="S35" s="2021"/>
      <c r="T35" s="2043"/>
      <c r="U35" s="1029" t="s">
        <v>1227</v>
      </c>
      <c r="V35" s="1054">
        <v>41751</v>
      </c>
      <c r="W35" s="1053">
        <v>11290</v>
      </c>
      <c r="X35" s="518" t="s">
        <v>5817</v>
      </c>
      <c r="Y35" s="1054">
        <v>41760</v>
      </c>
      <c r="Z35" s="1054">
        <v>41882</v>
      </c>
      <c r="AA35" s="1030"/>
      <c r="AB35" s="1030"/>
      <c r="AC35" s="1056"/>
      <c r="AD35" s="1050"/>
      <c r="AE35" s="63"/>
      <c r="AF35" s="1162"/>
      <c r="AG35" s="1162"/>
      <c r="AH35" s="33"/>
      <c r="AI35" s="267"/>
      <c r="AJ35" s="107"/>
      <c r="AK35" s="809"/>
      <c r="AL35" s="180"/>
      <c r="AM35" s="179"/>
      <c r="AN35" s="107"/>
      <c r="AO35" s="107"/>
      <c r="AP35" s="107"/>
      <c r="AQ35" s="107"/>
      <c r="AR35" s="180"/>
      <c r="AS35" s="1719"/>
      <c r="AT35" s="1720"/>
      <c r="AU35" s="1720"/>
      <c r="AV35" s="1720"/>
      <c r="AW35" s="1720"/>
      <c r="AX35" s="1720"/>
      <c r="AY35" s="1720"/>
      <c r="AZ35" s="1720"/>
      <c r="BA35" s="1720"/>
      <c r="BB35" s="1720"/>
      <c r="BC35" s="1720"/>
      <c r="BD35" s="1721"/>
    </row>
    <row r="36" spans="1:56" s="422" customFormat="1" ht="49.5" customHeight="1" thickBot="1" x14ac:dyDescent="0.3">
      <c r="A36" s="2548"/>
      <c r="B36" s="2549"/>
      <c r="C36" s="2021"/>
      <c r="D36" s="2021"/>
      <c r="E36" s="2021"/>
      <c r="F36" s="2189"/>
      <c r="G36" s="2550"/>
      <c r="H36" s="2551"/>
      <c r="I36" s="2547"/>
      <c r="J36" s="2021"/>
      <c r="K36" s="2033"/>
      <c r="L36" s="2187"/>
      <c r="M36" s="2197"/>
      <c r="N36" s="2033"/>
      <c r="O36" s="2033"/>
      <c r="P36" s="2021"/>
      <c r="Q36" s="2021"/>
      <c r="R36" s="2021"/>
      <c r="S36" s="2021"/>
      <c r="T36" s="2043"/>
      <c r="U36" s="1183" t="s">
        <v>1228</v>
      </c>
      <c r="V36" s="1191">
        <v>41815</v>
      </c>
      <c r="W36" s="1188">
        <v>11337</v>
      </c>
      <c r="X36" s="1185" t="s">
        <v>5839</v>
      </c>
      <c r="Y36" s="1191">
        <v>41640</v>
      </c>
      <c r="Z36" s="1191">
        <v>41882</v>
      </c>
      <c r="AA36" s="1184"/>
      <c r="AB36" s="1184">
        <v>21.84</v>
      </c>
      <c r="AC36" s="1192">
        <v>83348.72</v>
      </c>
      <c r="AD36" s="1196"/>
      <c r="AE36" s="817">
        <f>AE33+AC36</f>
        <v>662921.30999999994</v>
      </c>
      <c r="AF36" s="818">
        <v>551128.81000000006</v>
      </c>
      <c r="AG36" s="818">
        <f>661705.92+44884+96758.07</f>
        <v>803347.99</v>
      </c>
      <c r="AH36" s="819">
        <f>AF36+AG36</f>
        <v>1354476.8</v>
      </c>
      <c r="AI36" s="820"/>
      <c r="AJ36" s="821"/>
      <c r="AK36" s="822"/>
      <c r="AL36" s="823"/>
      <c r="AM36" s="824"/>
      <c r="AN36" s="821"/>
      <c r="AO36" s="821"/>
      <c r="AP36" s="821"/>
      <c r="AQ36" s="821"/>
      <c r="AR36" s="821"/>
      <c r="AS36" s="1722"/>
      <c r="AT36" s="1717"/>
      <c r="AU36" s="1717"/>
      <c r="AV36" s="1717"/>
      <c r="AW36" s="1717"/>
      <c r="AX36" s="1717"/>
      <c r="AY36" s="1717"/>
      <c r="AZ36" s="1717"/>
      <c r="BA36" s="1717"/>
      <c r="BB36" s="1717"/>
      <c r="BC36" s="1717"/>
      <c r="BD36" s="1718"/>
    </row>
    <row r="37" spans="1:56" s="422" customFormat="1" ht="29.25" customHeight="1" x14ac:dyDescent="0.25">
      <c r="A37" s="2575">
        <v>7</v>
      </c>
      <c r="B37" s="2577" t="s">
        <v>1289</v>
      </c>
      <c r="C37" s="2565" t="s">
        <v>754</v>
      </c>
      <c r="D37" s="2565" t="s">
        <v>5840</v>
      </c>
      <c r="E37" s="2565" t="s">
        <v>5811</v>
      </c>
      <c r="F37" s="2569" t="s">
        <v>5841</v>
      </c>
      <c r="G37" s="2563">
        <v>10999</v>
      </c>
      <c r="H37" s="2552" t="s">
        <v>1280</v>
      </c>
      <c r="I37" s="2569" t="s">
        <v>5842</v>
      </c>
      <c r="J37" s="2565" t="s">
        <v>759</v>
      </c>
      <c r="K37" s="2571">
        <v>41402</v>
      </c>
      <c r="L37" s="2573">
        <v>123000</v>
      </c>
      <c r="M37" s="2554">
        <v>11046</v>
      </c>
      <c r="N37" s="2571">
        <v>41402</v>
      </c>
      <c r="O37" s="2565" t="s">
        <v>5843</v>
      </c>
      <c r="P37" s="2565">
        <v>1</v>
      </c>
      <c r="Q37" s="2565" t="s">
        <v>677</v>
      </c>
      <c r="R37" s="2565"/>
      <c r="S37" s="2565"/>
      <c r="T37" s="2567" t="s">
        <v>5815</v>
      </c>
      <c r="U37" s="1182" t="s">
        <v>1224</v>
      </c>
      <c r="V37" s="1098">
        <v>41641</v>
      </c>
      <c r="W37" s="1187">
        <v>11224</v>
      </c>
      <c r="X37" s="825" t="s">
        <v>5817</v>
      </c>
      <c r="Y37" s="1211">
        <v>41647</v>
      </c>
      <c r="Z37" s="1211">
        <v>41889</v>
      </c>
      <c r="AA37" s="1199"/>
      <c r="AB37" s="1199"/>
      <c r="AC37" s="1213"/>
      <c r="AD37" s="1209"/>
      <c r="AE37" s="826"/>
      <c r="AF37" s="827"/>
      <c r="AG37" s="827"/>
      <c r="AH37" s="828"/>
      <c r="AI37" s="2552" t="s">
        <v>403</v>
      </c>
      <c r="AJ37" s="2554">
        <v>11023</v>
      </c>
      <c r="AK37" s="2561" t="s">
        <v>5844</v>
      </c>
      <c r="AL37" s="2563">
        <v>11075</v>
      </c>
      <c r="AM37" s="829"/>
      <c r="AN37" s="830"/>
      <c r="AO37" s="830"/>
      <c r="AP37" s="830"/>
      <c r="AQ37" s="830"/>
      <c r="AR37" s="831"/>
      <c r="AS37" s="1723"/>
      <c r="AT37" s="1724"/>
      <c r="AU37" s="1724"/>
      <c r="AV37" s="1724"/>
      <c r="AW37" s="1724"/>
      <c r="AX37" s="1724"/>
      <c r="AY37" s="1724"/>
      <c r="AZ37" s="1724"/>
      <c r="BA37" s="1724"/>
      <c r="BB37" s="1724"/>
      <c r="BC37" s="1724"/>
      <c r="BD37" s="1725"/>
    </row>
    <row r="38" spans="1:56" s="422" customFormat="1" ht="51.75" thickBot="1" x14ac:dyDescent="0.3">
      <c r="A38" s="2576"/>
      <c r="B38" s="2578"/>
      <c r="C38" s="2566"/>
      <c r="D38" s="2566"/>
      <c r="E38" s="2566"/>
      <c r="F38" s="2570"/>
      <c r="G38" s="2564"/>
      <c r="H38" s="2553"/>
      <c r="I38" s="2570"/>
      <c r="J38" s="2566"/>
      <c r="K38" s="2572"/>
      <c r="L38" s="2574"/>
      <c r="M38" s="2555"/>
      <c r="N38" s="2572"/>
      <c r="O38" s="2566"/>
      <c r="P38" s="2566"/>
      <c r="Q38" s="2566"/>
      <c r="R38" s="2566"/>
      <c r="S38" s="2566"/>
      <c r="T38" s="2568"/>
      <c r="U38" s="1198" t="s">
        <v>1226</v>
      </c>
      <c r="V38" s="1212">
        <v>41782</v>
      </c>
      <c r="W38" s="1216">
        <v>11318</v>
      </c>
      <c r="X38" s="1202" t="s">
        <v>5845</v>
      </c>
      <c r="Y38" s="1212">
        <v>41647</v>
      </c>
      <c r="Z38" s="1212">
        <v>41889</v>
      </c>
      <c r="AA38" s="751">
        <v>3.3300000000000003E-2</v>
      </c>
      <c r="AB38" s="1200"/>
      <c r="AC38" s="1214">
        <v>2282.8000000000002</v>
      </c>
      <c r="AD38" s="1210"/>
      <c r="AE38" s="130">
        <f>L37+AC38</f>
        <v>125282.8</v>
      </c>
      <c r="AF38" s="753">
        <v>86339.48</v>
      </c>
      <c r="AG38" s="753">
        <f>84939.36+14156.56+14156.56+14156.56+14156.56+14156.56</f>
        <v>155722.16</v>
      </c>
      <c r="AH38" s="131">
        <f>AF38+AG38</f>
        <v>242061.64</v>
      </c>
      <c r="AI38" s="2553"/>
      <c r="AJ38" s="2555"/>
      <c r="AK38" s="2562"/>
      <c r="AL38" s="2564"/>
      <c r="AM38" s="756"/>
      <c r="AN38" s="754"/>
      <c r="AO38" s="754"/>
      <c r="AP38" s="754"/>
      <c r="AQ38" s="754"/>
      <c r="AR38" s="755"/>
      <c r="AS38" s="1707"/>
      <c r="AT38" s="1708"/>
      <c r="AU38" s="1708"/>
      <c r="AV38" s="1708"/>
      <c r="AW38" s="1708"/>
      <c r="AX38" s="1708"/>
      <c r="AY38" s="1708"/>
      <c r="AZ38" s="1708"/>
      <c r="BA38" s="1708"/>
      <c r="BB38" s="1708"/>
      <c r="BC38" s="1708"/>
      <c r="BD38" s="1709"/>
    </row>
    <row r="39" spans="1:56" s="422" customFormat="1" ht="15" customHeight="1" x14ac:dyDescent="0.25">
      <c r="A39" s="2538">
        <v>8</v>
      </c>
      <c r="B39" s="2540" t="s">
        <v>1057</v>
      </c>
      <c r="C39" s="2198" t="s">
        <v>5846</v>
      </c>
      <c r="D39" s="2198" t="s">
        <v>1171</v>
      </c>
      <c r="E39" s="2198" t="s">
        <v>5811</v>
      </c>
      <c r="F39" s="2202" t="s">
        <v>5847</v>
      </c>
      <c r="G39" s="2556">
        <v>10513</v>
      </c>
      <c r="H39" s="2545" t="s">
        <v>5848</v>
      </c>
      <c r="I39" s="2202" t="s">
        <v>5849</v>
      </c>
      <c r="J39" s="2198" t="s">
        <v>5850</v>
      </c>
      <c r="K39" s="2203">
        <v>40700</v>
      </c>
      <c r="L39" s="2559">
        <v>15900</v>
      </c>
      <c r="M39" s="2536">
        <v>10570</v>
      </c>
      <c r="N39" s="2203">
        <v>40700</v>
      </c>
      <c r="O39" s="2203">
        <v>40908</v>
      </c>
      <c r="P39" s="2198">
        <v>1</v>
      </c>
      <c r="Q39" s="2198" t="s">
        <v>677</v>
      </c>
      <c r="R39" s="2198"/>
      <c r="S39" s="2198"/>
      <c r="T39" s="2531" t="s">
        <v>5826</v>
      </c>
      <c r="U39" s="1182" t="s">
        <v>1224</v>
      </c>
      <c r="V39" s="1098">
        <v>40871</v>
      </c>
      <c r="W39" s="1187">
        <v>10683</v>
      </c>
      <c r="X39" s="785" t="s">
        <v>5817</v>
      </c>
      <c r="Y39" s="1098">
        <v>40879</v>
      </c>
      <c r="Z39" s="1098">
        <v>41066</v>
      </c>
      <c r="AA39" s="1094"/>
      <c r="AB39" s="1094"/>
      <c r="AC39" s="788"/>
      <c r="AD39" s="1195"/>
      <c r="AE39" s="787"/>
      <c r="AF39" s="788"/>
      <c r="AG39" s="788"/>
      <c r="AH39" s="789"/>
      <c r="AI39" s="790"/>
      <c r="AJ39" s="791"/>
      <c r="AK39" s="792"/>
      <c r="AL39" s="793"/>
      <c r="AM39" s="794"/>
      <c r="AN39" s="791"/>
      <c r="AO39" s="791"/>
      <c r="AP39" s="791"/>
      <c r="AQ39" s="791"/>
      <c r="AR39" s="793"/>
      <c r="AS39" s="1713"/>
      <c r="AT39" s="1714"/>
      <c r="AU39" s="1714"/>
      <c r="AV39" s="1714"/>
      <c r="AW39" s="1714"/>
      <c r="AX39" s="1714"/>
      <c r="AY39" s="1714"/>
      <c r="AZ39" s="1714"/>
      <c r="BA39" s="1714"/>
      <c r="BB39" s="1714"/>
      <c r="BC39" s="1714"/>
      <c r="BD39" s="1715"/>
    </row>
    <row r="40" spans="1:56" s="422" customFormat="1" x14ac:dyDescent="0.25">
      <c r="A40" s="2548"/>
      <c r="B40" s="2549"/>
      <c r="C40" s="2021"/>
      <c r="D40" s="2021"/>
      <c r="E40" s="2021"/>
      <c r="F40" s="2189"/>
      <c r="G40" s="2557"/>
      <c r="H40" s="2551"/>
      <c r="I40" s="2189"/>
      <c r="J40" s="2021"/>
      <c r="K40" s="2033"/>
      <c r="L40" s="2290"/>
      <c r="M40" s="2021"/>
      <c r="N40" s="2033"/>
      <c r="O40" s="2033"/>
      <c r="P40" s="2021"/>
      <c r="Q40" s="2021"/>
      <c r="R40" s="2021"/>
      <c r="S40" s="2021"/>
      <c r="T40" s="2043"/>
      <c r="U40" s="1029" t="s">
        <v>1226</v>
      </c>
      <c r="V40" s="1054">
        <v>41066</v>
      </c>
      <c r="W40" s="1053">
        <v>10926</v>
      </c>
      <c r="X40" s="518" t="s">
        <v>5817</v>
      </c>
      <c r="Y40" s="1054">
        <v>41249</v>
      </c>
      <c r="Z40" s="1054">
        <v>41248</v>
      </c>
      <c r="AA40" s="1030"/>
      <c r="AB40" s="1030"/>
      <c r="AC40" s="1056"/>
      <c r="AD40" s="1050"/>
      <c r="AE40" s="63"/>
      <c r="AF40" s="1162"/>
      <c r="AG40" s="1162"/>
      <c r="AH40" s="33"/>
      <c r="AI40" s="267"/>
      <c r="AJ40" s="107"/>
      <c r="AK40" s="809"/>
      <c r="AL40" s="180"/>
      <c r="AM40" s="179"/>
      <c r="AN40" s="107"/>
      <c r="AO40" s="107"/>
      <c r="AP40" s="107"/>
      <c r="AQ40" s="107"/>
      <c r="AR40" s="180"/>
      <c r="AS40" s="1719"/>
      <c r="AT40" s="1720"/>
      <c r="AU40" s="1720"/>
      <c r="AV40" s="1720"/>
      <c r="AW40" s="1720"/>
      <c r="AX40" s="1720"/>
      <c r="AY40" s="1720"/>
      <c r="AZ40" s="1720"/>
      <c r="BA40" s="1720"/>
      <c r="BB40" s="1720"/>
      <c r="BC40" s="1720"/>
      <c r="BD40" s="1721"/>
    </row>
    <row r="41" spans="1:56" s="422" customFormat="1" x14ac:dyDescent="0.25">
      <c r="A41" s="2548"/>
      <c r="B41" s="2549"/>
      <c r="C41" s="2021"/>
      <c r="D41" s="2021"/>
      <c r="E41" s="2021"/>
      <c r="F41" s="2189"/>
      <c r="G41" s="2557"/>
      <c r="H41" s="2551"/>
      <c r="I41" s="2189"/>
      <c r="J41" s="2021"/>
      <c r="K41" s="2033"/>
      <c r="L41" s="2290"/>
      <c r="M41" s="2021"/>
      <c r="N41" s="2033"/>
      <c r="O41" s="2033"/>
      <c r="P41" s="2021"/>
      <c r="Q41" s="2021"/>
      <c r="R41" s="2021"/>
      <c r="S41" s="2021"/>
      <c r="T41" s="2043"/>
      <c r="U41" s="1029" t="s">
        <v>1227</v>
      </c>
      <c r="V41" s="1054">
        <v>41249</v>
      </c>
      <c r="W41" s="1053">
        <v>10927</v>
      </c>
      <c r="X41" s="518" t="s">
        <v>5817</v>
      </c>
      <c r="Y41" s="1054">
        <v>41249</v>
      </c>
      <c r="Z41" s="1054">
        <v>41274</v>
      </c>
      <c r="AA41" s="1030"/>
      <c r="AB41" s="1030"/>
      <c r="AC41" s="1056"/>
      <c r="AD41" s="1050"/>
      <c r="AE41" s="63"/>
      <c r="AF41" s="1162"/>
      <c r="AG41" s="1162"/>
      <c r="AH41" s="33"/>
      <c r="AI41" s="267"/>
      <c r="AJ41" s="107"/>
      <c r="AK41" s="809"/>
      <c r="AL41" s="180"/>
      <c r="AM41" s="179"/>
      <c r="AN41" s="107"/>
      <c r="AO41" s="107"/>
      <c r="AP41" s="107"/>
      <c r="AQ41" s="107"/>
      <c r="AR41" s="180"/>
      <c r="AS41" s="1719"/>
      <c r="AT41" s="1720"/>
      <c r="AU41" s="1720"/>
      <c r="AV41" s="1720"/>
      <c r="AW41" s="1720"/>
      <c r="AX41" s="1720"/>
      <c r="AY41" s="1720"/>
      <c r="AZ41" s="1720"/>
      <c r="BA41" s="1720"/>
      <c r="BB41" s="1720"/>
      <c r="BC41" s="1720"/>
      <c r="BD41" s="1721"/>
    </row>
    <row r="42" spans="1:56" s="422" customFormat="1" x14ac:dyDescent="0.25">
      <c r="A42" s="2548"/>
      <c r="B42" s="2549"/>
      <c r="C42" s="2021"/>
      <c r="D42" s="2021"/>
      <c r="E42" s="2021"/>
      <c r="F42" s="2189"/>
      <c r="G42" s="2557"/>
      <c r="H42" s="2551"/>
      <c r="I42" s="2189"/>
      <c r="J42" s="2021"/>
      <c r="K42" s="2033"/>
      <c r="L42" s="2290"/>
      <c r="M42" s="2021"/>
      <c r="N42" s="2033"/>
      <c r="O42" s="2033"/>
      <c r="P42" s="2021"/>
      <c r="Q42" s="2021"/>
      <c r="R42" s="2021"/>
      <c r="S42" s="2021"/>
      <c r="T42" s="2043"/>
      <c r="U42" s="1029" t="s">
        <v>1228</v>
      </c>
      <c r="V42" s="1054">
        <v>41261</v>
      </c>
      <c r="W42" s="1053">
        <v>10953</v>
      </c>
      <c r="X42" s="518" t="s">
        <v>5817</v>
      </c>
      <c r="Y42" s="1054">
        <v>41275</v>
      </c>
      <c r="Z42" s="1054">
        <v>41455</v>
      </c>
      <c r="AA42" s="1030"/>
      <c r="AB42" s="1030"/>
      <c r="AC42" s="1056"/>
      <c r="AD42" s="1050"/>
      <c r="AE42" s="63"/>
      <c r="AF42" s="1162"/>
      <c r="AG42" s="1162"/>
      <c r="AH42" s="33"/>
      <c r="AI42" s="267"/>
      <c r="AJ42" s="107"/>
      <c r="AK42" s="809"/>
      <c r="AL42" s="180"/>
      <c r="AM42" s="179"/>
      <c r="AN42" s="107"/>
      <c r="AO42" s="107"/>
      <c r="AP42" s="107"/>
      <c r="AQ42" s="107"/>
      <c r="AR42" s="180"/>
      <c r="AS42" s="1719"/>
      <c r="AT42" s="1720"/>
      <c r="AU42" s="1720"/>
      <c r="AV42" s="1720"/>
      <c r="AW42" s="1720"/>
      <c r="AX42" s="1720"/>
      <c r="AY42" s="1720"/>
      <c r="AZ42" s="1720"/>
      <c r="BA42" s="1720"/>
      <c r="BB42" s="1720"/>
      <c r="BC42" s="1720"/>
      <c r="BD42" s="1721"/>
    </row>
    <row r="43" spans="1:56" s="422" customFormat="1" ht="51" x14ac:dyDescent="0.25">
      <c r="A43" s="2548"/>
      <c r="B43" s="2549"/>
      <c r="C43" s="2021"/>
      <c r="D43" s="2021"/>
      <c r="E43" s="2021"/>
      <c r="F43" s="2189"/>
      <c r="G43" s="2557"/>
      <c r="H43" s="2551"/>
      <c r="I43" s="2189"/>
      <c r="J43" s="2021"/>
      <c r="K43" s="2033"/>
      <c r="L43" s="2290"/>
      <c r="M43" s="2021"/>
      <c r="N43" s="2033"/>
      <c r="O43" s="2033"/>
      <c r="P43" s="2021"/>
      <c r="Q43" s="2021"/>
      <c r="R43" s="2021"/>
      <c r="S43" s="2021"/>
      <c r="T43" s="2043"/>
      <c r="U43" s="1029" t="s">
        <v>1246</v>
      </c>
      <c r="V43" s="1054">
        <v>41417</v>
      </c>
      <c r="W43" s="1053">
        <v>11064</v>
      </c>
      <c r="X43" s="1115" t="s">
        <v>5851</v>
      </c>
      <c r="Y43" s="1054">
        <v>41417</v>
      </c>
      <c r="Z43" s="1054">
        <v>41455</v>
      </c>
      <c r="AA43" s="1030"/>
      <c r="AB43" s="1030"/>
      <c r="AC43" s="1056"/>
      <c r="AD43" s="1050"/>
      <c r="AE43" s="63"/>
      <c r="AF43" s="1162"/>
      <c r="AG43" s="1162"/>
      <c r="AH43" s="33"/>
      <c r="AI43" s="267"/>
      <c r="AJ43" s="107"/>
      <c r="AK43" s="809"/>
      <c r="AL43" s="180"/>
      <c r="AM43" s="179"/>
      <c r="AN43" s="107"/>
      <c r="AO43" s="107"/>
      <c r="AP43" s="107"/>
      <c r="AQ43" s="107"/>
      <c r="AR43" s="180"/>
      <c r="AS43" s="1719"/>
      <c r="AT43" s="1720"/>
      <c r="AU43" s="1720"/>
      <c r="AV43" s="1720"/>
      <c r="AW43" s="1720"/>
      <c r="AX43" s="1720"/>
      <c r="AY43" s="1720"/>
      <c r="AZ43" s="1720"/>
      <c r="BA43" s="1720"/>
      <c r="BB43" s="1720"/>
      <c r="BC43" s="1720"/>
      <c r="BD43" s="1721"/>
    </row>
    <row r="44" spans="1:56" s="422" customFormat="1" x14ac:dyDescent="0.25">
      <c r="A44" s="2548"/>
      <c r="B44" s="2549"/>
      <c r="C44" s="2021"/>
      <c r="D44" s="2021"/>
      <c r="E44" s="2021"/>
      <c r="F44" s="2189"/>
      <c r="G44" s="2557"/>
      <c r="H44" s="2551"/>
      <c r="I44" s="2189"/>
      <c r="J44" s="2021"/>
      <c r="K44" s="2033"/>
      <c r="L44" s="2290"/>
      <c r="M44" s="2021"/>
      <c r="N44" s="2033"/>
      <c r="O44" s="2033"/>
      <c r="P44" s="2021"/>
      <c r="Q44" s="2021"/>
      <c r="R44" s="2021"/>
      <c r="S44" s="2021"/>
      <c r="T44" s="2043"/>
      <c r="U44" s="1029" t="s">
        <v>1249</v>
      </c>
      <c r="V44" s="1054">
        <v>41449</v>
      </c>
      <c r="W44" s="1053">
        <v>11077</v>
      </c>
      <c r="X44" s="518" t="s">
        <v>5817</v>
      </c>
      <c r="Y44" s="1054">
        <v>41456</v>
      </c>
      <c r="Z44" s="1054">
        <v>41639</v>
      </c>
      <c r="AA44" s="1030"/>
      <c r="AB44" s="1030"/>
      <c r="AC44" s="1056"/>
      <c r="AD44" s="1050"/>
      <c r="AE44" s="63"/>
      <c r="AF44" s="1162"/>
      <c r="AG44" s="1162"/>
      <c r="AH44" s="33"/>
      <c r="AI44" s="267"/>
      <c r="AJ44" s="107"/>
      <c r="AK44" s="809"/>
      <c r="AL44" s="180"/>
      <c r="AM44" s="179"/>
      <c r="AN44" s="107"/>
      <c r="AO44" s="107"/>
      <c r="AP44" s="107"/>
      <c r="AQ44" s="107"/>
      <c r="AR44" s="180"/>
      <c r="AS44" s="1719"/>
      <c r="AT44" s="1720"/>
      <c r="AU44" s="1720"/>
      <c r="AV44" s="1720"/>
      <c r="AW44" s="1720"/>
      <c r="AX44" s="1720"/>
      <c r="AY44" s="1720"/>
      <c r="AZ44" s="1720"/>
      <c r="BA44" s="1720"/>
      <c r="BB44" s="1720"/>
      <c r="BC44" s="1720"/>
      <c r="BD44" s="1721"/>
    </row>
    <row r="45" spans="1:56" s="422" customFormat="1" ht="51" x14ac:dyDescent="0.25">
      <c r="A45" s="2548"/>
      <c r="B45" s="2549"/>
      <c r="C45" s="2021"/>
      <c r="D45" s="2021"/>
      <c r="E45" s="2021"/>
      <c r="F45" s="2189"/>
      <c r="G45" s="2557"/>
      <c r="H45" s="2551"/>
      <c r="I45" s="2189"/>
      <c r="J45" s="2021"/>
      <c r="K45" s="2033"/>
      <c r="L45" s="2290"/>
      <c r="M45" s="2021"/>
      <c r="N45" s="2033"/>
      <c r="O45" s="2033"/>
      <c r="P45" s="2021"/>
      <c r="Q45" s="2021"/>
      <c r="R45" s="2021"/>
      <c r="S45" s="2021"/>
      <c r="T45" s="2043"/>
      <c r="U45" s="1029" t="s">
        <v>1250</v>
      </c>
      <c r="V45" s="1054">
        <v>41548</v>
      </c>
      <c r="W45" s="1053">
        <v>11059</v>
      </c>
      <c r="X45" s="518" t="s">
        <v>5852</v>
      </c>
      <c r="Y45" s="1054">
        <v>41548</v>
      </c>
      <c r="Z45" s="1054">
        <v>41639</v>
      </c>
      <c r="AA45" s="1030"/>
      <c r="AB45" s="1030"/>
      <c r="AC45" s="1056">
        <v>8870.1299999999992</v>
      </c>
      <c r="AD45" s="1050"/>
      <c r="AE45" s="63">
        <f>L39-AD45+AC45</f>
        <v>24770.129999999997</v>
      </c>
      <c r="AF45" s="1162"/>
      <c r="AG45" s="1162"/>
      <c r="AH45" s="33"/>
      <c r="AI45" s="267"/>
      <c r="AJ45" s="107"/>
      <c r="AK45" s="809"/>
      <c r="AL45" s="180"/>
      <c r="AM45" s="179"/>
      <c r="AN45" s="107"/>
      <c r="AO45" s="107"/>
      <c r="AP45" s="107"/>
      <c r="AQ45" s="107"/>
      <c r="AR45" s="180"/>
      <c r="AS45" s="1719"/>
      <c r="AT45" s="1720"/>
      <c r="AU45" s="1720"/>
      <c r="AV45" s="1720"/>
      <c r="AW45" s="1720"/>
      <c r="AX45" s="1720"/>
      <c r="AY45" s="1720"/>
      <c r="AZ45" s="1720"/>
      <c r="BA45" s="1720"/>
      <c r="BB45" s="1720"/>
      <c r="BC45" s="1720"/>
      <c r="BD45" s="1721"/>
    </row>
    <row r="46" spans="1:56" s="422" customFormat="1" x14ac:dyDescent="0.25">
      <c r="A46" s="2548"/>
      <c r="B46" s="2549"/>
      <c r="C46" s="2021"/>
      <c r="D46" s="2021"/>
      <c r="E46" s="2021"/>
      <c r="F46" s="2189"/>
      <c r="G46" s="2557"/>
      <c r="H46" s="2551"/>
      <c r="I46" s="2189"/>
      <c r="J46" s="2021"/>
      <c r="K46" s="2033"/>
      <c r="L46" s="2290"/>
      <c r="M46" s="2021"/>
      <c r="N46" s="2033"/>
      <c r="O46" s="2033"/>
      <c r="P46" s="2021"/>
      <c r="Q46" s="2021"/>
      <c r="R46" s="2021"/>
      <c r="S46" s="2021"/>
      <c r="T46" s="2043"/>
      <c r="U46" s="1029" t="s">
        <v>1252</v>
      </c>
      <c r="V46" s="1054">
        <v>41628</v>
      </c>
      <c r="W46" s="1053">
        <v>11317</v>
      </c>
      <c r="X46" s="518" t="s">
        <v>5817</v>
      </c>
      <c r="Y46" s="1054">
        <v>41640</v>
      </c>
      <c r="Z46" s="1054">
        <v>41820</v>
      </c>
      <c r="AA46" s="1030"/>
      <c r="AB46" s="1030"/>
      <c r="AC46" s="1056"/>
      <c r="AD46" s="1050"/>
      <c r="AE46" s="63"/>
      <c r="AF46" s="1162"/>
      <c r="AG46" s="1162"/>
      <c r="AH46" s="33"/>
      <c r="AI46" s="267"/>
      <c r="AJ46" s="107"/>
      <c r="AK46" s="809"/>
      <c r="AL46" s="180"/>
      <c r="AM46" s="179"/>
      <c r="AN46" s="107"/>
      <c r="AO46" s="107"/>
      <c r="AP46" s="107"/>
      <c r="AQ46" s="107"/>
      <c r="AR46" s="180"/>
      <c r="AS46" s="1719"/>
      <c r="AT46" s="1720"/>
      <c r="AU46" s="1720"/>
      <c r="AV46" s="1720"/>
      <c r="AW46" s="1720"/>
      <c r="AX46" s="1720"/>
      <c r="AY46" s="1720"/>
      <c r="AZ46" s="1720"/>
      <c r="BA46" s="1720"/>
      <c r="BB46" s="1720"/>
      <c r="BC46" s="1720"/>
      <c r="BD46" s="1721"/>
    </row>
    <row r="47" spans="1:56" s="422" customFormat="1" x14ac:dyDescent="0.25">
      <c r="A47" s="2548"/>
      <c r="B47" s="2549"/>
      <c r="C47" s="2021"/>
      <c r="D47" s="2021"/>
      <c r="E47" s="2021"/>
      <c r="F47" s="2189"/>
      <c r="G47" s="2557"/>
      <c r="H47" s="2551"/>
      <c r="I47" s="2189"/>
      <c r="J47" s="2021"/>
      <c r="K47" s="2033"/>
      <c r="L47" s="2290"/>
      <c r="M47" s="2021"/>
      <c r="N47" s="2033"/>
      <c r="O47" s="2033"/>
      <c r="P47" s="2021"/>
      <c r="Q47" s="2021"/>
      <c r="R47" s="2021"/>
      <c r="S47" s="2021"/>
      <c r="T47" s="2043"/>
      <c r="U47" s="1194" t="s">
        <v>1253</v>
      </c>
      <c r="V47" s="1047">
        <v>41815</v>
      </c>
      <c r="W47" s="1104">
        <v>11337</v>
      </c>
      <c r="X47" s="1125" t="s">
        <v>5817</v>
      </c>
      <c r="Y47" s="1047">
        <v>41821</v>
      </c>
      <c r="Z47" s="1047">
        <v>42004</v>
      </c>
      <c r="AA47" s="1038"/>
      <c r="AB47" s="1038"/>
      <c r="AC47" s="1100"/>
      <c r="AD47" s="1034"/>
      <c r="AE47" s="802"/>
      <c r="AF47" s="282"/>
      <c r="AG47" s="282"/>
      <c r="AH47" s="803"/>
      <c r="AI47" s="804"/>
      <c r="AJ47" s="805"/>
      <c r="AK47" s="806"/>
      <c r="AL47" s="807"/>
      <c r="AM47" s="808"/>
      <c r="AN47" s="805"/>
      <c r="AO47" s="805"/>
      <c r="AP47" s="805"/>
      <c r="AQ47" s="805"/>
      <c r="AR47" s="807"/>
      <c r="AS47" s="1716"/>
      <c r="AT47" s="1717"/>
      <c r="AU47" s="1717"/>
      <c r="AV47" s="1717"/>
      <c r="AW47" s="1717"/>
      <c r="AX47" s="1717"/>
      <c r="AY47" s="1717"/>
      <c r="AZ47" s="1717"/>
      <c r="BA47" s="1717"/>
      <c r="BB47" s="1717"/>
      <c r="BC47" s="1717"/>
      <c r="BD47" s="1718"/>
    </row>
    <row r="48" spans="1:56" s="422" customFormat="1" ht="51.75" thickBot="1" x14ac:dyDescent="0.3">
      <c r="A48" s="2539"/>
      <c r="B48" s="2541"/>
      <c r="C48" s="2530"/>
      <c r="D48" s="2530"/>
      <c r="E48" s="2530"/>
      <c r="F48" s="2542"/>
      <c r="G48" s="2558"/>
      <c r="H48" s="2546"/>
      <c r="I48" s="2542"/>
      <c r="J48" s="2530"/>
      <c r="K48" s="2529"/>
      <c r="L48" s="2560"/>
      <c r="M48" s="2530"/>
      <c r="N48" s="2529"/>
      <c r="O48" s="2529"/>
      <c r="P48" s="2530"/>
      <c r="Q48" s="2530"/>
      <c r="R48" s="2530"/>
      <c r="S48" s="2530"/>
      <c r="T48" s="2532"/>
      <c r="U48" s="1198" t="s">
        <v>1255</v>
      </c>
      <c r="V48" s="1212">
        <v>41905</v>
      </c>
      <c r="W48" s="1216">
        <v>11400</v>
      </c>
      <c r="X48" s="798" t="s">
        <v>5853</v>
      </c>
      <c r="Y48" s="1212">
        <v>41913</v>
      </c>
      <c r="Z48" s="1212">
        <v>42004</v>
      </c>
      <c r="AA48" s="751">
        <v>7.0400000000000004E-2</v>
      </c>
      <c r="AB48" s="1200"/>
      <c r="AC48" s="1214">
        <v>624.92999999999995</v>
      </c>
      <c r="AD48" s="1210"/>
      <c r="AE48" s="130">
        <f>2956.71*12+AC48</f>
        <v>36105.450000000004</v>
      </c>
      <c r="AF48" s="753">
        <v>22120.13</v>
      </c>
      <c r="AG48" s="753">
        <f>17740.26+2956.71+2956.71+2956.71+2956.71+208.31+2956.71+208.31+2956.71+208.31</f>
        <v>36105.44999999999</v>
      </c>
      <c r="AH48" s="131">
        <f>AF48+AG48</f>
        <v>58225.579999999987</v>
      </c>
      <c r="AI48" s="799"/>
      <c r="AJ48" s="754"/>
      <c r="AK48" s="1208"/>
      <c r="AL48" s="755"/>
      <c r="AM48" s="756"/>
      <c r="AN48" s="754"/>
      <c r="AO48" s="754"/>
      <c r="AP48" s="754"/>
      <c r="AQ48" s="754"/>
      <c r="AR48" s="755"/>
      <c r="AS48" s="1707"/>
      <c r="AT48" s="1708"/>
      <c r="AU48" s="1708"/>
      <c r="AV48" s="1708"/>
      <c r="AW48" s="1708"/>
      <c r="AX48" s="1708"/>
      <c r="AY48" s="1708"/>
      <c r="AZ48" s="1708"/>
      <c r="BA48" s="1708"/>
      <c r="BB48" s="1708"/>
      <c r="BC48" s="1708"/>
      <c r="BD48" s="1709"/>
    </row>
    <row r="49" spans="1:56" s="422" customFormat="1" x14ac:dyDescent="0.25">
      <c r="A49" s="2538">
        <v>9</v>
      </c>
      <c r="B49" s="2540" t="s">
        <v>1317</v>
      </c>
      <c r="C49" s="2198" t="s">
        <v>5854</v>
      </c>
      <c r="D49" s="2198" t="s">
        <v>5833</v>
      </c>
      <c r="E49" s="2198" t="s">
        <v>5811</v>
      </c>
      <c r="F49" s="2198" t="s">
        <v>5855</v>
      </c>
      <c r="G49" s="2543">
        <v>10846</v>
      </c>
      <c r="H49" s="2545" t="s">
        <v>5856</v>
      </c>
      <c r="I49" s="2533" t="s">
        <v>5857</v>
      </c>
      <c r="J49" s="2198" t="s">
        <v>5858</v>
      </c>
      <c r="K49" s="2203">
        <v>41155</v>
      </c>
      <c r="L49" s="2204">
        <v>208799.39</v>
      </c>
      <c r="M49" s="2536">
        <v>10865</v>
      </c>
      <c r="N49" s="2203">
        <v>41155</v>
      </c>
      <c r="O49" s="2203" t="s">
        <v>5859</v>
      </c>
      <c r="P49" s="2198">
        <v>1</v>
      </c>
      <c r="Q49" s="2198" t="s">
        <v>677</v>
      </c>
      <c r="R49" s="2198"/>
      <c r="S49" s="2198"/>
      <c r="T49" s="832" t="s">
        <v>5860</v>
      </c>
      <c r="U49" s="1197" t="s">
        <v>1224</v>
      </c>
      <c r="V49" s="1211">
        <v>41260</v>
      </c>
      <c r="W49" s="1215">
        <v>10955</v>
      </c>
      <c r="X49" s="825" t="s">
        <v>5816</v>
      </c>
      <c r="Y49" s="1211">
        <v>41275</v>
      </c>
      <c r="Z49" s="1211">
        <v>41394</v>
      </c>
      <c r="AA49" s="1094"/>
      <c r="AB49" s="1094"/>
      <c r="AC49" s="1099"/>
      <c r="AD49" s="1195"/>
      <c r="AE49" s="787"/>
      <c r="AF49" s="788"/>
      <c r="AG49" s="788"/>
      <c r="AH49" s="789"/>
      <c r="AI49" s="833"/>
      <c r="AJ49" s="830"/>
      <c r="AK49" s="1207"/>
      <c r="AL49" s="831"/>
      <c r="AM49" s="829"/>
      <c r="AN49" s="830"/>
      <c r="AO49" s="830"/>
      <c r="AP49" s="830"/>
      <c r="AQ49" s="830"/>
      <c r="AR49" s="831"/>
      <c r="AS49" s="1723"/>
      <c r="AT49" s="1724"/>
      <c r="AU49" s="1724"/>
      <c r="AV49" s="1724"/>
      <c r="AW49" s="1724"/>
      <c r="AX49" s="1724"/>
      <c r="AY49" s="1724"/>
      <c r="AZ49" s="1724"/>
      <c r="BA49" s="1724"/>
      <c r="BB49" s="1724"/>
      <c r="BC49" s="1724"/>
      <c r="BD49" s="1725"/>
    </row>
    <row r="50" spans="1:56" s="422" customFormat="1" x14ac:dyDescent="0.25">
      <c r="A50" s="2548"/>
      <c r="B50" s="2549"/>
      <c r="C50" s="2021"/>
      <c r="D50" s="2021"/>
      <c r="E50" s="2021"/>
      <c r="F50" s="2021"/>
      <c r="G50" s="2550"/>
      <c r="H50" s="2551"/>
      <c r="I50" s="2547"/>
      <c r="J50" s="2021"/>
      <c r="K50" s="2033"/>
      <c r="L50" s="2187"/>
      <c r="M50" s="2197"/>
      <c r="N50" s="2033"/>
      <c r="O50" s="2033"/>
      <c r="P50" s="2021"/>
      <c r="Q50" s="2021"/>
      <c r="R50" s="2021"/>
      <c r="S50" s="2021"/>
      <c r="T50" s="834"/>
      <c r="U50" s="1029" t="s">
        <v>1226</v>
      </c>
      <c r="V50" s="1054">
        <v>41372</v>
      </c>
      <c r="W50" s="1053">
        <v>11032</v>
      </c>
      <c r="X50" s="518" t="s">
        <v>5816</v>
      </c>
      <c r="Y50" s="1054">
        <v>41395</v>
      </c>
      <c r="Z50" s="1054">
        <v>41514</v>
      </c>
      <c r="AA50" s="1039"/>
      <c r="AB50" s="1039"/>
      <c r="AC50" s="1070"/>
      <c r="AD50" s="1035"/>
      <c r="AE50" s="835"/>
      <c r="AF50" s="1164"/>
      <c r="AG50" s="1164"/>
      <c r="AH50" s="25"/>
      <c r="AI50" s="267"/>
      <c r="AJ50" s="107"/>
      <c r="AK50" s="809"/>
      <c r="AL50" s="180"/>
      <c r="AM50" s="179"/>
      <c r="AN50" s="107"/>
      <c r="AO50" s="107"/>
      <c r="AP50" s="107"/>
      <c r="AQ50" s="107"/>
      <c r="AR50" s="180"/>
      <c r="AS50" s="1719"/>
      <c r="AT50" s="1720"/>
      <c r="AU50" s="1720"/>
      <c r="AV50" s="1720"/>
      <c r="AW50" s="1720"/>
      <c r="AX50" s="1720"/>
      <c r="AY50" s="1720"/>
      <c r="AZ50" s="1720"/>
      <c r="BA50" s="1720"/>
      <c r="BB50" s="1720"/>
      <c r="BC50" s="1720"/>
      <c r="BD50" s="1721"/>
    </row>
    <row r="51" spans="1:56" s="422" customFormat="1" ht="51" x14ac:dyDescent="0.25">
      <c r="A51" s="2548"/>
      <c r="B51" s="2549"/>
      <c r="C51" s="2021"/>
      <c r="D51" s="2021"/>
      <c r="E51" s="2021"/>
      <c r="F51" s="2021"/>
      <c r="G51" s="2550"/>
      <c r="H51" s="2551"/>
      <c r="I51" s="2547"/>
      <c r="J51" s="2021"/>
      <c r="K51" s="2033"/>
      <c r="L51" s="2187"/>
      <c r="M51" s="2197"/>
      <c r="N51" s="2033"/>
      <c r="O51" s="2033"/>
      <c r="P51" s="2021"/>
      <c r="Q51" s="2021"/>
      <c r="R51" s="2021"/>
      <c r="S51" s="2021"/>
      <c r="T51" s="834"/>
      <c r="U51" s="1029" t="s">
        <v>1227</v>
      </c>
      <c r="V51" s="1054">
        <v>77911</v>
      </c>
      <c r="W51" s="1053">
        <v>11069</v>
      </c>
      <c r="X51" s="1115" t="s">
        <v>5861</v>
      </c>
      <c r="Y51" s="1054">
        <v>41387</v>
      </c>
      <c r="Z51" s="1054">
        <v>41514</v>
      </c>
      <c r="AA51" s="1030"/>
      <c r="AB51" s="1030"/>
      <c r="AC51" s="1056"/>
      <c r="AD51" s="1050"/>
      <c r="AE51" s="63"/>
      <c r="AF51" s="1162"/>
      <c r="AG51" s="1162"/>
      <c r="AH51" s="33"/>
      <c r="AI51" s="267"/>
      <c r="AJ51" s="107"/>
      <c r="AK51" s="809"/>
      <c r="AL51" s="180"/>
      <c r="AM51" s="179"/>
      <c r="AN51" s="107"/>
      <c r="AO51" s="107"/>
      <c r="AP51" s="107"/>
      <c r="AQ51" s="107"/>
      <c r="AR51" s="180"/>
      <c r="AS51" s="1719"/>
      <c r="AT51" s="1720"/>
      <c r="AU51" s="1720"/>
      <c r="AV51" s="1720"/>
      <c r="AW51" s="1720"/>
      <c r="AX51" s="1720"/>
      <c r="AY51" s="1720"/>
      <c r="AZ51" s="1720"/>
      <c r="BA51" s="1720"/>
      <c r="BB51" s="1720"/>
      <c r="BC51" s="1720"/>
      <c r="BD51" s="1721"/>
    </row>
    <row r="52" spans="1:56" s="422" customFormat="1" ht="24" customHeight="1" x14ac:dyDescent="0.25">
      <c r="A52" s="2548"/>
      <c r="B52" s="2549"/>
      <c r="C52" s="2021"/>
      <c r="D52" s="2021"/>
      <c r="E52" s="2021"/>
      <c r="F52" s="2021"/>
      <c r="G52" s="2550"/>
      <c r="H52" s="2551"/>
      <c r="I52" s="2547"/>
      <c r="J52" s="2021"/>
      <c r="K52" s="2033"/>
      <c r="L52" s="2187"/>
      <c r="M52" s="2197"/>
      <c r="N52" s="2033"/>
      <c r="O52" s="2033"/>
      <c r="P52" s="2021"/>
      <c r="Q52" s="2021"/>
      <c r="R52" s="2021"/>
      <c r="S52" s="2021"/>
      <c r="T52" s="834"/>
      <c r="U52" s="1029" t="s">
        <v>1228</v>
      </c>
      <c r="V52" s="1054">
        <v>41426</v>
      </c>
      <c r="W52" s="1053">
        <v>11078</v>
      </c>
      <c r="X52" s="1115" t="s">
        <v>5862</v>
      </c>
      <c r="Y52" s="1054">
        <v>41395</v>
      </c>
      <c r="Z52" s="1054">
        <v>41514</v>
      </c>
      <c r="AA52" s="62">
        <v>0.25</v>
      </c>
      <c r="AB52" s="1030"/>
      <c r="AC52" s="1056">
        <v>26100</v>
      </c>
      <c r="AD52" s="1050"/>
      <c r="AE52" s="63">
        <f>L49-AD52+AC52</f>
        <v>234899.39</v>
      </c>
      <c r="AF52" s="1162"/>
      <c r="AG52" s="1162"/>
      <c r="AH52" s="33"/>
      <c r="AI52" s="267"/>
      <c r="AJ52" s="107"/>
      <c r="AK52" s="809"/>
      <c r="AL52" s="180"/>
      <c r="AM52" s="179"/>
      <c r="AN52" s="107"/>
      <c r="AO52" s="107"/>
      <c r="AP52" s="107"/>
      <c r="AQ52" s="107"/>
      <c r="AR52" s="180"/>
      <c r="AS52" s="1719"/>
      <c r="AT52" s="1720"/>
      <c r="AU52" s="1720"/>
      <c r="AV52" s="1720"/>
      <c r="AW52" s="1720"/>
      <c r="AX52" s="1720"/>
      <c r="AY52" s="1720"/>
      <c r="AZ52" s="1720"/>
      <c r="BA52" s="1720"/>
      <c r="BB52" s="1720"/>
      <c r="BC52" s="1720"/>
      <c r="BD52" s="1721"/>
    </row>
    <row r="53" spans="1:56" s="422" customFormat="1" x14ac:dyDescent="0.25">
      <c r="A53" s="2548"/>
      <c r="B53" s="2549"/>
      <c r="C53" s="2021"/>
      <c r="D53" s="2021"/>
      <c r="E53" s="2021"/>
      <c r="F53" s="2021"/>
      <c r="G53" s="2550"/>
      <c r="H53" s="2551"/>
      <c r="I53" s="2547"/>
      <c r="J53" s="2021"/>
      <c r="K53" s="2033"/>
      <c r="L53" s="2187"/>
      <c r="M53" s="2197"/>
      <c r="N53" s="2033"/>
      <c r="O53" s="2033"/>
      <c r="P53" s="2021"/>
      <c r="Q53" s="2021"/>
      <c r="R53" s="2021"/>
      <c r="S53" s="2021"/>
      <c r="T53" s="834"/>
      <c r="U53" s="1029" t="s">
        <v>1246</v>
      </c>
      <c r="V53" s="1054">
        <v>41502</v>
      </c>
      <c r="W53" s="1053">
        <v>11126</v>
      </c>
      <c r="X53" s="518" t="s">
        <v>5817</v>
      </c>
      <c r="Y53" s="1054">
        <v>41515</v>
      </c>
      <c r="Z53" s="1054">
        <v>41634</v>
      </c>
      <c r="AA53" s="1030"/>
      <c r="AB53" s="1030"/>
      <c r="AC53" s="1056"/>
      <c r="AD53" s="1050"/>
      <c r="AE53" s="63"/>
      <c r="AF53" s="1162"/>
      <c r="AG53" s="1162"/>
      <c r="AH53" s="33"/>
      <c r="AI53" s="267"/>
      <c r="AJ53" s="107"/>
      <c r="AK53" s="809"/>
      <c r="AL53" s="180"/>
      <c r="AM53" s="179"/>
      <c r="AN53" s="107"/>
      <c r="AO53" s="107"/>
      <c r="AP53" s="107"/>
      <c r="AQ53" s="107"/>
      <c r="AR53" s="180"/>
      <c r="AS53" s="1719"/>
      <c r="AT53" s="1720"/>
      <c r="AU53" s="1720"/>
      <c r="AV53" s="1720"/>
      <c r="AW53" s="1720"/>
      <c r="AX53" s="1720"/>
      <c r="AY53" s="1720"/>
      <c r="AZ53" s="1720"/>
      <c r="BA53" s="1720"/>
      <c r="BB53" s="1720"/>
      <c r="BC53" s="1720"/>
      <c r="BD53" s="1721"/>
    </row>
    <row r="54" spans="1:56" s="422" customFormat="1" x14ac:dyDescent="0.25">
      <c r="A54" s="2548"/>
      <c r="B54" s="2549"/>
      <c r="C54" s="2021"/>
      <c r="D54" s="2021"/>
      <c r="E54" s="2021"/>
      <c r="F54" s="2021"/>
      <c r="G54" s="2550"/>
      <c r="H54" s="2551"/>
      <c r="I54" s="2547"/>
      <c r="J54" s="2021"/>
      <c r="K54" s="2033"/>
      <c r="L54" s="2187"/>
      <c r="M54" s="2197"/>
      <c r="N54" s="2033"/>
      <c r="O54" s="2033"/>
      <c r="P54" s="2021"/>
      <c r="Q54" s="2021"/>
      <c r="R54" s="2021"/>
      <c r="S54" s="2021"/>
      <c r="T54" s="834"/>
      <c r="U54" s="1029" t="s">
        <v>1249</v>
      </c>
      <c r="V54" s="1054">
        <v>41631</v>
      </c>
      <c r="W54" s="1053">
        <v>11217</v>
      </c>
      <c r="X54" s="518" t="s">
        <v>5817</v>
      </c>
      <c r="Y54" s="1054">
        <v>41635</v>
      </c>
      <c r="Z54" s="1054">
        <v>41754</v>
      </c>
      <c r="AA54" s="1030"/>
      <c r="AB54" s="1030"/>
      <c r="AC54" s="1056"/>
      <c r="AD54" s="1050"/>
      <c r="AE54" s="63"/>
      <c r="AF54" s="1162"/>
      <c r="AG54" s="1162"/>
      <c r="AH54" s="33"/>
      <c r="AI54" s="267"/>
      <c r="AJ54" s="107"/>
      <c r="AK54" s="809"/>
      <c r="AL54" s="180"/>
      <c r="AM54" s="179"/>
      <c r="AN54" s="107"/>
      <c r="AO54" s="107"/>
      <c r="AP54" s="107"/>
      <c r="AQ54" s="107"/>
      <c r="AR54" s="180"/>
      <c r="AS54" s="1719"/>
      <c r="AT54" s="1720"/>
      <c r="AU54" s="1720"/>
      <c r="AV54" s="1720"/>
      <c r="AW54" s="1720"/>
      <c r="AX54" s="1720"/>
      <c r="AY54" s="1720"/>
      <c r="AZ54" s="1720"/>
      <c r="BA54" s="1720"/>
      <c r="BB54" s="1720"/>
      <c r="BC54" s="1720"/>
      <c r="BD54" s="1721"/>
    </row>
    <row r="55" spans="1:56" s="422" customFormat="1" ht="51" x14ac:dyDescent="0.25">
      <c r="A55" s="2548"/>
      <c r="B55" s="2549"/>
      <c r="C55" s="2021"/>
      <c r="D55" s="2021"/>
      <c r="E55" s="2021"/>
      <c r="F55" s="2021"/>
      <c r="G55" s="2550"/>
      <c r="H55" s="2551"/>
      <c r="I55" s="2547"/>
      <c r="J55" s="2021"/>
      <c r="K55" s="2033"/>
      <c r="L55" s="2187"/>
      <c r="M55" s="2197"/>
      <c r="N55" s="2033"/>
      <c r="O55" s="2033"/>
      <c r="P55" s="2021"/>
      <c r="Q55" s="2021"/>
      <c r="R55" s="2021"/>
      <c r="S55" s="2021"/>
      <c r="T55" s="834"/>
      <c r="U55" s="2009" t="s">
        <v>1250</v>
      </c>
      <c r="V55" s="1996">
        <v>41648</v>
      </c>
      <c r="W55" s="1994">
        <v>11237</v>
      </c>
      <c r="X55" s="1103" t="s">
        <v>5863</v>
      </c>
      <c r="Y55" s="1044">
        <v>41275</v>
      </c>
      <c r="Z55" s="1044">
        <v>41754</v>
      </c>
      <c r="AA55" s="596">
        <v>9.8799999999999999E-2</v>
      </c>
      <c r="AB55" s="1040"/>
      <c r="AC55" s="1045">
        <v>17202</v>
      </c>
      <c r="AD55" s="1072"/>
      <c r="AE55" s="836"/>
      <c r="AF55" s="1163"/>
      <c r="AG55" s="1163"/>
      <c r="AH55" s="837"/>
      <c r="AI55" s="838"/>
      <c r="AJ55" s="285"/>
      <c r="AK55" s="839"/>
      <c r="AL55" s="286"/>
      <c r="AM55" s="284"/>
      <c r="AN55" s="285"/>
      <c r="AO55" s="285"/>
      <c r="AP55" s="285"/>
      <c r="AQ55" s="285"/>
      <c r="AR55" s="286"/>
      <c r="AS55" s="1726"/>
      <c r="AT55" s="1727"/>
      <c r="AU55" s="1727"/>
      <c r="AV55" s="1727"/>
      <c r="AW55" s="1727"/>
      <c r="AX55" s="1727"/>
      <c r="AY55" s="1727"/>
      <c r="AZ55" s="1727"/>
      <c r="BA55" s="1727"/>
      <c r="BB55" s="1727"/>
      <c r="BC55" s="1727"/>
      <c r="BD55" s="1728"/>
    </row>
    <row r="56" spans="1:56" s="422" customFormat="1" ht="42" customHeight="1" x14ac:dyDescent="0.25">
      <c r="A56" s="2548"/>
      <c r="B56" s="2549"/>
      <c r="C56" s="2021"/>
      <c r="D56" s="2021"/>
      <c r="E56" s="2021"/>
      <c r="F56" s="2021"/>
      <c r="G56" s="2550"/>
      <c r="H56" s="2551"/>
      <c r="I56" s="2547"/>
      <c r="J56" s="2021"/>
      <c r="K56" s="2033"/>
      <c r="L56" s="2187"/>
      <c r="M56" s="2197"/>
      <c r="N56" s="2033"/>
      <c r="O56" s="2033"/>
      <c r="P56" s="2021"/>
      <c r="Q56" s="2021"/>
      <c r="R56" s="2021"/>
      <c r="S56" s="2021"/>
      <c r="T56" s="834" t="s">
        <v>5864</v>
      </c>
      <c r="U56" s="2010"/>
      <c r="V56" s="1997"/>
      <c r="W56" s="1995"/>
      <c r="X56" s="1103" t="s">
        <v>5865</v>
      </c>
      <c r="Y56" s="1044">
        <v>41275</v>
      </c>
      <c r="Z56" s="1044">
        <v>41639</v>
      </c>
      <c r="AA56" s="596"/>
      <c r="AB56" s="1040"/>
      <c r="AC56" s="1045">
        <v>46961.46</v>
      </c>
      <c r="AD56" s="1072"/>
      <c r="AE56" s="836"/>
      <c r="AF56" s="1163"/>
      <c r="AG56" s="1163"/>
      <c r="AH56" s="837"/>
      <c r="AI56" s="838"/>
      <c r="AJ56" s="285"/>
      <c r="AK56" s="839"/>
      <c r="AL56" s="286"/>
      <c r="AM56" s="284"/>
      <c r="AN56" s="285"/>
      <c r="AO56" s="285"/>
      <c r="AP56" s="285"/>
      <c r="AQ56" s="285"/>
      <c r="AR56" s="286"/>
      <c r="AS56" s="1726"/>
      <c r="AT56" s="1727"/>
      <c r="AU56" s="1727"/>
      <c r="AV56" s="1727"/>
      <c r="AW56" s="1727"/>
      <c r="AX56" s="1727"/>
      <c r="AY56" s="1727"/>
      <c r="AZ56" s="1727"/>
      <c r="BA56" s="1727"/>
      <c r="BB56" s="1727"/>
      <c r="BC56" s="1727"/>
      <c r="BD56" s="1728"/>
    </row>
    <row r="57" spans="1:56" s="422" customFormat="1" x14ac:dyDescent="0.25">
      <c r="A57" s="2548"/>
      <c r="B57" s="2549"/>
      <c r="C57" s="2021"/>
      <c r="D57" s="2021"/>
      <c r="E57" s="2021"/>
      <c r="F57" s="2021"/>
      <c r="G57" s="2550"/>
      <c r="H57" s="2551"/>
      <c r="I57" s="2547"/>
      <c r="J57" s="2021"/>
      <c r="K57" s="2033"/>
      <c r="L57" s="2187"/>
      <c r="M57" s="2197"/>
      <c r="N57" s="2033"/>
      <c r="O57" s="2033"/>
      <c r="P57" s="2021"/>
      <c r="Q57" s="2021"/>
      <c r="R57" s="2021"/>
      <c r="S57" s="2021"/>
      <c r="T57" s="834"/>
      <c r="U57" s="1029" t="s">
        <v>1252</v>
      </c>
      <c r="V57" s="1054">
        <v>41751</v>
      </c>
      <c r="W57" s="1053">
        <v>11290</v>
      </c>
      <c r="X57" s="518" t="s">
        <v>5817</v>
      </c>
      <c r="Y57" s="1054">
        <v>41755</v>
      </c>
      <c r="Z57" s="1054">
        <v>41874</v>
      </c>
      <c r="AA57" s="70"/>
      <c r="AB57" s="1030"/>
      <c r="AC57" s="1056"/>
      <c r="AD57" s="1050"/>
      <c r="AE57" s="63"/>
      <c r="AF57" s="1162"/>
      <c r="AG57" s="1162"/>
      <c r="AH57" s="33"/>
      <c r="AI57" s="804"/>
      <c r="AJ57" s="805"/>
      <c r="AK57" s="806"/>
      <c r="AL57" s="807"/>
      <c r="AM57" s="808"/>
      <c r="AN57" s="805"/>
      <c r="AO57" s="805"/>
      <c r="AP57" s="805"/>
      <c r="AQ57" s="805"/>
      <c r="AR57" s="807"/>
      <c r="AS57" s="1716"/>
      <c r="AT57" s="1717"/>
      <c r="AU57" s="1717"/>
      <c r="AV57" s="1717"/>
      <c r="AW57" s="1717"/>
      <c r="AX57" s="1717"/>
      <c r="AY57" s="1717"/>
      <c r="AZ57" s="1717"/>
      <c r="BA57" s="1717"/>
      <c r="BB57" s="1717"/>
      <c r="BC57" s="1717"/>
      <c r="BD57" s="1718"/>
    </row>
    <row r="58" spans="1:56" s="422" customFormat="1" ht="39.75" customHeight="1" x14ac:dyDescent="0.25">
      <c r="A58" s="2548"/>
      <c r="B58" s="2549"/>
      <c r="C58" s="2021"/>
      <c r="D58" s="2021"/>
      <c r="E58" s="2021"/>
      <c r="F58" s="2021"/>
      <c r="G58" s="2550"/>
      <c r="H58" s="2551"/>
      <c r="I58" s="2547"/>
      <c r="J58" s="2021"/>
      <c r="K58" s="2033"/>
      <c r="L58" s="2187"/>
      <c r="M58" s="2197"/>
      <c r="N58" s="2033"/>
      <c r="O58" s="2033"/>
      <c r="P58" s="2021"/>
      <c r="Q58" s="2021"/>
      <c r="R58" s="2021"/>
      <c r="S58" s="2021"/>
      <c r="T58" s="834"/>
      <c r="U58" s="1194" t="s">
        <v>1253</v>
      </c>
      <c r="V58" s="1047">
        <v>41813</v>
      </c>
      <c r="W58" s="1104">
        <v>11337</v>
      </c>
      <c r="X58" s="1103" t="s">
        <v>5866</v>
      </c>
      <c r="Y58" s="1047">
        <v>41640</v>
      </c>
      <c r="Z58" s="1047" t="s">
        <v>5867</v>
      </c>
      <c r="AA58" s="800">
        <v>7.3599999999999999E-2</v>
      </c>
      <c r="AB58" s="1038"/>
      <c r="AC58" s="1100">
        <v>28138</v>
      </c>
      <c r="AD58" s="1034"/>
      <c r="AE58" s="802">
        <f>AE52+AC58</f>
        <v>263037.39</v>
      </c>
      <c r="AF58" s="282">
        <v>335818.17</v>
      </c>
      <c r="AG58" s="282"/>
      <c r="AH58" s="803"/>
      <c r="AI58" s="838"/>
      <c r="AJ58" s="285"/>
      <c r="AK58" s="839"/>
      <c r="AL58" s="286"/>
      <c r="AM58" s="284"/>
      <c r="AN58" s="285"/>
      <c r="AO58" s="285"/>
      <c r="AP58" s="285"/>
      <c r="AQ58" s="285"/>
      <c r="AR58" s="286"/>
      <c r="AS58" s="1726"/>
      <c r="AT58" s="1727"/>
      <c r="AU58" s="1727"/>
      <c r="AV58" s="1727"/>
      <c r="AW58" s="1727"/>
      <c r="AX58" s="1727"/>
      <c r="AY58" s="1727"/>
      <c r="AZ58" s="1727"/>
      <c r="BA58" s="1727"/>
      <c r="BB58" s="1727"/>
      <c r="BC58" s="1727"/>
      <c r="BD58" s="1728"/>
    </row>
    <row r="59" spans="1:56" s="422" customFormat="1" ht="39.75" customHeight="1" thickBot="1" x14ac:dyDescent="0.3">
      <c r="A59" s="2539"/>
      <c r="B59" s="2541"/>
      <c r="C59" s="2530"/>
      <c r="D59" s="2530"/>
      <c r="E59" s="2530"/>
      <c r="F59" s="2530"/>
      <c r="G59" s="2544"/>
      <c r="H59" s="2546"/>
      <c r="I59" s="2534"/>
      <c r="J59" s="2530"/>
      <c r="K59" s="2529"/>
      <c r="L59" s="2535"/>
      <c r="M59" s="2537"/>
      <c r="N59" s="2529"/>
      <c r="O59" s="2529"/>
      <c r="P59" s="2530"/>
      <c r="Q59" s="2530"/>
      <c r="R59" s="2530"/>
      <c r="S59" s="2530"/>
      <c r="T59" s="840"/>
      <c r="U59" s="1198" t="s">
        <v>1255</v>
      </c>
      <c r="V59" s="1212">
        <v>41866</v>
      </c>
      <c r="W59" s="1216">
        <v>11376</v>
      </c>
      <c r="X59" s="518" t="s">
        <v>5817</v>
      </c>
      <c r="Y59" s="1044">
        <v>41875</v>
      </c>
      <c r="Z59" s="1044">
        <v>41995</v>
      </c>
      <c r="AA59" s="1040"/>
      <c r="AB59" s="1040"/>
      <c r="AC59" s="1045"/>
      <c r="AD59" s="1072"/>
      <c r="AE59" s="836"/>
      <c r="AF59" s="1163"/>
      <c r="AG59" s="753">
        <f>307905+51317.5+51317.5+51317.5+51317.5+46961.46+51317.5+51317.5</f>
        <v>662771.46</v>
      </c>
      <c r="AH59" s="131">
        <f>AG59+AF58</f>
        <v>998589.62999999989</v>
      </c>
      <c r="AI59" s="799"/>
      <c r="AJ59" s="754"/>
      <c r="AK59" s="1208"/>
      <c r="AL59" s="755"/>
      <c r="AM59" s="756"/>
      <c r="AN59" s="754"/>
      <c r="AO59" s="754"/>
      <c r="AP59" s="754"/>
      <c r="AQ59" s="754"/>
      <c r="AR59" s="755"/>
      <c r="AS59" s="1707"/>
      <c r="AT59" s="1708"/>
      <c r="AU59" s="1708"/>
      <c r="AV59" s="1708"/>
      <c r="AW59" s="1708"/>
      <c r="AX59" s="1708"/>
      <c r="AY59" s="1708"/>
      <c r="AZ59" s="1708"/>
      <c r="BA59" s="1708"/>
      <c r="BB59" s="1708"/>
      <c r="BC59" s="1708"/>
      <c r="BD59" s="1709"/>
    </row>
    <row r="60" spans="1:56" s="422" customFormat="1" ht="15.75" thickBot="1" x14ac:dyDescent="0.3">
      <c r="A60" s="1193">
        <v>10</v>
      </c>
      <c r="B60" s="1194" t="s">
        <v>1631</v>
      </c>
      <c r="C60" s="1038" t="s">
        <v>975</v>
      </c>
      <c r="D60" s="1038" t="s">
        <v>1171</v>
      </c>
      <c r="E60" s="1038" t="s">
        <v>5811</v>
      </c>
      <c r="F60" s="1096" t="s">
        <v>5868</v>
      </c>
      <c r="G60" s="1205">
        <v>10990</v>
      </c>
      <c r="H60" s="1190" t="s">
        <v>1057</v>
      </c>
      <c r="I60" s="1206" t="s">
        <v>5869</v>
      </c>
      <c r="J60" s="1038" t="s">
        <v>5870</v>
      </c>
      <c r="K60" s="1047">
        <v>41436</v>
      </c>
      <c r="L60" s="587">
        <v>19767</v>
      </c>
      <c r="M60" s="1104">
        <v>11068</v>
      </c>
      <c r="N60" s="1047">
        <v>41437</v>
      </c>
      <c r="O60" s="1047">
        <v>41639</v>
      </c>
      <c r="P60" s="1038">
        <v>1</v>
      </c>
      <c r="Q60" s="1038" t="s">
        <v>677</v>
      </c>
      <c r="R60" s="1038"/>
      <c r="S60" s="1038"/>
      <c r="T60" s="1034" t="s">
        <v>5826</v>
      </c>
      <c r="U60" s="1194" t="s">
        <v>1224</v>
      </c>
      <c r="V60" s="842">
        <v>41628</v>
      </c>
      <c r="W60" s="769">
        <v>11213</v>
      </c>
      <c r="X60" s="843" t="s">
        <v>5817</v>
      </c>
      <c r="Y60" s="767">
        <v>41640</v>
      </c>
      <c r="Z60" s="767">
        <v>41820</v>
      </c>
      <c r="AA60" s="762"/>
      <c r="AB60" s="762"/>
      <c r="AC60" s="772"/>
      <c r="AD60" s="770"/>
      <c r="AE60" s="773">
        <f>L60-AD60+AC60</f>
        <v>19767</v>
      </c>
      <c r="AF60" s="774">
        <v>19767</v>
      </c>
      <c r="AG60" s="844">
        <v>11920</v>
      </c>
      <c r="AH60" s="803">
        <f>AF60+AG60</f>
        <v>31687</v>
      </c>
      <c r="AI60" s="804"/>
      <c r="AJ60" s="805"/>
      <c r="AK60" s="806"/>
      <c r="AL60" s="807"/>
      <c r="AM60" s="808"/>
      <c r="AN60" s="805"/>
      <c r="AO60" s="805"/>
      <c r="AP60" s="805"/>
      <c r="AQ60" s="805"/>
      <c r="AR60" s="807"/>
      <c r="AS60" s="1716"/>
      <c r="AT60" s="1717"/>
      <c r="AU60" s="1717"/>
      <c r="AV60" s="1717"/>
      <c r="AW60" s="1717"/>
      <c r="AX60" s="1717"/>
      <c r="AY60" s="1717"/>
      <c r="AZ60" s="1717"/>
      <c r="BA60" s="1717"/>
      <c r="BB60" s="1717"/>
      <c r="BC60" s="1717"/>
      <c r="BD60" s="1718"/>
    </row>
    <row r="61" spans="1:56" s="422" customFormat="1" ht="26.25" customHeight="1" x14ac:dyDescent="0.25">
      <c r="A61" s="2538">
        <v>11</v>
      </c>
      <c r="B61" s="2540" t="s">
        <v>3934</v>
      </c>
      <c r="C61" s="2198" t="s">
        <v>975</v>
      </c>
      <c r="D61" s="2198" t="s">
        <v>1171</v>
      </c>
      <c r="E61" s="2198" t="s">
        <v>5811</v>
      </c>
      <c r="F61" s="2202" t="s">
        <v>5871</v>
      </c>
      <c r="G61" s="2543">
        <v>10990</v>
      </c>
      <c r="H61" s="2545" t="s">
        <v>4790</v>
      </c>
      <c r="I61" s="2533" t="s">
        <v>5831</v>
      </c>
      <c r="J61" s="2198" t="s">
        <v>5832</v>
      </c>
      <c r="K61" s="2203">
        <v>41533</v>
      </c>
      <c r="L61" s="2204">
        <v>3500</v>
      </c>
      <c r="M61" s="2536">
        <v>11147</v>
      </c>
      <c r="N61" s="2203">
        <v>41533</v>
      </c>
      <c r="O61" s="2203">
        <v>41639</v>
      </c>
      <c r="P61" s="2198">
        <v>1</v>
      </c>
      <c r="Q61" s="2198" t="s">
        <v>677</v>
      </c>
      <c r="R61" s="2198"/>
      <c r="S61" s="2198"/>
      <c r="T61" s="2531" t="s">
        <v>5822</v>
      </c>
      <c r="U61" s="1182" t="s">
        <v>1224</v>
      </c>
      <c r="V61" s="1098">
        <v>41628</v>
      </c>
      <c r="W61" s="1187">
        <v>11213</v>
      </c>
      <c r="X61" s="785" t="s">
        <v>5817</v>
      </c>
      <c r="Y61" s="1098">
        <v>41640</v>
      </c>
      <c r="Z61" s="1098">
        <v>41820</v>
      </c>
      <c r="AA61" s="1094"/>
      <c r="AB61" s="1094"/>
      <c r="AC61" s="1099"/>
      <c r="AD61" s="1195"/>
      <c r="AE61" s="787">
        <f t="shared" ref="AE61" si="3">L61-AD61+AC61</f>
        <v>3500</v>
      </c>
      <c r="AF61" s="788">
        <v>3500</v>
      </c>
      <c r="AG61" s="788">
        <f>6000+1000+1000+1000+1000+2000</f>
        <v>12000</v>
      </c>
      <c r="AH61" s="789">
        <f t="shared" ref="AH61:AH91" si="4">AF61+AG61</f>
        <v>15500</v>
      </c>
      <c r="AI61" s="790"/>
      <c r="AJ61" s="791"/>
      <c r="AK61" s="792"/>
      <c r="AL61" s="793"/>
      <c r="AM61" s="794"/>
      <c r="AN61" s="791"/>
      <c r="AO61" s="791"/>
      <c r="AP61" s="791"/>
      <c r="AQ61" s="791"/>
      <c r="AR61" s="793"/>
      <c r="AS61" s="1713"/>
      <c r="AT61" s="1714"/>
      <c r="AU61" s="1714"/>
      <c r="AV61" s="1714"/>
      <c r="AW61" s="1714"/>
      <c r="AX61" s="1714"/>
      <c r="AY61" s="1714"/>
      <c r="AZ61" s="1714"/>
      <c r="BA61" s="1714"/>
      <c r="BB61" s="1714"/>
      <c r="BC61" s="1714"/>
      <c r="BD61" s="1715"/>
    </row>
    <row r="62" spans="1:56" s="422" customFormat="1" ht="26.25" customHeight="1" thickBot="1" x14ac:dyDescent="0.3">
      <c r="A62" s="2539"/>
      <c r="B62" s="2541"/>
      <c r="C62" s="2530"/>
      <c r="D62" s="2530"/>
      <c r="E62" s="2530"/>
      <c r="F62" s="2542"/>
      <c r="G62" s="2544"/>
      <c r="H62" s="2546"/>
      <c r="I62" s="2534"/>
      <c r="J62" s="2530"/>
      <c r="K62" s="2529"/>
      <c r="L62" s="2535"/>
      <c r="M62" s="2537"/>
      <c r="N62" s="2529"/>
      <c r="O62" s="2529"/>
      <c r="P62" s="2530"/>
      <c r="Q62" s="2530"/>
      <c r="R62" s="2530"/>
      <c r="S62" s="2530"/>
      <c r="T62" s="2532"/>
      <c r="U62" s="1183" t="s">
        <v>1226</v>
      </c>
      <c r="V62" s="1191">
        <v>41815</v>
      </c>
      <c r="W62" s="1188">
        <v>11337</v>
      </c>
      <c r="X62" s="845" t="s">
        <v>5817</v>
      </c>
      <c r="Y62" s="1191">
        <v>41821</v>
      </c>
      <c r="Z62" s="1191">
        <v>42004</v>
      </c>
      <c r="AA62" s="1184"/>
      <c r="AB62" s="1184"/>
      <c r="AC62" s="1192"/>
      <c r="AD62" s="1196"/>
      <c r="AE62" s="817"/>
      <c r="AF62" s="818"/>
      <c r="AG62" s="818"/>
      <c r="AH62" s="819"/>
      <c r="AI62" s="820"/>
      <c r="AJ62" s="846"/>
      <c r="AK62" s="847"/>
      <c r="AL62" s="848"/>
      <c r="AM62" s="824"/>
      <c r="AN62" s="821"/>
      <c r="AO62" s="821"/>
      <c r="AP62" s="821"/>
      <c r="AQ62" s="821"/>
      <c r="AR62" s="823"/>
      <c r="AS62" s="1729"/>
      <c r="AT62" s="1730"/>
      <c r="AU62" s="1730"/>
      <c r="AV62" s="1730"/>
      <c r="AW62" s="1730"/>
      <c r="AX62" s="1730"/>
      <c r="AY62" s="1730"/>
      <c r="AZ62" s="1730"/>
      <c r="BA62" s="1730"/>
      <c r="BB62" s="1730"/>
      <c r="BC62" s="1730"/>
      <c r="BD62" s="1731"/>
    </row>
    <row r="63" spans="1:56" s="422" customFormat="1" ht="15.75" thickBot="1" x14ac:dyDescent="0.3">
      <c r="A63" s="760">
        <v>12</v>
      </c>
      <c r="B63" s="761" t="s">
        <v>675</v>
      </c>
      <c r="C63" s="762" t="s">
        <v>677</v>
      </c>
      <c r="D63" s="762" t="s">
        <v>677</v>
      </c>
      <c r="E63" s="762" t="s">
        <v>677</v>
      </c>
      <c r="F63" s="763" t="s">
        <v>5872</v>
      </c>
      <c r="G63" s="851" t="s">
        <v>677</v>
      </c>
      <c r="H63" s="782"/>
      <c r="I63" s="763" t="s">
        <v>3877</v>
      </c>
      <c r="J63" s="762" t="s">
        <v>5873</v>
      </c>
      <c r="K63" s="762"/>
      <c r="L63" s="768"/>
      <c r="M63" s="762"/>
      <c r="N63" s="762"/>
      <c r="O63" s="762"/>
      <c r="P63" s="762">
        <v>1</v>
      </c>
      <c r="Q63" s="762" t="s">
        <v>677</v>
      </c>
      <c r="R63" s="762" t="s">
        <v>677</v>
      </c>
      <c r="S63" s="762" t="s">
        <v>677</v>
      </c>
      <c r="T63" s="770" t="s">
        <v>5874</v>
      </c>
      <c r="U63" s="761"/>
      <c r="V63" s="762"/>
      <c r="W63" s="762"/>
      <c r="X63" s="771"/>
      <c r="Y63" s="762"/>
      <c r="Z63" s="762"/>
      <c r="AA63" s="762"/>
      <c r="AB63" s="762"/>
      <c r="AC63" s="772"/>
      <c r="AD63" s="770"/>
      <c r="AE63" s="773"/>
      <c r="AF63" s="774"/>
      <c r="AG63" s="774">
        <f>2246.02+118.27+118.27+118.27+126.6+126.6+126.6</f>
        <v>2980.6299999999997</v>
      </c>
      <c r="AH63" s="775">
        <f t="shared" si="4"/>
        <v>2980.6299999999997</v>
      </c>
      <c r="AI63" s="852"/>
      <c r="AJ63" s="853"/>
      <c r="AK63" s="854"/>
      <c r="AL63" s="855"/>
      <c r="AM63" s="780"/>
      <c r="AN63" s="777"/>
      <c r="AO63" s="777"/>
      <c r="AP63" s="777"/>
      <c r="AQ63" s="777"/>
      <c r="AR63" s="779"/>
      <c r="AS63" s="1710"/>
      <c r="AT63" s="1711"/>
      <c r="AU63" s="1711"/>
      <c r="AV63" s="1711"/>
      <c r="AW63" s="1711"/>
      <c r="AX63" s="1711"/>
      <c r="AY63" s="1711"/>
      <c r="AZ63" s="1711"/>
      <c r="BA63" s="1711"/>
      <c r="BB63" s="1711"/>
      <c r="BC63" s="1711"/>
      <c r="BD63" s="1712"/>
    </row>
    <row r="64" spans="1:56" s="422" customFormat="1" ht="39" thickBot="1" x14ac:dyDescent="0.3">
      <c r="A64" s="760">
        <v>13</v>
      </c>
      <c r="B64" s="856" t="s">
        <v>683</v>
      </c>
      <c r="C64" s="762" t="s">
        <v>1837</v>
      </c>
      <c r="D64" s="762" t="s">
        <v>5840</v>
      </c>
      <c r="E64" s="762" t="s">
        <v>5811</v>
      </c>
      <c r="F64" s="763" t="s">
        <v>5875</v>
      </c>
      <c r="G64" s="851">
        <v>11145</v>
      </c>
      <c r="H64" s="782" t="s">
        <v>675</v>
      </c>
      <c r="I64" s="763" t="s">
        <v>5876</v>
      </c>
      <c r="J64" s="762" t="s">
        <v>1841</v>
      </c>
      <c r="K64" s="767">
        <v>41677</v>
      </c>
      <c r="L64" s="857">
        <v>35000</v>
      </c>
      <c r="M64" s="769">
        <v>11247</v>
      </c>
      <c r="N64" s="767">
        <v>41677</v>
      </c>
      <c r="O64" s="767">
        <v>42004</v>
      </c>
      <c r="P64" s="762">
        <v>1</v>
      </c>
      <c r="Q64" s="762" t="s">
        <v>677</v>
      </c>
      <c r="R64" s="762"/>
      <c r="S64" s="762"/>
      <c r="T64" s="770" t="s">
        <v>5815</v>
      </c>
      <c r="U64" s="761"/>
      <c r="V64" s="767"/>
      <c r="W64" s="769"/>
      <c r="X64" s="763"/>
      <c r="Y64" s="767"/>
      <c r="Z64" s="767"/>
      <c r="AA64" s="858"/>
      <c r="AB64" s="762"/>
      <c r="AC64" s="772"/>
      <c r="AD64" s="770"/>
      <c r="AE64" s="773"/>
      <c r="AF64" s="772"/>
      <c r="AG64" s="859">
        <f>4480+310+890+100</f>
        <v>5780</v>
      </c>
      <c r="AH64" s="775">
        <f t="shared" si="4"/>
        <v>5780</v>
      </c>
      <c r="AI64" s="776" t="s">
        <v>1529</v>
      </c>
      <c r="AJ64" s="853" t="s">
        <v>5877</v>
      </c>
      <c r="AK64" s="778" t="s">
        <v>1182</v>
      </c>
      <c r="AL64" s="851">
        <v>11247</v>
      </c>
      <c r="AM64" s="780"/>
      <c r="AN64" s="777"/>
      <c r="AO64" s="777"/>
      <c r="AP64" s="777"/>
      <c r="AQ64" s="777"/>
      <c r="AR64" s="779"/>
      <c r="AS64" s="1710"/>
      <c r="AT64" s="1711"/>
      <c r="AU64" s="1711"/>
      <c r="AV64" s="1711"/>
      <c r="AW64" s="1711"/>
      <c r="AX64" s="1711"/>
      <c r="AY64" s="1711"/>
      <c r="AZ64" s="1711"/>
      <c r="BA64" s="1711"/>
      <c r="BB64" s="1711"/>
      <c r="BC64" s="1711"/>
      <c r="BD64" s="1712"/>
    </row>
    <row r="65" spans="1:56" s="422" customFormat="1" ht="57.75" customHeight="1" thickBot="1" x14ac:dyDescent="0.3">
      <c r="A65" s="760">
        <v>14</v>
      </c>
      <c r="B65" s="761" t="s">
        <v>716</v>
      </c>
      <c r="C65" s="762" t="s">
        <v>967</v>
      </c>
      <c r="D65" s="762" t="s">
        <v>5840</v>
      </c>
      <c r="E65" s="762" t="s">
        <v>5878</v>
      </c>
      <c r="F65" s="763" t="s">
        <v>5879</v>
      </c>
      <c r="G65" s="851">
        <v>10997</v>
      </c>
      <c r="H65" s="782" t="s">
        <v>704</v>
      </c>
      <c r="I65" s="763" t="s">
        <v>5880</v>
      </c>
      <c r="J65" s="762" t="s">
        <v>232</v>
      </c>
      <c r="K65" s="767">
        <v>41701</v>
      </c>
      <c r="L65" s="768">
        <v>36800</v>
      </c>
      <c r="M65" s="769">
        <v>11262</v>
      </c>
      <c r="N65" s="767">
        <v>41701</v>
      </c>
      <c r="O65" s="767">
        <v>42004</v>
      </c>
      <c r="P65" s="762">
        <v>1</v>
      </c>
      <c r="Q65" s="762" t="s">
        <v>677</v>
      </c>
      <c r="R65" s="762"/>
      <c r="S65" s="762"/>
      <c r="T65" s="770" t="s">
        <v>5815</v>
      </c>
      <c r="U65" s="761"/>
      <c r="V65" s="762"/>
      <c r="W65" s="762"/>
      <c r="X65" s="762"/>
      <c r="Y65" s="762"/>
      <c r="Z65" s="762"/>
      <c r="AA65" s="762"/>
      <c r="AB65" s="762"/>
      <c r="AC65" s="772"/>
      <c r="AD65" s="770"/>
      <c r="AE65" s="773"/>
      <c r="AF65" s="774"/>
      <c r="AG65" s="774">
        <f>14720+3680+3680+3680+3680+3680+3680</f>
        <v>36800</v>
      </c>
      <c r="AH65" s="775">
        <f t="shared" si="4"/>
        <v>36800</v>
      </c>
      <c r="AI65" s="776" t="s">
        <v>993</v>
      </c>
      <c r="AJ65" s="769">
        <v>11818</v>
      </c>
      <c r="AK65" s="778" t="s">
        <v>236</v>
      </c>
      <c r="AL65" s="851">
        <v>11259</v>
      </c>
      <c r="AM65" s="780"/>
      <c r="AN65" s="777"/>
      <c r="AO65" s="777"/>
      <c r="AP65" s="777"/>
      <c r="AQ65" s="777"/>
      <c r="AR65" s="779"/>
      <c r="AS65" s="1710"/>
      <c r="AT65" s="1711"/>
      <c r="AU65" s="1711"/>
      <c r="AV65" s="1711"/>
      <c r="AW65" s="1711"/>
      <c r="AX65" s="1711"/>
      <c r="AY65" s="1711"/>
      <c r="AZ65" s="1711"/>
      <c r="BA65" s="1711"/>
      <c r="BB65" s="1711"/>
      <c r="BC65" s="1711"/>
      <c r="BD65" s="1712"/>
    </row>
    <row r="66" spans="1:56" s="422" customFormat="1" ht="102.75" customHeight="1" thickBot="1" x14ac:dyDescent="0.3">
      <c r="A66" s="760">
        <v>15</v>
      </c>
      <c r="B66" s="761" t="s">
        <v>381</v>
      </c>
      <c r="C66" s="762" t="s">
        <v>967</v>
      </c>
      <c r="D66" s="762" t="s">
        <v>5840</v>
      </c>
      <c r="E66" s="762" t="s">
        <v>5878</v>
      </c>
      <c r="F66" s="763" t="s">
        <v>5881</v>
      </c>
      <c r="G66" s="851">
        <v>10997</v>
      </c>
      <c r="H66" s="782" t="s">
        <v>716</v>
      </c>
      <c r="I66" s="763" t="s">
        <v>5882</v>
      </c>
      <c r="J66" s="769" t="s">
        <v>5883</v>
      </c>
      <c r="K66" s="767">
        <v>41701</v>
      </c>
      <c r="L66" s="768">
        <v>29723</v>
      </c>
      <c r="M66" s="769">
        <v>11262</v>
      </c>
      <c r="N66" s="767">
        <v>41701</v>
      </c>
      <c r="O66" s="767">
        <v>42004</v>
      </c>
      <c r="P66" s="762">
        <v>1</v>
      </c>
      <c r="Q66" s="762" t="s">
        <v>677</v>
      </c>
      <c r="R66" s="762"/>
      <c r="S66" s="762"/>
      <c r="T66" s="770" t="s">
        <v>5815</v>
      </c>
      <c r="U66" s="761"/>
      <c r="V66" s="762"/>
      <c r="W66" s="762"/>
      <c r="X66" s="762"/>
      <c r="Y66" s="762"/>
      <c r="Z66" s="762"/>
      <c r="AA66" s="762"/>
      <c r="AB66" s="762"/>
      <c r="AC66" s="772"/>
      <c r="AD66" s="770"/>
      <c r="AE66" s="773"/>
      <c r="AF66" s="774"/>
      <c r="AG66" s="774">
        <f>6808.6+1350.4+1829+1000</f>
        <v>10988</v>
      </c>
      <c r="AH66" s="775">
        <f t="shared" si="4"/>
        <v>10988</v>
      </c>
      <c r="AI66" s="776" t="s">
        <v>993</v>
      </c>
      <c r="AJ66" s="769">
        <v>11818</v>
      </c>
      <c r="AK66" s="778" t="s">
        <v>236</v>
      </c>
      <c r="AL66" s="851">
        <v>11259</v>
      </c>
      <c r="AM66" s="780"/>
      <c r="AN66" s="777"/>
      <c r="AO66" s="777"/>
      <c r="AP66" s="777"/>
      <c r="AQ66" s="777"/>
      <c r="AR66" s="779"/>
      <c r="AS66" s="1710"/>
      <c r="AT66" s="1711"/>
      <c r="AU66" s="1711"/>
      <c r="AV66" s="1711"/>
      <c r="AW66" s="1711"/>
      <c r="AX66" s="1711"/>
      <c r="AY66" s="1711"/>
      <c r="AZ66" s="1711"/>
      <c r="BA66" s="1711"/>
      <c r="BB66" s="1711"/>
      <c r="BC66" s="1711"/>
      <c r="BD66" s="1712"/>
    </row>
    <row r="67" spans="1:56" s="422" customFormat="1" ht="26.25" thickBot="1" x14ac:dyDescent="0.3">
      <c r="A67" s="760">
        <v>16</v>
      </c>
      <c r="B67" s="761" t="s">
        <v>680</v>
      </c>
      <c r="C67" s="762" t="s">
        <v>677</v>
      </c>
      <c r="D67" s="762" t="s">
        <v>677</v>
      </c>
      <c r="E67" s="762" t="s">
        <v>677</v>
      </c>
      <c r="F67" s="763" t="s">
        <v>5884</v>
      </c>
      <c r="G67" s="770" t="s">
        <v>677</v>
      </c>
      <c r="H67" s="782" t="s">
        <v>381</v>
      </c>
      <c r="I67" s="763" t="s">
        <v>5885</v>
      </c>
      <c r="J67" s="762" t="s">
        <v>5886</v>
      </c>
      <c r="K67" s="767">
        <v>41711</v>
      </c>
      <c r="L67" s="768">
        <v>830</v>
      </c>
      <c r="M67" s="769">
        <v>11266</v>
      </c>
      <c r="N67" s="767">
        <v>41711</v>
      </c>
      <c r="O67" s="767">
        <v>41741</v>
      </c>
      <c r="P67" s="762">
        <v>1</v>
      </c>
      <c r="Q67" s="762" t="s">
        <v>677</v>
      </c>
      <c r="R67" s="762"/>
      <c r="S67" s="762"/>
      <c r="T67" s="770" t="s">
        <v>5815</v>
      </c>
      <c r="U67" s="761"/>
      <c r="V67" s="762"/>
      <c r="W67" s="762"/>
      <c r="X67" s="762"/>
      <c r="Y67" s="762"/>
      <c r="Z67" s="762"/>
      <c r="AA67" s="762"/>
      <c r="AB67" s="762"/>
      <c r="AC67" s="772"/>
      <c r="AD67" s="770"/>
      <c r="AE67" s="773"/>
      <c r="AF67" s="774"/>
      <c r="AG67" s="774">
        <v>830</v>
      </c>
      <c r="AH67" s="775">
        <f t="shared" si="4"/>
        <v>830</v>
      </c>
      <c r="AI67" s="776"/>
      <c r="AJ67" s="777"/>
      <c r="AK67" s="778"/>
      <c r="AL67" s="779"/>
      <c r="AM67" s="860" t="s">
        <v>1311</v>
      </c>
      <c r="AN67" s="777" t="s">
        <v>5887</v>
      </c>
      <c r="AO67" s="769">
        <v>11266</v>
      </c>
      <c r="AP67" s="767">
        <v>41718</v>
      </c>
      <c r="AQ67" s="769">
        <v>11266</v>
      </c>
      <c r="AR67" s="861">
        <v>41718</v>
      </c>
      <c r="AS67" s="1710"/>
      <c r="AT67" s="1711"/>
      <c r="AU67" s="1711"/>
      <c r="AV67" s="1711"/>
      <c r="AW67" s="1711"/>
      <c r="AX67" s="1711"/>
      <c r="AY67" s="1711"/>
      <c r="AZ67" s="1711"/>
      <c r="BA67" s="1711"/>
      <c r="BB67" s="1711"/>
      <c r="BC67" s="1711"/>
      <c r="BD67" s="1712"/>
    </row>
    <row r="68" spans="1:56" s="422" customFormat="1" ht="51.75" thickBot="1" x14ac:dyDescent="0.3">
      <c r="A68" s="760">
        <v>17</v>
      </c>
      <c r="B68" s="761" t="s">
        <v>724</v>
      </c>
      <c r="C68" s="762" t="s">
        <v>1837</v>
      </c>
      <c r="D68" s="762" t="s">
        <v>5840</v>
      </c>
      <c r="E68" s="762" t="s">
        <v>5878</v>
      </c>
      <c r="F68" s="763" t="s">
        <v>5888</v>
      </c>
      <c r="G68" s="851">
        <v>11145</v>
      </c>
      <c r="H68" s="782" t="s">
        <v>680</v>
      </c>
      <c r="I68" s="763" t="s">
        <v>5889</v>
      </c>
      <c r="J68" s="762" t="s">
        <v>2284</v>
      </c>
      <c r="K68" s="767">
        <v>41711</v>
      </c>
      <c r="L68" s="768">
        <v>14907.5</v>
      </c>
      <c r="M68" s="769">
        <v>11266</v>
      </c>
      <c r="N68" s="767">
        <v>41711</v>
      </c>
      <c r="O68" s="767">
        <v>42004</v>
      </c>
      <c r="P68" s="762">
        <v>1</v>
      </c>
      <c r="Q68" s="762" t="s">
        <v>677</v>
      </c>
      <c r="R68" s="762"/>
      <c r="S68" s="762"/>
      <c r="T68" s="770" t="s">
        <v>5890</v>
      </c>
      <c r="U68" s="761"/>
      <c r="V68" s="762"/>
      <c r="W68" s="762"/>
      <c r="X68" s="762"/>
      <c r="Y68" s="762"/>
      <c r="Z68" s="762"/>
      <c r="AA68" s="762"/>
      <c r="AB68" s="762"/>
      <c r="AC68" s="772"/>
      <c r="AD68" s="770"/>
      <c r="AE68" s="773"/>
      <c r="AF68" s="774"/>
      <c r="AG68" s="774">
        <f>5802.61+1028.72</f>
        <v>6831.33</v>
      </c>
      <c r="AH68" s="775">
        <f t="shared" si="4"/>
        <v>6831.33</v>
      </c>
      <c r="AI68" s="776" t="s">
        <v>1529</v>
      </c>
      <c r="AJ68" s="769">
        <v>11164</v>
      </c>
      <c r="AK68" s="778" t="s">
        <v>5891</v>
      </c>
      <c r="AL68" s="851">
        <v>11259</v>
      </c>
      <c r="AM68" s="780"/>
      <c r="AN68" s="777"/>
      <c r="AO68" s="777"/>
      <c r="AP68" s="777"/>
      <c r="AQ68" s="777"/>
      <c r="AR68" s="779"/>
      <c r="AS68" s="1710"/>
      <c r="AT68" s="1711"/>
      <c r="AU68" s="1711"/>
      <c r="AV68" s="1711"/>
      <c r="AW68" s="1711"/>
      <c r="AX68" s="1711"/>
      <c r="AY68" s="1711"/>
      <c r="AZ68" s="1711"/>
      <c r="BA68" s="1711"/>
      <c r="BB68" s="1711"/>
      <c r="BC68" s="1711"/>
      <c r="BD68" s="1712"/>
    </row>
    <row r="69" spans="1:56" s="422" customFormat="1" ht="26.25" thickBot="1" x14ac:dyDescent="0.3">
      <c r="A69" s="760">
        <v>18</v>
      </c>
      <c r="B69" s="761" t="s">
        <v>388</v>
      </c>
      <c r="C69" s="762" t="s">
        <v>677</v>
      </c>
      <c r="D69" s="762" t="s">
        <v>677</v>
      </c>
      <c r="E69" s="762" t="s">
        <v>677</v>
      </c>
      <c r="F69" s="763" t="s">
        <v>5892</v>
      </c>
      <c r="G69" s="770" t="s">
        <v>677</v>
      </c>
      <c r="H69" s="782" t="s">
        <v>724</v>
      </c>
      <c r="I69" s="763" t="s">
        <v>5893</v>
      </c>
      <c r="J69" s="762" t="s">
        <v>5894</v>
      </c>
      <c r="K69" s="767">
        <v>41711</v>
      </c>
      <c r="L69" s="768">
        <v>3360</v>
      </c>
      <c r="M69" s="769">
        <v>11279</v>
      </c>
      <c r="N69" s="767">
        <v>41711</v>
      </c>
      <c r="O69" s="767">
        <v>41741</v>
      </c>
      <c r="P69" s="762">
        <v>1</v>
      </c>
      <c r="Q69" s="762" t="s">
        <v>677</v>
      </c>
      <c r="R69" s="762"/>
      <c r="S69" s="762"/>
      <c r="T69" s="770" t="s">
        <v>5815</v>
      </c>
      <c r="U69" s="761"/>
      <c r="V69" s="762"/>
      <c r="W69" s="762"/>
      <c r="X69" s="762"/>
      <c r="Y69" s="762"/>
      <c r="Z69" s="762"/>
      <c r="AA69" s="762"/>
      <c r="AB69" s="762"/>
      <c r="AC69" s="772"/>
      <c r="AD69" s="770"/>
      <c r="AE69" s="773"/>
      <c r="AF69" s="774"/>
      <c r="AG69" s="774">
        <v>3360</v>
      </c>
      <c r="AH69" s="775">
        <f t="shared" si="4"/>
        <v>3360</v>
      </c>
      <c r="AI69" s="776"/>
      <c r="AJ69" s="777"/>
      <c r="AK69" s="778"/>
      <c r="AL69" s="779"/>
      <c r="AM69" s="860" t="s">
        <v>1311</v>
      </c>
      <c r="AN69" s="777" t="s">
        <v>5887</v>
      </c>
      <c r="AO69" s="769">
        <v>11279</v>
      </c>
      <c r="AP69" s="862">
        <v>41733</v>
      </c>
      <c r="AQ69" s="769">
        <v>11279</v>
      </c>
      <c r="AR69" s="863">
        <v>41733</v>
      </c>
      <c r="AS69" s="1710"/>
      <c r="AT69" s="1711"/>
      <c r="AU69" s="1711"/>
      <c r="AV69" s="1711"/>
      <c r="AW69" s="1711"/>
      <c r="AX69" s="1711"/>
      <c r="AY69" s="1711"/>
      <c r="AZ69" s="1711"/>
      <c r="BA69" s="1711"/>
      <c r="BB69" s="1711"/>
      <c r="BC69" s="1711"/>
      <c r="BD69" s="1712"/>
    </row>
    <row r="70" spans="1:56" s="422" customFormat="1" ht="26.25" thickBot="1" x14ac:dyDescent="0.3">
      <c r="A70" s="760">
        <v>19</v>
      </c>
      <c r="B70" s="761" t="s">
        <v>741</v>
      </c>
      <c r="C70" s="762" t="s">
        <v>677</v>
      </c>
      <c r="D70" s="762" t="s">
        <v>677</v>
      </c>
      <c r="E70" s="762" t="s">
        <v>677</v>
      </c>
      <c r="F70" s="763" t="s">
        <v>5895</v>
      </c>
      <c r="G70" s="770" t="s">
        <v>677</v>
      </c>
      <c r="H70" s="782" t="s">
        <v>388</v>
      </c>
      <c r="I70" s="763" t="s">
        <v>5896</v>
      </c>
      <c r="J70" s="762" t="s">
        <v>5206</v>
      </c>
      <c r="K70" s="767">
        <v>41710</v>
      </c>
      <c r="L70" s="768">
        <v>5000</v>
      </c>
      <c r="M70" s="769">
        <v>11331</v>
      </c>
      <c r="N70" s="767">
        <v>41710</v>
      </c>
      <c r="O70" s="767">
        <v>41801</v>
      </c>
      <c r="P70" s="762">
        <v>1</v>
      </c>
      <c r="Q70" s="762" t="s">
        <v>677</v>
      </c>
      <c r="R70" s="762"/>
      <c r="S70" s="762"/>
      <c r="T70" s="770" t="s">
        <v>5815</v>
      </c>
      <c r="U70" s="761"/>
      <c r="V70" s="762"/>
      <c r="W70" s="762"/>
      <c r="X70" s="762"/>
      <c r="Y70" s="762"/>
      <c r="Z70" s="762"/>
      <c r="AA70" s="762"/>
      <c r="AB70" s="762"/>
      <c r="AC70" s="772"/>
      <c r="AD70" s="770"/>
      <c r="AE70" s="773"/>
      <c r="AF70" s="774"/>
      <c r="AG70" s="774">
        <v>3650</v>
      </c>
      <c r="AH70" s="775">
        <f t="shared" si="4"/>
        <v>3650</v>
      </c>
      <c r="AI70" s="776"/>
      <c r="AJ70" s="777"/>
      <c r="AK70" s="778"/>
      <c r="AL70" s="779"/>
      <c r="AM70" s="860" t="s">
        <v>1311</v>
      </c>
      <c r="AN70" s="777" t="s">
        <v>5887</v>
      </c>
      <c r="AO70" s="769">
        <v>11331</v>
      </c>
      <c r="AP70" s="862">
        <v>41810</v>
      </c>
      <c r="AQ70" s="769">
        <v>11331</v>
      </c>
      <c r="AR70" s="863">
        <v>41810</v>
      </c>
      <c r="AS70" s="1710"/>
      <c r="AT70" s="1711"/>
      <c r="AU70" s="1711"/>
      <c r="AV70" s="1711"/>
      <c r="AW70" s="1711"/>
      <c r="AX70" s="1711"/>
      <c r="AY70" s="1711"/>
      <c r="AZ70" s="1711"/>
      <c r="BA70" s="1711"/>
      <c r="BB70" s="1711"/>
      <c r="BC70" s="1711"/>
      <c r="BD70" s="1712"/>
    </row>
    <row r="71" spans="1:56" s="422" customFormat="1" ht="25.5" customHeight="1" thickBot="1" x14ac:dyDescent="0.3">
      <c r="A71" s="760">
        <v>20</v>
      </c>
      <c r="B71" s="761" t="s">
        <v>744</v>
      </c>
      <c r="C71" s="762" t="s">
        <v>677</v>
      </c>
      <c r="D71" s="762" t="s">
        <v>677</v>
      </c>
      <c r="E71" s="762" t="s">
        <v>677</v>
      </c>
      <c r="F71" s="763" t="s">
        <v>5897</v>
      </c>
      <c r="G71" s="770" t="s">
        <v>677</v>
      </c>
      <c r="H71" s="782" t="s">
        <v>741</v>
      </c>
      <c r="I71" s="763" t="s">
        <v>5898</v>
      </c>
      <c r="J71" s="762" t="s">
        <v>4957</v>
      </c>
      <c r="K71" s="767">
        <v>41799</v>
      </c>
      <c r="L71" s="768">
        <v>3397</v>
      </c>
      <c r="M71" s="769">
        <v>11286</v>
      </c>
      <c r="N71" s="767">
        <v>41710</v>
      </c>
      <c r="O71" s="767">
        <v>41801</v>
      </c>
      <c r="P71" s="762">
        <v>1</v>
      </c>
      <c r="Q71" s="762" t="s">
        <v>677</v>
      </c>
      <c r="R71" s="762"/>
      <c r="S71" s="762"/>
      <c r="T71" s="770" t="s">
        <v>5899</v>
      </c>
      <c r="U71" s="761" t="s">
        <v>1224</v>
      </c>
      <c r="V71" s="767">
        <v>41799</v>
      </c>
      <c r="W71" s="769">
        <v>11331</v>
      </c>
      <c r="X71" s="771" t="s">
        <v>5817</v>
      </c>
      <c r="Y71" s="767">
        <v>41802</v>
      </c>
      <c r="Z71" s="767">
        <v>41831</v>
      </c>
      <c r="AA71" s="762"/>
      <c r="AB71" s="762"/>
      <c r="AC71" s="772"/>
      <c r="AD71" s="770"/>
      <c r="AE71" s="773"/>
      <c r="AF71" s="774"/>
      <c r="AG71" s="774">
        <v>2253</v>
      </c>
      <c r="AH71" s="775">
        <f t="shared" si="4"/>
        <v>2253</v>
      </c>
      <c r="AI71" s="776"/>
      <c r="AJ71" s="777"/>
      <c r="AK71" s="778"/>
      <c r="AL71" s="779"/>
      <c r="AM71" s="860" t="s">
        <v>1311</v>
      </c>
      <c r="AN71" s="777" t="s">
        <v>5887</v>
      </c>
      <c r="AO71" s="769">
        <v>11037</v>
      </c>
      <c r="AP71" s="862">
        <v>41758</v>
      </c>
      <c r="AQ71" s="769">
        <v>11037</v>
      </c>
      <c r="AR71" s="863">
        <v>41758</v>
      </c>
      <c r="AS71" s="1710"/>
      <c r="AT71" s="1711"/>
      <c r="AU71" s="1711"/>
      <c r="AV71" s="1711"/>
      <c r="AW71" s="1711"/>
      <c r="AX71" s="1711"/>
      <c r="AY71" s="1711"/>
      <c r="AZ71" s="1711"/>
      <c r="BA71" s="1711"/>
      <c r="BB71" s="1711"/>
      <c r="BC71" s="1711"/>
      <c r="BD71" s="1712"/>
    </row>
    <row r="72" spans="1:56" s="422" customFormat="1" ht="26.25" thickBot="1" x14ac:dyDescent="0.3">
      <c r="A72" s="760">
        <v>21</v>
      </c>
      <c r="B72" s="761" t="s">
        <v>747</v>
      </c>
      <c r="C72" s="762" t="s">
        <v>677</v>
      </c>
      <c r="D72" s="762" t="s">
        <v>677</v>
      </c>
      <c r="E72" s="762" t="s">
        <v>677</v>
      </c>
      <c r="F72" s="763" t="s">
        <v>5900</v>
      </c>
      <c r="G72" s="770" t="s">
        <v>677</v>
      </c>
      <c r="H72" s="782" t="s">
        <v>744</v>
      </c>
      <c r="I72" s="763" t="s">
        <v>5901</v>
      </c>
      <c r="J72" s="762" t="s">
        <v>5902</v>
      </c>
      <c r="K72" s="767">
        <v>41730</v>
      </c>
      <c r="L72" s="768">
        <v>1580</v>
      </c>
      <c r="M72" s="769">
        <v>11288</v>
      </c>
      <c r="N72" s="767">
        <v>41731</v>
      </c>
      <c r="O72" s="767">
        <f>N72+365</f>
        <v>42096</v>
      </c>
      <c r="P72" s="762">
        <v>1</v>
      </c>
      <c r="Q72" s="762" t="s">
        <v>677</v>
      </c>
      <c r="R72" s="762"/>
      <c r="S72" s="762"/>
      <c r="T72" s="770" t="s">
        <v>5815</v>
      </c>
      <c r="U72" s="761"/>
      <c r="V72" s="762"/>
      <c r="W72" s="762"/>
      <c r="X72" s="762"/>
      <c r="Y72" s="762"/>
      <c r="Z72" s="762"/>
      <c r="AA72" s="762"/>
      <c r="AB72" s="762"/>
      <c r="AC72" s="772"/>
      <c r="AD72" s="770"/>
      <c r="AE72" s="773"/>
      <c r="AF72" s="774"/>
      <c r="AG72" s="774">
        <v>1580</v>
      </c>
      <c r="AH72" s="775">
        <f t="shared" si="4"/>
        <v>1580</v>
      </c>
      <c r="AI72" s="776"/>
      <c r="AJ72" s="777"/>
      <c r="AK72" s="778"/>
      <c r="AL72" s="779"/>
      <c r="AM72" s="860" t="s">
        <v>1311</v>
      </c>
      <c r="AN72" s="777" t="s">
        <v>5887</v>
      </c>
      <c r="AO72" s="769">
        <v>11277</v>
      </c>
      <c r="AP72" s="862">
        <v>41731</v>
      </c>
      <c r="AQ72" s="769">
        <v>11277</v>
      </c>
      <c r="AR72" s="863">
        <v>41731</v>
      </c>
      <c r="AS72" s="1710"/>
      <c r="AT72" s="1711"/>
      <c r="AU72" s="1711"/>
      <c r="AV72" s="1711"/>
      <c r="AW72" s="1711"/>
      <c r="AX72" s="1711"/>
      <c r="AY72" s="1711"/>
      <c r="AZ72" s="1711"/>
      <c r="BA72" s="1711"/>
      <c r="BB72" s="1711"/>
      <c r="BC72" s="1711"/>
      <c r="BD72" s="1712"/>
    </row>
    <row r="73" spans="1:56" s="422" customFormat="1" ht="51.75" thickBot="1" x14ac:dyDescent="0.3">
      <c r="A73" s="760">
        <v>22</v>
      </c>
      <c r="B73" s="761" t="s">
        <v>750</v>
      </c>
      <c r="C73" s="762" t="s">
        <v>1003</v>
      </c>
      <c r="D73" s="762" t="s">
        <v>5840</v>
      </c>
      <c r="E73" s="762" t="s">
        <v>5903</v>
      </c>
      <c r="F73" s="763" t="s">
        <v>5904</v>
      </c>
      <c r="G73" s="851">
        <v>10967</v>
      </c>
      <c r="H73" s="782" t="s">
        <v>747</v>
      </c>
      <c r="I73" s="763" t="s">
        <v>5905</v>
      </c>
      <c r="J73" s="762" t="s">
        <v>5906</v>
      </c>
      <c r="K73" s="767">
        <v>41732</v>
      </c>
      <c r="L73" s="768">
        <v>200000</v>
      </c>
      <c r="M73" s="769">
        <v>11288</v>
      </c>
      <c r="N73" s="767">
        <v>41732</v>
      </c>
      <c r="O73" s="767">
        <v>42004</v>
      </c>
      <c r="P73" s="762">
        <v>1</v>
      </c>
      <c r="Q73" s="762" t="s">
        <v>677</v>
      </c>
      <c r="R73" s="762"/>
      <c r="S73" s="762"/>
      <c r="T73" s="770" t="s">
        <v>5815</v>
      </c>
      <c r="U73" s="761"/>
      <c r="V73" s="762"/>
      <c r="W73" s="762"/>
      <c r="X73" s="762"/>
      <c r="Y73" s="762"/>
      <c r="Z73" s="762"/>
      <c r="AA73" s="762"/>
      <c r="AB73" s="762"/>
      <c r="AC73" s="772"/>
      <c r="AD73" s="770"/>
      <c r="AE73" s="773"/>
      <c r="AF73" s="774"/>
      <c r="AG73" s="774">
        <f>51505.59+22293.9+6200.51+11243.83+17880.23+17712.12+22621.56+16328.97+4854.63</f>
        <v>170641.34</v>
      </c>
      <c r="AH73" s="775">
        <f t="shared" si="4"/>
        <v>170641.34</v>
      </c>
      <c r="AI73" s="776" t="s">
        <v>975</v>
      </c>
      <c r="AJ73" s="769">
        <v>11081</v>
      </c>
      <c r="AK73" s="778" t="s">
        <v>236</v>
      </c>
      <c r="AL73" s="851">
        <v>11281</v>
      </c>
      <c r="AM73" s="860"/>
      <c r="AN73" s="777"/>
      <c r="AO73" s="769"/>
      <c r="AP73" s="862"/>
      <c r="AQ73" s="769"/>
      <c r="AR73" s="779"/>
      <c r="AS73" s="1710"/>
      <c r="AT73" s="1711"/>
      <c r="AU73" s="1711"/>
      <c r="AV73" s="1711"/>
      <c r="AW73" s="1711"/>
      <c r="AX73" s="1711"/>
      <c r="AY73" s="1711"/>
      <c r="AZ73" s="1711"/>
      <c r="BA73" s="1711"/>
      <c r="BB73" s="1711"/>
      <c r="BC73" s="1711"/>
      <c r="BD73" s="1712"/>
    </row>
    <row r="74" spans="1:56" s="422" customFormat="1" ht="90" thickBot="1" x14ac:dyDescent="0.3">
      <c r="A74" s="760">
        <v>23</v>
      </c>
      <c r="B74" s="761" t="s">
        <v>757</v>
      </c>
      <c r="C74" s="762" t="s">
        <v>5052</v>
      </c>
      <c r="D74" s="762" t="s">
        <v>5840</v>
      </c>
      <c r="E74" s="762" t="s">
        <v>5878</v>
      </c>
      <c r="F74" s="763" t="s">
        <v>5907</v>
      </c>
      <c r="G74" s="851">
        <v>11079</v>
      </c>
      <c r="H74" s="782" t="s">
        <v>750</v>
      </c>
      <c r="I74" s="763" t="s">
        <v>5908</v>
      </c>
      <c r="J74" s="762" t="s">
        <v>4325</v>
      </c>
      <c r="K74" s="767">
        <v>41751</v>
      </c>
      <c r="L74" s="768">
        <v>9938.25</v>
      </c>
      <c r="M74" s="769">
        <v>11301</v>
      </c>
      <c r="N74" s="767">
        <v>41751</v>
      </c>
      <c r="O74" s="767">
        <v>42004</v>
      </c>
      <c r="P74" s="762">
        <v>1</v>
      </c>
      <c r="Q74" s="762" t="s">
        <v>677</v>
      </c>
      <c r="R74" s="762"/>
      <c r="S74" s="762"/>
      <c r="T74" s="770" t="s">
        <v>5909</v>
      </c>
      <c r="U74" s="761"/>
      <c r="V74" s="762"/>
      <c r="W74" s="762"/>
      <c r="X74" s="762"/>
      <c r="Y74" s="762"/>
      <c r="Z74" s="762"/>
      <c r="AA74" s="762"/>
      <c r="AB74" s="762"/>
      <c r="AC74" s="772"/>
      <c r="AD74" s="770"/>
      <c r="AE74" s="773"/>
      <c r="AF74" s="774"/>
      <c r="AG74" s="774">
        <f>2000.59+1837.11</f>
        <v>3837.7</v>
      </c>
      <c r="AH74" s="775">
        <f t="shared" si="4"/>
        <v>3837.7</v>
      </c>
      <c r="AI74" s="776"/>
      <c r="AJ74" s="777"/>
      <c r="AK74" s="778" t="s">
        <v>5844</v>
      </c>
      <c r="AL74" s="851">
        <v>11281</v>
      </c>
      <c r="AM74" s="860"/>
      <c r="AN74" s="777"/>
      <c r="AO74" s="769"/>
      <c r="AP74" s="862"/>
      <c r="AQ74" s="769"/>
      <c r="AR74" s="779"/>
      <c r="AS74" s="1710"/>
      <c r="AT74" s="1711"/>
      <c r="AU74" s="1711"/>
      <c r="AV74" s="1711"/>
      <c r="AW74" s="1711"/>
      <c r="AX74" s="1711"/>
      <c r="AY74" s="1711"/>
      <c r="AZ74" s="1711"/>
      <c r="BA74" s="1711"/>
      <c r="BB74" s="1711"/>
      <c r="BC74" s="1711"/>
      <c r="BD74" s="1712"/>
    </row>
    <row r="75" spans="1:56" s="422" customFormat="1" ht="90" thickBot="1" x14ac:dyDescent="0.3">
      <c r="A75" s="760">
        <v>24</v>
      </c>
      <c r="B75" s="761" t="s">
        <v>765</v>
      </c>
      <c r="C75" s="762" t="s">
        <v>5052</v>
      </c>
      <c r="D75" s="762" t="s">
        <v>5840</v>
      </c>
      <c r="E75" s="762" t="s">
        <v>5878</v>
      </c>
      <c r="F75" s="763" t="s">
        <v>5910</v>
      </c>
      <c r="G75" s="851">
        <v>11079</v>
      </c>
      <c r="H75" s="782" t="s">
        <v>757</v>
      </c>
      <c r="I75" s="763" t="s">
        <v>5911</v>
      </c>
      <c r="J75" s="762" t="s">
        <v>458</v>
      </c>
      <c r="K75" s="767">
        <v>41751</v>
      </c>
      <c r="L75" s="768">
        <v>10015.75</v>
      </c>
      <c r="M75" s="769">
        <v>11301</v>
      </c>
      <c r="N75" s="767">
        <v>41751</v>
      </c>
      <c r="O75" s="767">
        <v>42004</v>
      </c>
      <c r="P75" s="762">
        <v>1</v>
      </c>
      <c r="Q75" s="762" t="s">
        <v>677</v>
      </c>
      <c r="R75" s="762"/>
      <c r="S75" s="762"/>
      <c r="T75" s="770" t="s">
        <v>5909</v>
      </c>
      <c r="U75" s="761"/>
      <c r="V75" s="762"/>
      <c r="W75" s="762"/>
      <c r="X75" s="762"/>
      <c r="Y75" s="762"/>
      <c r="Z75" s="762"/>
      <c r="AA75" s="762"/>
      <c r="AB75" s="762"/>
      <c r="AC75" s="772"/>
      <c r="AD75" s="770"/>
      <c r="AE75" s="773"/>
      <c r="AF75" s="774"/>
      <c r="AG75" s="774">
        <f>2046+2041.03+1865.22+5431.35</f>
        <v>11383.6</v>
      </c>
      <c r="AH75" s="775">
        <f t="shared" si="4"/>
        <v>11383.6</v>
      </c>
      <c r="AI75" s="776"/>
      <c r="AJ75" s="777"/>
      <c r="AK75" s="778" t="s">
        <v>5912</v>
      </c>
      <c r="AL75" s="851">
        <v>11281</v>
      </c>
      <c r="AM75" s="860"/>
      <c r="AN75" s="777"/>
      <c r="AO75" s="769"/>
      <c r="AP75" s="862"/>
      <c r="AQ75" s="769"/>
      <c r="AR75" s="779"/>
      <c r="AS75" s="1710"/>
      <c r="AT75" s="1711"/>
      <c r="AU75" s="1711"/>
      <c r="AV75" s="1711"/>
      <c r="AW75" s="1711"/>
      <c r="AX75" s="1711"/>
      <c r="AY75" s="1711"/>
      <c r="AZ75" s="1711"/>
      <c r="BA75" s="1711"/>
      <c r="BB75" s="1711"/>
      <c r="BC75" s="1711"/>
      <c r="BD75" s="1712"/>
    </row>
    <row r="76" spans="1:56" s="422" customFormat="1" ht="51.75" thickBot="1" x14ac:dyDescent="0.3">
      <c r="A76" s="760">
        <v>25</v>
      </c>
      <c r="B76" s="761" t="s">
        <v>777</v>
      </c>
      <c r="C76" s="762" t="s">
        <v>281</v>
      </c>
      <c r="D76" s="762" t="s">
        <v>5840</v>
      </c>
      <c r="E76" s="762" t="s">
        <v>5878</v>
      </c>
      <c r="F76" s="763" t="s">
        <v>5913</v>
      </c>
      <c r="G76" s="851">
        <v>11041</v>
      </c>
      <c r="H76" s="782" t="s">
        <v>765</v>
      </c>
      <c r="I76" s="763" t="s">
        <v>5914</v>
      </c>
      <c r="J76" s="762" t="s">
        <v>285</v>
      </c>
      <c r="K76" s="767">
        <v>41747</v>
      </c>
      <c r="L76" s="768">
        <v>80100</v>
      </c>
      <c r="M76" s="769">
        <v>11335</v>
      </c>
      <c r="N76" s="767">
        <v>41778</v>
      </c>
      <c r="O76" s="767">
        <v>42004</v>
      </c>
      <c r="P76" s="762">
        <v>1</v>
      </c>
      <c r="Q76" s="762" t="s">
        <v>677</v>
      </c>
      <c r="R76" s="762"/>
      <c r="S76" s="762"/>
      <c r="T76" s="770" t="s">
        <v>5909</v>
      </c>
      <c r="U76" s="761"/>
      <c r="V76" s="762"/>
      <c r="W76" s="762"/>
      <c r="X76" s="762"/>
      <c r="Y76" s="762"/>
      <c r="Z76" s="762"/>
      <c r="AA76" s="762"/>
      <c r="AB76" s="762"/>
      <c r="AC76" s="772"/>
      <c r="AD76" s="770"/>
      <c r="AE76" s="773"/>
      <c r="AF76" s="774"/>
      <c r="AG76" s="774">
        <f>7191.6+5202.5+6993.35+16960.1</f>
        <v>36347.550000000003</v>
      </c>
      <c r="AH76" s="775">
        <f t="shared" si="4"/>
        <v>36347.550000000003</v>
      </c>
      <c r="AI76" s="782" t="s">
        <v>1006</v>
      </c>
      <c r="AJ76" s="769">
        <v>11064</v>
      </c>
      <c r="AK76" s="778" t="s">
        <v>5915</v>
      </c>
      <c r="AL76" s="851">
        <v>11301</v>
      </c>
      <c r="AM76" s="860"/>
      <c r="AN76" s="777"/>
      <c r="AO76" s="769"/>
      <c r="AP76" s="862"/>
      <c r="AQ76" s="769"/>
      <c r="AR76" s="779"/>
      <c r="AS76" s="1710"/>
      <c r="AT76" s="1711"/>
      <c r="AU76" s="1711"/>
      <c r="AV76" s="1711"/>
      <c r="AW76" s="1711"/>
      <c r="AX76" s="1711"/>
      <c r="AY76" s="1711"/>
      <c r="AZ76" s="1711"/>
      <c r="BA76" s="1711"/>
      <c r="BB76" s="1711"/>
      <c r="BC76" s="1711"/>
      <c r="BD76" s="1712"/>
    </row>
    <row r="77" spans="1:56" s="422" customFormat="1" ht="26.25" thickBot="1" x14ac:dyDescent="0.3">
      <c r="A77" s="760">
        <v>26</v>
      </c>
      <c r="B77" s="761" t="s">
        <v>780</v>
      </c>
      <c r="C77" s="762" t="s">
        <v>677</v>
      </c>
      <c r="D77" s="762" t="s">
        <v>677</v>
      </c>
      <c r="E77" s="762" t="s">
        <v>677</v>
      </c>
      <c r="F77" s="771" t="s">
        <v>5916</v>
      </c>
      <c r="G77" s="770" t="s">
        <v>677</v>
      </c>
      <c r="H77" s="782" t="s">
        <v>777</v>
      </c>
      <c r="I77" s="763" t="s">
        <v>5917</v>
      </c>
      <c r="J77" s="762" t="s">
        <v>407</v>
      </c>
      <c r="K77" s="767">
        <v>41756</v>
      </c>
      <c r="L77" s="768">
        <v>7997</v>
      </c>
      <c r="M77" s="769">
        <v>11320</v>
      </c>
      <c r="N77" s="767">
        <v>41785</v>
      </c>
      <c r="O77" s="767">
        <v>41845</v>
      </c>
      <c r="P77" s="762">
        <v>1</v>
      </c>
      <c r="Q77" s="762" t="s">
        <v>677</v>
      </c>
      <c r="R77" s="762"/>
      <c r="S77" s="762"/>
      <c r="T77" s="770" t="s">
        <v>5918</v>
      </c>
      <c r="U77" s="761"/>
      <c r="V77" s="762"/>
      <c r="W77" s="762"/>
      <c r="X77" s="762"/>
      <c r="Y77" s="762"/>
      <c r="Z77" s="762"/>
      <c r="AA77" s="762"/>
      <c r="AB77" s="762"/>
      <c r="AC77" s="772"/>
      <c r="AD77" s="864"/>
      <c r="AE77" s="773"/>
      <c r="AF77" s="774"/>
      <c r="AG77" s="774">
        <v>7997</v>
      </c>
      <c r="AH77" s="775">
        <f t="shared" si="4"/>
        <v>7997</v>
      </c>
      <c r="AI77" s="782"/>
      <c r="AJ77" s="865"/>
      <c r="AK77" s="778"/>
      <c r="AL77" s="866"/>
      <c r="AM77" s="860" t="s">
        <v>1311</v>
      </c>
      <c r="AN77" s="777" t="s">
        <v>5887</v>
      </c>
      <c r="AO77" s="769">
        <v>11320</v>
      </c>
      <c r="AP77" s="862">
        <v>41794</v>
      </c>
      <c r="AQ77" s="769">
        <v>11320</v>
      </c>
      <c r="AR77" s="863">
        <v>41794</v>
      </c>
      <c r="AS77" s="1710"/>
      <c r="AT77" s="1711"/>
      <c r="AU77" s="1711"/>
      <c r="AV77" s="1711"/>
      <c r="AW77" s="1711"/>
      <c r="AX77" s="1711"/>
      <c r="AY77" s="1711"/>
      <c r="AZ77" s="1711"/>
      <c r="BA77" s="1711"/>
      <c r="BB77" s="1711"/>
      <c r="BC77" s="1711"/>
      <c r="BD77" s="1712"/>
    </row>
    <row r="78" spans="1:56" s="422" customFormat="1" ht="96" customHeight="1" thickBot="1" x14ac:dyDescent="0.3">
      <c r="A78" s="1181">
        <v>27</v>
      </c>
      <c r="B78" s="1182" t="s">
        <v>787</v>
      </c>
      <c r="C78" s="1094" t="s">
        <v>677</v>
      </c>
      <c r="D78" s="1094" t="s">
        <v>677</v>
      </c>
      <c r="E78" s="1094" t="s">
        <v>677</v>
      </c>
      <c r="F78" s="1095" t="s">
        <v>5919</v>
      </c>
      <c r="G78" s="1195" t="s">
        <v>677</v>
      </c>
      <c r="H78" s="1186" t="s">
        <v>5920</v>
      </c>
      <c r="I78" s="1095" t="s">
        <v>5921</v>
      </c>
      <c r="J78" s="1094" t="s">
        <v>5922</v>
      </c>
      <c r="K78" s="1098">
        <v>41789</v>
      </c>
      <c r="L78" s="868">
        <v>360</v>
      </c>
      <c r="M78" s="1187"/>
      <c r="N78" s="1098">
        <v>41789</v>
      </c>
      <c r="O78" s="1098">
        <v>41850</v>
      </c>
      <c r="P78" s="1094">
        <v>1</v>
      </c>
      <c r="Q78" s="1094" t="s">
        <v>677</v>
      </c>
      <c r="R78" s="1094"/>
      <c r="S78" s="1094"/>
      <c r="T78" s="1195" t="s">
        <v>5815</v>
      </c>
      <c r="U78" s="1182"/>
      <c r="V78" s="1094"/>
      <c r="W78" s="1094"/>
      <c r="X78" s="1094"/>
      <c r="Y78" s="1094"/>
      <c r="Z78" s="1094"/>
      <c r="AA78" s="1094"/>
      <c r="AB78" s="1094"/>
      <c r="AC78" s="1099"/>
      <c r="AD78" s="869"/>
      <c r="AE78" s="787"/>
      <c r="AF78" s="788"/>
      <c r="AG78" s="788">
        <f>360</f>
        <v>360</v>
      </c>
      <c r="AH78" s="789">
        <f t="shared" si="4"/>
        <v>360</v>
      </c>
      <c r="AI78" s="1186" t="s">
        <v>677</v>
      </c>
      <c r="AJ78" s="870" t="s">
        <v>677</v>
      </c>
      <c r="AK78" s="792" t="s">
        <v>677</v>
      </c>
      <c r="AL78" s="869" t="s">
        <v>677</v>
      </c>
      <c r="AM78" s="871" t="s">
        <v>1311</v>
      </c>
      <c r="AN78" s="791" t="s">
        <v>5887</v>
      </c>
      <c r="AO78" s="1187">
        <v>11320</v>
      </c>
      <c r="AP78" s="872">
        <v>41794</v>
      </c>
      <c r="AQ78" s="1187">
        <v>11320</v>
      </c>
      <c r="AR78" s="873">
        <v>41794</v>
      </c>
      <c r="AS78" s="1713"/>
      <c r="AT78" s="1714"/>
      <c r="AU78" s="1714"/>
      <c r="AV78" s="1714"/>
      <c r="AW78" s="1714"/>
      <c r="AX78" s="1714"/>
      <c r="AY78" s="1714"/>
      <c r="AZ78" s="1714"/>
      <c r="BA78" s="1714"/>
      <c r="BB78" s="1714"/>
      <c r="BC78" s="1714"/>
      <c r="BD78" s="1715"/>
    </row>
    <row r="79" spans="1:56" s="422" customFormat="1" ht="57" customHeight="1" thickBot="1" x14ac:dyDescent="0.3">
      <c r="A79" s="760">
        <v>28</v>
      </c>
      <c r="B79" s="761" t="s">
        <v>792</v>
      </c>
      <c r="C79" s="762" t="s">
        <v>677</v>
      </c>
      <c r="D79" s="762" t="s">
        <v>677</v>
      </c>
      <c r="E79" s="762" t="s">
        <v>677</v>
      </c>
      <c r="F79" s="763" t="s">
        <v>5923</v>
      </c>
      <c r="G79" s="770" t="s">
        <v>677</v>
      </c>
      <c r="H79" s="782" t="s">
        <v>780</v>
      </c>
      <c r="I79" s="763" t="s">
        <v>5924</v>
      </c>
      <c r="J79" s="762" t="s">
        <v>5925</v>
      </c>
      <c r="K79" s="767">
        <v>41799</v>
      </c>
      <c r="L79" s="768">
        <v>3000</v>
      </c>
      <c r="M79" s="769">
        <v>11328</v>
      </c>
      <c r="N79" s="767">
        <v>41799</v>
      </c>
      <c r="O79" s="767">
        <v>41859</v>
      </c>
      <c r="P79" s="762">
        <v>1</v>
      </c>
      <c r="Q79" s="762" t="s">
        <v>677</v>
      </c>
      <c r="R79" s="762"/>
      <c r="S79" s="762"/>
      <c r="T79" s="770" t="s">
        <v>5822</v>
      </c>
      <c r="U79" s="761"/>
      <c r="V79" s="762"/>
      <c r="W79" s="762"/>
      <c r="X79" s="762"/>
      <c r="Y79" s="762"/>
      <c r="Z79" s="762"/>
      <c r="AA79" s="762"/>
      <c r="AB79" s="762"/>
      <c r="AC79" s="772"/>
      <c r="AD79" s="864"/>
      <c r="AE79" s="773"/>
      <c r="AF79" s="774"/>
      <c r="AG79" s="774">
        <v>1500</v>
      </c>
      <c r="AH79" s="775">
        <f t="shared" si="4"/>
        <v>1500</v>
      </c>
      <c r="AI79" s="776"/>
      <c r="AJ79" s="777"/>
      <c r="AK79" s="778"/>
      <c r="AL79" s="779"/>
      <c r="AM79" s="860"/>
      <c r="AN79" s="777"/>
      <c r="AO79" s="769"/>
      <c r="AP79" s="862"/>
      <c r="AQ79" s="769"/>
      <c r="AR79" s="779"/>
      <c r="AS79" s="1710"/>
      <c r="AT79" s="1711"/>
      <c r="AU79" s="1711"/>
      <c r="AV79" s="1711"/>
      <c r="AW79" s="1711"/>
      <c r="AX79" s="1711"/>
      <c r="AY79" s="1711"/>
      <c r="AZ79" s="1711"/>
      <c r="BA79" s="1711"/>
      <c r="BB79" s="1711"/>
      <c r="BC79" s="1711"/>
      <c r="BD79" s="1712"/>
    </row>
    <row r="80" spans="1:56" s="422" customFormat="1" ht="57" customHeight="1" thickBot="1" x14ac:dyDescent="0.3">
      <c r="A80" s="760">
        <v>29</v>
      </c>
      <c r="B80" s="761" t="s">
        <v>795</v>
      </c>
      <c r="C80" s="762" t="s">
        <v>1360</v>
      </c>
      <c r="D80" s="762" t="s">
        <v>5840</v>
      </c>
      <c r="E80" s="762" t="s">
        <v>5811</v>
      </c>
      <c r="F80" s="763" t="s">
        <v>5926</v>
      </c>
      <c r="G80" s="851">
        <v>11024</v>
      </c>
      <c r="H80" s="782" t="s">
        <v>5927</v>
      </c>
      <c r="I80" s="763" t="s">
        <v>5928</v>
      </c>
      <c r="J80" s="762" t="s">
        <v>5929</v>
      </c>
      <c r="K80" s="767">
        <v>41821</v>
      </c>
      <c r="L80" s="768">
        <v>20100</v>
      </c>
      <c r="M80" s="769">
        <v>11348</v>
      </c>
      <c r="N80" s="767">
        <v>41821</v>
      </c>
      <c r="O80" s="767">
        <v>42004</v>
      </c>
      <c r="P80" s="762">
        <v>1</v>
      </c>
      <c r="Q80" s="762" t="s">
        <v>677</v>
      </c>
      <c r="R80" s="762"/>
      <c r="S80" s="762"/>
      <c r="T80" s="770" t="s">
        <v>5815</v>
      </c>
      <c r="U80" s="761"/>
      <c r="V80" s="762"/>
      <c r="W80" s="762"/>
      <c r="X80" s="762"/>
      <c r="Y80" s="762"/>
      <c r="Z80" s="762"/>
      <c r="AA80" s="762"/>
      <c r="AB80" s="762"/>
      <c r="AC80" s="772"/>
      <c r="AD80" s="864"/>
      <c r="AE80" s="773"/>
      <c r="AF80" s="774"/>
      <c r="AG80" s="774">
        <f>3350+3350+3350+3350+3350+3350</f>
        <v>20100</v>
      </c>
      <c r="AH80" s="775">
        <f t="shared" si="4"/>
        <v>20100</v>
      </c>
      <c r="AI80" s="782" t="s">
        <v>675</v>
      </c>
      <c r="AJ80" s="769">
        <v>11183</v>
      </c>
      <c r="AK80" s="778" t="s">
        <v>5930</v>
      </c>
      <c r="AL80" s="851">
        <v>11340</v>
      </c>
      <c r="AM80" s="860"/>
      <c r="AN80" s="777"/>
      <c r="AO80" s="769"/>
      <c r="AP80" s="862"/>
      <c r="AQ80" s="769"/>
      <c r="AR80" s="779"/>
      <c r="AS80" s="1710"/>
      <c r="AT80" s="1711"/>
      <c r="AU80" s="1711"/>
      <c r="AV80" s="1711"/>
      <c r="AW80" s="1711"/>
      <c r="AX80" s="1711"/>
      <c r="AY80" s="1711"/>
      <c r="AZ80" s="1711"/>
      <c r="BA80" s="1711"/>
      <c r="BB80" s="1711"/>
      <c r="BC80" s="1711"/>
      <c r="BD80" s="1712"/>
    </row>
    <row r="81" spans="1:56" s="422" customFormat="1" ht="57" customHeight="1" thickBot="1" x14ac:dyDescent="0.3">
      <c r="A81" s="760">
        <v>30</v>
      </c>
      <c r="B81" s="761" t="s">
        <v>798</v>
      </c>
      <c r="C81" s="762" t="s">
        <v>5931</v>
      </c>
      <c r="D81" s="762" t="s">
        <v>5840</v>
      </c>
      <c r="E81" s="762" t="s">
        <v>5811</v>
      </c>
      <c r="F81" s="763" t="s">
        <v>5932</v>
      </c>
      <c r="G81" s="851">
        <v>11186</v>
      </c>
      <c r="H81" s="782" t="s">
        <v>792</v>
      </c>
      <c r="I81" s="763" t="s">
        <v>5933</v>
      </c>
      <c r="J81" s="762" t="s">
        <v>5934</v>
      </c>
      <c r="K81" s="767">
        <v>41836</v>
      </c>
      <c r="L81" s="768">
        <v>3235</v>
      </c>
      <c r="M81" s="769">
        <v>11360</v>
      </c>
      <c r="N81" s="767">
        <v>41836</v>
      </c>
      <c r="O81" s="767">
        <v>41897</v>
      </c>
      <c r="P81" s="762">
        <v>1</v>
      </c>
      <c r="Q81" s="762" t="s">
        <v>677</v>
      </c>
      <c r="R81" s="762"/>
      <c r="S81" s="762"/>
      <c r="T81" s="770" t="s">
        <v>5935</v>
      </c>
      <c r="U81" s="761"/>
      <c r="V81" s="762"/>
      <c r="W81" s="762"/>
      <c r="X81" s="762"/>
      <c r="Y81" s="762"/>
      <c r="Z81" s="762"/>
      <c r="AA81" s="762"/>
      <c r="AB81" s="762"/>
      <c r="AC81" s="772"/>
      <c r="AD81" s="864"/>
      <c r="AE81" s="773"/>
      <c r="AF81" s="774"/>
      <c r="AG81" s="774">
        <v>3235</v>
      </c>
      <c r="AH81" s="775">
        <f t="shared" si="4"/>
        <v>3235</v>
      </c>
      <c r="AI81" s="782" t="s">
        <v>675</v>
      </c>
      <c r="AJ81" s="769">
        <v>11330</v>
      </c>
      <c r="AK81" s="778" t="s">
        <v>5936</v>
      </c>
      <c r="AL81" s="851">
        <v>11359</v>
      </c>
      <c r="AM81" s="860"/>
      <c r="AN81" s="777"/>
      <c r="AO81" s="769"/>
      <c r="AP81" s="862"/>
      <c r="AQ81" s="769"/>
      <c r="AR81" s="779"/>
      <c r="AS81" s="1710"/>
      <c r="AT81" s="1711"/>
      <c r="AU81" s="1711"/>
      <c r="AV81" s="1711"/>
      <c r="AW81" s="1711"/>
      <c r="AX81" s="1711"/>
      <c r="AY81" s="1711"/>
      <c r="AZ81" s="1711"/>
      <c r="BA81" s="1711"/>
      <c r="BB81" s="1711"/>
      <c r="BC81" s="1711"/>
      <c r="BD81" s="1712"/>
    </row>
    <row r="82" spans="1:56" s="422" customFormat="1" ht="118.5" customHeight="1" thickBot="1" x14ac:dyDescent="0.3">
      <c r="A82" s="760">
        <v>31</v>
      </c>
      <c r="B82" s="761" t="s">
        <v>804</v>
      </c>
      <c r="C82" s="762" t="s">
        <v>5937</v>
      </c>
      <c r="D82" s="762" t="s">
        <v>5840</v>
      </c>
      <c r="E82" s="762" t="s">
        <v>5811</v>
      </c>
      <c r="F82" s="763" t="s">
        <v>5938</v>
      </c>
      <c r="G82" s="851">
        <v>11200</v>
      </c>
      <c r="H82" s="782" t="s">
        <v>795</v>
      </c>
      <c r="I82" s="763" t="s">
        <v>5939</v>
      </c>
      <c r="J82" s="762" t="s">
        <v>5940</v>
      </c>
      <c r="K82" s="767">
        <v>41806</v>
      </c>
      <c r="L82" s="768">
        <v>61440</v>
      </c>
      <c r="M82" s="769">
        <v>11365</v>
      </c>
      <c r="N82" s="767">
        <v>41836</v>
      </c>
      <c r="O82" s="767">
        <v>42200</v>
      </c>
      <c r="P82" s="762">
        <v>1</v>
      </c>
      <c r="Q82" s="762" t="s">
        <v>677</v>
      </c>
      <c r="R82" s="762"/>
      <c r="S82" s="762"/>
      <c r="T82" s="770" t="s">
        <v>5815</v>
      </c>
      <c r="U82" s="761"/>
      <c r="V82" s="762"/>
      <c r="W82" s="762"/>
      <c r="X82" s="762"/>
      <c r="Y82" s="762"/>
      <c r="Z82" s="762"/>
      <c r="AA82" s="762"/>
      <c r="AB82" s="762"/>
      <c r="AC82" s="772"/>
      <c r="AD82" s="864"/>
      <c r="AE82" s="773"/>
      <c r="AF82" s="774"/>
      <c r="AG82" s="774">
        <v>0</v>
      </c>
      <c r="AH82" s="775">
        <f t="shared" si="4"/>
        <v>0</v>
      </c>
      <c r="AI82" s="782" t="s">
        <v>675</v>
      </c>
      <c r="AJ82" s="769">
        <v>11218</v>
      </c>
      <c r="AK82" s="778" t="s">
        <v>5941</v>
      </c>
      <c r="AL82" s="851">
        <v>11359</v>
      </c>
      <c r="AM82" s="860"/>
      <c r="AN82" s="777"/>
      <c r="AO82" s="769"/>
      <c r="AP82" s="862"/>
      <c r="AQ82" s="769"/>
      <c r="AR82" s="779"/>
      <c r="AS82" s="1710"/>
      <c r="AT82" s="1711"/>
      <c r="AU82" s="1711"/>
      <c r="AV82" s="1711"/>
      <c r="AW82" s="1711"/>
      <c r="AX82" s="1711"/>
      <c r="AY82" s="1711"/>
      <c r="AZ82" s="1711"/>
      <c r="BA82" s="1711"/>
      <c r="BB82" s="1711"/>
      <c r="BC82" s="1711"/>
      <c r="BD82" s="1712"/>
    </row>
    <row r="83" spans="1:56" s="422" customFormat="1" ht="64.5" thickBot="1" x14ac:dyDescent="0.3">
      <c r="A83" s="760">
        <v>32</v>
      </c>
      <c r="B83" s="761" t="s">
        <v>810</v>
      </c>
      <c r="C83" s="762" t="s">
        <v>5942</v>
      </c>
      <c r="D83" s="762" t="s">
        <v>5840</v>
      </c>
      <c r="E83" s="762" t="s">
        <v>5811</v>
      </c>
      <c r="F83" s="763" t="s">
        <v>5943</v>
      </c>
      <c r="G83" s="851">
        <v>11133</v>
      </c>
      <c r="H83" s="782" t="s">
        <v>804</v>
      </c>
      <c r="I83" s="763" t="s">
        <v>5944</v>
      </c>
      <c r="J83" s="762" t="s">
        <v>5945</v>
      </c>
      <c r="K83" s="767">
        <v>41879</v>
      </c>
      <c r="L83" s="768">
        <v>447372.76</v>
      </c>
      <c r="M83" s="769">
        <v>11401</v>
      </c>
      <c r="N83" s="767">
        <v>41883</v>
      </c>
      <c r="O83" s="767">
        <v>42004</v>
      </c>
      <c r="P83" s="762">
        <v>1</v>
      </c>
      <c r="Q83" s="762" t="s">
        <v>677</v>
      </c>
      <c r="R83" s="762"/>
      <c r="S83" s="762"/>
      <c r="T83" s="770" t="s">
        <v>5815</v>
      </c>
      <c r="U83" s="761"/>
      <c r="V83" s="762"/>
      <c r="W83" s="762"/>
      <c r="X83" s="762"/>
      <c r="Y83" s="762"/>
      <c r="Z83" s="762"/>
      <c r="AA83" s="762"/>
      <c r="AB83" s="762"/>
      <c r="AC83" s="772"/>
      <c r="AD83" s="864"/>
      <c r="AE83" s="773"/>
      <c r="AF83" s="774"/>
      <c r="AG83" s="774">
        <f>99604.87+111843.19+111843.19+111843.19</f>
        <v>435134.44</v>
      </c>
      <c r="AH83" s="775">
        <f t="shared" si="4"/>
        <v>435134.44</v>
      </c>
      <c r="AI83" s="782" t="s">
        <v>704</v>
      </c>
      <c r="AJ83" s="769">
        <v>11016</v>
      </c>
      <c r="AK83" s="778" t="s">
        <v>5946</v>
      </c>
      <c r="AL83" s="851">
        <v>11340</v>
      </c>
      <c r="AM83" s="860"/>
      <c r="AN83" s="777"/>
      <c r="AO83" s="769"/>
      <c r="AP83" s="862"/>
      <c r="AQ83" s="769"/>
      <c r="AR83" s="779"/>
      <c r="AS83" s="1710"/>
      <c r="AT83" s="1711"/>
      <c r="AU83" s="1711"/>
      <c r="AV83" s="1711"/>
      <c r="AW83" s="1711"/>
      <c r="AX83" s="1711"/>
      <c r="AY83" s="1711"/>
      <c r="AZ83" s="1711"/>
      <c r="BA83" s="1711"/>
      <c r="BB83" s="1711"/>
      <c r="BC83" s="1711"/>
      <c r="BD83" s="1712"/>
    </row>
    <row r="84" spans="1:56" s="422" customFormat="1" ht="90" thickBot="1" x14ac:dyDescent="0.3">
      <c r="A84" s="760">
        <v>33</v>
      </c>
      <c r="B84" s="761" t="s">
        <v>811</v>
      </c>
      <c r="C84" s="762" t="s">
        <v>5947</v>
      </c>
      <c r="D84" s="762" t="s">
        <v>5840</v>
      </c>
      <c r="E84" s="762" t="s">
        <v>5811</v>
      </c>
      <c r="F84" s="763" t="s">
        <v>5948</v>
      </c>
      <c r="G84" s="851">
        <v>11016</v>
      </c>
      <c r="H84" s="782" t="s">
        <v>807</v>
      </c>
      <c r="I84" s="763" t="s">
        <v>5949</v>
      </c>
      <c r="J84" s="762" t="s">
        <v>789</v>
      </c>
      <c r="K84" s="767">
        <v>41897</v>
      </c>
      <c r="L84" s="768">
        <v>6402.6</v>
      </c>
      <c r="M84" s="769">
        <v>11400</v>
      </c>
      <c r="N84" s="767">
        <v>41897</v>
      </c>
      <c r="O84" s="767">
        <v>42004</v>
      </c>
      <c r="P84" s="762">
        <v>1</v>
      </c>
      <c r="Q84" s="762" t="s">
        <v>677</v>
      </c>
      <c r="R84" s="762"/>
      <c r="S84" s="762"/>
      <c r="T84" s="770"/>
      <c r="U84" s="761"/>
      <c r="V84" s="762"/>
      <c r="W84" s="762"/>
      <c r="X84" s="762"/>
      <c r="Y84" s="762"/>
      <c r="Z84" s="762"/>
      <c r="AA84" s="762"/>
      <c r="AB84" s="762"/>
      <c r="AC84" s="772"/>
      <c r="AD84" s="864"/>
      <c r="AE84" s="773"/>
      <c r="AF84" s="774"/>
      <c r="AG84" s="774">
        <v>610.17999999999995</v>
      </c>
      <c r="AH84" s="775">
        <f t="shared" si="4"/>
        <v>610.17999999999995</v>
      </c>
      <c r="AI84" s="782" t="s">
        <v>381</v>
      </c>
      <c r="AJ84" s="769">
        <v>11257</v>
      </c>
      <c r="AK84" s="778" t="s">
        <v>5844</v>
      </c>
      <c r="AL84" s="851">
        <v>11400</v>
      </c>
      <c r="AM84" s="860"/>
      <c r="AN84" s="777"/>
      <c r="AO84" s="769"/>
      <c r="AP84" s="862"/>
      <c r="AQ84" s="769"/>
      <c r="AR84" s="779"/>
      <c r="AS84" s="1710"/>
      <c r="AT84" s="1711"/>
      <c r="AU84" s="1711"/>
      <c r="AV84" s="1711"/>
      <c r="AW84" s="1711"/>
      <c r="AX84" s="1711"/>
      <c r="AY84" s="1711"/>
      <c r="AZ84" s="1711"/>
      <c r="BA84" s="1711"/>
      <c r="BB84" s="1711"/>
      <c r="BC84" s="1711"/>
      <c r="BD84" s="1712"/>
    </row>
    <row r="85" spans="1:56" s="422" customFormat="1" ht="51.75" thickBot="1" x14ac:dyDescent="0.3">
      <c r="A85" s="760">
        <v>34</v>
      </c>
      <c r="B85" s="761" t="s">
        <v>814</v>
      </c>
      <c r="C85" s="762" t="s">
        <v>762</v>
      </c>
      <c r="D85" s="762" t="s">
        <v>5840</v>
      </c>
      <c r="E85" s="762" t="s">
        <v>5811</v>
      </c>
      <c r="F85" s="763" t="s">
        <v>5950</v>
      </c>
      <c r="G85" s="851" t="s">
        <v>5951</v>
      </c>
      <c r="H85" s="782" t="s">
        <v>810</v>
      </c>
      <c r="I85" s="763" t="s">
        <v>5952</v>
      </c>
      <c r="J85" s="762" t="s">
        <v>767</v>
      </c>
      <c r="K85" s="767">
        <v>41911</v>
      </c>
      <c r="L85" s="768">
        <v>29950</v>
      </c>
      <c r="M85" s="769">
        <v>11447</v>
      </c>
      <c r="N85" s="767">
        <v>41911</v>
      </c>
      <c r="O85" s="767">
        <v>42004</v>
      </c>
      <c r="P85" s="762">
        <v>8</v>
      </c>
      <c r="Q85" s="762" t="s">
        <v>5953</v>
      </c>
      <c r="R85" s="762"/>
      <c r="S85" s="762"/>
      <c r="T85" s="770" t="s">
        <v>5935</v>
      </c>
      <c r="U85" s="761"/>
      <c r="V85" s="762"/>
      <c r="W85" s="762"/>
      <c r="X85" s="762"/>
      <c r="Y85" s="762"/>
      <c r="Z85" s="762"/>
      <c r="AA85" s="762"/>
      <c r="AB85" s="762"/>
      <c r="AC85" s="772"/>
      <c r="AD85" s="864"/>
      <c r="AE85" s="773"/>
      <c r="AF85" s="774"/>
      <c r="AG85" s="774">
        <v>29950</v>
      </c>
      <c r="AH85" s="775">
        <f t="shared" si="4"/>
        <v>29950</v>
      </c>
      <c r="AI85" s="782" t="s">
        <v>750</v>
      </c>
      <c r="AJ85" s="769" t="s">
        <v>5954</v>
      </c>
      <c r="AK85" s="778" t="s">
        <v>5955</v>
      </c>
      <c r="AL85" s="769">
        <v>11408</v>
      </c>
      <c r="AM85" s="860"/>
      <c r="AN85" s="777"/>
      <c r="AO85" s="769"/>
      <c r="AP85" s="862"/>
      <c r="AQ85" s="769"/>
      <c r="AR85" s="779"/>
      <c r="AS85" s="1710"/>
      <c r="AT85" s="1711"/>
      <c r="AU85" s="1711"/>
      <c r="AV85" s="1711"/>
      <c r="AW85" s="1711"/>
      <c r="AX85" s="1711"/>
      <c r="AY85" s="1711"/>
      <c r="AZ85" s="1711"/>
      <c r="BA85" s="1711"/>
      <c r="BB85" s="1711"/>
      <c r="BC85" s="1711"/>
      <c r="BD85" s="1712"/>
    </row>
    <row r="86" spans="1:56" s="422" customFormat="1" ht="39" thickBot="1" x14ac:dyDescent="0.3">
      <c r="A86" s="760">
        <v>35</v>
      </c>
      <c r="B86" s="761" t="s">
        <v>817</v>
      </c>
      <c r="C86" s="762" t="s">
        <v>835</v>
      </c>
      <c r="D86" s="762" t="s">
        <v>5956</v>
      </c>
      <c r="E86" s="762" t="s">
        <v>5811</v>
      </c>
      <c r="F86" s="763" t="s">
        <v>5957</v>
      </c>
      <c r="G86" s="851" t="s">
        <v>5958</v>
      </c>
      <c r="H86" s="782" t="s">
        <v>811</v>
      </c>
      <c r="I86" s="763" t="s">
        <v>5952</v>
      </c>
      <c r="J86" s="762" t="s">
        <v>767</v>
      </c>
      <c r="K86" s="767">
        <v>41956</v>
      </c>
      <c r="L86" s="768">
        <v>27611.200000000001</v>
      </c>
      <c r="M86" s="769">
        <v>11447</v>
      </c>
      <c r="N86" s="767">
        <v>41956</v>
      </c>
      <c r="O86" s="767">
        <v>42047</v>
      </c>
      <c r="P86" s="762">
        <v>8</v>
      </c>
      <c r="Q86" s="762" t="s">
        <v>5953</v>
      </c>
      <c r="R86" s="762"/>
      <c r="S86" s="762"/>
      <c r="T86" s="770"/>
      <c r="U86" s="761"/>
      <c r="V86" s="762"/>
      <c r="W86" s="762"/>
      <c r="X86" s="762"/>
      <c r="Y86" s="762"/>
      <c r="Z86" s="762"/>
      <c r="AA86" s="762"/>
      <c r="AB86" s="762"/>
      <c r="AC86" s="772"/>
      <c r="AD86" s="864"/>
      <c r="AE86" s="773"/>
      <c r="AF86" s="774"/>
      <c r="AG86" s="774">
        <v>7711.2</v>
      </c>
      <c r="AH86" s="775">
        <f t="shared" si="4"/>
        <v>7711.2</v>
      </c>
      <c r="AI86" s="782" t="s">
        <v>1911</v>
      </c>
      <c r="AJ86" s="769" t="s">
        <v>5959</v>
      </c>
      <c r="AK86" s="778" t="s">
        <v>5960</v>
      </c>
      <c r="AL86" s="851">
        <v>11447</v>
      </c>
      <c r="AM86" s="860"/>
      <c r="AN86" s="777"/>
      <c r="AO86" s="769"/>
      <c r="AP86" s="862"/>
      <c r="AQ86" s="769"/>
      <c r="AR86" s="779"/>
      <c r="AS86" s="1710"/>
      <c r="AT86" s="1711"/>
      <c r="AU86" s="1711"/>
      <c r="AV86" s="1711"/>
      <c r="AW86" s="1711"/>
      <c r="AX86" s="1711"/>
      <c r="AY86" s="1711"/>
      <c r="AZ86" s="1711"/>
      <c r="BA86" s="1711"/>
      <c r="BB86" s="1711"/>
      <c r="BC86" s="1711"/>
      <c r="BD86" s="1712"/>
    </row>
    <row r="87" spans="1:56" s="422" customFormat="1" ht="64.5" thickBot="1" x14ac:dyDescent="0.3">
      <c r="A87" s="760">
        <v>36</v>
      </c>
      <c r="B87" s="761" t="s">
        <v>823</v>
      </c>
      <c r="C87" s="762" t="s">
        <v>716</v>
      </c>
      <c r="D87" s="762" t="s">
        <v>5840</v>
      </c>
      <c r="E87" s="762" t="s">
        <v>5811</v>
      </c>
      <c r="F87" s="763" t="s">
        <v>5961</v>
      </c>
      <c r="G87" s="851" t="s">
        <v>5962</v>
      </c>
      <c r="H87" s="782" t="s">
        <v>814</v>
      </c>
      <c r="I87" s="763" t="s">
        <v>5952</v>
      </c>
      <c r="J87" s="762" t="s">
        <v>767</v>
      </c>
      <c r="K87" s="767">
        <v>41969</v>
      </c>
      <c r="L87" s="768">
        <v>88605.74</v>
      </c>
      <c r="M87" s="769">
        <v>11456</v>
      </c>
      <c r="N87" s="767">
        <v>41969</v>
      </c>
      <c r="O87" s="767">
        <v>42088</v>
      </c>
      <c r="P87" s="762">
        <v>8</v>
      </c>
      <c r="Q87" s="762" t="s">
        <v>5953</v>
      </c>
      <c r="R87" s="762"/>
      <c r="S87" s="762"/>
      <c r="T87" s="770" t="s">
        <v>5935</v>
      </c>
      <c r="U87" s="761"/>
      <c r="V87" s="762"/>
      <c r="W87" s="762"/>
      <c r="X87" s="762"/>
      <c r="Y87" s="762"/>
      <c r="Z87" s="762"/>
      <c r="AA87" s="762"/>
      <c r="AB87" s="762"/>
      <c r="AC87" s="772"/>
      <c r="AD87" s="864"/>
      <c r="AE87" s="773"/>
      <c r="AF87" s="774"/>
      <c r="AG87" s="774">
        <v>88605.74</v>
      </c>
      <c r="AH87" s="775">
        <f t="shared" si="4"/>
        <v>88605.74</v>
      </c>
      <c r="AI87" s="782" t="s">
        <v>5963</v>
      </c>
      <c r="AJ87" s="769" t="s">
        <v>5964</v>
      </c>
      <c r="AK87" s="778" t="s">
        <v>5965</v>
      </c>
      <c r="AL87" s="851">
        <v>11447</v>
      </c>
      <c r="AM87" s="860"/>
      <c r="AN87" s="777"/>
      <c r="AO87" s="769"/>
      <c r="AP87" s="862"/>
      <c r="AQ87" s="769"/>
      <c r="AR87" s="779"/>
      <c r="AS87" s="1710"/>
      <c r="AT87" s="1711"/>
      <c r="AU87" s="1711"/>
      <c r="AV87" s="1711"/>
      <c r="AW87" s="1711"/>
      <c r="AX87" s="1711"/>
      <c r="AY87" s="1711"/>
      <c r="AZ87" s="1711"/>
      <c r="BA87" s="1711"/>
      <c r="BB87" s="1711"/>
      <c r="BC87" s="1711"/>
      <c r="BD87" s="1712"/>
    </row>
    <row r="88" spans="1:56" s="422" customFormat="1" ht="26.25" thickBot="1" x14ac:dyDescent="0.3">
      <c r="A88" s="760">
        <v>37</v>
      </c>
      <c r="B88" s="761" t="s">
        <v>828</v>
      </c>
      <c r="C88" s="762" t="s">
        <v>677</v>
      </c>
      <c r="D88" s="762" t="s">
        <v>677</v>
      </c>
      <c r="E88" s="762" t="s">
        <v>677</v>
      </c>
      <c r="F88" s="763" t="s">
        <v>5966</v>
      </c>
      <c r="G88" s="851" t="s">
        <v>677</v>
      </c>
      <c r="H88" s="782" t="s">
        <v>677</v>
      </c>
      <c r="I88" s="763" t="s">
        <v>5967</v>
      </c>
      <c r="J88" s="762" t="s">
        <v>5968</v>
      </c>
      <c r="K88" s="767" t="s">
        <v>677</v>
      </c>
      <c r="L88" s="767" t="s">
        <v>677</v>
      </c>
      <c r="M88" s="767" t="s">
        <v>677</v>
      </c>
      <c r="N88" s="767" t="s">
        <v>677</v>
      </c>
      <c r="O88" s="767" t="s">
        <v>677</v>
      </c>
      <c r="P88" s="762">
        <v>1</v>
      </c>
      <c r="Q88" s="762" t="s">
        <v>677</v>
      </c>
      <c r="R88" s="762"/>
      <c r="S88" s="762"/>
      <c r="T88" s="770" t="s">
        <v>5815</v>
      </c>
      <c r="U88" s="761"/>
      <c r="V88" s="762"/>
      <c r="W88" s="762"/>
      <c r="X88" s="762"/>
      <c r="Y88" s="762"/>
      <c r="Z88" s="762"/>
      <c r="AA88" s="762"/>
      <c r="AB88" s="762"/>
      <c r="AC88" s="772"/>
      <c r="AD88" s="864"/>
      <c r="AE88" s="773"/>
      <c r="AF88" s="774"/>
      <c r="AG88" s="774">
        <v>827.32</v>
      </c>
      <c r="AH88" s="775">
        <f t="shared" si="4"/>
        <v>827.32</v>
      </c>
      <c r="AI88" s="782"/>
      <c r="AJ88" s="769"/>
      <c r="AK88" s="778"/>
      <c r="AL88" s="851"/>
      <c r="AM88" s="860" t="s">
        <v>1311</v>
      </c>
      <c r="AN88" s="791" t="s">
        <v>5887</v>
      </c>
      <c r="AO88" s="769"/>
      <c r="AP88" s="862"/>
      <c r="AQ88" s="769"/>
      <c r="AR88" s="779"/>
      <c r="AS88" s="1710"/>
      <c r="AT88" s="1711"/>
      <c r="AU88" s="1711"/>
      <c r="AV88" s="1711"/>
      <c r="AW88" s="1711"/>
      <c r="AX88" s="1711"/>
      <c r="AY88" s="1711"/>
      <c r="AZ88" s="1711"/>
      <c r="BA88" s="1711"/>
      <c r="BB88" s="1711"/>
      <c r="BC88" s="1711"/>
      <c r="BD88" s="1712"/>
    </row>
    <row r="89" spans="1:56" s="422" customFormat="1" ht="26.25" thickBot="1" x14ac:dyDescent="0.3">
      <c r="A89" s="760">
        <v>38</v>
      </c>
      <c r="B89" s="761" t="s">
        <v>831</v>
      </c>
      <c r="C89" s="762" t="s">
        <v>677</v>
      </c>
      <c r="D89" s="762" t="s">
        <v>677</v>
      </c>
      <c r="E89" s="762" t="s">
        <v>677</v>
      </c>
      <c r="F89" s="763" t="s">
        <v>5969</v>
      </c>
      <c r="G89" s="851" t="s">
        <v>677</v>
      </c>
      <c r="H89" s="782" t="s">
        <v>677</v>
      </c>
      <c r="I89" s="1095" t="s">
        <v>5970</v>
      </c>
      <c r="J89" s="762" t="s">
        <v>5922</v>
      </c>
      <c r="K89" s="767" t="s">
        <v>677</v>
      </c>
      <c r="L89" s="767" t="s">
        <v>677</v>
      </c>
      <c r="M89" s="767" t="s">
        <v>677</v>
      </c>
      <c r="N89" s="767" t="s">
        <v>677</v>
      </c>
      <c r="O89" s="767" t="s">
        <v>677</v>
      </c>
      <c r="P89" s="762">
        <v>1</v>
      </c>
      <c r="Q89" s="762" t="s">
        <v>677</v>
      </c>
      <c r="R89" s="762"/>
      <c r="S89" s="762"/>
      <c r="T89" s="770" t="s">
        <v>5815</v>
      </c>
      <c r="U89" s="761"/>
      <c r="V89" s="762"/>
      <c r="W89" s="762"/>
      <c r="X89" s="762"/>
      <c r="Y89" s="762"/>
      <c r="Z89" s="762"/>
      <c r="AA89" s="762"/>
      <c r="AB89" s="762"/>
      <c r="AC89" s="772"/>
      <c r="AD89" s="864"/>
      <c r="AE89" s="773"/>
      <c r="AF89" s="774"/>
      <c r="AG89" s="774">
        <v>212.49</v>
      </c>
      <c r="AH89" s="775">
        <f t="shared" si="4"/>
        <v>212.49</v>
      </c>
      <c r="AI89" s="782"/>
      <c r="AJ89" s="769"/>
      <c r="AK89" s="778"/>
      <c r="AL89" s="851"/>
      <c r="AM89" s="860" t="s">
        <v>1311</v>
      </c>
      <c r="AN89" s="791" t="s">
        <v>5887</v>
      </c>
      <c r="AO89" s="769"/>
      <c r="AP89" s="862"/>
      <c r="AQ89" s="769"/>
      <c r="AR89" s="779"/>
      <c r="AS89" s="1710"/>
      <c r="AT89" s="1711"/>
      <c r="AU89" s="1711"/>
      <c r="AV89" s="1711"/>
      <c r="AW89" s="1711"/>
      <c r="AX89" s="1711"/>
      <c r="AY89" s="1711"/>
      <c r="AZ89" s="1711"/>
      <c r="BA89" s="1711"/>
      <c r="BB89" s="1711"/>
      <c r="BC89" s="1711"/>
      <c r="BD89" s="1712"/>
    </row>
    <row r="90" spans="1:56" s="422" customFormat="1" ht="64.5" thickBot="1" x14ac:dyDescent="0.3">
      <c r="A90" s="760">
        <v>39</v>
      </c>
      <c r="B90" s="761" t="s">
        <v>832</v>
      </c>
      <c r="C90" s="762" t="s">
        <v>5942</v>
      </c>
      <c r="D90" s="762" t="s">
        <v>5840</v>
      </c>
      <c r="E90" s="762" t="s">
        <v>5811</v>
      </c>
      <c r="F90" s="763" t="s">
        <v>5971</v>
      </c>
      <c r="G90" s="851">
        <v>11133</v>
      </c>
      <c r="H90" s="782" t="s">
        <v>817</v>
      </c>
      <c r="I90" s="763" t="s">
        <v>5944</v>
      </c>
      <c r="J90" s="762" t="s">
        <v>5945</v>
      </c>
      <c r="K90" s="767">
        <v>41974</v>
      </c>
      <c r="L90" s="768">
        <v>105460</v>
      </c>
      <c r="M90" s="769">
        <v>105460</v>
      </c>
      <c r="N90" s="767">
        <v>41974</v>
      </c>
      <c r="O90" s="767">
        <v>42094</v>
      </c>
      <c r="P90" s="762">
        <v>1</v>
      </c>
      <c r="Q90" s="762" t="s">
        <v>677</v>
      </c>
      <c r="R90" s="762"/>
      <c r="S90" s="762"/>
      <c r="T90" s="770" t="s">
        <v>5815</v>
      </c>
      <c r="U90" s="761"/>
      <c r="V90" s="762"/>
      <c r="W90" s="762"/>
      <c r="X90" s="762"/>
      <c r="Y90" s="762"/>
      <c r="Z90" s="762"/>
      <c r="AA90" s="762"/>
      <c r="AB90" s="762"/>
      <c r="AC90" s="772"/>
      <c r="AD90" s="864"/>
      <c r="AE90" s="773"/>
      <c r="AF90" s="774"/>
      <c r="AG90" s="774">
        <v>26365</v>
      </c>
      <c r="AH90" s="775">
        <f t="shared" si="4"/>
        <v>26365</v>
      </c>
      <c r="AI90" s="782" t="s">
        <v>704</v>
      </c>
      <c r="AJ90" s="769">
        <v>11016</v>
      </c>
      <c r="AK90" s="778" t="s">
        <v>5946</v>
      </c>
      <c r="AL90" s="851">
        <v>11340</v>
      </c>
      <c r="AM90" s="860"/>
      <c r="AN90" s="777"/>
      <c r="AO90" s="769"/>
      <c r="AP90" s="862"/>
      <c r="AQ90" s="769"/>
      <c r="AR90" s="779"/>
      <c r="AS90" s="1710"/>
      <c r="AT90" s="1711"/>
      <c r="AU90" s="1711"/>
      <c r="AV90" s="1711"/>
      <c r="AW90" s="1711"/>
      <c r="AX90" s="1711"/>
      <c r="AY90" s="1711"/>
      <c r="AZ90" s="1711"/>
      <c r="BA90" s="1711"/>
      <c r="BB90" s="1711"/>
      <c r="BC90" s="1711"/>
      <c r="BD90" s="1712"/>
    </row>
    <row r="91" spans="1:56" s="422" customFormat="1" ht="385.5" customHeight="1" thickBot="1" x14ac:dyDescent="0.3">
      <c r="A91" s="1181">
        <v>40</v>
      </c>
      <c r="B91" s="874" t="s">
        <v>835</v>
      </c>
      <c r="C91" s="875" t="s">
        <v>1059</v>
      </c>
      <c r="D91" s="1094" t="s">
        <v>202</v>
      </c>
      <c r="E91" s="875" t="s">
        <v>5972</v>
      </c>
      <c r="F91" s="1095" t="s">
        <v>5973</v>
      </c>
      <c r="G91" s="1189">
        <v>11103</v>
      </c>
      <c r="H91" s="877" t="s">
        <v>1289</v>
      </c>
      <c r="I91" s="875" t="s">
        <v>5974</v>
      </c>
      <c r="J91" s="875" t="s">
        <v>5975</v>
      </c>
      <c r="K91" s="878">
        <v>41607</v>
      </c>
      <c r="L91" s="868">
        <v>3616153.65</v>
      </c>
      <c r="M91" s="879">
        <v>11401</v>
      </c>
      <c r="N91" s="878">
        <v>41641</v>
      </c>
      <c r="O91" s="878">
        <f>18*30+N91</f>
        <v>42181</v>
      </c>
      <c r="P91" s="1094">
        <v>8</v>
      </c>
      <c r="Q91" s="875" t="s">
        <v>5953</v>
      </c>
      <c r="R91" s="875"/>
      <c r="S91" s="875"/>
      <c r="T91" s="832" t="s">
        <v>5976</v>
      </c>
      <c r="U91" s="761" t="s">
        <v>1224</v>
      </c>
      <c r="V91" s="767">
        <v>41981</v>
      </c>
      <c r="W91" s="769">
        <v>11456</v>
      </c>
      <c r="X91" s="880" t="s">
        <v>5977</v>
      </c>
      <c r="Y91" s="767">
        <v>41981</v>
      </c>
      <c r="Z91" s="767">
        <f>O91</f>
        <v>42181</v>
      </c>
      <c r="AA91" s="762"/>
      <c r="AB91" s="762"/>
      <c r="AC91" s="772"/>
      <c r="AD91" s="864"/>
      <c r="AE91" s="773"/>
      <c r="AF91" s="774"/>
      <c r="AG91" s="774">
        <v>597319.32999999996</v>
      </c>
      <c r="AH91" s="775">
        <f t="shared" si="4"/>
        <v>597319.32999999996</v>
      </c>
      <c r="AI91" s="782"/>
      <c r="AJ91" s="769"/>
      <c r="AK91" s="778"/>
      <c r="AL91" s="851"/>
      <c r="AM91" s="860"/>
      <c r="AN91" s="777"/>
      <c r="AO91" s="769"/>
      <c r="AP91" s="862"/>
      <c r="AQ91" s="769"/>
      <c r="AR91" s="779"/>
      <c r="AS91" s="1710"/>
      <c r="AT91" s="1711"/>
      <c r="AU91" s="1711"/>
      <c r="AV91" s="1711"/>
      <c r="AW91" s="1711"/>
      <c r="AX91" s="1711"/>
      <c r="AY91" s="1711"/>
      <c r="AZ91" s="1711"/>
      <c r="BA91" s="1711"/>
      <c r="BB91" s="1711"/>
      <c r="BC91" s="1711"/>
      <c r="BD91" s="1712"/>
    </row>
    <row r="92" spans="1:56" s="422" customFormat="1" ht="15.75" thickBot="1" x14ac:dyDescent="0.3">
      <c r="A92" s="2444" t="s">
        <v>601</v>
      </c>
      <c r="B92" s="2445"/>
      <c r="C92" s="2445"/>
      <c r="D92" s="2445"/>
      <c r="E92" s="2445"/>
      <c r="F92" s="2445"/>
      <c r="G92" s="2445"/>
      <c r="H92" s="2445"/>
      <c r="I92" s="2445"/>
      <c r="J92" s="2445"/>
      <c r="K92" s="2445"/>
      <c r="L92" s="295">
        <f>SUM(L25:L91)</f>
        <v>6026207.8400000008</v>
      </c>
      <c r="M92" s="296"/>
      <c r="N92" s="296"/>
      <c r="O92" s="296"/>
      <c r="P92" s="296"/>
      <c r="Q92" s="296"/>
      <c r="R92" s="296"/>
      <c r="S92" s="296"/>
      <c r="T92" s="296"/>
      <c r="U92" s="296"/>
      <c r="V92" s="296"/>
      <c r="W92" s="296"/>
      <c r="X92" s="296"/>
      <c r="Y92" s="295"/>
      <c r="Z92" s="295"/>
      <c r="AA92" s="295"/>
      <c r="AB92" s="295"/>
      <c r="AC92" s="295"/>
      <c r="AD92" s="295"/>
      <c r="AE92" s="295">
        <f>SUM(AE24:AE91)</f>
        <v>2069898.25</v>
      </c>
      <c r="AF92" s="295">
        <f>SUM(AF24:AF91)</f>
        <v>1133070.02</v>
      </c>
      <c r="AG92" s="1656">
        <f>SUM(AG24:AG91)</f>
        <v>3298148.1000000006</v>
      </c>
      <c r="AH92" s="295">
        <f>SUM(AH24:AH91)</f>
        <v>4431218.12</v>
      </c>
      <c r="AI92" s="1658"/>
      <c r="AJ92" s="297"/>
      <c r="AK92" s="297"/>
      <c r="AL92" s="297"/>
      <c r="AM92" s="297"/>
      <c r="AN92" s="297"/>
      <c r="AO92" s="297"/>
      <c r="AP92" s="297"/>
      <c r="AQ92" s="297"/>
      <c r="AR92" s="297"/>
      <c r="AS92" s="762"/>
      <c r="AT92" s="1732"/>
      <c r="AU92" s="1732"/>
      <c r="AV92" s="1732"/>
      <c r="AW92" s="1732"/>
      <c r="AX92" s="1732"/>
      <c r="AY92" s="1732"/>
      <c r="AZ92" s="1732"/>
      <c r="BA92" s="1732"/>
      <c r="BB92" s="1732"/>
      <c r="BC92" s="1732"/>
      <c r="BD92" s="1733"/>
    </row>
    <row r="95" spans="1:56" s="422" customFormat="1" x14ac:dyDescent="0.25">
      <c r="A95" s="1" t="s">
        <v>7580</v>
      </c>
      <c r="B95" s="1"/>
      <c r="C95" s="1"/>
      <c r="D95" s="1"/>
      <c r="E95" s="1"/>
      <c r="F95" s="1"/>
      <c r="G95" s="1"/>
      <c r="J95" s="528"/>
      <c r="AG95" s="1734"/>
      <c r="AI95" s="1735"/>
    </row>
    <row r="96" spans="1:56" s="422" customFormat="1" x14ac:dyDescent="0.25">
      <c r="A96" s="1" t="s">
        <v>7581</v>
      </c>
      <c r="B96" s="1"/>
      <c r="C96" s="1"/>
      <c r="D96" s="1"/>
      <c r="E96" s="1"/>
      <c r="F96" s="1"/>
      <c r="G96" s="1"/>
      <c r="J96" s="528"/>
      <c r="AG96" s="1736"/>
      <c r="AI96" s="1735"/>
    </row>
  </sheetData>
  <mergeCells count="175">
    <mergeCell ref="A9:BD9"/>
    <mergeCell ref="A11:BD11"/>
    <mergeCell ref="AE22:AH22"/>
    <mergeCell ref="AI22:AI23"/>
    <mergeCell ref="AJ22:AJ23"/>
    <mergeCell ref="AK22:AK23"/>
    <mergeCell ref="AL22:AL23"/>
    <mergeCell ref="AM22:AM23"/>
    <mergeCell ref="A21:A24"/>
    <mergeCell ref="B21:G22"/>
    <mergeCell ref="H21:AH21"/>
    <mergeCell ref="AI21:AL21"/>
    <mergeCell ref="AM21:AR21"/>
    <mergeCell ref="AS21:BD21"/>
    <mergeCell ref="H22:T22"/>
    <mergeCell ref="U22:AD22"/>
    <mergeCell ref="AT22:AT23"/>
    <mergeCell ref="AU22:AW22"/>
    <mergeCell ref="AX22:AY22"/>
    <mergeCell ref="AZ22:AZ23"/>
    <mergeCell ref="BA22:BA23"/>
    <mergeCell ref="BB22:BD22"/>
    <mergeCell ref="AN22:AN23"/>
    <mergeCell ref="AO22:AO23"/>
    <mergeCell ref="AP22:AP23"/>
    <mergeCell ref="AQ22:AQ23"/>
    <mergeCell ref="AR22:AR23"/>
    <mergeCell ref="AS22:AS23"/>
    <mergeCell ref="A31:A32"/>
    <mergeCell ref="B31:B32"/>
    <mergeCell ref="C31:C32"/>
    <mergeCell ref="D31:D32"/>
    <mergeCell ref="E31:E32"/>
    <mergeCell ref="F31:F32"/>
    <mergeCell ref="G31:G32"/>
    <mergeCell ref="H31:H32"/>
    <mergeCell ref="M25:M27"/>
    <mergeCell ref="G25:G27"/>
    <mergeCell ref="H25:H27"/>
    <mergeCell ref="I25:I27"/>
    <mergeCell ref="J25:J27"/>
    <mergeCell ref="K25:K27"/>
    <mergeCell ref="L25:L27"/>
    <mergeCell ref="A25:A27"/>
    <mergeCell ref="B25:B27"/>
    <mergeCell ref="C25:C27"/>
    <mergeCell ref="D25:D27"/>
    <mergeCell ref="E25:E27"/>
    <mergeCell ref="F25:F27"/>
    <mergeCell ref="T31:T32"/>
    <mergeCell ref="I31:I32"/>
    <mergeCell ref="J31:J32"/>
    <mergeCell ref="K31:K32"/>
    <mergeCell ref="L31:L32"/>
    <mergeCell ref="M31:M32"/>
    <mergeCell ref="N31:N32"/>
    <mergeCell ref="S25:S27"/>
    <mergeCell ref="T25:T27"/>
    <mergeCell ref="N25:N27"/>
    <mergeCell ref="O25:O27"/>
    <mergeCell ref="P25:P27"/>
    <mergeCell ref="Q25:Q27"/>
    <mergeCell ref="R25:R27"/>
    <mergeCell ref="D33:D36"/>
    <mergeCell ref="E33:E36"/>
    <mergeCell ref="F33:F36"/>
    <mergeCell ref="O31:O32"/>
    <mergeCell ref="P31:P32"/>
    <mergeCell ref="Q31:Q32"/>
    <mergeCell ref="R31:R32"/>
    <mergeCell ref="S31:S32"/>
    <mergeCell ref="S33:S36"/>
    <mergeCell ref="T33:T36"/>
    <mergeCell ref="A37:A38"/>
    <mergeCell ref="B37:B38"/>
    <mergeCell ref="C37:C38"/>
    <mergeCell ref="D37:D38"/>
    <mergeCell ref="E37:E38"/>
    <mergeCell ref="F37:F38"/>
    <mergeCell ref="G37:G38"/>
    <mergeCell ref="H37:H38"/>
    <mergeCell ref="M33:M36"/>
    <mergeCell ref="N33:N36"/>
    <mergeCell ref="O33:O36"/>
    <mergeCell ref="P33:P36"/>
    <mergeCell ref="Q33:Q36"/>
    <mergeCell ref="R33:R36"/>
    <mergeCell ref="G33:G36"/>
    <mergeCell ref="H33:H36"/>
    <mergeCell ref="I33:I36"/>
    <mergeCell ref="J33:J36"/>
    <mergeCell ref="K33:K36"/>
    <mergeCell ref="L33:L36"/>
    <mergeCell ref="A33:A36"/>
    <mergeCell ref="B33:B36"/>
    <mergeCell ref="C33:C36"/>
    <mergeCell ref="V55:V56"/>
    <mergeCell ref="W55:W56"/>
    <mergeCell ref="P49:P59"/>
    <mergeCell ref="Q49:Q59"/>
    <mergeCell ref="AK37:AK38"/>
    <mergeCell ref="AL37:AL38"/>
    <mergeCell ref="A39:A48"/>
    <mergeCell ref="B39:B48"/>
    <mergeCell ref="C39:C48"/>
    <mergeCell ref="D39:D48"/>
    <mergeCell ref="E39:E48"/>
    <mergeCell ref="F39:F48"/>
    <mergeCell ref="O37:O38"/>
    <mergeCell ref="P37:P38"/>
    <mergeCell ref="Q37:Q38"/>
    <mergeCell ref="R37:R38"/>
    <mergeCell ref="S37:S38"/>
    <mergeCell ref="T37:T38"/>
    <mergeCell ref="I37:I38"/>
    <mergeCell ref="J37:J38"/>
    <mergeCell ref="K37:K38"/>
    <mergeCell ref="L37:L38"/>
    <mergeCell ref="M37:M38"/>
    <mergeCell ref="N37:N38"/>
    <mergeCell ref="AI37:AI38"/>
    <mergeCell ref="AJ37:AJ38"/>
    <mergeCell ref="N39:N48"/>
    <mergeCell ref="O39:O48"/>
    <mergeCell ref="P39:P48"/>
    <mergeCell ref="Q39:Q48"/>
    <mergeCell ref="R39:R48"/>
    <mergeCell ref="G39:G48"/>
    <mergeCell ref="H39:H48"/>
    <mergeCell ref="I39:I48"/>
    <mergeCell ref="J39:J48"/>
    <mergeCell ref="K39:K48"/>
    <mergeCell ref="L39:L48"/>
    <mergeCell ref="S39:S48"/>
    <mergeCell ref="T39:T48"/>
    <mergeCell ref="A49:A59"/>
    <mergeCell ref="B49:B59"/>
    <mergeCell ref="C49:C59"/>
    <mergeCell ref="D49:D59"/>
    <mergeCell ref="E49:E59"/>
    <mergeCell ref="F49:F59"/>
    <mergeCell ref="G49:G59"/>
    <mergeCell ref="H49:H59"/>
    <mergeCell ref="M39:M48"/>
    <mergeCell ref="R49:R59"/>
    <mergeCell ref="S49:S59"/>
    <mergeCell ref="U55:U56"/>
    <mergeCell ref="I49:I59"/>
    <mergeCell ref="J49:J59"/>
    <mergeCell ref="K49:K59"/>
    <mergeCell ref="L49:L59"/>
    <mergeCell ref="M49:M59"/>
    <mergeCell ref="N49:N59"/>
    <mergeCell ref="O49:O59"/>
    <mergeCell ref="A92:K92"/>
    <mergeCell ref="O61:O62"/>
    <mergeCell ref="P61:P62"/>
    <mergeCell ref="Q61:Q62"/>
    <mergeCell ref="R61:R62"/>
    <mergeCell ref="S61:S62"/>
    <mergeCell ref="T61:T62"/>
    <mergeCell ref="I61:I62"/>
    <mergeCell ref="J61:J62"/>
    <mergeCell ref="K61:K62"/>
    <mergeCell ref="L61:L62"/>
    <mergeCell ref="M61:M62"/>
    <mergeCell ref="N61:N62"/>
    <mergeCell ref="A61:A62"/>
    <mergeCell ref="B61:B62"/>
    <mergeCell ref="C61:C62"/>
    <mergeCell ref="D61:D62"/>
    <mergeCell ref="E61:E62"/>
    <mergeCell ref="F61:F62"/>
    <mergeCell ref="G61:G62"/>
    <mergeCell ref="H61:H62"/>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2"/>
  <sheetViews>
    <sheetView topLeftCell="I1" workbookViewId="0">
      <selection activeCell="X24" sqref="X24"/>
    </sheetView>
  </sheetViews>
  <sheetFormatPr defaultRowHeight="15" x14ac:dyDescent="0.25"/>
  <cols>
    <col min="2" max="2" width="16.5703125" customWidth="1"/>
    <col min="3" max="3" width="12" customWidth="1"/>
    <col min="4" max="4" width="16.140625" bestFit="1" customWidth="1"/>
    <col min="6" max="6" width="51.28515625" customWidth="1"/>
    <col min="7" max="7" width="12.140625" customWidth="1"/>
    <col min="8" max="8" width="8.7109375" bestFit="1" customWidth="1"/>
    <col min="9" max="9" width="19.42578125" bestFit="1" customWidth="1"/>
    <col min="10" max="10" width="17.42578125" customWidth="1"/>
    <col min="11" max="11" width="10.140625" bestFit="1" customWidth="1"/>
    <col min="12" max="12" width="14" customWidth="1"/>
    <col min="13" max="13" width="14.140625" customWidth="1"/>
    <col min="14" max="15" width="10.140625" bestFit="1" customWidth="1"/>
    <col min="17" max="17" width="17.7109375" customWidth="1"/>
    <col min="18" max="18" width="18" customWidth="1"/>
    <col min="19" max="19" width="13.5703125" customWidth="1"/>
    <col min="20" max="20" width="14.7109375" customWidth="1"/>
    <col min="21" max="21" width="12.28515625" bestFit="1" customWidth="1"/>
    <col min="22" max="22" width="10.7109375" bestFit="1" customWidth="1"/>
    <col min="23" max="23" width="14.5703125" customWidth="1"/>
    <col min="24" max="24" width="29.7109375" bestFit="1" customWidth="1"/>
    <col min="25" max="26" width="10.140625" bestFit="1" customWidth="1"/>
    <col min="27" max="27" width="11.28515625" customWidth="1"/>
    <col min="28" max="28" width="12.85546875" customWidth="1"/>
    <col min="29" max="29" width="12.28515625" customWidth="1"/>
    <col min="30" max="30" width="11.85546875" customWidth="1"/>
    <col min="31" max="31" width="22.85546875" customWidth="1"/>
    <col min="32" max="32" width="10.140625" bestFit="1" customWidth="1"/>
    <col min="33" max="33" width="11.28515625" bestFit="1" customWidth="1"/>
    <col min="34" max="34" width="16.140625" customWidth="1"/>
    <col min="35" max="35" width="9.42578125" bestFit="1" customWidth="1"/>
    <col min="36" max="36" width="18.140625" customWidth="1"/>
    <col min="37" max="37" width="20.28515625" customWidth="1"/>
    <col min="38" max="38" width="15.28515625" customWidth="1"/>
    <col min="39" max="39" width="15.5703125" bestFit="1" customWidth="1"/>
    <col min="40" max="40" width="15.5703125" customWidth="1"/>
    <col min="41" max="41" width="16" customWidth="1"/>
    <col min="42" max="42" width="10.7109375" customWidth="1"/>
    <col min="43" max="43" width="13.140625" customWidth="1"/>
    <col min="44" max="44" width="12.42578125" bestFit="1" customWidth="1"/>
    <col min="45" max="45" width="5" bestFit="1" customWidth="1"/>
    <col min="46" max="46" width="19.42578125" bestFit="1" customWidth="1"/>
    <col min="47" max="47" width="6" bestFit="1" customWidth="1"/>
    <col min="48" max="48" width="8.5703125" bestFit="1" customWidth="1"/>
    <col min="49" max="49" width="4.42578125" bestFit="1" customWidth="1"/>
    <col min="50" max="50" width="4.28515625" bestFit="1" customWidth="1"/>
    <col min="51" max="51" width="13.140625" customWidth="1"/>
    <col min="52" max="52" width="18.42578125" bestFit="1" customWidth="1"/>
    <col min="53" max="53" width="23.140625" bestFit="1"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422" customFormat="1" x14ac:dyDescent="0.25">
      <c r="AI12" s="1692"/>
      <c r="AJ12" s="144"/>
      <c r="AK12" s="144"/>
      <c r="AL12" s="144"/>
      <c r="AM12" s="144"/>
      <c r="AN12" s="144"/>
      <c r="AO12" s="144"/>
      <c r="AP12" s="144"/>
      <c r="AQ12" s="144"/>
      <c r="AR12" s="144"/>
    </row>
    <row r="13" spans="1:56" s="1680" customFormat="1" ht="15.75" x14ac:dyDescent="0.25">
      <c r="A13" s="1689" t="s">
        <v>1</v>
      </c>
      <c r="B13" s="1689"/>
      <c r="C13" s="1689"/>
      <c r="D13" s="1689"/>
      <c r="E13" s="1689"/>
      <c r="F13" s="1689"/>
      <c r="G13" s="1689"/>
      <c r="H13" s="1689"/>
      <c r="I13" s="1689"/>
      <c r="J13" s="1689"/>
      <c r="K13" s="1689"/>
      <c r="L13" s="1689"/>
      <c r="M13" s="1689"/>
      <c r="N13" s="1689"/>
      <c r="O13" s="1689"/>
      <c r="P13" s="1689"/>
      <c r="Q13" s="1689"/>
      <c r="R13" s="1689"/>
      <c r="S13" s="1689"/>
      <c r="T13" s="1689"/>
      <c r="U13" s="1689"/>
      <c r="V13" s="1689"/>
      <c r="W13" s="1689"/>
      <c r="X13" s="1689"/>
      <c r="Y13" s="1689"/>
      <c r="Z13" s="1689"/>
      <c r="AA13" s="1689"/>
      <c r="AB13" s="1689"/>
      <c r="AC13" s="1689"/>
      <c r="AD13" s="1689"/>
      <c r="AE13" s="1689"/>
      <c r="AF13" s="1689"/>
      <c r="AG13" s="1689"/>
      <c r="AH13" s="1689"/>
      <c r="AI13" s="1689"/>
      <c r="AJ13" s="1689"/>
      <c r="AK13" s="1689"/>
      <c r="AL13" s="1689"/>
      <c r="AM13" s="1689"/>
      <c r="AN13" s="1689"/>
      <c r="AO13" s="1689"/>
      <c r="AP13" s="1689"/>
      <c r="AQ13" s="1689"/>
      <c r="AR13" s="1689"/>
      <c r="AS13" s="1689"/>
    </row>
    <row r="14" spans="1:56" s="1680" customFormat="1" ht="15.75" x14ac:dyDescent="0.25">
      <c r="A14" s="1689" t="s">
        <v>2</v>
      </c>
      <c r="B14" s="1689"/>
      <c r="C14" s="1689"/>
      <c r="D14" s="1689"/>
      <c r="E14" s="1689"/>
      <c r="F14" s="1689"/>
      <c r="G14" s="1689"/>
      <c r="H14" s="1689"/>
      <c r="I14" s="1689"/>
      <c r="J14" s="1689"/>
      <c r="K14" s="1681"/>
      <c r="L14" s="1681"/>
      <c r="M14" s="1681"/>
      <c r="N14" s="1681"/>
      <c r="O14" s="1681"/>
      <c r="P14" s="1681"/>
      <c r="Q14" s="1681"/>
      <c r="R14" s="1681"/>
      <c r="S14" s="1681"/>
      <c r="T14" s="1681"/>
      <c r="U14" s="1681"/>
      <c r="V14" s="1681"/>
      <c r="W14" s="1681"/>
      <c r="X14" s="1681"/>
      <c r="Y14" s="1681"/>
      <c r="Z14" s="1681"/>
      <c r="AA14" s="1681"/>
      <c r="AB14" s="1681"/>
      <c r="AC14" s="1681"/>
      <c r="AD14" s="1681"/>
      <c r="AE14" s="1681"/>
      <c r="AF14" s="1681"/>
      <c r="AG14" s="1681"/>
      <c r="AH14" s="1681"/>
      <c r="AI14" s="1682"/>
      <c r="AJ14" s="1681"/>
      <c r="AK14" s="1681"/>
      <c r="AL14" s="1681"/>
      <c r="AM14" s="1681"/>
      <c r="AN14" s="1681"/>
      <c r="AO14" s="1681"/>
      <c r="AP14" s="1681"/>
      <c r="AQ14" s="1681"/>
      <c r="AR14" s="1681"/>
      <c r="AS14" s="1681"/>
    </row>
    <row r="15" spans="1:56" s="1680" customFormat="1" ht="15.75" x14ac:dyDescent="0.25">
      <c r="A15" s="1689" t="s">
        <v>5978</v>
      </c>
      <c r="B15" s="1689"/>
      <c r="C15" s="1689"/>
      <c r="D15" s="1689"/>
      <c r="E15" s="1689"/>
      <c r="F15" s="1683"/>
      <c r="G15" s="1684"/>
      <c r="H15" s="1684"/>
      <c r="I15" s="1684"/>
      <c r="J15" s="1685"/>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6"/>
      <c r="AJ15" s="1684"/>
      <c r="AK15" s="1684"/>
      <c r="AL15" s="1684"/>
      <c r="AM15" s="1684"/>
      <c r="AN15" s="1684"/>
      <c r="AO15" s="1684"/>
      <c r="AP15" s="1684"/>
      <c r="AQ15" s="1684"/>
      <c r="AR15" s="1684"/>
      <c r="AS15" s="1684"/>
    </row>
    <row r="16" spans="1:56" s="1680" customFormat="1" ht="15.75" x14ac:dyDescent="0.25">
      <c r="A16" s="1687"/>
      <c r="B16" s="1685"/>
      <c r="C16" s="1685"/>
      <c r="D16" s="1685"/>
      <c r="E16" s="1685"/>
      <c r="F16" s="1683"/>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8"/>
      <c r="AJ16" s="1685"/>
      <c r="AK16" s="1685"/>
      <c r="AL16" s="1685"/>
      <c r="AM16" s="1685"/>
      <c r="AN16" s="1685"/>
      <c r="AO16" s="1685"/>
      <c r="AP16" s="1685"/>
      <c r="AQ16" s="1685"/>
      <c r="AR16" s="1685"/>
      <c r="AS16" s="1685"/>
    </row>
    <row r="17" spans="1:56" s="1680" customFormat="1" ht="15.75" x14ac:dyDescent="0.25">
      <c r="A17" s="1689" t="s">
        <v>7587</v>
      </c>
      <c r="B17" s="1689"/>
      <c r="C17" s="1689"/>
      <c r="D17" s="1689"/>
      <c r="E17" s="1689"/>
      <c r="F17" s="1689"/>
      <c r="G17" s="1689"/>
      <c r="H17" s="1689"/>
      <c r="I17" s="1689"/>
      <c r="J17" s="1689"/>
      <c r="K17" s="1689"/>
      <c r="L17" s="1689"/>
      <c r="M17" s="1689"/>
      <c r="N17" s="1689"/>
      <c r="O17" s="1689"/>
      <c r="P17" s="1689"/>
      <c r="Q17" s="1689"/>
      <c r="R17" s="1689"/>
      <c r="S17" s="1689"/>
      <c r="T17" s="1689"/>
      <c r="U17" s="1689"/>
      <c r="V17" s="1689"/>
      <c r="W17" s="1689"/>
      <c r="X17" s="1689"/>
      <c r="Y17" s="1689"/>
      <c r="Z17" s="1689"/>
      <c r="AA17" s="1689"/>
      <c r="AB17" s="1689"/>
      <c r="AC17" s="1689"/>
      <c r="AD17" s="1689"/>
      <c r="AE17" s="1689"/>
      <c r="AF17" s="1689"/>
      <c r="AG17" s="1689"/>
      <c r="AH17" s="1689"/>
      <c r="AI17" s="1690"/>
      <c r="AJ17" s="1689"/>
      <c r="AK17" s="1689"/>
      <c r="AL17" s="1689"/>
      <c r="AM17" s="1689"/>
      <c r="AN17" s="1689"/>
      <c r="AO17" s="1689"/>
      <c r="AP17" s="1689"/>
      <c r="AQ17" s="1689"/>
      <c r="AR17" s="1689"/>
      <c r="AS17" s="1689"/>
    </row>
    <row r="18" spans="1:56" s="1680" customFormat="1" ht="15.75" x14ac:dyDescent="0.25">
      <c r="A18" s="1689" t="s">
        <v>7567</v>
      </c>
      <c r="B18" s="1689"/>
      <c r="C18" s="1689"/>
      <c r="D18" s="1689"/>
      <c r="E18" s="1689"/>
      <c r="F18" s="1689"/>
      <c r="G18" s="1689"/>
      <c r="H18" s="1689"/>
      <c r="I18" s="1689"/>
      <c r="J18" s="1689"/>
      <c r="K18" s="1689"/>
      <c r="L18" s="1689"/>
      <c r="M18" s="1689"/>
      <c r="N18" s="1689"/>
      <c r="O18" s="1689"/>
      <c r="P18" s="1689"/>
      <c r="Q18" s="1689"/>
      <c r="R18" s="1689"/>
      <c r="S18" s="1689"/>
      <c r="T18" s="1689"/>
      <c r="U18" s="1689"/>
      <c r="V18" s="1689"/>
      <c r="W18" s="1689"/>
      <c r="X18" s="1689"/>
      <c r="Y18" s="1689"/>
      <c r="Z18" s="1689"/>
      <c r="AA18" s="1689"/>
      <c r="AB18" s="1689"/>
      <c r="AC18" s="1689"/>
      <c r="AD18" s="1689"/>
      <c r="AE18" s="1689"/>
      <c r="AF18" s="1689"/>
      <c r="AG18" s="1689"/>
      <c r="AH18" s="1689"/>
      <c r="AI18" s="1690"/>
      <c r="AJ18" s="1689"/>
      <c r="AK18" s="1689"/>
      <c r="AL18" s="1689"/>
      <c r="AM18" s="1689"/>
      <c r="AN18" s="1689"/>
      <c r="AO18" s="1689"/>
      <c r="AP18" s="1689"/>
      <c r="AQ18" s="1689"/>
      <c r="AR18" s="1689"/>
      <c r="AS18" s="1689"/>
    </row>
    <row r="19" spans="1:56" s="1680" customFormat="1" ht="15.75" x14ac:dyDescent="0.25">
      <c r="A19" s="1689" t="s">
        <v>7586</v>
      </c>
      <c r="B19" s="1689"/>
      <c r="C19" s="1689"/>
      <c r="D19" s="1689"/>
      <c r="E19" s="1689"/>
      <c r="F19" s="1689"/>
      <c r="G19" s="1689"/>
      <c r="H19" s="1689"/>
      <c r="I19" s="1689"/>
      <c r="J19" s="1689"/>
      <c r="K19" s="1689"/>
      <c r="L19" s="1689"/>
      <c r="M19" s="1689"/>
      <c r="N19" s="1689"/>
      <c r="O19" s="1689"/>
      <c r="P19" s="1689"/>
      <c r="Q19" s="1689"/>
      <c r="R19" s="1689"/>
      <c r="S19" s="1689"/>
      <c r="T19" s="1689"/>
      <c r="U19" s="1689"/>
      <c r="V19" s="1689"/>
      <c r="W19" s="1689"/>
      <c r="X19" s="1689"/>
      <c r="Y19" s="1689"/>
      <c r="Z19" s="1689"/>
      <c r="AA19" s="1689"/>
      <c r="AB19" s="1689"/>
      <c r="AC19" s="1689"/>
      <c r="AD19" s="1689"/>
      <c r="AE19" s="1689"/>
      <c r="AF19" s="1689"/>
      <c r="AG19" s="1689"/>
      <c r="AH19" s="1689"/>
      <c r="AI19" s="1690"/>
      <c r="AJ19" s="1689"/>
      <c r="AK19" s="1689"/>
      <c r="AL19" s="1689"/>
      <c r="AM19" s="1689"/>
      <c r="AN19" s="1689"/>
      <c r="AO19" s="1689"/>
      <c r="AP19" s="1689"/>
      <c r="AQ19" s="1689"/>
      <c r="AR19" s="1689"/>
      <c r="AS19" s="1689"/>
    </row>
    <row r="20" spans="1:56" s="420" customFormat="1" x14ac:dyDescent="0.25">
      <c r="A20" s="1130"/>
      <c r="B20" s="563"/>
      <c r="C20" s="563"/>
      <c r="D20" s="563"/>
      <c r="E20" s="563"/>
      <c r="F20" s="746"/>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747"/>
      <c r="AJ20" s="563"/>
      <c r="AK20" s="563"/>
      <c r="AL20" s="563"/>
      <c r="AM20" s="563"/>
      <c r="AN20" s="563"/>
      <c r="AO20" s="563"/>
      <c r="AP20" s="563"/>
      <c r="AQ20" s="563"/>
      <c r="AR20" s="563"/>
    </row>
    <row r="21" spans="1:56" s="420" customFormat="1" ht="15.75" thickBot="1" x14ac:dyDescent="0.3">
      <c r="A21" s="1737"/>
      <c r="B21" s="1691"/>
      <c r="C21" s="1691"/>
      <c r="D21" s="1691"/>
      <c r="E21" s="1691"/>
      <c r="F21" s="1691"/>
      <c r="G21" s="1691"/>
      <c r="H21" s="1691"/>
      <c r="I21" s="1691"/>
      <c r="J21" s="1691"/>
      <c r="K21" s="1691"/>
      <c r="L21" s="1691"/>
      <c r="M21" s="1691"/>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c r="AL21" s="1691"/>
      <c r="AM21" s="1691"/>
      <c r="AN21" s="1691"/>
      <c r="AO21" s="1691"/>
      <c r="AP21" s="1691"/>
      <c r="AQ21" s="1691"/>
      <c r="AR21" s="1691"/>
      <c r="AS21" s="1691"/>
      <c r="AT21" s="1691"/>
      <c r="AU21" s="1691"/>
      <c r="AV21" s="1691"/>
      <c r="AW21" s="1691"/>
      <c r="AX21" s="1691"/>
      <c r="AY21" s="1691"/>
      <c r="AZ21" s="1691"/>
      <c r="BA21" s="1691"/>
      <c r="BB21" s="1691"/>
      <c r="BC21" s="1691"/>
      <c r="BD21" s="1691"/>
    </row>
    <row r="22" spans="1:56" s="420" customFormat="1" ht="15.75" thickBot="1" x14ac:dyDescent="0.3">
      <c r="A22" s="2437" t="s">
        <v>5</v>
      </c>
      <c r="B22" s="2056" t="s">
        <v>6</v>
      </c>
      <c r="C22" s="2049"/>
      <c r="D22" s="2049"/>
      <c r="E22" s="2049"/>
      <c r="F22" s="2049"/>
      <c r="G22" s="2051"/>
      <c r="H22" s="2444" t="s">
        <v>7</v>
      </c>
      <c r="I22" s="2445"/>
      <c r="J22" s="2445"/>
      <c r="K22" s="2445"/>
      <c r="L22" s="2445"/>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6"/>
      <c r="AI22" s="2056" t="s">
        <v>8</v>
      </c>
      <c r="AJ22" s="2049"/>
      <c r="AK22" s="2049"/>
      <c r="AL22" s="2051"/>
      <c r="AM22" s="2056" t="s">
        <v>9</v>
      </c>
      <c r="AN22" s="2049"/>
      <c r="AO22" s="2049"/>
      <c r="AP22" s="2049"/>
      <c r="AQ22" s="2049"/>
      <c r="AR22" s="2051"/>
      <c r="AS22" s="2056" t="s">
        <v>10</v>
      </c>
      <c r="AT22" s="2049"/>
      <c r="AU22" s="2049"/>
      <c r="AV22" s="2049"/>
      <c r="AW22" s="2049"/>
      <c r="AX22" s="2049"/>
      <c r="AY22" s="2049"/>
      <c r="AZ22" s="2049"/>
      <c r="BA22" s="2049"/>
      <c r="BB22" s="2049"/>
      <c r="BC22" s="2049"/>
      <c r="BD22" s="2051"/>
    </row>
    <row r="23" spans="1:56" s="420" customFormat="1" x14ac:dyDescent="0.25">
      <c r="A23" s="2438"/>
      <c r="B23" s="2057"/>
      <c r="C23" s="2050"/>
      <c r="D23" s="2050"/>
      <c r="E23" s="2050"/>
      <c r="F23" s="2050"/>
      <c r="G23" s="2052"/>
      <c r="H23" s="2113" t="s">
        <v>11</v>
      </c>
      <c r="I23" s="2115"/>
      <c r="J23" s="2115"/>
      <c r="K23" s="2115"/>
      <c r="L23" s="2115"/>
      <c r="M23" s="2115"/>
      <c r="N23" s="2115"/>
      <c r="O23" s="2115"/>
      <c r="P23" s="2115"/>
      <c r="Q23" s="2115"/>
      <c r="R23" s="2115"/>
      <c r="S23" s="2115"/>
      <c r="T23" s="2117"/>
      <c r="U23" s="2113" t="s">
        <v>12</v>
      </c>
      <c r="V23" s="2115"/>
      <c r="W23" s="2115"/>
      <c r="X23" s="2115"/>
      <c r="Y23" s="2115"/>
      <c r="Z23" s="2115"/>
      <c r="AA23" s="2115"/>
      <c r="AB23" s="2115"/>
      <c r="AC23" s="2115"/>
      <c r="AD23" s="2117"/>
      <c r="AE23" s="2056" t="s">
        <v>13</v>
      </c>
      <c r="AF23" s="2049"/>
      <c r="AG23" s="2049"/>
      <c r="AH23" s="2051"/>
      <c r="AI23" s="2579" t="s">
        <v>14</v>
      </c>
      <c r="AJ23" s="2050" t="s">
        <v>15</v>
      </c>
      <c r="AK23" s="2050" t="s">
        <v>16</v>
      </c>
      <c r="AL23" s="2052" t="s">
        <v>581</v>
      </c>
      <c r="AM23" s="2057" t="s">
        <v>18</v>
      </c>
      <c r="AN23" s="2050" t="s">
        <v>19</v>
      </c>
      <c r="AO23" s="2050" t="s">
        <v>20</v>
      </c>
      <c r="AP23" s="2050" t="s">
        <v>21</v>
      </c>
      <c r="AQ23" s="2050" t="s">
        <v>22</v>
      </c>
      <c r="AR23" s="2052" t="s">
        <v>21</v>
      </c>
      <c r="AS23" s="2057" t="s">
        <v>23</v>
      </c>
      <c r="AT23" s="2050" t="s">
        <v>24</v>
      </c>
      <c r="AU23" s="2435" t="s">
        <v>25</v>
      </c>
      <c r="AV23" s="2435"/>
      <c r="AW23" s="2435"/>
      <c r="AX23" s="2435" t="s">
        <v>26</v>
      </c>
      <c r="AY23" s="2435"/>
      <c r="AZ23" s="2050" t="s">
        <v>27</v>
      </c>
      <c r="BA23" s="2050" t="s">
        <v>28</v>
      </c>
      <c r="BB23" s="2435" t="s">
        <v>29</v>
      </c>
      <c r="BC23" s="2435"/>
      <c r="BD23" s="2440"/>
    </row>
    <row r="24" spans="1:56" s="427" customFormat="1" ht="51" x14ac:dyDescent="0.25">
      <c r="A24" s="2438"/>
      <c r="B24" s="1028" t="s">
        <v>30</v>
      </c>
      <c r="C24" s="1026" t="s">
        <v>31</v>
      </c>
      <c r="D24" s="1026" t="s">
        <v>32</v>
      </c>
      <c r="E24" s="1026" t="s">
        <v>23</v>
      </c>
      <c r="F24" s="1026" t="s">
        <v>33</v>
      </c>
      <c r="G24" s="1027" t="s">
        <v>34</v>
      </c>
      <c r="H24" s="1180" t="s">
        <v>35</v>
      </c>
      <c r="I24" s="1026" t="s">
        <v>36</v>
      </c>
      <c r="J24" s="1026" t="s">
        <v>37</v>
      </c>
      <c r="K24" s="1026" t="s">
        <v>38</v>
      </c>
      <c r="L24" s="1026" t="s">
        <v>39</v>
      </c>
      <c r="M24" s="1026" t="s">
        <v>40</v>
      </c>
      <c r="N24" s="1026" t="s">
        <v>41</v>
      </c>
      <c r="O24" s="1026" t="s">
        <v>42</v>
      </c>
      <c r="P24" s="1026" t="s">
        <v>43</v>
      </c>
      <c r="Q24" s="1026" t="s">
        <v>44</v>
      </c>
      <c r="R24" s="1026" t="s">
        <v>45</v>
      </c>
      <c r="S24" s="1026" t="s">
        <v>46</v>
      </c>
      <c r="T24" s="1027" t="s">
        <v>47</v>
      </c>
      <c r="U24" s="1028" t="s">
        <v>48</v>
      </c>
      <c r="V24" s="1026" t="s">
        <v>38</v>
      </c>
      <c r="W24" s="1026" t="s">
        <v>40</v>
      </c>
      <c r="X24" s="1026" t="s">
        <v>49</v>
      </c>
      <c r="Y24" s="1026" t="s">
        <v>41</v>
      </c>
      <c r="Z24" s="1026" t="s">
        <v>42</v>
      </c>
      <c r="AA24" s="1026" t="s">
        <v>50</v>
      </c>
      <c r="AB24" s="1026" t="s">
        <v>51</v>
      </c>
      <c r="AC24" s="1026" t="s">
        <v>52</v>
      </c>
      <c r="AD24" s="1027" t="s">
        <v>53</v>
      </c>
      <c r="AE24" s="1028" t="s">
        <v>54</v>
      </c>
      <c r="AF24" s="1026" t="s">
        <v>55</v>
      </c>
      <c r="AG24" s="1026" t="s">
        <v>56</v>
      </c>
      <c r="AH24" s="1027" t="s">
        <v>57</v>
      </c>
      <c r="AI24" s="2579"/>
      <c r="AJ24" s="2050"/>
      <c r="AK24" s="2050"/>
      <c r="AL24" s="2052"/>
      <c r="AM24" s="2057"/>
      <c r="AN24" s="2050"/>
      <c r="AO24" s="2050"/>
      <c r="AP24" s="2050"/>
      <c r="AQ24" s="2050"/>
      <c r="AR24" s="2052"/>
      <c r="AS24" s="2057"/>
      <c r="AT24" s="2050"/>
      <c r="AU24" s="7" t="s">
        <v>58</v>
      </c>
      <c r="AV24" s="7" t="s">
        <v>59</v>
      </c>
      <c r="AW24" s="7" t="s">
        <v>60</v>
      </c>
      <c r="AX24" s="7" t="s">
        <v>61</v>
      </c>
      <c r="AY24" s="1026" t="s">
        <v>62</v>
      </c>
      <c r="AZ24" s="2050"/>
      <c r="BA24" s="2050"/>
      <c r="BB24" s="7" t="s">
        <v>58</v>
      </c>
      <c r="BC24" s="7" t="s">
        <v>63</v>
      </c>
      <c r="BD24" s="9" t="s">
        <v>64</v>
      </c>
    </row>
    <row r="25" spans="1:56" s="427" customFormat="1" ht="15.75" thickBot="1" x14ac:dyDescent="0.3">
      <c r="A25" s="2439"/>
      <c r="B25" s="10" t="s">
        <v>65</v>
      </c>
      <c r="C25" s="11" t="s">
        <v>66</v>
      </c>
      <c r="D25" s="12" t="s">
        <v>67</v>
      </c>
      <c r="E25" s="11" t="s">
        <v>68</v>
      </c>
      <c r="F25" s="11" t="s">
        <v>69</v>
      </c>
      <c r="G25" s="13" t="s">
        <v>70</v>
      </c>
      <c r="H25" s="14" t="s">
        <v>71</v>
      </c>
      <c r="I25" s="11" t="s">
        <v>72</v>
      </c>
      <c r="J25" s="11" t="s">
        <v>73</v>
      </c>
      <c r="K25" s="11" t="s">
        <v>74</v>
      </c>
      <c r="L25" s="15" t="s">
        <v>75</v>
      </c>
      <c r="M25" s="11" t="s">
        <v>76</v>
      </c>
      <c r="N25" s="11" t="s">
        <v>77</v>
      </c>
      <c r="O25" s="11" t="s">
        <v>78</v>
      </c>
      <c r="P25" s="11" t="s">
        <v>79</v>
      </c>
      <c r="Q25" s="11" t="s">
        <v>80</v>
      </c>
      <c r="R25" s="11" t="s">
        <v>81</v>
      </c>
      <c r="S25" s="11" t="s">
        <v>82</v>
      </c>
      <c r="T25" s="13" t="s">
        <v>83</v>
      </c>
      <c r="U25" s="10" t="s">
        <v>84</v>
      </c>
      <c r="V25" s="11" t="s">
        <v>85</v>
      </c>
      <c r="W25" s="11" t="s">
        <v>86</v>
      </c>
      <c r="X25" s="11" t="s">
        <v>87</v>
      </c>
      <c r="Y25" s="11" t="s">
        <v>88</v>
      </c>
      <c r="Z25" s="11" t="s">
        <v>89</v>
      </c>
      <c r="AA25" s="11" t="s">
        <v>90</v>
      </c>
      <c r="AB25" s="11" t="s">
        <v>91</v>
      </c>
      <c r="AC25" s="11" t="s">
        <v>92</v>
      </c>
      <c r="AD25" s="13" t="s">
        <v>93</v>
      </c>
      <c r="AE25" s="10" t="s">
        <v>94</v>
      </c>
      <c r="AF25" s="11" t="s">
        <v>95</v>
      </c>
      <c r="AG25" s="11" t="s">
        <v>96</v>
      </c>
      <c r="AH25" s="13" t="s">
        <v>97</v>
      </c>
      <c r="AI25" s="14" t="s">
        <v>98</v>
      </c>
      <c r="AJ25" s="11" t="s">
        <v>99</v>
      </c>
      <c r="AK25" s="11" t="s">
        <v>100</v>
      </c>
      <c r="AL25" s="13" t="s">
        <v>101</v>
      </c>
      <c r="AM25" s="17" t="s">
        <v>102</v>
      </c>
      <c r="AN25" s="18" t="s">
        <v>103</v>
      </c>
      <c r="AO25" s="18" t="s">
        <v>104</v>
      </c>
      <c r="AP25" s="18" t="s">
        <v>105</v>
      </c>
      <c r="AQ25" s="18" t="s">
        <v>106</v>
      </c>
      <c r="AR25" s="19" t="s">
        <v>107</v>
      </c>
      <c r="AS25" s="17" t="s">
        <v>108</v>
      </c>
      <c r="AT25" s="18" t="s">
        <v>109</v>
      </c>
      <c r="AU25" s="18" t="s">
        <v>110</v>
      </c>
      <c r="AV25" s="18" t="s">
        <v>111</v>
      </c>
      <c r="AW25" s="18" t="s">
        <v>112</v>
      </c>
      <c r="AX25" s="18" t="s">
        <v>113</v>
      </c>
      <c r="AY25" s="18" t="s">
        <v>114</v>
      </c>
      <c r="AZ25" s="18" t="s">
        <v>115</v>
      </c>
      <c r="BA25" s="18" t="s">
        <v>116</v>
      </c>
      <c r="BB25" s="18" t="s">
        <v>117</v>
      </c>
      <c r="BC25" s="18" t="s">
        <v>118</v>
      </c>
      <c r="BD25" s="19" t="s">
        <v>119</v>
      </c>
    </row>
    <row r="26" spans="1:56" s="427" customFormat="1" x14ac:dyDescent="0.25">
      <c r="A26" s="2538">
        <v>1</v>
      </c>
      <c r="B26" s="2540" t="s">
        <v>5979</v>
      </c>
      <c r="C26" s="2198" t="s">
        <v>5980</v>
      </c>
      <c r="D26" s="2198" t="s">
        <v>5981</v>
      </c>
      <c r="E26" s="2198" t="s">
        <v>5982</v>
      </c>
      <c r="F26" s="2202" t="s">
        <v>5983</v>
      </c>
      <c r="G26" s="2556">
        <v>10649</v>
      </c>
      <c r="H26" s="2545" t="s">
        <v>5984</v>
      </c>
      <c r="I26" s="2202" t="s">
        <v>5985</v>
      </c>
      <c r="J26" s="2198" t="s">
        <v>5986</v>
      </c>
      <c r="K26" s="2203">
        <v>40890</v>
      </c>
      <c r="L26" s="2204">
        <v>107681.4</v>
      </c>
      <c r="M26" s="2536">
        <v>10704</v>
      </c>
      <c r="N26" s="2203">
        <v>40890</v>
      </c>
      <c r="O26" s="2203">
        <v>40935</v>
      </c>
      <c r="P26" s="494"/>
      <c r="Q26" s="2198" t="s">
        <v>5987</v>
      </c>
      <c r="R26" s="2198"/>
      <c r="S26" s="2198"/>
      <c r="T26" s="2531" t="s">
        <v>5976</v>
      </c>
      <c r="U26" s="748" t="s">
        <v>1224</v>
      </c>
      <c r="V26" s="460">
        <v>40933</v>
      </c>
      <c r="W26" s="492">
        <v>10727</v>
      </c>
      <c r="X26" s="491" t="s">
        <v>5817</v>
      </c>
      <c r="Y26" s="460">
        <v>40936</v>
      </c>
      <c r="Z26" s="460">
        <v>41026</v>
      </c>
      <c r="AA26" s="458"/>
      <c r="AB26" s="458"/>
      <c r="AC26" s="458"/>
      <c r="AD26" s="598"/>
      <c r="AE26" s="748"/>
      <c r="AF26" s="458"/>
      <c r="AG26" s="458"/>
      <c r="AH26" s="461"/>
      <c r="AI26" s="841"/>
      <c r="AJ26" s="458"/>
      <c r="AK26" s="458"/>
      <c r="AL26" s="461"/>
      <c r="AM26" s="885"/>
      <c r="AN26" s="886"/>
      <c r="AO26" s="886"/>
      <c r="AP26" s="886"/>
      <c r="AQ26" s="886"/>
      <c r="AR26" s="887"/>
      <c r="AS26" s="885"/>
      <c r="AT26" s="886"/>
      <c r="AU26" s="886"/>
      <c r="AV26" s="886"/>
      <c r="AW26" s="886"/>
      <c r="AX26" s="886"/>
      <c r="AY26" s="886"/>
      <c r="AZ26" s="886"/>
      <c r="BA26" s="886"/>
      <c r="BB26" s="886"/>
      <c r="BC26" s="886"/>
      <c r="BD26" s="887"/>
    </row>
    <row r="27" spans="1:56" s="427" customFormat="1" x14ac:dyDescent="0.25">
      <c r="A27" s="2548"/>
      <c r="B27" s="2549"/>
      <c r="C27" s="2021"/>
      <c r="D27" s="2021"/>
      <c r="E27" s="2021"/>
      <c r="F27" s="2189"/>
      <c r="G27" s="2557"/>
      <c r="H27" s="2551"/>
      <c r="I27" s="2189"/>
      <c r="J27" s="2021"/>
      <c r="K27" s="2033"/>
      <c r="L27" s="2187"/>
      <c r="M27" s="2197"/>
      <c r="N27" s="2033"/>
      <c r="O27" s="2033"/>
      <c r="P27" s="458"/>
      <c r="Q27" s="2021"/>
      <c r="R27" s="2021"/>
      <c r="S27" s="2021"/>
      <c r="T27" s="2043"/>
      <c r="U27" s="435" t="s">
        <v>1226</v>
      </c>
      <c r="V27" s="432">
        <v>41019</v>
      </c>
      <c r="W27" s="431">
        <v>10785</v>
      </c>
      <c r="X27" s="485" t="s">
        <v>5817</v>
      </c>
      <c r="Y27" s="432">
        <v>41118</v>
      </c>
      <c r="Z27" s="432">
        <v>41117</v>
      </c>
      <c r="AA27" s="440"/>
      <c r="AB27" s="440"/>
      <c r="AC27" s="440"/>
      <c r="AD27" s="888"/>
      <c r="AE27" s="455"/>
      <c r="AF27" s="440"/>
      <c r="AG27" s="440"/>
      <c r="AH27" s="442"/>
      <c r="AI27" s="450"/>
      <c r="AJ27" s="440"/>
      <c r="AK27" s="440"/>
      <c r="AL27" s="442"/>
      <c r="AM27" s="889"/>
      <c r="AN27" s="890"/>
      <c r="AO27" s="890"/>
      <c r="AP27" s="890"/>
      <c r="AQ27" s="890"/>
      <c r="AR27" s="891"/>
      <c r="AS27" s="889"/>
      <c r="AT27" s="890"/>
      <c r="AU27" s="890"/>
      <c r="AV27" s="890"/>
      <c r="AW27" s="890"/>
      <c r="AX27" s="890"/>
      <c r="AY27" s="890"/>
      <c r="AZ27" s="890"/>
      <c r="BA27" s="890"/>
      <c r="BB27" s="890"/>
      <c r="BC27" s="890"/>
      <c r="BD27" s="891"/>
    </row>
    <row r="28" spans="1:56" s="427" customFormat="1" x14ac:dyDescent="0.25">
      <c r="A28" s="2548"/>
      <c r="B28" s="2549"/>
      <c r="C28" s="2021"/>
      <c r="D28" s="2021"/>
      <c r="E28" s="2021"/>
      <c r="F28" s="2189"/>
      <c r="G28" s="2557"/>
      <c r="H28" s="2551"/>
      <c r="I28" s="2189"/>
      <c r="J28" s="2021"/>
      <c r="K28" s="2033"/>
      <c r="L28" s="2187"/>
      <c r="M28" s="2197"/>
      <c r="N28" s="2033"/>
      <c r="O28" s="2033"/>
      <c r="P28" s="458"/>
      <c r="Q28" s="2021"/>
      <c r="R28" s="2021"/>
      <c r="S28" s="2021"/>
      <c r="T28" s="2043"/>
      <c r="U28" s="435" t="s">
        <v>1227</v>
      </c>
      <c r="V28" s="432">
        <v>41080</v>
      </c>
      <c r="W28" s="431">
        <v>10848</v>
      </c>
      <c r="X28" s="485" t="s">
        <v>5817</v>
      </c>
      <c r="Y28" s="432">
        <v>41118</v>
      </c>
      <c r="Z28" s="432">
        <v>41274</v>
      </c>
      <c r="AA28" s="429"/>
      <c r="AB28" s="429"/>
      <c r="AC28" s="429"/>
      <c r="AD28" s="74"/>
      <c r="AE28" s="435"/>
      <c r="AF28" s="429"/>
      <c r="AG28" s="429"/>
      <c r="AH28" s="437"/>
      <c r="AI28" s="434"/>
      <c r="AJ28" s="429"/>
      <c r="AK28" s="429"/>
      <c r="AL28" s="437"/>
      <c r="AM28" s="749"/>
      <c r="AN28" s="567"/>
      <c r="AO28" s="567"/>
      <c r="AP28" s="567"/>
      <c r="AQ28" s="567"/>
      <c r="AR28" s="568"/>
      <c r="AS28" s="749"/>
      <c r="AT28" s="567"/>
      <c r="AU28" s="567"/>
      <c r="AV28" s="567"/>
      <c r="AW28" s="567"/>
      <c r="AX28" s="567"/>
      <c r="AY28" s="567"/>
      <c r="AZ28" s="567"/>
      <c r="BA28" s="567"/>
      <c r="BB28" s="567"/>
      <c r="BC28" s="567"/>
      <c r="BD28" s="568"/>
    </row>
    <row r="29" spans="1:56" s="427" customFormat="1" x14ac:dyDescent="0.25">
      <c r="A29" s="2548"/>
      <c r="B29" s="2549"/>
      <c r="C29" s="2021"/>
      <c r="D29" s="2021"/>
      <c r="E29" s="2021"/>
      <c r="F29" s="2189"/>
      <c r="G29" s="2557"/>
      <c r="H29" s="2551"/>
      <c r="I29" s="2189"/>
      <c r="J29" s="2021"/>
      <c r="K29" s="2033"/>
      <c r="L29" s="2187"/>
      <c r="M29" s="2197"/>
      <c r="N29" s="2033"/>
      <c r="O29" s="2033"/>
      <c r="P29" s="458"/>
      <c r="Q29" s="2021"/>
      <c r="R29" s="2021"/>
      <c r="S29" s="2021"/>
      <c r="T29" s="2043"/>
      <c r="U29" s="435" t="s">
        <v>1228</v>
      </c>
      <c r="V29" s="432">
        <v>41249</v>
      </c>
      <c r="W29" s="431">
        <v>10945</v>
      </c>
      <c r="X29" s="485" t="s">
        <v>5817</v>
      </c>
      <c r="Y29" s="432">
        <v>41275</v>
      </c>
      <c r="Z29" s="432">
        <v>41305</v>
      </c>
      <c r="AA29" s="429"/>
      <c r="AB29" s="429"/>
      <c r="AC29" s="429"/>
      <c r="AD29" s="74"/>
      <c r="AE29" s="435"/>
      <c r="AF29" s="429"/>
      <c r="AG29" s="429"/>
      <c r="AH29" s="437"/>
      <c r="AI29" s="434"/>
      <c r="AJ29" s="429"/>
      <c r="AK29" s="429"/>
      <c r="AL29" s="437"/>
      <c r="AM29" s="749"/>
      <c r="AN29" s="567"/>
      <c r="AO29" s="567"/>
      <c r="AP29" s="567"/>
      <c r="AQ29" s="567"/>
      <c r="AR29" s="568"/>
      <c r="AS29" s="749"/>
      <c r="AT29" s="567"/>
      <c r="AU29" s="567"/>
      <c r="AV29" s="567"/>
      <c r="AW29" s="567"/>
      <c r="AX29" s="567"/>
      <c r="AY29" s="567"/>
      <c r="AZ29" s="567"/>
      <c r="BA29" s="567"/>
      <c r="BB29" s="567"/>
      <c r="BC29" s="567"/>
      <c r="BD29" s="568"/>
    </row>
    <row r="30" spans="1:56" s="427" customFormat="1" x14ac:dyDescent="0.25">
      <c r="A30" s="2548"/>
      <c r="B30" s="2549"/>
      <c r="C30" s="2021"/>
      <c r="D30" s="2021"/>
      <c r="E30" s="2021"/>
      <c r="F30" s="2189"/>
      <c r="G30" s="2557"/>
      <c r="H30" s="2551"/>
      <c r="I30" s="2189"/>
      <c r="J30" s="2021"/>
      <c r="K30" s="2033"/>
      <c r="L30" s="2187"/>
      <c r="M30" s="2197"/>
      <c r="N30" s="2033"/>
      <c r="O30" s="2033"/>
      <c r="P30" s="458"/>
      <c r="Q30" s="2021"/>
      <c r="R30" s="2021"/>
      <c r="S30" s="2021"/>
      <c r="T30" s="2043"/>
      <c r="U30" s="435" t="s">
        <v>1246</v>
      </c>
      <c r="V30" s="432" t="s">
        <v>5988</v>
      </c>
      <c r="W30" s="431">
        <v>10975</v>
      </c>
      <c r="X30" s="485" t="s">
        <v>5817</v>
      </c>
      <c r="Y30" s="432">
        <v>41306</v>
      </c>
      <c r="Z30" s="432">
        <v>41394</v>
      </c>
      <c r="AA30" s="429"/>
      <c r="AB30" s="429"/>
      <c r="AC30" s="429"/>
      <c r="AD30" s="74"/>
      <c r="AE30" s="435"/>
      <c r="AF30" s="429"/>
      <c r="AG30" s="429"/>
      <c r="AH30" s="437"/>
      <c r="AI30" s="434"/>
      <c r="AJ30" s="429"/>
      <c r="AK30" s="429"/>
      <c r="AL30" s="437"/>
      <c r="AM30" s="749"/>
      <c r="AN30" s="567"/>
      <c r="AO30" s="567"/>
      <c r="AP30" s="567"/>
      <c r="AQ30" s="567"/>
      <c r="AR30" s="568"/>
      <c r="AS30" s="749"/>
      <c r="AT30" s="567"/>
      <c r="AU30" s="567"/>
      <c r="AV30" s="567"/>
      <c r="AW30" s="567"/>
      <c r="AX30" s="567"/>
      <c r="AY30" s="567"/>
      <c r="AZ30" s="567"/>
      <c r="BA30" s="567"/>
      <c r="BB30" s="567"/>
      <c r="BC30" s="567"/>
      <c r="BD30" s="568"/>
    </row>
    <row r="31" spans="1:56" s="427" customFormat="1" x14ac:dyDescent="0.25">
      <c r="A31" s="2548"/>
      <c r="B31" s="2549"/>
      <c r="C31" s="2021"/>
      <c r="D31" s="2021"/>
      <c r="E31" s="2021"/>
      <c r="F31" s="2189"/>
      <c r="G31" s="2557"/>
      <c r="H31" s="2551"/>
      <c r="I31" s="2189"/>
      <c r="J31" s="2021"/>
      <c r="K31" s="2033"/>
      <c r="L31" s="2187"/>
      <c r="M31" s="2197"/>
      <c r="N31" s="2033"/>
      <c r="O31" s="2033"/>
      <c r="P31" s="458"/>
      <c r="Q31" s="2021"/>
      <c r="R31" s="2021"/>
      <c r="S31" s="2021"/>
      <c r="T31" s="2043"/>
      <c r="U31" s="435" t="s">
        <v>1249</v>
      </c>
      <c r="V31" s="432">
        <v>41384</v>
      </c>
      <c r="W31" s="431">
        <v>11039</v>
      </c>
      <c r="X31" s="485" t="s">
        <v>5817</v>
      </c>
      <c r="Y31" s="432">
        <v>41395</v>
      </c>
      <c r="Z31" s="432">
        <v>41425</v>
      </c>
      <c r="AA31" s="429"/>
      <c r="AB31" s="429"/>
      <c r="AC31" s="429"/>
      <c r="AD31" s="74"/>
      <c r="AE31" s="435"/>
      <c r="AF31" s="429"/>
      <c r="AG31" s="429"/>
      <c r="AH31" s="437"/>
      <c r="AI31" s="434"/>
      <c r="AJ31" s="429"/>
      <c r="AK31" s="429"/>
      <c r="AL31" s="437"/>
      <c r="AM31" s="749"/>
      <c r="AN31" s="567"/>
      <c r="AO31" s="567"/>
      <c r="AP31" s="567"/>
      <c r="AQ31" s="567"/>
      <c r="AR31" s="568"/>
      <c r="AS31" s="749"/>
      <c r="AT31" s="567"/>
      <c r="AU31" s="567"/>
      <c r="AV31" s="567"/>
      <c r="AW31" s="567"/>
      <c r="AX31" s="567"/>
      <c r="AY31" s="567"/>
      <c r="AZ31" s="567"/>
      <c r="BA31" s="567"/>
      <c r="BB31" s="567"/>
      <c r="BC31" s="567"/>
      <c r="BD31" s="568"/>
    </row>
    <row r="32" spans="1:56" s="427" customFormat="1" x14ac:dyDescent="0.25">
      <c r="A32" s="2548"/>
      <c r="B32" s="2549"/>
      <c r="C32" s="2021"/>
      <c r="D32" s="2021"/>
      <c r="E32" s="2021"/>
      <c r="F32" s="2189"/>
      <c r="G32" s="2557"/>
      <c r="H32" s="2551"/>
      <c r="I32" s="2189"/>
      <c r="J32" s="2021"/>
      <c r="K32" s="2033"/>
      <c r="L32" s="2187"/>
      <c r="M32" s="2197"/>
      <c r="N32" s="2033"/>
      <c r="O32" s="2033"/>
      <c r="P32" s="458"/>
      <c r="Q32" s="2021"/>
      <c r="R32" s="2021"/>
      <c r="S32" s="2021"/>
      <c r="T32" s="2043"/>
      <c r="U32" s="435" t="s">
        <v>1250</v>
      </c>
      <c r="V32" s="432">
        <v>41384</v>
      </c>
      <c r="W32" s="431">
        <v>11055</v>
      </c>
      <c r="X32" s="485" t="s">
        <v>5817</v>
      </c>
      <c r="Y32" s="432">
        <v>41426</v>
      </c>
      <c r="Z32" s="432">
        <v>41455</v>
      </c>
      <c r="AA32" s="429"/>
      <c r="AB32" s="429"/>
      <c r="AC32" s="429"/>
      <c r="AD32" s="74"/>
      <c r="AE32" s="435"/>
      <c r="AF32" s="429"/>
      <c r="AG32" s="429"/>
      <c r="AH32" s="437"/>
      <c r="AI32" s="434"/>
      <c r="AJ32" s="429"/>
      <c r="AK32" s="429"/>
      <c r="AL32" s="437"/>
      <c r="AM32" s="749"/>
      <c r="AN32" s="567"/>
      <c r="AO32" s="567"/>
      <c r="AP32" s="567"/>
      <c r="AQ32" s="567"/>
      <c r="AR32" s="568"/>
      <c r="AS32" s="749"/>
      <c r="AT32" s="567"/>
      <c r="AU32" s="567"/>
      <c r="AV32" s="567"/>
      <c r="AW32" s="567"/>
      <c r="AX32" s="567"/>
      <c r="AY32" s="567"/>
      <c r="AZ32" s="567"/>
      <c r="BA32" s="567"/>
      <c r="BB32" s="567"/>
      <c r="BC32" s="567"/>
      <c r="BD32" s="568"/>
    </row>
    <row r="33" spans="1:56" s="427" customFormat="1" x14ac:dyDescent="0.25">
      <c r="A33" s="2548"/>
      <c r="B33" s="2549"/>
      <c r="C33" s="2021"/>
      <c r="D33" s="2021"/>
      <c r="E33" s="2021"/>
      <c r="F33" s="2189"/>
      <c r="G33" s="2557"/>
      <c r="H33" s="2551"/>
      <c r="I33" s="2189"/>
      <c r="J33" s="2021"/>
      <c r="K33" s="2033"/>
      <c r="L33" s="2187"/>
      <c r="M33" s="2197"/>
      <c r="N33" s="2033"/>
      <c r="O33" s="2033"/>
      <c r="P33" s="458"/>
      <c r="Q33" s="2021"/>
      <c r="R33" s="2021"/>
      <c r="S33" s="2021"/>
      <c r="T33" s="2043"/>
      <c r="U33" s="435" t="s">
        <v>1252</v>
      </c>
      <c r="V33" s="432">
        <v>41445</v>
      </c>
      <c r="W33" s="431">
        <v>11076</v>
      </c>
      <c r="X33" s="485" t="s">
        <v>5817</v>
      </c>
      <c r="Y33" s="432">
        <v>41456</v>
      </c>
      <c r="Z33" s="432">
        <v>41517</v>
      </c>
      <c r="AA33" s="429"/>
      <c r="AB33" s="429"/>
      <c r="AC33" s="429"/>
      <c r="AD33" s="74"/>
      <c r="AE33" s="435"/>
      <c r="AF33" s="429"/>
      <c r="AG33" s="429"/>
      <c r="AH33" s="437"/>
      <c r="AI33" s="434"/>
      <c r="AJ33" s="429"/>
      <c r="AK33" s="429"/>
      <c r="AL33" s="437"/>
      <c r="AM33" s="749"/>
      <c r="AN33" s="567"/>
      <c r="AO33" s="567"/>
      <c r="AP33" s="567"/>
      <c r="AQ33" s="567"/>
      <c r="AR33" s="568"/>
      <c r="AS33" s="749"/>
      <c r="AT33" s="567"/>
      <c r="AU33" s="567"/>
      <c r="AV33" s="567"/>
      <c r="AW33" s="567"/>
      <c r="AX33" s="567"/>
      <c r="AY33" s="567"/>
      <c r="AZ33" s="567"/>
      <c r="BA33" s="567"/>
      <c r="BB33" s="567"/>
      <c r="BC33" s="567"/>
      <c r="BD33" s="568"/>
    </row>
    <row r="34" spans="1:56" s="427" customFormat="1" x14ac:dyDescent="0.25">
      <c r="A34" s="2548"/>
      <c r="B34" s="2549"/>
      <c r="C34" s="2021"/>
      <c r="D34" s="2021"/>
      <c r="E34" s="2021"/>
      <c r="F34" s="2189"/>
      <c r="G34" s="2557"/>
      <c r="H34" s="2551"/>
      <c r="I34" s="2189"/>
      <c r="J34" s="2021"/>
      <c r="K34" s="2033"/>
      <c r="L34" s="2187"/>
      <c r="M34" s="2197"/>
      <c r="N34" s="2033"/>
      <c r="O34" s="2033"/>
      <c r="P34" s="458"/>
      <c r="Q34" s="2021"/>
      <c r="R34" s="2021"/>
      <c r="S34" s="2021"/>
      <c r="T34" s="2043"/>
      <c r="U34" s="435" t="s">
        <v>1253</v>
      </c>
      <c r="V34" s="432">
        <v>41507</v>
      </c>
      <c r="W34" s="431">
        <v>11122</v>
      </c>
      <c r="X34" s="485" t="s">
        <v>5817</v>
      </c>
      <c r="Y34" s="432">
        <v>41518</v>
      </c>
      <c r="Z34" s="432">
        <v>41547</v>
      </c>
      <c r="AA34" s="429"/>
      <c r="AB34" s="429"/>
      <c r="AC34" s="429"/>
      <c r="AD34" s="74"/>
      <c r="AE34" s="435"/>
      <c r="AF34" s="429"/>
      <c r="AG34" s="429"/>
      <c r="AH34" s="437"/>
      <c r="AI34" s="434"/>
      <c r="AJ34" s="429"/>
      <c r="AK34" s="429"/>
      <c r="AL34" s="437"/>
      <c r="AM34" s="749"/>
      <c r="AN34" s="567"/>
      <c r="AO34" s="567"/>
      <c r="AP34" s="567"/>
      <c r="AQ34" s="567"/>
      <c r="AR34" s="568"/>
      <c r="AS34" s="749"/>
      <c r="AT34" s="567"/>
      <c r="AU34" s="567"/>
      <c r="AV34" s="567"/>
      <c r="AW34" s="567"/>
      <c r="AX34" s="567"/>
      <c r="AY34" s="567"/>
      <c r="AZ34" s="567"/>
      <c r="BA34" s="567"/>
      <c r="BB34" s="567"/>
      <c r="BC34" s="567"/>
      <c r="BD34" s="568"/>
    </row>
    <row r="35" spans="1:56" s="427" customFormat="1" x14ac:dyDescent="0.25">
      <c r="A35" s="2548"/>
      <c r="B35" s="2549"/>
      <c r="C35" s="2021"/>
      <c r="D35" s="2021"/>
      <c r="E35" s="2021"/>
      <c r="F35" s="2189"/>
      <c r="G35" s="2557"/>
      <c r="H35" s="2551"/>
      <c r="I35" s="2189"/>
      <c r="J35" s="2021"/>
      <c r="K35" s="2033"/>
      <c r="L35" s="2187"/>
      <c r="M35" s="2197"/>
      <c r="N35" s="2033"/>
      <c r="O35" s="2033"/>
      <c r="P35" s="458"/>
      <c r="Q35" s="2021"/>
      <c r="R35" s="2021"/>
      <c r="S35" s="2021"/>
      <c r="T35" s="2043"/>
      <c r="U35" s="435" t="s">
        <v>1255</v>
      </c>
      <c r="V35" s="432">
        <v>41544</v>
      </c>
      <c r="W35" s="431">
        <v>11147</v>
      </c>
      <c r="X35" s="485" t="s">
        <v>5817</v>
      </c>
      <c r="Y35" s="432">
        <v>41548</v>
      </c>
      <c r="Z35" s="432">
        <v>41638</v>
      </c>
      <c r="AA35" s="429"/>
      <c r="AB35" s="429"/>
      <c r="AC35" s="429"/>
      <c r="AD35" s="74"/>
      <c r="AE35" s="435"/>
      <c r="AF35" s="429"/>
      <c r="AG35" s="429"/>
      <c r="AH35" s="437"/>
      <c r="AI35" s="434"/>
      <c r="AJ35" s="429"/>
      <c r="AK35" s="429"/>
      <c r="AL35" s="437"/>
      <c r="AM35" s="749"/>
      <c r="AN35" s="567"/>
      <c r="AO35" s="567"/>
      <c r="AP35" s="567"/>
      <c r="AQ35" s="567"/>
      <c r="AR35" s="568"/>
      <c r="AS35" s="749"/>
      <c r="AT35" s="567"/>
      <c r="AU35" s="567"/>
      <c r="AV35" s="567"/>
      <c r="AW35" s="567"/>
      <c r="AX35" s="567"/>
      <c r="AY35" s="567"/>
      <c r="AZ35" s="567"/>
      <c r="BA35" s="567"/>
      <c r="BB35" s="567"/>
      <c r="BC35" s="567"/>
      <c r="BD35" s="568"/>
    </row>
    <row r="36" spans="1:56" s="427" customFormat="1" x14ac:dyDescent="0.25">
      <c r="A36" s="2548"/>
      <c r="B36" s="2549"/>
      <c r="C36" s="2021"/>
      <c r="D36" s="2021"/>
      <c r="E36" s="2021"/>
      <c r="F36" s="2189"/>
      <c r="G36" s="2557"/>
      <c r="H36" s="2551"/>
      <c r="I36" s="2189"/>
      <c r="J36" s="2021"/>
      <c r="K36" s="2033"/>
      <c r="L36" s="2187"/>
      <c r="M36" s="2197"/>
      <c r="N36" s="2033"/>
      <c r="O36" s="2033"/>
      <c r="P36" s="458">
        <v>6</v>
      </c>
      <c r="Q36" s="2021"/>
      <c r="R36" s="2021"/>
      <c r="S36" s="2021"/>
      <c r="T36" s="2043"/>
      <c r="U36" s="453" t="s">
        <v>5989</v>
      </c>
      <c r="V36" s="892">
        <v>41625</v>
      </c>
      <c r="W36" s="668">
        <v>11217</v>
      </c>
      <c r="X36" s="485" t="s">
        <v>5817</v>
      </c>
      <c r="Y36" s="432">
        <v>41639</v>
      </c>
      <c r="Z36" s="893">
        <v>41697</v>
      </c>
      <c r="AA36" s="439"/>
      <c r="AB36" s="439"/>
      <c r="AC36" s="439"/>
      <c r="AD36" s="349"/>
      <c r="AE36" s="454"/>
      <c r="AF36" s="184"/>
      <c r="AG36" s="451">
        <f>5408.37+8037</f>
        <v>13445.369999999999</v>
      </c>
      <c r="AH36" s="441"/>
      <c r="AI36" s="449"/>
      <c r="AJ36" s="439"/>
      <c r="AK36" s="439"/>
      <c r="AL36" s="441"/>
      <c r="AM36" s="564"/>
      <c r="AN36" s="565"/>
      <c r="AO36" s="565"/>
      <c r="AP36" s="565"/>
      <c r="AQ36" s="565"/>
      <c r="AR36" s="566"/>
      <c r="AS36" s="564"/>
      <c r="AT36" s="565"/>
      <c r="AU36" s="565"/>
      <c r="AV36" s="565"/>
      <c r="AW36" s="565"/>
      <c r="AX36" s="565"/>
      <c r="AY36" s="565"/>
      <c r="AZ36" s="565"/>
      <c r="BA36" s="565"/>
      <c r="BB36" s="565"/>
      <c r="BC36" s="565"/>
      <c r="BD36" s="566"/>
    </row>
    <row r="37" spans="1:56" s="420" customFormat="1" ht="15.75" thickBot="1" x14ac:dyDescent="0.3">
      <c r="A37" s="2539"/>
      <c r="B37" s="2541"/>
      <c r="C37" s="2530"/>
      <c r="D37" s="2530"/>
      <c r="E37" s="2530"/>
      <c r="F37" s="2542"/>
      <c r="G37" s="2558"/>
      <c r="H37" s="2546"/>
      <c r="I37" s="2542"/>
      <c r="J37" s="2530"/>
      <c r="K37" s="2529"/>
      <c r="L37" s="2535"/>
      <c r="M37" s="2537"/>
      <c r="N37" s="2529"/>
      <c r="O37" s="2529"/>
      <c r="P37" s="814">
        <v>1</v>
      </c>
      <c r="Q37" s="2530"/>
      <c r="R37" s="2530"/>
      <c r="S37" s="2530"/>
      <c r="T37" s="2532"/>
      <c r="U37" s="120" t="s">
        <v>5990</v>
      </c>
      <c r="V37" s="126">
        <v>41694</v>
      </c>
      <c r="W37" s="894">
        <v>11254</v>
      </c>
      <c r="X37" s="750" t="s">
        <v>5817</v>
      </c>
      <c r="Y37" s="126">
        <v>41698</v>
      </c>
      <c r="Z37" s="895">
        <v>41758</v>
      </c>
      <c r="AA37" s="121"/>
      <c r="AB37" s="121"/>
      <c r="AC37" s="127"/>
      <c r="AD37" s="127"/>
      <c r="AE37" s="130"/>
      <c r="AF37" s="818">
        <v>20568.400000000001</v>
      </c>
      <c r="AG37" s="127">
        <v>34258.93</v>
      </c>
      <c r="AH37" s="131">
        <f>AF37+AG37</f>
        <v>54827.33</v>
      </c>
      <c r="AI37" s="168"/>
      <c r="AJ37" s="754"/>
      <c r="AK37" s="754"/>
      <c r="AL37" s="755"/>
      <c r="AM37" s="756"/>
      <c r="AN37" s="754"/>
      <c r="AO37" s="754"/>
      <c r="AP37" s="754"/>
      <c r="AQ37" s="754"/>
      <c r="AR37" s="755"/>
      <c r="AS37" s="757"/>
      <c r="AT37" s="758"/>
      <c r="AU37" s="758"/>
      <c r="AV37" s="758"/>
      <c r="AW37" s="758"/>
      <c r="AX37" s="758"/>
      <c r="AY37" s="758"/>
      <c r="AZ37" s="758"/>
      <c r="BA37" s="758"/>
      <c r="BB37" s="758"/>
      <c r="BC37" s="758"/>
      <c r="BD37" s="759"/>
    </row>
    <row r="38" spans="1:56" s="420" customFormat="1" ht="38.25" x14ac:dyDescent="0.25">
      <c r="A38" s="2538">
        <v>2</v>
      </c>
      <c r="B38" s="2540" t="s">
        <v>1262</v>
      </c>
      <c r="C38" s="2198" t="s">
        <v>5846</v>
      </c>
      <c r="D38" s="2198" t="s">
        <v>5991</v>
      </c>
      <c r="E38" s="2198" t="s">
        <v>2260</v>
      </c>
      <c r="F38" s="2202" t="s">
        <v>5992</v>
      </c>
      <c r="G38" s="2556">
        <v>10798</v>
      </c>
      <c r="H38" s="2545" t="s">
        <v>1295</v>
      </c>
      <c r="I38" s="2202" t="s">
        <v>5993</v>
      </c>
      <c r="J38" s="2198" t="s">
        <v>5994</v>
      </c>
      <c r="K38" s="2203">
        <v>41422</v>
      </c>
      <c r="L38" s="2559">
        <v>199999.05</v>
      </c>
      <c r="M38" s="2536">
        <v>11073</v>
      </c>
      <c r="N38" s="2203">
        <v>41422</v>
      </c>
      <c r="O38" s="2203">
        <v>41635</v>
      </c>
      <c r="P38" s="2198">
        <v>1</v>
      </c>
      <c r="Q38" s="2198"/>
      <c r="R38" s="2198"/>
      <c r="S38" s="2198"/>
      <c r="T38" s="2531" t="s">
        <v>5976</v>
      </c>
      <c r="U38" s="783" t="s">
        <v>1224</v>
      </c>
      <c r="V38" s="495">
        <v>41592</v>
      </c>
      <c r="W38" s="784">
        <v>11181</v>
      </c>
      <c r="X38" s="518" t="s">
        <v>5995</v>
      </c>
      <c r="Y38" s="495">
        <v>41592</v>
      </c>
      <c r="Z38" s="495">
        <v>41635</v>
      </c>
      <c r="AA38" s="896">
        <v>0.25</v>
      </c>
      <c r="AB38" s="494"/>
      <c r="AC38" s="788">
        <v>49999.99</v>
      </c>
      <c r="AD38" s="786"/>
      <c r="AE38" s="787">
        <f>AC38+L38</f>
        <v>249999.03999999998</v>
      </c>
      <c r="AF38" s="788"/>
      <c r="AG38" s="788"/>
      <c r="AH38" s="789"/>
      <c r="AI38" s="867" t="s">
        <v>5269</v>
      </c>
      <c r="AJ38" s="784">
        <v>10857</v>
      </c>
      <c r="AK38" s="792" t="s">
        <v>5996</v>
      </c>
      <c r="AL38" s="876">
        <v>11073</v>
      </c>
      <c r="AM38" s="794"/>
      <c r="AN38" s="791"/>
      <c r="AO38" s="791"/>
      <c r="AP38" s="791"/>
      <c r="AQ38" s="791"/>
      <c r="AR38" s="793"/>
      <c r="AS38" s="795"/>
      <c r="AT38" s="796"/>
      <c r="AU38" s="796"/>
      <c r="AV38" s="796"/>
      <c r="AW38" s="796"/>
      <c r="AX38" s="796"/>
      <c r="AY38" s="796"/>
      <c r="AZ38" s="796"/>
      <c r="BA38" s="796"/>
      <c r="BB38" s="796"/>
      <c r="BC38" s="796"/>
      <c r="BD38" s="797"/>
    </row>
    <row r="39" spans="1:56" s="420" customFormat="1" x14ac:dyDescent="0.25">
      <c r="A39" s="2548"/>
      <c r="B39" s="2549"/>
      <c r="C39" s="2021"/>
      <c r="D39" s="2021"/>
      <c r="E39" s="2021"/>
      <c r="F39" s="2189"/>
      <c r="G39" s="2557"/>
      <c r="H39" s="2551"/>
      <c r="I39" s="2189"/>
      <c r="J39" s="2021"/>
      <c r="K39" s="2033"/>
      <c r="L39" s="2290"/>
      <c r="M39" s="2021"/>
      <c r="N39" s="2033"/>
      <c r="O39" s="2033"/>
      <c r="P39" s="2021"/>
      <c r="Q39" s="2021"/>
      <c r="R39" s="2021"/>
      <c r="S39" s="2021"/>
      <c r="T39" s="2043"/>
      <c r="U39" s="435" t="s">
        <v>1226</v>
      </c>
      <c r="V39" s="432">
        <v>41628</v>
      </c>
      <c r="W39" s="431">
        <v>11206</v>
      </c>
      <c r="X39" s="518" t="s">
        <v>5817</v>
      </c>
      <c r="Y39" s="432">
        <v>41636</v>
      </c>
      <c r="Z39" s="432">
        <v>41695</v>
      </c>
      <c r="AA39" s="429"/>
      <c r="AB39" s="429"/>
      <c r="AC39" s="430"/>
      <c r="AD39" s="437"/>
      <c r="AE39" s="63"/>
      <c r="AF39" s="184"/>
      <c r="AG39" s="184"/>
      <c r="AH39" s="33"/>
      <c r="AI39" s="267"/>
      <c r="AJ39" s="107"/>
      <c r="AK39" s="107"/>
      <c r="AL39" s="180"/>
      <c r="AM39" s="179"/>
      <c r="AN39" s="107"/>
      <c r="AO39" s="107"/>
      <c r="AP39" s="107"/>
      <c r="AQ39" s="107"/>
      <c r="AR39" s="180"/>
      <c r="AS39" s="810"/>
      <c r="AT39" s="421"/>
      <c r="AU39" s="421"/>
      <c r="AV39" s="421"/>
      <c r="AW39" s="421"/>
      <c r="AX39" s="421"/>
      <c r="AY39" s="421"/>
      <c r="AZ39" s="421"/>
      <c r="BA39" s="421"/>
      <c r="BB39" s="421"/>
      <c r="BC39" s="421"/>
      <c r="BD39" s="811"/>
    </row>
    <row r="40" spans="1:56" s="420" customFormat="1" x14ac:dyDescent="0.25">
      <c r="A40" s="2548"/>
      <c r="B40" s="2549"/>
      <c r="C40" s="2021"/>
      <c r="D40" s="2021"/>
      <c r="E40" s="2021"/>
      <c r="F40" s="2189"/>
      <c r="G40" s="2557"/>
      <c r="H40" s="2551"/>
      <c r="I40" s="2189"/>
      <c r="J40" s="2021"/>
      <c r="K40" s="2033"/>
      <c r="L40" s="2290"/>
      <c r="M40" s="2021"/>
      <c r="N40" s="2033"/>
      <c r="O40" s="2033"/>
      <c r="P40" s="2021"/>
      <c r="Q40" s="2021"/>
      <c r="R40" s="2021"/>
      <c r="S40" s="2021"/>
      <c r="T40" s="2043"/>
      <c r="U40" s="435" t="s">
        <v>1227</v>
      </c>
      <c r="V40" s="432">
        <v>41680</v>
      </c>
      <c r="W40" s="431">
        <v>11248</v>
      </c>
      <c r="X40" s="518" t="s">
        <v>5817</v>
      </c>
      <c r="Y40" s="432">
        <v>41696</v>
      </c>
      <c r="Z40" s="432">
        <v>41755</v>
      </c>
      <c r="AA40" s="429"/>
      <c r="AB40" s="429"/>
      <c r="AC40" s="430"/>
      <c r="AD40" s="437"/>
      <c r="AE40" s="63"/>
      <c r="AF40" s="184"/>
      <c r="AG40" s="184"/>
      <c r="AH40" s="33"/>
      <c r="AI40" s="267"/>
      <c r="AJ40" s="107"/>
      <c r="AK40" s="107"/>
      <c r="AL40" s="180"/>
      <c r="AM40" s="179"/>
      <c r="AN40" s="107"/>
      <c r="AO40" s="107"/>
      <c r="AP40" s="107"/>
      <c r="AQ40" s="107"/>
      <c r="AR40" s="180"/>
      <c r="AS40" s="810"/>
      <c r="AT40" s="421"/>
      <c r="AU40" s="421"/>
      <c r="AV40" s="421"/>
      <c r="AW40" s="421"/>
      <c r="AX40" s="421"/>
      <c r="AY40" s="421"/>
      <c r="AZ40" s="421"/>
      <c r="BA40" s="421"/>
      <c r="BB40" s="421"/>
      <c r="BC40" s="421"/>
      <c r="BD40" s="811"/>
    </row>
    <row r="41" spans="1:56" s="420" customFormat="1" x14ac:dyDescent="0.25">
      <c r="A41" s="2548"/>
      <c r="B41" s="2549"/>
      <c r="C41" s="2021"/>
      <c r="D41" s="2021"/>
      <c r="E41" s="2021"/>
      <c r="F41" s="2189"/>
      <c r="G41" s="2557"/>
      <c r="H41" s="2551"/>
      <c r="I41" s="2189"/>
      <c r="J41" s="2021"/>
      <c r="K41" s="2033"/>
      <c r="L41" s="2290"/>
      <c r="M41" s="2021"/>
      <c r="N41" s="2033"/>
      <c r="O41" s="2033"/>
      <c r="P41" s="2021"/>
      <c r="Q41" s="2021"/>
      <c r="R41" s="2021"/>
      <c r="S41" s="2021"/>
      <c r="T41" s="2043"/>
      <c r="U41" s="435" t="s">
        <v>1228</v>
      </c>
      <c r="V41" s="432">
        <v>41751</v>
      </c>
      <c r="W41" s="431">
        <v>11290</v>
      </c>
      <c r="X41" s="518" t="s">
        <v>5817</v>
      </c>
      <c r="Y41" s="432">
        <v>52714</v>
      </c>
      <c r="Z41" s="432">
        <v>41816</v>
      </c>
      <c r="AA41" s="429"/>
      <c r="AB41" s="429"/>
      <c r="AC41" s="430"/>
      <c r="AD41" s="437"/>
      <c r="AE41" s="63"/>
      <c r="AF41" s="184"/>
      <c r="AG41" s="184"/>
      <c r="AH41" s="33"/>
      <c r="AI41" s="267"/>
      <c r="AJ41" s="107"/>
      <c r="AK41" s="107"/>
      <c r="AL41" s="180"/>
      <c r="AM41" s="179"/>
      <c r="AN41" s="107"/>
      <c r="AO41" s="107"/>
      <c r="AP41" s="107"/>
      <c r="AQ41" s="107"/>
      <c r="AR41" s="180"/>
      <c r="AS41" s="810"/>
      <c r="AT41" s="421"/>
      <c r="AU41" s="421"/>
      <c r="AV41" s="421"/>
      <c r="AW41" s="421"/>
      <c r="AX41" s="421"/>
      <c r="AY41" s="421"/>
      <c r="AZ41" s="421"/>
      <c r="BA41" s="421"/>
      <c r="BB41" s="421"/>
      <c r="BC41" s="421"/>
      <c r="BD41" s="811"/>
    </row>
    <row r="42" spans="1:56" s="420" customFormat="1" ht="15.75" thickBot="1" x14ac:dyDescent="0.3">
      <c r="A42" s="2548"/>
      <c r="B42" s="2549"/>
      <c r="C42" s="2021"/>
      <c r="D42" s="2021"/>
      <c r="E42" s="2021"/>
      <c r="F42" s="2189"/>
      <c r="G42" s="2557"/>
      <c r="H42" s="2551"/>
      <c r="I42" s="2189"/>
      <c r="J42" s="2021"/>
      <c r="K42" s="2033"/>
      <c r="L42" s="2290"/>
      <c r="M42" s="2021"/>
      <c r="N42" s="2033"/>
      <c r="O42" s="2033"/>
      <c r="P42" s="2021"/>
      <c r="Q42" s="2021"/>
      <c r="R42" s="2021"/>
      <c r="S42" s="2021"/>
      <c r="T42" s="2043"/>
      <c r="U42" s="435" t="s">
        <v>1246</v>
      </c>
      <c r="V42" s="432">
        <v>41807</v>
      </c>
      <c r="W42" s="431">
        <v>11331</v>
      </c>
      <c r="X42" s="518" t="s">
        <v>5817</v>
      </c>
      <c r="Y42" s="432">
        <v>41817</v>
      </c>
      <c r="Z42" s="432">
        <v>41877</v>
      </c>
      <c r="AA42" s="429"/>
      <c r="AB42" s="429"/>
      <c r="AC42" s="430"/>
      <c r="AD42" s="437"/>
      <c r="AE42" s="63"/>
      <c r="AF42" s="184">
        <v>192093.58</v>
      </c>
      <c r="AG42" s="430">
        <f>33247.41+24657.72</f>
        <v>57905.130000000005</v>
      </c>
      <c r="AH42" s="33">
        <f>AF42+AG42</f>
        <v>249998.71</v>
      </c>
      <c r="AI42" s="267"/>
      <c r="AJ42" s="107"/>
      <c r="AK42" s="107"/>
      <c r="AL42" s="180"/>
      <c r="AM42" s="179"/>
      <c r="AN42" s="107"/>
      <c r="AO42" s="107"/>
      <c r="AP42" s="107"/>
      <c r="AQ42" s="107"/>
      <c r="AR42" s="180"/>
      <c r="AS42" s="810"/>
      <c r="AT42" s="421"/>
      <c r="AU42" s="421"/>
      <c r="AV42" s="421"/>
      <c r="AW42" s="421"/>
      <c r="AX42" s="421"/>
      <c r="AY42" s="421"/>
      <c r="AZ42" s="421"/>
      <c r="BA42" s="421"/>
      <c r="BB42" s="421"/>
      <c r="BC42" s="421"/>
      <c r="BD42" s="811"/>
    </row>
    <row r="43" spans="1:56" s="420" customFormat="1" x14ac:dyDescent="0.25">
      <c r="A43" s="2538">
        <v>3</v>
      </c>
      <c r="B43" s="2540" t="s">
        <v>686</v>
      </c>
      <c r="C43" s="2198" t="s">
        <v>4747</v>
      </c>
      <c r="D43" s="2198" t="s">
        <v>5981</v>
      </c>
      <c r="E43" s="2198" t="s">
        <v>5982</v>
      </c>
      <c r="F43" s="2202" t="s">
        <v>5997</v>
      </c>
      <c r="G43" s="2543">
        <v>11192</v>
      </c>
      <c r="H43" s="2595" t="s">
        <v>683</v>
      </c>
      <c r="I43" s="2585" t="s">
        <v>5998</v>
      </c>
      <c r="J43" s="2198" t="s">
        <v>5999</v>
      </c>
      <c r="K43" s="2203">
        <v>41689</v>
      </c>
      <c r="L43" s="2204">
        <v>569335</v>
      </c>
      <c r="M43" s="2536">
        <v>11251</v>
      </c>
      <c r="N43" s="2203">
        <v>41689</v>
      </c>
      <c r="O43" s="2203">
        <v>41930</v>
      </c>
      <c r="P43" s="2198">
        <v>6</v>
      </c>
      <c r="Q43" s="2198" t="s">
        <v>6000</v>
      </c>
      <c r="R43" s="2198"/>
      <c r="S43" s="2198"/>
      <c r="T43" s="2531" t="s">
        <v>5976</v>
      </c>
      <c r="U43" s="783"/>
      <c r="V43" s="495"/>
      <c r="W43" s="784"/>
      <c r="X43" s="785"/>
      <c r="Y43" s="495"/>
      <c r="Z43" s="495"/>
      <c r="AA43" s="494"/>
      <c r="AB43" s="494"/>
      <c r="AC43" s="496"/>
      <c r="AD43" s="786"/>
      <c r="AE43" s="787"/>
      <c r="AF43" s="788"/>
      <c r="AG43" s="496"/>
      <c r="AH43" s="789"/>
      <c r="AI43" s="790"/>
      <c r="AJ43" s="791"/>
      <c r="AK43" s="791"/>
      <c r="AL43" s="793"/>
      <c r="AM43" s="794"/>
      <c r="AN43" s="791"/>
      <c r="AO43" s="791"/>
      <c r="AP43" s="791"/>
      <c r="AQ43" s="791"/>
      <c r="AR43" s="793"/>
      <c r="AS43" s="795"/>
      <c r="AT43" s="796"/>
      <c r="AU43" s="796"/>
      <c r="AV43" s="796"/>
      <c r="AW43" s="796"/>
      <c r="AX43" s="796"/>
      <c r="AY43" s="796"/>
      <c r="AZ43" s="796"/>
      <c r="BA43" s="796"/>
      <c r="BB43" s="796"/>
      <c r="BC43" s="796"/>
      <c r="BD43" s="797"/>
    </row>
    <row r="44" spans="1:56" s="420" customFormat="1" ht="38.25" customHeight="1" thickBot="1" x14ac:dyDescent="0.3">
      <c r="A44" s="2539"/>
      <c r="B44" s="2541"/>
      <c r="C44" s="2530"/>
      <c r="D44" s="2530"/>
      <c r="E44" s="2530"/>
      <c r="F44" s="2542"/>
      <c r="G44" s="2544"/>
      <c r="H44" s="2596"/>
      <c r="I44" s="2586"/>
      <c r="J44" s="2530"/>
      <c r="K44" s="2529"/>
      <c r="L44" s="2535"/>
      <c r="M44" s="2537"/>
      <c r="N44" s="2529"/>
      <c r="O44" s="2529"/>
      <c r="P44" s="2530"/>
      <c r="Q44" s="2530"/>
      <c r="R44" s="2530"/>
      <c r="S44" s="2530"/>
      <c r="T44" s="2532"/>
      <c r="U44" s="120" t="s">
        <v>1224</v>
      </c>
      <c r="V44" s="126">
        <v>41920</v>
      </c>
      <c r="W44" s="128">
        <v>11390</v>
      </c>
      <c r="X44" s="798" t="s">
        <v>5817</v>
      </c>
      <c r="Y44" s="126">
        <v>41931</v>
      </c>
      <c r="Z44" s="126">
        <v>42020</v>
      </c>
      <c r="AA44" s="126"/>
      <c r="AB44" s="121"/>
      <c r="AC44" s="127"/>
      <c r="AD44" s="129"/>
      <c r="AE44" s="130"/>
      <c r="AF44" s="753"/>
      <c r="AG44" s="127">
        <f>16475+127850</f>
        <v>144325</v>
      </c>
      <c r="AH44" s="131">
        <f>AF44+AG44</f>
        <v>144325</v>
      </c>
      <c r="AI44" s="799"/>
      <c r="AJ44" s="754"/>
      <c r="AK44" s="754"/>
      <c r="AL44" s="755"/>
      <c r="AM44" s="756"/>
      <c r="AN44" s="754"/>
      <c r="AO44" s="754"/>
      <c r="AP44" s="754"/>
      <c r="AQ44" s="754"/>
      <c r="AR44" s="755"/>
      <c r="AS44" s="757"/>
      <c r="AT44" s="758"/>
      <c r="AU44" s="758"/>
      <c r="AV44" s="758"/>
      <c r="AW44" s="758"/>
      <c r="AX44" s="758"/>
      <c r="AY44" s="758"/>
      <c r="AZ44" s="758"/>
      <c r="BA44" s="758"/>
      <c r="BB44" s="758"/>
      <c r="BC44" s="758"/>
      <c r="BD44" s="759"/>
    </row>
    <row r="45" spans="1:56" s="420" customFormat="1" x14ac:dyDescent="0.25">
      <c r="A45" s="2587">
        <v>4</v>
      </c>
      <c r="B45" s="2589" t="s">
        <v>704</v>
      </c>
      <c r="C45" s="2202" t="s">
        <v>4747</v>
      </c>
      <c r="D45" s="2202" t="s">
        <v>5981</v>
      </c>
      <c r="E45" s="2202" t="s">
        <v>5982</v>
      </c>
      <c r="F45" s="2592" t="s">
        <v>6001</v>
      </c>
      <c r="G45" s="2543">
        <v>11192</v>
      </c>
      <c r="H45" s="2583" t="s">
        <v>686</v>
      </c>
      <c r="I45" s="2585" t="s">
        <v>5998</v>
      </c>
      <c r="J45" s="2198" t="s">
        <v>5999</v>
      </c>
      <c r="K45" s="2203">
        <v>41689</v>
      </c>
      <c r="L45" s="2204">
        <v>387134.5</v>
      </c>
      <c r="M45" s="2536">
        <v>11068</v>
      </c>
      <c r="N45" s="2203">
        <v>41689</v>
      </c>
      <c r="O45" s="2203">
        <v>41930</v>
      </c>
      <c r="P45" s="2198">
        <v>8</v>
      </c>
      <c r="Q45" s="2198" t="s">
        <v>6002</v>
      </c>
      <c r="R45" s="2198"/>
      <c r="S45" s="2198"/>
      <c r="T45" s="2432" t="s">
        <v>5976</v>
      </c>
      <c r="U45" s="783"/>
      <c r="V45" s="495"/>
      <c r="W45" s="784"/>
      <c r="X45" s="785"/>
      <c r="Y45" s="495"/>
      <c r="Z45" s="495"/>
      <c r="AA45" s="494"/>
      <c r="AB45" s="494"/>
      <c r="AC45" s="496"/>
      <c r="AD45" s="786"/>
      <c r="AE45" s="787"/>
      <c r="AF45" s="788"/>
      <c r="AG45" s="496"/>
      <c r="AH45" s="789"/>
      <c r="AI45" s="790"/>
      <c r="AJ45" s="791"/>
      <c r="AK45" s="791"/>
      <c r="AL45" s="793"/>
      <c r="AM45" s="794"/>
      <c r="AN45" s="791"/>
      <c r="AO45" s="791"/>
      <c r="AP45" s="791"/>
      <c r="AQ45" s="791"/>
      <c r="AR45" s="793"/>
      <c r="AS45" s="795"/>
      <c r="AT45" s="796"/>
      <c r="AU45" s="796"/>
      <c r="AV45" s="796"/>
      <c r="AW45" s="796"/>
      <c r="AX45" s="796"/>
      <c r="AY45" s="796"/>
      <c r="AZ45" s="796"/>
      <c r="BA45" s="796"/>
      <c r="BB45" s="796"/>
      <c r="BC45" s="796"/>
      <c r="BD45" s="797"/>
    </row>
    <row r="46" spans="1:56" s="420" customFormat="1" ht="43.5" customHeight="1" thickBot="1" x14ac:dyDescent="0.3">
      <c r="A46" s="2588"/>
      <c r="B46" s="2590"/>
      <c r="C46" s="2591"/>
      <c r="D46" s="2591"/>
      <c r="E46" s="2591"/>
      <c r="F46" s="2593"/>
      <c r="G46" s="2582"/>
      <c r="H46" s="2584"/>
      <c r="I46" s="2586"/>
      <c r="J46" s="2530"/>
      <c r="K46" s="2529"/>
      <c r="L46" s="2535"/>
      <c r="M46" s="2537"/>
      <c r="N46" s="2529"/>
      <c r="O46" s="2529"/>
      <c r="P46" s="2530"/>
      <c r="Q46" s="2530"/>
      <c r="R46" s="2530"/>
      <c r="S46" s="2530"/>
      <c r="T46" s="2594"/>
      <c r="U46" s="120" t="s">
        <v>1224</v>
      </c>
      <c r="V46" s="126">
        <v>41920</v>
      </c>
      <c r="W46" s="128">
        <v>11390</v>
      </c>
      <c r="X46" s="798" t="s">
        <v>5817</v>
      </c>
      <c r="Y46" s="126">
        <v>41931</v>
      </c>
      <c r="Z46" s="126">
        <v>42020</v>
      </c>
      <c r="AA46" s="121"/>
      <c r="AB46" s="121"/>
      <c r="AC46" s="127"/>
      <c r="AD46" s="129"/>
      <c r="AE46" s="897"/>
      <c r="AF46" s="753"/>
      <c r="AG46" s="127">
        <f>27147.5+10000+70000</f>
        <v>107147.5</v>
      </c>
      <c r="AH46" s="131">
        <f>AF46+AG46</f>
        <v>107147.5</v>
      </c>
      <c r="AI46" s="898"/>
      <c r="AJ46" s="754"/>
      <c r="AK46" s="754"/>
      <c r="AL46" s="755"/>
      <c r="AM46" s="899"/>
      <c r="AN46" s="754"/>
      <c r="AO46" s="754"/>
      <c r="AP46" s="754"/>
      <c r="AQ46" s="754"/>
      <c r="AR46" s="755"/>
      <c r="AS46" s="900"/>
      <c r="AT46" s="758"/>
      <c r="AU46" s="758"/>
      <c r="AV46" s="758"/>
      <c r="AW46" s="758"/>
      <c r="AX46" s="758"/>
      <c r="AY46" s="758"/>
      <c r="AZ46" s="758"/>
      <c r="BA46" s="758"/>
      <c r="BB46" s="758"/>
      <c r="BC46" s="758"/>
      <c r="BD46" s="759"/>
    </row>
    <row r="47" spans="1:56" s="420" customFormat="1" ht="45.75" thickBot="1" x14ac:dyDescent="0.3">
      <c r="A47" s="901">
        <v>5</v>
      </c>
      <c r="B47" s="902" t="s">
        <v>807</v>
      </c>
      <c r="C47" s="903" t="s">
        <v>1608</v>
      </c>
      <c r="D47" s="904" t="s">
        <v>5991</v>
      </c>
      <c r="E47" s="904" t="s">
        <v>6003</v>
      </c>
      <c r="F47" s="905" t="s">
        <v>6004</v>
      </c>
      <c r="G47" s="906">
        <v>11017</v>
      </c>
      <c r="H47" s="907" t="s">
        <v>798</v>
      </c>
      <c r="I47" s="908" t="s">
        <v>5993</v>
      </c>
      <c r="J47" s="814" t="s">
        <v>5994</v>
      </c>
      <c r="K47" s="812">
        <v>41806</v>
      </c>
      <c r="L47" s="815">
        <v>35850</v>
      </c>
      <c r="M47" s="813">
        <v>11368</v>
      </c>
      <c r="N47" s="812">
        <v>41836</v>
      </c>
      <c r="O47" s="812">
        <v>42200</v>
      </c>
      <c r="P47" s="814">
        <v>1</v>
      </c>
      <c r="Q47" s="814"/>
      <c r="R47" s="814"/>
      <c r="S47" s="814"/>
      <c r="T47" s="909" t="s">
        <v>5976</v>
      </c>
      <c r="U47" s="910"/>
      <c r="V47" s="812"/>
      <c r="W47" s="813"/>
      <c r="X47" s="845"/>
      <c r="Y47" s="812"/>
      <c r="Z47" s="812"/>
      <c r="AA47" s="814"/>
      <c r="AB47" s="814"/>
      <c r="AC47" s="815"/>
      <c r="AD47" s="816"/>
      <c r="AE47" s="911"/>
      <c r="AF47" s="818"/>
      <c r="AG47" s="815">
        <v>0</v>
      </c>
      <c r="AH47" s="775">
        <v>0</v>
      </c>
      <c r="AI47" s="907" t="s">
        <v>6005</v>
      </c>
      <c r="AJ47" s="813">
        <v>11096</v>
      </c>
      <c r="AK47" s="792" t="s">
        <v>5996</v>
      </c>
      <c r="AL47" s="912">
        <v>11360</v>
      </c>
      <c r="AM47" s="846"/>
      <c r="AN47" s="821"/>
      <c r="AO47" s="821"/>
      <c r="AP47" s="821"/>
      <c r="AQ47" s="821"/>
      <c r="AR47" s="823"/>
      <c r="AS47" s="913"/>
      <c r="AT47" s="849"/>
      <c r="AU47" s="849"/>
      <c r="AV47" s="849"/>
      <c r="AW47" s="849"/>
      <c r="AX47" s="849"/>
      <c r="AY47" s="849"/>
      <c r="AZ47" s="849"/>
      <c r="BA47" s="849"/>
      <c r="BB47" s="849"/>
      <c r="BC47" s="849"/>
      <c r="BD47" s="850"/>
    </row>
    <row r="48" spans="1:56" s="420" customFormat="1" ht="15.75" thickBot="1" x14ac:dyDescent="0.3">
      <c r="A48" s="2580" t="s">
        <v>601</v>
      </c>
      <c r="B48" s="2581"/>
      <c r="C48" s="2581"/>
      <c r="D48" s="2581"/>
      <c r="E48" s="2581"/>
      <c r="F48" s="2581"/>
      <c r="G48" s="2581"/>
      <c r="H48" s="2581"/>
      <c r="I48" s="2581"/>
      <c r="J48" s="2581"/>
      <c r="K48" s="2581"/>
      <c r="L48" s="881">
        <f>SUM(L25:L47)</f>
        <v>1299999.95</v>
      </c>
      <c r="M48" s="355"/>
      <c r="N48" s="355"/>
      <c r="O48" s="355"/>
      <c r="P48" s="355"/>
      <c r="Q48" s="355"/>
      <c r="R48" s="355"/>
      <c r="S48" s="355"/>
      <c r="T48" s="914"/>
      <c r="U48" s="915"/>
      <c r="V48" s="355"/>
      <c r="W48" s="355"/>
      <c r="X48" s="355"/>
      <c r="Y48" s="355"/>
      <c r="Z48" s="355"/>
      <c r="AA48" s="355"/>
      <c r="AB48" s="355"/>
      <c r="AC48" s="881">
        <f t="shared" ref="AC48:AH48" si="0">SUM(AC25:AC47)</f>
        <v>49999.99</v>
      </c>
      <c r="AD48" s="361">
        <f t="shared" si="0"/>
        <v>0</v>
      </c>
      <c r="AE48" s="916">
        <f t="shared" si="0"/>
        <v>249999.03999999998</v>
      </c>
      <c r="AF48" s="881">
        <f t="shared" si="0"/>
        <v>212661.97999999998</v>
      </c>
      <c r="AG48" s="882">
        <f t="shared" si="0"/>
        <v>357081.93</v>
      </c>
      <c r="AH48" s="917">
        <f t="shared" si="0"/>
        <v>556298.54</v>
      </c>
      <c r="AI48" s="918"/>
      <c r="AJ48" s="360"/>
      <c r="AK48" s="360"/>
      <c r="AL48" s="361"/>
      <c r="AM48" s="362"/>
      <c r="AN48" s="360"/>
      <c r="AO48" s="360"/>
      <c r="AP48" s="360"/>
      <c r="AQ48" s="360"/>
      <c r="AR48" s="361"/>
      <c r="AS48" s="919"/>
      <c r="AT48" s="883"/>
      <c r="AU48" s="883"/>
      <c r="AV48" s="883"/>
      <c r="AW48" s="883"/>
      <c r="AX48" s="883"/>
      <c r="AY48" s="883"/>
      <c r="AZ48" s="883"/>
      <c r="BA48" s="883"/>
      <c r="BB48" s="883"/>
      <c r="BC48" s="883"/>
      <c r="BD48" s="884"/>
    </row>
    <row r="51" spans="1:35" s="420" customFormat="1" x14ac:dyDescent="0.25">
      <c r="A51" s="529" t="s">
        <v>7585</v>
      </c>
      <c r="B51" s="529"/>
      <c r="C51" s="529"/>
      <c r="D51" s="529"/>
      <c r="E51" s="529"/>
      <c r="F51" s="529"/>
      <c r="G51" s="529"/>
      <c r="J51" s="1130"/>
      <c r="AG51" s="225"/>
      <c r="AI51" s="1678"/>
    </row>
    <row r="52" spans="1:35" s="420" customFormat="1" x14ac:dyDescent="0.25">
      <c r="A52" s="529" t="s">
        <v>7581</v>
      </c>
      <c r="B52" s="529"/>
      <c r="C52" s="529"/>
      <c r="D52" s="529"/>
      <c r="E52" s="529"/>
      <c r="F52" s="529"/>
      <c r="G52" s="529"/>
      <c r="J52" s="1130"/>
      <c r="AG52" s="1679"/>
      <c r="AI52" s="1678"/>
    </row>
  </sheetData>
  <mergeCells count="108">
    <mergeCell ref="A9:BD9"/>
    <mergeCell ref="A11:BD11"/>
    <mergeCell ref="AI23:AI24"/>
    <mergeCell ref="AJ23:AJ24"/>
    <mergeCell ref="AK23:AK24"/>
    <mergeCell ref="AL23:AL24"/>
    <mergeCell ref="A22:A25"/>
    <mergeCell ref="B22:G23"/>
    <mergeCell ref="H22:AH22"/>
    <mergeCell ref="AI22:AL22"/>
    <mergeCell ref="AM22:AR22"/>
    <mergeCell ref="AS22:BD22"/>
    <mergeCell ref="H23:T23"/>
    <mergeCell ref="BB23:BD23"/>
    <mergeCell ref="AS23:AS24"/>
    <mergeCell ref="AT23:AT24"/>
    <mergeCell ref="AU23:AW23"/>
    <mergeCell ref="AX23:AY23"/>
    <mergeCell ref="AZ23:AZ24"/>
    <mergeCell ref="BA23:BA24"/>
    <mergeCell ref="AM23:AM24"/>
    <mergeCell ref="AN23:AN24"/>
    <mergeCell ref="AO23:AO24"/>
    <mergeCell ref="AP23:AP24"/>
    <mergeCell ref="A26:A37"/>
    <mergeCell ref="B26:B37"/>
    <mergeCell ref="C26:C37"/>
    <mergeCell ref="D26:D37"/>
    <mergeCell ref="E26:E37"/>
    <mergeCell ref="F26:F37"/>
    <mergeCell ref="G26:G37"/>
    <mergeCell ref="H26:H37"/>
    <mergeCell ref="I26:I37"/>
    <mergeCell ref="AQ23:AQ24"/>
    <mergeCell ref="AR23:AR24"/>
    <mergeCell ref="U23:AD23"/>
    <mergeCell ref="AE23:AH23"/>
    <mergeCell ref="Q26:Q37"/>
    <mergeCell ref="R26:R37"/>
    <mergeCell ref="S26:S37"/>
    <mergeCell ref="T26:T37"/>
    <mergeCell ref="A38:A42"/>
    <mergeCell ref="B38:B42"/>
    <mergeCell ref="C38:C42"/>
    <mergeCell ref="D38:D42"/>
    <mergeCell ref="E38:E42"/>
    <mergeCell ref="F38:F42"/>
    <mergeCell ref="J26:J37"/>
    <mergeCell ref="K26:K37"/>
    <mergeCell ref="L26:L37"/>
    <mergeCell ref="M26:M37"/>
    <mergeCell ref="N26:N37"/>
    <mergeCell ref="O26:O37"/>
    <mergeCell ref="S38:S42"/>
    <mergeCell ref="T38:T42"/>
    <mergeCell ref="N38:N42"/>
    <mergeCell ref="O38:O42"/>
    <mergeCell ref="A43:A44"/>
    <mergeCell ref="B43:B44"/>
    <mergeCell ref="C43:C44"/>
    <mergeCell ref="D43:D44"/>
    <mergeCell ref="E43:E44"/>
    <mergeCell ref="F43:F44"/>
    <mergeCell ref="G43:G44"/>
    <mergeCell ref="H43:H44"/>
    <mergeCell ref="M38:M42"/>
    <mergeCell ref="R38:R42"/>
    <mergeCell ref="G38:G42"/>
    <mergeCell ref="H38:H42"/>
    <mergeCell ref="I38:I42"/>
    <mergeCell ref="J38:J42"/>
    <mergeCell ref="K38:K42"/>
    <mergeCell ref="L38:L42"/>
    <mergeCell ref="O43:O44"/>
    <mergeCell ref="P43:P44"/>
    <mergeCell ref="Q43:Q44"/>
    <mergeCell ref="R43:R44"/>
    <mergeCell ref="P38:P42"/>
    <mergeCell ref="Q38:Q42"/>
    <mergeCell ref="S43:S44"/>
    <mergeCell ref="T43:T44"/>
    <mergeCell ref="I43:I44"/>
    <mergeCell ref="J43:J44"/>
    <mergeCell ref="K43:K44"/>
    <mergeCell ref="L43:L44"/>
    <mergeCell ref="M43:M44"/>
    <mergeCell ref="N43:N44"/>
    <mergeCell ref="S45:S46"/>
    <mergeCell ref="T45:T46"/>
    <mergeCell ref="A48:K48"/>
    <mergeCell ref="M45:M46"/>
    <mergeCell ref="N45:N46"/>
    <mergeCell ref="O45:O46"/>
    <mergeCell ref="P45:P46"/>
    <mergeCell ref="Q45:Q46"/>
    <mergeCell ref="R45:R46"/>
    <mergeCell ref="G45:G46"/>
    <mergeCell ref="H45:H46"/>
    <mergeCell ref="I45:I46"/>
    <mergeCell ref="J45:J46"/>
    <mergeCell ref="K45:K46"/>
    <mergeCell ref="L45:L46"/>
    <mergeCell ref="A45:A46"/>
    <mergeCell ref="B45:B46"/>
    <mergeCell ref="C45:C46"/>
    <mergeCell ref="D45:D46"/>
    <mergeCell ref="E45:E46"/>
    <mergeCell ref="F45:F46"/>
  </mergeCell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6"/>
  <sheetViews>
    <sheetView topLeftCell="K1" workbookViewId="0">
      <selection activeCell="U30" sqref="U30"/>
    </sheetView>
  </sheetViews>
  <sheetFormatPr defaultRowHeight="15" x14ac:dyDescent="0.25"/>
  <cols>
    <col min="2" max="2" width="16.140625" customWidth="1"/>
    <col min="3" max="3" width="10.85546875" customWidth="1"/>
    <col min="4" max="4" width="23.140625" customWidth="1"/>
    <col min="5" max="5" width="14.42578125" customWidth="1"/>
    <col min="6" max="6" width="31.28515625" customWidth="1"/>
    <col min="7" max="7" width="12" customWidth="1"/>
    <col min="8" max="8" width="11.28515625" bestFit="1" customWidth="1"/>
    <col min="9" max="9" width="19.140625" customWidth="1"/>
    <col min="10" max="10" width="16.140625" customWidth="1"/>
    <col min="11" max="11" width="12.42578125" customWidth="1"/>
    <col min="12" max="12" width="13" customWidth="1"/>
    <col min="13" max="13" width="16" customWidth="1"/>
    <col min="14" max="15" width="10.140625" bestFit="1" customWidth="1"/>
    <col min="17" max="17" width="18.5703125" customWidth="1"/>
    <col min="18" max="18" width="14.85546875" customWidth="1"/>
    <col min="19" max="19" width="16" customWidth="1"/>
    <col min="20" max="20" width="13.28515625" customWidth="1"/>
    <col min="21" max="21" width="14.28515625" customWidth="1"/>
    <col min="22" max="22" width="16.28515625" customWidth="1"/>
    <col min="23" max="23" width="14.85546875" customWidth="1"/>
    <col min="24" max="24" width="14.28515625" customWidth="1"/>
    <col min="25" max="25" width="10.85546875" customWidth="1"/>
    <col min="26" max="26" width="11.42578125" bestFit="1" customWidth="1"/>
    <col min="27" max="27" width="10.28515625" bestFit="1" customWidth="1"/>
    <col min="28" max="28" width="10" bestFit="1" customWidth="1"/>
    <col min="29" max="29" width="10.28515625" bestFit="1" customWidth="1"/>
    <col min="30" max="30" width="10" bestFit="1" customWidth="1"/>
    <col min="31" max="31" width="14.42578125" customWidth="1"/>
    <col min="32" max="32" width="13" customWidth="1"/>
    <col min="33" max="33" width="15.140625" customWidth="1"/>
    <col min="34" max="34" width="16.5703125" bestFit="1" customWidth="1"/>
    <col min="35" max="35" width="9.42578125" bestFit="1" customWidth="1"/>
    <col min="36" max="36" width="18.42578125" customWidth="1"/>
    <col min="37" max="37" width="23.7109375" bestFit="1" customWidth="1"/>
    <col min="38" max="39" width="16.85546875" customWidth="1"/>
    <col min="40" max="40" width="15.5703125" customWidth="1"/>
    <col min="41" max="41" width="14.5703125" customWidth="1"/>
    <col min="42" max="42" width="9" customWidth="1"/>
    <col min="43" max="43" width="14.85546875" customWidth="1"/>
    <col min="44" max="44" width="10.28515625" customWidth="1"/>
    <col min="46" max="46" width="12.28515625" customWidth="1"/>
    <col min="48" max="48" width="8.5703125" bestFit="1" customWidth="1"/>
    <col min="49" max="49" width="4.42578125" bestFit="1" customWidth="1"/>
    <col min="50" max="50" width="4.28515625" bestFit="1" customWidth="1"/>
    <col min="51" max="51" width="7.5703125" bestFit="1" customWidth="1"/>
    <col min="52" max="52" width="13" customWidth="1"/>
    <col min="53" max="53" width="12" customWidth="1"/>
    <col min="54" max="54" width="6" bestFit="1" customWidth="1"/>
    <col min="56" max="56" width="7" bestFit="1"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422" customFormat="1" x14ac:dyDescent="0.25">
      <c r="AI12" s="1692"/>
      <c r="AJ12" s="144"/>
      <c r="AK12" s="144"/>
      <c r="AL12" s="144"/>
      <c r="AM12" s="144"/>
      <c r="AN12" s="144"/>
      <c r="AO12" s="144"/>
      <c r="AP12" s="144"/>
      <c r="AQ12" s="144"/>
      <c r="AR12" s="144"/>
    </row>
    <row r="13" spans="1:56" s="1635" customFormat="1" ht="15.75" x14ac:dyDescent="0.25">
      <c r="A13" s="1502" t="s">
        <v>1</v>
      </c>
      <c r="B13" s="1502"/>
      <c r="C13" s="1502"/>
      <c r="D13" s="1502"/>
      <c r="E13" s="1502"/>
      <c r="F13" s="1502"/>
      <c r="G13" s="1502"/>
      <c r="H13" s="1502"/>
      <c r="I13" s="1502"/>
      <c r="J13" s="1502"/>
      <c r="K13" s="1502"/>
      <c r="L13" s="1502"/>
      <c r="M13" s="1502"/>
      <c r="N13" s="1502"/>
      <c r="O13" s="1502"/>
      <c r="P13" s="1502"/>
      <c r="Q13" s="1502"/>
      <c r="R13" s="1502"/>
      <c r="S13" s="1502"/>
      <c r="T13" s="1502"/>
      <c r="U13" s="1502"/>
      <c r="V13" s="1502"/>
      <c r="W13" s="1502"/>
      <c r="X13" s="1502"/>
      <c r="Y13" s="1502"/>
      <c r="Z13" s="1502"/>
      <c r="AA13" s="1502"/>
      <c r="AB13" s="1502"/>
      <c r="AC13" s="1502"/>
      <c r="AD13" s="1502"/>
      <c r="AE13" s="1502"/>
      <c r="AF13" s="1502"/>
      <c r="AG13" s="1502"/>
      <c r="AH13" s="1502"/>
      <c r="AI13" s="1502"/>
      <c r="AJ13" s="1502"/>
      <c r="AK13" s="1502"/>
      <c r="AL13" s="1502"/>
      <c r="AM13" s="1502"/>
      <c r="AN13" s="1502"/>
      <c r="AO13" s="1502"/>
      <c r="AP13" s="1502"/>
      <c r="AQ13" s="1502"/>
      <c r="AR13" s="1502"/>
      <c r="AS13" s="1502"/>
    </row>
    <row r="14" spans="1:56" s="1635" customFormat="1" ht="15.75" x14ac:dyDescent="0.25">
      <c r="A14" s="1502" t="s">
        <v>2</v>
      </c>
      <c r="B14" s="1502"/>
      <c r="C14" s="1502"/>
      <c r="D14" s="1502"/>
      <c r="E14" s="1502"/>
      <c r="F14" s="1502"/>
      <c r="G14" s="1502"/>
      <c r="H14" s="1502"/>
      <c r="I14" s="1502"/>
      <c r="J14" s="1502"/>
      <c r="K14" s="1627"/>
      <c r="L14" s="1627"/>
      <c r="M14" s="1627"/>
      <c r="N14" s="1627"/>
      <c r="O14" s="1627"/>
      <c r="P14" s="1627"/>
      <c r="Q14" s="1627"/>
      <c r="R14" s="1627"/>
      <c r="S14" s="1627"/>
      <c r="T14" s="1627"/>
      <c r="U14" s="1627"/>
      <c r="V14" s="1627"/>
      <c r="W14" s="1627"/>
      <c r="X14" s="1627"/>
      <c r="Y14" s="1627"/>
      <c r="Z14" s="1627"/>
      <c r="AA14" s="1627"/>
      <c r="AB14" s="1627"/>
      <c r="AC14" s="1627"/>
      <c r="AD14" s="1627"/>
      <c r="AE14" s="1627"/>
      <c r="AF14" s="1627"/>
      <c r="AG14" s="1627"/>
      <c r="AH14" s="1627"/>
      <c r="AI14" s="1627"/>
      <c r="AJ14" s="1627"/>
      <c r="AK14" s="1627"/>
      <c r="AL14" s="1627"/>
      <c r="AM14" s="1627"/>
      <c r="AN14" s="1627"/>
      <c r="AO14" s="1627"/>
      <c r="AP14" s="1627"/>
      <c r="AQ14" s="1627"/>
      <c r="AR14" s="1627"/>
      <c r="AS14" s="1627"/>
    </row>
    <row r="15" spans="1:56" s="1635" customFormat="1" ht="15.75" x14ac:dyDescent="0.25">
      <c r="A15" s="1502" t="s">
        <v>3</v>
      </c>
      <c r="B15" s="1502"/>
      <c r="C15" s="1502"/>
      <c r="D15" s="1502"/>
      <c r="E15" s="1502"/>
      <c r="F15" s="1501"/>
      <c r="G15" s="1501"/>
      <c r="H15" s="1501"/>
      <c r="I15" s="1501"/>
      <c r="J15" s="1501"/>
      <c r="K15" s="1501"/>
      <c r="L15" s="1501"/>
      <c r="M15" s="1501"/>
      <c r="N15" s="1501"/>
      <c r="O15" s="1501"/>
      <c r="P15" s="1501"/>
      <c r="Q15" s="1501"/>
      <c r="R15" s="1501"/>
      <c r="S15" s="1501"/>
      <c r="T15" s="1501"/>
      <c r="U15" s="1501"/>
      <c r="V15" s="1501"/>
      <c r="W15" s="1501"/>
      <c r="X15" s="1501"/>
      <c r="Y15" s="1501"/>
      <c r="Z15" s="1501"/>
      <c r="AA15" s="1501"/>
      <c r="AB15" s="1501"/>
      <c r="AC15" s="1501"/>
      <c r="AD15" s="1501"/>
      <c r="AE15" s="1501"/>
      <c r="AF15" s="1501"/>
      <c r="AG15" s="1501"/>
      <c r="AH15" s="1501"/>
      <c r="AI15" s="1501"/>
      <c r="AJ15" s="1501"/>
      <c r="AK15" s="1501"/>
      <c r="AL15" s="1501"/>
      <c r="AM15" s="1501"/>
      <c r="AN15" s="1501"/>
      <c r="AO15" s="1501"/>
      <c r="AP15" s="1501"/>
      <c r="AQ15" s="1501"/>
      <c r="AR15" s="1501"/>
      <c r="AS15" s="1501"/>
    </row>
    <row r="16" spans="1:56" s="1635" customFormat="1" ht="15.75" x14ac:dyDescent="0.25">
      <c r="B16" s="1226"/>
      <c r="C16" s="1226"/>
      <c r="D16" s="1226"/>
      <c r="E16" s="1226"/>
      <c r="F16" s="1226"/>
      <c r="G16" s="1226"/>
      <c r="H16" s="1226"/>
      <c r="I16" s="1226"/>
      <c r="J16" s="1226"/>
      <c r="K16" s="1226"/>
      <c r="L16" s="1226"/>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c r="AH16" s="1226"/>
      <c r="AI16" s="1226"/>
      <c r="AJ16" s="1226"/>
      <c r="AK16" s="1226"/>
      <c r="AL16" s="1226"/>
      <c r="AM16" s="1226"/>
      <c r="AN16" s="1226"/>
      <c r="AO16" s="1226"/>
      <c r="AP16" s="1226"/>
      <c r="AQ16" s="1226"/>
      <c r="AR16" s="1226"/>
    </row>
    <row r="17" spans="1:56" s="1635" customFormat="1" ht="15.75" x14ac:dyDescent="0.25">
      <c r="A17" s="1635" t="s">
        <v>7590</v>
      </c>
      <c r="B17" s="1226"/>
      <c r="C17" s="1226"/>
      <c r="D17" s="1226"/>
      <c r="E17" s="1226"/>
      <c r="F17" s="1226"/>
      <c r="G17" s="1226"/>
      <c r="H17" s="1226"/>
      <c r="I17" s="1226"/>
      <c r="J17" s="1226"/>
      <c r="K17" s="1226"/>
      <c r="L17" s="1226"/>
      <c r="M17" s="1226"/>
      <c r="N17" s="1226"/>
      <c r="O17" s="1226"/>
      <c r="P17" s="1226"/>
      <c r="Q17" s="1226"/>
      <c r="R17" s="1226"/>
      <c r="S17" s="1226"/>
      <c r="T17" s="1226"/>
      <c r="U17" s="1226"/>
      <c r="V17" s="1226"/>
      <c r="W17" s="1226"/>
      <c r="X17" s="1226"/>
      <c r="Y17" s="1226"/>
      <c r="Z17" s="1226"/>
      <c r="AA17" s="1226"/>
      <c r="AB17" s="1226"/>
      <c r="AC17" s="1226"/>
      <c r="AD17" s="1226"/>
      <c r="AE17" s="1226"/>
      <c r="AF17" s="1226"/>
      <c r="AG17" s="1226"/>
      <c r="AH17" s="1226"/>
      <c r="AI17" s="1226"/>
      <c r="AJ17" s="1226"/>
      <c r="AK17" s="1226"/>
      <c r="AL17" s="1226"/>
      <c r="AM17" s="1226"/>
      <c r="AN17" s="1226"/>
      <c r="AO17" s="1226"/>
      <c r="AP17" s="1226"/>
      <c r="AQ17" s="1226"/>
      <c r="AR17" s="1226"/>
    </row>
    <row r="18" spans="1:56" s="1635" customFormat="1" ht="15.75" x14ac:dyDescent="0.25">
      <c r="A18" s="1502" t="s">
        <v>7591</v>
      </c>
      <c r="B18" s="1502"/>
      <c r="C18" s="1502"/>
      <c r="D18" s="1502"/>
      <c r="E18" s="1502"/>
      <c r="F18" s="1502"/>
      <c r="G18" s="1502"/>
      <c r="H18" s="1502"/>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2"/>
      <c r="AL18" s="1502"/>
      <c r="AM18" s="1502"/>
      <c r="AN18" s="1502"/>
      <c r="AO18" s="1502"/>
      <c r="AP18" s="1502"/>
      <c r="AQ18" s="1502"/>
      <c r="AR18" s="1502"/>
      <c r="AS18" s="1502"/>
    </row>
    <row r="19" spans="1:56" s="1635" customFormat="1" ht="15.75" x14ac:dyDescent="0.25">
      <c r="A19" s="1502" t="s">
        <v>7592</v>
      </c>
      <c r="B19" s="1502"/>
      <c r="C19" s="1502"/>
      <c r="D19" s="1502"/>
      <c r="E19" s="1502"/>
      <c r="F19" s="1502"/>
      <c r="G19" s="1502"/>
      <c r="H19" s="1502"/>
      <c r="I19" s="1502"/>
      <c r="J19" s="1502"/>
      <c r="K19" s="1502"/>
      <c r="L19" s="1502"/>
      <c r="M19" s="1502"/>
      <c r="N19" s="1502"/>
      <c r="O19" s="1502"/>
      <c r="P19" s="1502"/>
      <c r="Q19" s="1502"/>
      <c r="R19" s="1502"/>
      <c r="S19" s="1502"/>
      <c r="T19" s="1502"/>
      <c r="U19" s="1502"/>
      <c r="V19" s="1502"/>
      <c r="W19" s="1502"/>
      <c r="X19" s="1502"/>
      <c r="Y19" s="1502"/>
      <c r="Z19" s="1502"/>
      <c r="AA19" s="1502"/>
      <c r="AB19" s="1502"/>
      <c r="AC19" s="1502"/>
      <c r="AD19" s="1502"/>
      <c r="AE19" s="1502"/>
      <c r="AF19" s="1502"/>
      <c r="AG19" s="1502"/>
      <c r="AH19" s="1502"/>
      <c r="AI19" s="1502"/>
      <c r="AJ19" s="1502"/>
      <c r="AK19" s="1502"/>
      <c r="AL19" s="1502"/>
      <c r="AM19" s="1502"/>
      <c r="AN19" s="1502"/>
      <c r="AO19" s="1502"/>
      <c r="AP19" s="1502"/>
      <c r="AQ19" s="1502"/>
      <c r="AR19" s="1502"/>
      <c r="AS19" s="1502"/>
    </row>
    <row r="20" spans="1:56" s="511" customFormat="1" ht="15.75" customHeight="1" thickBot="1" x14ac:dyDescent="0.3">
      <c r="A20" s="1737"/>
      <c r="B20" s="1737"/>
      <c r="C20" s="1737"/>
      <c r="D20" s="1737"/>
      <c r="E20" s="1737"/>
      <c r="F20" s="1737"/>
      <c r="G20" s="1737"/>
      <c r="H20" s="1737"/>
      <c r="I20" s="1737"/>
      <c r="J20" s="1737"/>
      <c r="K20" s="1737"/>
      <c r="L20" s="1737"/>
      <c r="M20" s="1737"/>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c r="AL20" s="1737"/>
      <c r="AM20" s="1737"/>
      <c r="AN20" s="1737"/>
      <c r="AO20" s="1737"/>
      <c r="AP20" s="1737"/>
      <c r="AQ20" s="1737"/>
      <c r="AR20" s="1737"/>
      <c r="AS20" s="1737"/>
      <c r="AT20" s="1737"/>
      <c r="AU20" s="1737"/>
      <c r="AV20" s="1737"/>
      <c r="AW20" s="1737"/>
      <c r="AX20" s="1737"/>
      <c r="AY20" s="1737"/>
      <c r="AZ20" s="1737"/>
      <c r="BA20" s="1737"/>
      <c r="BB20" s="1737"/>
      <c r="BC20" s="1737"/>
      <c r="BD20" s="1737"/>
    </row>
    <row r="21" spans="1:56" ht="15.75" customHeight="1" x14ac:dyDescent="0.25">
      <c r="A21" s="2122" t="s">
        <v>5</v>
      </c>
      <c r="B21" s="2087" t="s">
        <v>6</v>
      </c>
      <c r="C21" s="2087"/>
      <c r="D21" s="2087"/>
      <c r="E21" s="2087"/>
      <c r="F21" s="2087"/>
      <c r="G21" s="2088"/>
      <c r="H21" s="2125" t="s">
        <v>7</v>
      </c>
      <c r="I21" s="2126"/>
      <c r="J21" s="2126"/>
      <c r="K21" s="2126"/>
      <c r="L21" s="2126"/>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056" t="s">
        <v>8</v>
      </c>
      <c r="AJ21" s="2049"/>
      <c r="AK21" s="2049"/>
      <c r="AL21" s="2051"/>
      <c r="AM21" s="2125" t="s">
        <v>9</v>
      </c>
      <c r="AN21" s="2126"/>
      <c r="AO21" s="2126"/>
      <c r="AP21" s="2126"/>
      <c r="AQ21" s="2126"/>
      <c r="AR21" s="2127"/>
      <c r="AS21" s="2128" t="s">
        <v>10</v>
      </c>
      <c r="AT21" s="2129"/>
      <c r="AU21" s="2129"/>
      <c r="AV21" s="2129"/>
      <c r="AW21" s="2129"/>
      <c r="AX21" s="2129"/>
      <c r="AY21" s="2129"/>
      <c r="AZ21" s="2129"/>
      <c r="BA21" s="2129"/>
      <c r="BB21" s="2129"/>
      <c r="BC21" s="2129"/>
      <c r="BD21" s="2130"/>
    </row>
    <row r="22" spans="1:56" ht="15.75" customHeight="1" x14ac:dyDescent="0.25">
      <c r="A22" s="2123"/>
      <c r="B22" s="2090"/>
      <c r="C22" s="2090"/>
      <c r="D22" s="2090"/>
      <c r="E22" s="2090"/>
      <c r="F22" s="2090"/>
      <c r="G22" s="2091"/>
      <c r="H22" s="2101" t="s">
        <v>11</v>
      </c>
      <c r="I22" s="2102"/>
      <c r="J22" s="2102"/>
      <c r="K22" s="2102"/>
      <c r="L22" s="2102"/>
      <c r="M22" s="2102"/>
      <c r="N22" s="2102"/>
      <c r="O22" s="2102"/>
      <c r="P22" s="2102"/>
      <c r="Q22" s="2102"/>
      <c r="R22" s="2102"/>
      <c r="S22" s="2102"/>
      <c r="T22" s="2069"/>
      <c r="U22" s="2103" t="s">
        <v>12</v>
      </c>
      <c r="V22" s="2102"/>
      <c r="W22" s="2102"/>
      <c r="X22" s="2102"/>
      <c r="Y22" s="2102"/>
      <c r="Z22" s="2102"/>
      <c r="AA22" s="2102"/>
      <c r="AB22" s="2102"/>
      <c r="AC22" s="2102"/>
      <c r="AD22" s="2069"/>
      <c r="AE22" s="2103" t="s">
        <v>13</v>
      </c>
      <c r="AF22" s="2102"/>
      <c r="AG22" s="2102"/>
      <c r="AH22" s="2102"/>
      <c r="AI22" s="2057" t="s">
        <v>14</v>
      </c>
      <c r="AJ22" s="2050" t="s">
        <v>15</v>
      </c>
      <c r="AK22" s="2050" t="s">
        <v>16</v>
      </c>
      <c r="AL22" s="2052" t="s">
        <v>581</v>
      </c>
      <c r="AM22" s="2112" t="s">
        <v>18</v>
      </c>
      <c r="AN22" s="2114" t="s">
        <v>19</v>
      </c>
      <c r="AO22" s="2114" t="s">
        <v>20</v>
      </c>
      <c r="AP22" s="2114" t="s">
        <v>21</v>
      </c>
      <c r="AQ22" s="2114" t="s">
        <v>22</v>
      </c>
      <c r="AR22" s="2116" t="s">
        <v>21</v>
      </c>
      <c r="AS22" s="2069" t="s">
        <v>23</v>
      </c>
      <c r="AT22" s="2110" t="s">
        <v>24</v>
      </c>
      <c r="AU22" s="2111" t="s">
        <v>25</v>
      </c>
      <c r="AV22" s="2111"/>
      <c r="AW22" s="2111"/>
      <c r="AX22" s="2111" t="s">
        <v>26</v>
      </c>
      <c r="AY22" s="2111"/>
      <c r="AZ22" s="2110" t="s">
        <v>27</v>
      </c>
      <c r="BA22" s="2050" t="s">
        <v>28</v>
      </c>
      <c r="BB22" s="2111" t="s">
        <v>29</v>
      </c>
      <c r="BC22" s="2111"/>
      <c r="BD22" s="2131"/>
    </row>
    <row r="23" spans="1:56" ht="38.25" x14ac:dyDescent="0.25">
      <c r="A23" s="2123"/>
      <c r="B23" s="1025" t="s">
        <v>30</v>
      </c>
      <c r="C23" s="1026" t="s">
        <v>31</v>
      </c>
      <c r="D23" s="1026" t="s">
        <v>32</v>
      </c>
      <c r="E23" s="1026" t="s">
        <v>23</v>
      </c>
      <c r="F23" s="1026" t="s">
        <v>33</v>
      </c>
      <c r="G23" s="1027" t="s">
        <v>34</v>
      </c>
      <c r="H23" s="1180" t="s">
        <v>35</v>
      </c>
      <c r="I23" s="1026" t="s">
        <v>36</v>
      </c>
      <c r="J23" s="1026" t="s">
        <v>37</v>
      </c>
      <c r="K23" s="1026" t="s">
        <v>38</v>
      </c>
      <c r="L23" s="1026" t="s">
        <v>39</v>
      </c>
      <c r="M23" s="1026" t="s">
        <v>40</v>
      </c>
      <c r="N23" s="1026" t="s">
        <v>41</v>
      </c>
      <c r="O23" s="1026" t="s">
        <v>42</v>
      </c>
      <c r="P23" s="1026" t="s">
        <v>43</v>
      </c>
      <c r="Q23" s="1026" t="s">
        <v>44</v>
      </c>
      <c r="R23" s="1026" t="s">
        <v>45</v>
      </c>
      <c r="S23" s="1026" t="s">
        <v>46</v>
      </c>
      <c r="T23" s="1026" t="s">
        <v>47</v>
      </c>
      <c r="U23" s="1026" t="s">
        <v>48</v>
      </c>
      <c r="V23" s="1026" t="s">
        <v>38</v>
      </c>
      <c r="W23" s="1026" t="s">
        <v>40</v>
      </c>
      <c r="X23" s="1026" t="s">
        <v>49</v>
      </c>
      <c r="Y23" s="1026" t="s">
        <v>41</v>
      </c>
      <c r="Z23" s="1026" t="s">
        <v>42</v>
      </c>
      <c r="AA23" s="1026" t="s">
        <v>50</v>
      </c>
      <c r="AB23" s="1026" t="s">
        <v>51</v>
      </c>
      <c r="AC23" s="1026" t="s">
        <v>52</v>
      </c>
      <c r="AD23" s="1026" t="s">
        <v>53</v>
      </c>
      <c r="AE23" s="1026" t="s">
        <v>54</v>
      </c>
      <c r="AF23" s="1026" t="s">
        <v>55</v>
      </c>
      <c r="AG23" s="1026" t="s">
        <v>56</v>
      </c>
      <c r="AH23" s="1077" t="s">
        <v>57</v>
      </c>
      <c r="AI23" s="2057"/>
      <c r="AJ23" s="2050"/>
      <c r="AK23" s="2050"/>
      <c r="AL23" s="2052"/>
      <c r="AM23" s="2113"/>
      <c r="AN23" s="2115"/>
      <c r="AO23" s="2115"/>
      <c r="AP23" s="2115"/>
      <c r="AQ23" s="2115"/>
      <c r="AR23" s="2117"/>
      <c r="AS23" s="2069"/>
      <c r="AT23" s="2110"/>
      <c r="AU23" s="1086" t="s">
        <v>58</v>
      </c>
      <c r="AV23" s="1086" t="s">
        <v>59</v>
      </c>
      <c r="AW23" s="1086" t="s">
        <v>60</v>
      </c>
      <c r="AX23" s="1086" t="s">
        <v>61</v>
      </c>
      <c r="AY23" s="1085" t="s">
        <v>62</v>
      </c>
      <c r="AZ23" s="2110"/>
      <c r="BA23" s="2050"/>
      <c r="BB23" s="1086" t="s">
        <v>58</v>
      </c>
      <c r="BC23" s="1086" t="s">
        <v>63</v>
      </c>
      <c r="BD23" s="1087" t="s">
        <v>64</v>
      </c>
    </row>
    <row r="24" spans="1:56" ht="26.25" thickBot="1" x14ac:dyDescent="0.3">
      <c r="A24" s="2124"/>
      <c r="B24" s="16" t="s">
        <v>65</v>
      </c>
      <c r="C24" s="11" t="s">
        <v>66</v>
      </c>
      <c r="D24" s="12" t="s">
        <v>67</v>
      </c>
      <c r="E24" s="11" t="s">
        <v>68</v>
      </c>
      <c r="F24" s="11" t="s">
        <v>69</v>
      </c>
      <c r="G24" s="13" t="s">
        <v>70</v>
      </c>
      <c r="H24" s="14" t="s">
        <v>71</v>
      </c>
      <c r="I24" s="11" t="s">
        <v>72</v>
      </c>
      <c r="J24" s="11" t="s">
        <v>73</v>
      </c>
      <c r="K24" s="11" t="s">
        <v>74</v>
      </c>
      <c r="L24" s="15" t="s">
        <v>75</v>
      </c>
      <c r="M24" s="11" t="s">
        <v>76</v>
      </c>
      <c r="N24" s="11" t="s">
        <v>77</v>
      </c>
      <c r="O24" s="11" t="s">
        <v>78</v>
      </c>
      <c r="P24" s="11" t="s">
        <v>79</v>
      </c>
      <c r="Q24" s="11" t="s">
        <v>80</v>
      </c>
      <c r="R24" s="11" t="s">
        <v>81</v>
      </c>
      <c r="S24" s="11" t="s">
        <v>82</v>
      </c>
      <c r="T24" s="11" t="s">
        <v>83</v>
      </c>
      <c r="U24" s="11" t="s">
        <v>84</v>
      </c>
      <c r="V24" s="11" t="s">
        <v>85</v>
      </c>
      <c r="W24" s="11" t="s">
        <v>86</v>
      </c>
      <c r="X24" s="11" t="s">
        <v>87</v>
      </c>
      <c r="Y24" s="11" t="s">
        <v>88</v>
      </c>
      <c r="Z24" s="11" t="s">
        <v>89</v>
      </c>
      <c r="AA24" s="11" t="s">
        <v>90</v>
      </c>
      <c r="AB24" s="11" t="s">
        <v>91</v>
      </c>
      <c r="AC24" s="11" t="s">
        <v>92</v>
      </c>
      <c r="AD24" s="11" t="s">
        <v>93</v>
      </c>
      <c r="AE24" s="11" t="s">
        <v>94</v>
      </c>
      <c r="AF24" s="11" t="s">
        <v>95</v>
      </c>
      <c r="AG24" s="247" t="s">
        <v>96</v>
      </c>
      <c r="AH24" s="248" t="s">
        <v>97</v>
      </c>
      <c r="AI24" s="10" t="s">
        <v>98</v>
      </c>
      <c r="AJ24" s="16" t="s">
        <v>99</v>
      </c>
      <c r="AK24" s="16" t="s">
        <v>100</v>
      </c>
      <c r="AL24" s="249" t="s">
        <v>101</v>
      </c>
      <c r="AM24" s="250" t="s">
        <v>102</v>
      </c>
      <c r="AN24" s="251" t="s">
        <v>103</v>
      </c>
      <c r="AO24" s="251" t="s">
        <v>104</v>
      </c>
      <c r="AP24" s="251" t="s">
        <v>105</v>
      </c>
      <c r="AQ24" s="251" t="s">
        <v>106</v>
      </c>
      <c r="AR24" s="252" t="s">
        <v>107</v>
      </c>
      <c r="AS24" s="253" t="s">
        <v>108</v>
      </c>
      <c r="AT24" s="251" t="s">
        <v>109</v>
      </c>
      <c r="AU24" s="251" t="s">
        <v>110</v>
      </c>
      <c r="AV24" s="251" t="s">
        <v>111</v>
      </c>
      <c r="AW24" s="252" t="s">
        <v>112</v>
      </c>
      <c r="AX24" s="252" t="s">
        <v>113</v>
      </c>
      <c r="AY24" s="252" t="s">
        <v>114</v>
      </c>
      <c r="AZ24" s="251" t="s">
        <v>115</v>
      </c>
      <c r="BA24" s="251" t="s">
        <v>116</v>
      </c>
      <c r="BB24" s="251" t="s">
        <v>117</v>
      </c>
      <c r="BC24" s="252" t="s">
        <v>118</v>
      </c>
      <c r="BD24" s="252" t="s">
        <v>119</v>
      </c>
    </row>
    <row r="25" spans="1:56" ht="38.25" x14ac:dyDescent="0.25">
      <c r="A25" s="488">
        <v>1</v>
      </c>
      <c r="B25" s="490" t="s">
        <v>6006</v>
      </c>
      <c r="C25" s="440" t="s">
        <v>4061</v>
      </c>
      <c r="D25" s="440" t="s">
        <v>6007</v>
      </c>
      <c r="E25" s="440" t="s">
        <v>6008</v>
      </c>
      <c r="F25" s="440" t="s">
        <v>6009</v>
      </c>
      <c r="G25" s="446" t="s">
        <v>677</v>
      </c>
      <c r="H25" s="444" t="s">
        <v>967</v>
      </c>
      <c r="I25" s="440" t="s">
        <v>4172</v>
      </c>
      <c r="J25" s="440" t="s">
        <v>4064</v>
      </c>
      <c r="K25" s="448">
        <v>41412</v>
      </c>
      <c r="L25" s="452">
        <v>10080</v>
      </c>
      <c r="M25" s="446">
        <v>11062</v>
      </c>
      <c r="N25" s="448">
        <v>41426</v>
      </c>
      <c r="O25" s="448">
        <v>41791</v>
      </c>
      <c r="P25" s="440" t="s">
        <v>591</v>
      </c>
      <c r="Q25" s="440" t="s">
        <v>677</v>
      </c>
      <c r="R25" s="440" t="s">
        <v>677</v>
      </c>
      <c r="S25" s="440" t="s">
        <v>677</v>
      </c>
      <c r="T25" s="440" t="s">
        <v>685</v>
      </c>
      <c r="U25" s="440">
        <v>1</v>
      </c>
      <c r="V25" s="448">
        <v>41777</v>
      </c>
      <c r="W25" s="444" t="s">
        <v>6010</v>
      </c>
      <c r="X25" s="440" t="s">
        <v>6011</v>
      </c>
      <c r="Y25" s="448">
        <v>41791</v>
      </c>
      <c r="Z25" s="448">
        <v>42156</v>
      </c>
      <c r="AA25" s="440">
        <v>0</v>
      </c>
      <c r="AB25" s="440">
        <v>0</v>
      </c>
      <c r="AC25" s="440">
        <v>0</v>
      </c>
      <c r="AD25" s="440">
        <v>0</v>
      </c>
      <c r="AE25" s="177">
        <f>L25-AD25+AC25</f>
        <v>10080</v>
      </c>
      <c r="AF25" s="506">
        <v>1764</v>
      </c>
      <c r="AG25" s="506">
        <v>6048</v>
      </c>
      <c r="AH25" s="257">
        <f>AF25+AG25</f>
        <v>7812</v>
      </c>
      <c r="AI25" s="920" t="s">
        <v>4047</v>
      </c>
      <c r="AJ25" s="444" t="s">
        <v>6012</v>
      </c>
      <c r="AK25" s="259" t="s">
        <v>6013</v>
      </c>
      <c r="AL25" s="444" t="s">
        <v>6012</v>
      </c>
      <c r="AM25" s="646"/>
      <c r="AN25" s="649"/>
      <c r="AO25" s="649"/>
      <c r="AP25" s="649"/>
      <c r="AQ25" s="649"/>
      <c r="AR25" s="650"/>
      <c r="AS25" s="490"/>
      <c r="AT25" s="318"/>
      <c r="AU25" s="318"/>
      <c r="AV25" s="318"/>
      <c r="AW25" s="318"/>
      <c r="AX25" s="318"/>
      <c r="AY25" s="318"/>
      <c r="AZ25" s="318"/>
      <c r="BA25" s="318"/>
      <c r="BB25" s="318"/>
      <c r="BC25" s="318"/>
      <c r="BD25" s="921"/>
    </row>
    <row r="26" spans="1:56" ht="51" x14ac:dyDescent="0.25">
      <c r="A26" s="488">
        <v>2</v>
      </c>
      <c r="B26" s="490" t="s">
        <v>6014</v>
      </c>
      <c r="C26" s="440" t="s">
        <v>1357</v>
      </c>
      <c r="D26" s="440" t="s">
        <v>6007</v>
      </c>
      <c r="E26" s="440" t="s">
        <v>584</v>
      </c>
      <c r="F26" s="440" t="s">
        <v>6015</v>
      </c>
      <c r="G26" s="446" t="s">
        <v>677</v>
      </c>
      <c r="H26" s="444" t="s">
        <v>986</v>
      </c>
      <c r="I26" s="440" t="s">
        <v>6016</v>
      </c>
      <c r="J26" s="440" t="s">
        <v>6017</v>
      </c>
      <c r="K26" s="448">
        <v>41400</v>
      </c>
      <c r="L26" s="452">
        <v>15360</v>
      </c>
      <c r="M26" s="446">
        <v>11066</v>
      </c>
      <c r="N26" s="448">
        <v>41401</v>
      </c>
      <c r="O26" s="448">
        <v>41766</v>
      </c>
      <c r="P26" s="440" t="s">
        <v>591</v>
      </c>
      <c r="Q26" s="440" t="s">
        <v>677</v>
      </c>
      <c r="R26" s="440" t="s">
        <v>677</v>
      </c>
      <c r="S26" s="440" t="s">
        <v>677</v>
      </c>
      <c r="T26" s="440" t="s">
        <v>696</v>
      </c>
      <c r="U26" s="440" t="s">
        <v>677</v>
      </c>
      <c r="V26" s="448" t="s">
        <v>677</v>
      </c>
      <c r="W26" s="444" t="s">
        <v>677</v>
      </c>
      <c r="X26" s="440" t="s">
        <v>677</v>
      </c>
      <c r="Y26" s="448" t="s">
        <v>677</v>
      </c>
      <c r="Z26" s="448" t="s">
        <v>677</v>
      </c>
      <c r="AA26" s="440">
        <v>0</v>
      </c>
      <c r="AB26" s="440">
        <v>0</v>
      </c>
      <c r="AC26" s="440">
        <v>0</v>
      </c>
      <c r="AD26" s="440">
        <v>0</v>
      </c>
      <c r="AE26" s="177">
        <v>0</v>
      </c>
      <c r="AF26" s="506">
        <v>10940</v>
      </c>
      <c r="AG26" s="506">
        <v>3840</v>
      </c>
      <c r="AH26" s="257">
        <f>AF26+AG26</f>
        <v>14780</v>
      </c>
      <c r="AI26" s="267" t="s">
        <v>1019</v>
      </c>
      <c r="AJ26" s="436" t="s">
        <v>6018</v>
      </c>
      <c r="AK26" s="475" t="s">
        <v>6019</v>
      </c>
      <c r="AL26" s="436" t="s">
        <v>6018</v>
      </c>
      <c r="AM26" s="179"/>
      <c r="AN26" s="181"/>
      <c r="AO26" s="181"/>
      <c r="AP26" s="181"/>
      <c r="AQ26" s="181"/>
      <c r="AR26" s="182"/>
      <c r="AS26" s="468"/>
      <c r="AT26" s="465"/>
      <c r="AU26" s="465"/>
      <c r="AV26" s="465"/>
      <c r="AW26" s="465"/>
      <c r="AX26" s="465"/>
      <c r="AY26" s="465"/>
      <c r="AZ26" s="465"/>
      <c r="BA26" s="465"/>
      <c r="BB26" s="465"/>
      <c r="BC26" s="465"/>
      <c r="BD26" s="467"/>
    </row>
    <row r="27" spans="1:56" ht="51" x14ac:dyDescent="0.25">
      <c r="A27" s="488">
        <v>3</v>
      </c>
      <c r="B27" s="490" t="s">
        <v>6020</v>
      </c>
      <c r="C27" s="440" t="s">
        <v>1029</v>
      </c>
      <c r="D27" s="440" t="s">
        <v>6007</v>
      </c>
      <c r="E27" s="440" t="s">
        <v>6008</v>
      </c>
      <c r="F27" s="440" t="s">
        <v>6021</v>
      </c>
      <c r="G27" s="446" t="s">
        <v>677</v>
      </c>
      <c r="H27" s="444" t="s">
        <v>1006</v>
      </c>
      <c r="I27" s="440" t="s">
        <v>6022</v>
      </c>
      <c r="J27" s="440" t="s">
        <v>1033</v>
      </c>
      <c r="K27" s="448">
        <v>41486</v>
      </c>
      <c r="L27" s="452">
        <v>69624.72</v>
      </c>
      <c r="M27" s="446">
        <v>11110</v>
      </c>
      <c r="N27" s="448">
        <v>41487</v>
      </c>
      <c r="O27" s="448">
        <v>41852</v>
      </c>
      <c r="P27" s="440" t="s">
        <v>591</v>
      </c>
      <c r="Q27" s="440" t="s">
        <v>677</v>
      </c>
      <c r="R27" s="440" t="s">
        <v>677</v>
      </c>
      <c r="S27" s="440" t="s">
        <v>677</v>
      </c>
      <c r="T27" s="440" t="s">
        <v>685</v>
      </c>
      <c r="U27" s="440">
        <v>1</v>
      </c>
      <c r="V27" s="448">
        <v>41852</v>
      </c>
      <c r="W27" s="444" t="s">
        <v>6023</v>
      </c>
      <c r="X27" s="440" t="s">
        <v>6011</v>
      </c>
      <c r="Y27" s="448">
        <v>41852</v>
      </c>
      <c r="Z27" s="448">
        <v>42217</v>
      </c>
      <c r="AA27" s="440">
        <v>0</v>
      </c>
      <c r="AB27" s="440">
        <v>0</v>
      </c>
      <c r="AC27" s="440">
        <v>0</v>
      </c>
      <c r="AD27" s="440">
        <v>0</v>
      </c>
      <c r="AE27" s="177">
        <f>L27-AD27+AC27</f>
        <v>69624.72</v>
      </c>
      <c r="AF27" s="506">
        <f>18373.2+7839.22</f>
        <v>26212.420000000002</v>
      </c>
      <c r="AG27" s="506">
        <v>59954.62</v>
      </c>
      <c r="AH27" s="257">
        <f t="shared" ref="AH27:AH36" si="0">AF27+AG27</f>
        <v>86167.040000000008</v>
      </c>
      <c r="AI27" s="267" t="s">
        <v>973</v>
      </c>
      <c r="AJ27" s="436" t="s">
        <v>6024</v>
      </c>
      <c r="AK27" s="475" t="s">
        <v>6025</v>
      </c>
      <c r="AL27" s="436" t="s">
        <v>6024</v>
      </c>
      <c r="AM27" s="179"/>
      <c r="AN27" s="181"/>
      <c r="AO27" s="181"/>
      <c r="AP27" s="181"/>
      <c r="AQ27" s="181"/>
      <c r="AR27" s="182"/>
      <c r="AS27" s="468"/>
      <c r="AT27" s="465"/>
      <c r="AU27" s="465"/>
      <c r="AV27" s="465"/>
      <c r="AW27" s="465"/>
      <c r="AX27" s="465"/>
      <c r="AY27" s="465"/>
      <c r="AZ27" s="465"/>
      <c r="BA27" s="465"/>
      <c r="BB27" s="465"/>
      <c r="BC27" s="465"/>
      <c r="BD27" s="467"/>
    </row>
    <row r="28" spans="1:56" ht="38.25" x14ac:dyDescent="0.25">
      <c r="A28" s="488">
        <v>4</v>
      </c>
      <c r="B28" s="468" t="s">
        <v>6026</v>
      </c>
      <c r="C28" s="429" t="s">
        <v>1057</v>
      </c>
      <c r="D28" s="429" t="s">
        <v>3956</v>
      </c>
      <c r="E28" s="429" t="s">
        <v>584</v>
      </c>
      <c r="F28" s="429" t="s">
        <v>6027</v>
      </c>
      <c r="G28" s="431">
        <v>11176</v>
      </c>
      <c r="H28" s="436" t="s">
        <v>1486</v>
      </c>
      <c r="I28" s="429" t="s">
        <v>1550</v>
      </c>
      <c r="J28" s="429" t="s">
        <v>6028</v>
      </c>
      <c r="K28" s="432">
        <v>41611</v>
      </c>
      <c r="L28" s="430">
        <v>8100</v>
      </c>
      <c r="M28" s="431">
        <v>11193</v>
      </c>
      <c r="N28" s="432">
        <v>41611</v>
      </c>
      <c r="O28" s="432">
        <v>41976</v>
      </c>
      <c r="P28" s="440" t="s">
        <v>591</v>
      </c>
      <c r="Q28" s="440" t="s">
        <v>677</v>
      </c>
      <c r="R28" s="440" t="s">
        <v>677</v>
      </c>
      <c r="S28" s="440" t="s">
        <v>677</v>
      </c>
      <c r="T28" s="440" t="s">
        <v>685</v>
      </c>
      <c r="U28" s="440" t="s">
        <v>677</v>
      </c>
      <c r="V28" s="448" t="s">
        <v>677</v>
      </c>
      <c r="W28" s="444" t="s">
        <v>677</v>
      </c>
      <c r="X28" s="440" t="s">
        <v>677</v>
      </c>
      <c r="Y28" s="448" t="s">
        <v>677</v>
      </c>
      <c r="Z28" s="448" t="s">
        <v>677</v>
      </c>
      <c r="AA28" s="440">
        <v>0</v>
      </c>
      <c r="AB28" s="440">
        <v>0</v>
      </c>
      <c r="AC28" s="440">
        <v>0</v>
      </c>
      <c r="AD28" s="440">
        <v>0</v>
      </c>
      <c r="AE28" s="177">
        <f>L28-AD28+AC28</f>
        <v>8100</v>
      </c>
      <c r="AF28" s="506">
        <v>0</v>
      </c>
      <c r="AG28" s="506">
        <v>8100</v>
      </c>
      <c r="AH28" s="257">
        <f t="shared" si="0"/>
        <v>8100</v>
      </c>
      <c r="AI28" s="179"/>
      <c r="AJ28" s="107"/>
      <c r="AK28" s="107"/>
      <c r="AL28" s="180"/>
      <c r="AM28" s="179"/>
      <c r="AN28" s="181"/>
      <c r="AO28" s="181"/>
      <c r="AP28" s="181"/>
      <c r="AQ28" s="181"/>
      <c r="AR28" s="182"/>
      <c r="AS28" s="468"/>
      <c r="AT28" s="465"/>
      <c r="AU28" s="465"/>
      <c r="AV28" s="465"/>
      <c r="AW28" s="465"/>
      <c r="AX28" s="465"/>
      <c r="AY28" s="465"/>
      <c r="AZ28" s="465"/>
      <c r="BA28" s="465"/>
      <c r="BB28" s="465"/>
      <c r="BC28" s="465"/>
      <c r="BD28" s="467"/>
    </row>
    <row r="29" spans="1:56" ht="38.25" x14ac:dyDescent="0.25">
      <c r="A29" s="488">
        <v>5</v>
      </c>
      <c r="B29" s="468" t="s">
        <v>6026</v>
      </c>
      <c r="C29" s="429" t="s">
        <v>1057</v>
      </c>
      <c r="D29" s="429" t="s">
        <v>3956</v>
      </c>
      <c r="E29" s="429" t="s">
        <v>584</v>
      </c>
      <c r="F29" s="429" t="s">
        <v>6027</v>
      </c>
      <c r="G29" s="431">
        <v>11176</v>
      </c>
      <c r="H29" s="436" t="s">
        <v>1280</v>
      </c>
      <c r="I29" s="429" t="s">
        <v>6029</v>
      </c>
      <c r="J29" s="429" t="s">
        <v>6030</v>
      </c>
      <c r="K29" s="432">
        <v>41611</v>
      </c>
      <c r="L29" s="430">
        <v>12600</v>
      </c>
      <c r="M29" s="431">
        <v>11193</v>
      </c>
      <c r="N29" s="432">
        <v>41611</v>
      </c>
      <c r="O29" s="432">
        <v>41976</v>
      </c>
      <c r="P29" s="440" t="s">
        <v>591</v>
      </c>
      <c r="Q29" s="440" t="s">
        <v>677</v>
      </c>
      <c r="R29" s="440" t="s">
        <v>677</v>
      </c>
      <c r="S29" s="440" t="s">
        <v>677</v>
      </c>
      <c r="T29" s="440" t="s">
        <v>685</v>
      </c>
      <c r="U29" s="440" t="s">
        <v>677</v>
      </c>
      <c r="V29" s="448" t="s">
        <v>677</v>
      </c>
      <c r="W29" s="444" t="s">
        <v>677</v>
      </c>
      <c r="X29" s="440" t="s">
        <v>677</v>
      </c>
      <c r="Y29" s="448" t="s">
        <v>677</v>
      </c>
      <c r="Z29" s="448" t="s">
        <v>677</v>
      </c>
      <c r="AA29" s="440">
        <v>0</v>
      </c>
      <c r="AB29" s="440">
        <v>0</v>
      </c>
      <c r="AC29" s="440">
        <v>0</v>
      </c>
      <c r="AD29" s="440">
        <v>0</v>
      </c>
      <c r="AE29" s="177">
        <f>L29-AD29+AC29</f>
        <v>12600</v>
      </c>
      <c r="AF29" s="506">
        <v>0</v>
      </c>
      <c r="AG29" s="506">
        <v>12600</v>
      </c>
      <c r="AH29" s="257">
        <f t="shared" si="0"/>
        <v>12600</v>
      </c>
      <c r="AI29" s="179"/>
      <c r="AJ29" s="107"/>
      <c r="AK29" s="107"/>
      <c r="AL29" s="180"/>
      <c r="AM29" s="179"/>
      <c r="AN29" s="181"/>
      <c r="AO29" s="181"/>
      <c r="AP29" s="181"/>
      <c r="AQ29" s="181"/>
      <c r="AR29" s="182"/>
      <c r="AS29" s="468"/>
      <c r="AT29" s="465"/>
      <c r="AU29" s="465"/>
      <c r="AV29" s="465"/>
      <c r="AW29" s="465"/>
      <c r="AX29" s="465"/>
      <c r="AY29" s="465"/>
      <c r="AZ29" s="465"/>
      <c r="BA29" s="465"/>
      <c r="BB29" s="465"/>
      <c r="BC29" s="465"/>
      <c r="BD29" s="467"/>
    </row>
    <row r="30" spans="1:56" ht="38.25" x14ac:dyDescent="0.25">
      <c r="A30" s="488">
        <v>6</v>
      </c>
      <c r="B30" s="468" t="s">
        <v>6026</v>
      </c>
      <c r="C30" s="429" t="s">
        <v>1057</v>
      </c>
      <c r="D30" s="429" t="s">
        <v>3956</v>
      </c>
      <c r="E30" s="429" t="s">
        <v>584</v>
      </c>
      <c r="F30" s="429" t="s">
        <v>6027</v>
      </c>
      <c r="G30" s="431">
        <v>11176</v>
      </c>
      <c r="H30" s="436" t="s">
        <v>1608</v>
      </c>
      <c r="I30" s="429" t="s">
        <v>6031</v>
      </c>
      <c r="J30" s="429" t="s">
        <v>5986</v>
      </c>
      <c r="K30" s="432">
        <v>41611</v>
      </c>
      <c r="L30" s="430">
        <v>7000</v>
      </c>
      <c r="M30" s="431">
        <v>11193</v>
      </c>
      <c r="N30" s="432">
        <v>41611</v>
      </c>
      <c r="O30" s="432">
        <v>41976</v>
      </c>
      <c r="P30" s="440" t="s">
        <v>591</v>
      </c>
      <c r="Q30" s="440" t="s">
        <v>677</v>
      </c>
      <c r="R30" s="440" t="s">
        <v>677</v>
      </c>
      <c r="S30" s="440" t="s">
        <v>677</v>
      </c>
      <c r="T30" s="440" t="s">
        <v>685</v>
      </c>
      <c r="U30" s="440" t="s">
        <v>677</v>
      </c>
      <c r="V30" s="448" t="s">
        <v>677</v>
      </c>
      <c r="W30" s="444" t="s">
        <v>677</v>
      </c>
      <c r="X30" s="440" t="s">
        <v>677</v>
      </c>
      <c r="Y30" s="448" t="s">
        <v>677</v>
      </c>
      <c r="Z30" s="448" t="s">
        <v>677</v>
      </c>
      <c r="AA30" s="440">
        <v>0</v>
      </c>
      <c r="AB30" s="440">
        <v>0</v>
      </c>
      <c r="AC30" s="440">
        <v>0</v>
      </c>
      <c r="AD30" s="440">
        <v>0</v>
      </c>
      <c r="AE30" s="177">
        <f>L30-AD30+AC30</f>
        <v>7000</v>
      </c>
      <c r="AF30" s="506">
        <v>0</v>
      </c>
      <c r="AG30" s="506">
        <v>0</v>
      </c>
      <c r="AH30" s="257">
        <f t="shared" si="0"/>
        <v>0</v>
      </c>
      <c r="AI30" s="179"/>
      <c r="AJ30" s="107"/>
      <c r="AK30" s="107"/>
      <c r="AL30" s="180"/>
      <c r="AM30" s="179"/>
      <c r="AN30" s="181"/>
      <c r="AO30" s="181"/>
      <c r="AP30" s="181"/>
      <c r="AQ30" s="181"/>
      <c r="AR30" s="182"/>
      <c r="AS30" s="468"/>
      <c r="AT30" s="465"/>
      <c r="AU30" s="465"/>
      <c r="AV30" s="465"/>
      <c r="AW30" s="465"/>
      <c r="AX30" s="465"/>
      <c r="AY30" s="465"/>
      <c r="AZ30" s="465"/>
      <c r="BA30" s="465"/>
      <c r="BB30" s="465"/>
      <c r="BC30" s="465"/>
      <c r="BD30" s="467"/>
    </row>
    <row r="31" spans="1:56" ht="25.5" x14ac:dyDescent="0.25">
      <c r="A31" s="488">
        <v>7</v>
      </c>
      <c r="B31" s="468" t="s">
        <v>6032</v>
      </c>
      <c r="C31" s="429" t="s">
        <v>1570</v>
      </c>
      <c r="D31" s="429" t="s">
        <v>3956</v>
      </c>
      <c r="E31" s="429" t="s">
        <v>584</v>
      </c>
      <c r="F31" s="429" t="s">
        <v>6033</v>
      </c>
      <c r="G31" s="431">
        <v>11187</v>
      </c>
      <c r="H31" s="436" t="s">
        <v>675</v>
      </c>
      <c r="I31" s="429" t="s">
        <v>6034</v>
      </c>
      <c r="J31" s="429" t="s">
        <v>4216</v>
      </c>
      <c r="K31" s="432">
        <v>41653</v>
      </c>
      <c r="L31" s="430">
        <v>3815</v>
      </c>
      <c r="M31" s="431">
        <v>11222</v>
      </c>
      <c r="N31" s="432">
        <v>41653</v>
      </c>
      <c r="O31" s="432">
        <v>41712</v>
      </c>
      <c r="P31" s="440" t="s">
        <v>591</v>
      </c>
      <c r="Q31" s="440" t="s">
        <v>677</v>
      </c>
      <c r="R31" s="440" t="s">
        <v>677</v>
      </c>
      <c r="S31" s="440" t="s">
        <v>677</v>
      </c>
      <c r="T31" s="429" t="s">
        <v>719</v>
      </c>
      <c r="U31" s="440" t="s">
        <v>677</v>
      </c>
      <c r="V31" s="448" t="s">
        <v>677</v>
      </c>
      <c r="W31" s="444" t="s">
        <v>677</v>
      </c>
      <c r="X31" s="440" t="s">
        <v>677</v>
      </c>
      <c r="Y31" s="448" t="s">
        <v>677</v>
      </c>
      <c r="Z31" s="448" t="s">
        <v>677</v>
      </c>
      <c r="AA31" s="440">
        <v>0</v>
      </c>
      <c r="AB31" s="440">
        <v>0</v>
      </c>
      <c r="AC31" s="440">
        <v>0</v>
      </c>
      <c r="AD31" s="440">
        <v>0</v>
      </c>
      <c r="AE31" s="177">
        <f t="shared" ref="AE31:AE33" si="1">L31-AD31+AC31</f>
        <v>3815</v>
      </c>
      <c r="AF31" s="429"/>
      <c r="AG31" s="278">
        <v>3815</v>
      </c>
      <c r="AH31" s="257">
        <f t="shared" si="0"/>
        <v>3815</v>
      </c>
      <c r="AI31" s="179"/>
      <c r="AJ31" s="107"/>
      <c r="AK31" s="107"/>
      <c r="AL31" s="180"/>
      <c r="AM31" s="179"/>
      <c r="AN31" s="181"/>
      <c r="AO31" s="181"/>
      <c r="AP31" s="181"/>
      <c r="AQ31" s="181"/>
      <c r="AR31" s="182"/>
      <c r="AS31" s="468"/>
      <c r="AT31" s="465"/>
      <c r="AU31" s="465"/>
      <c r="AV31" s="465"/>
      <c r="AW31" s="465"/>
      <c r="AX31" s="465"/>
      <c r="AY31" s="465"/>
      <c r="AZ31" s="465"/>
      <c r="BA31" s="465"/>
      <c r="BB31" s="465"/>
      <c r="BC31" s="465"/>
      <c r="BD31" s="467"/>
    </row>
    <row r="32" spans="1:56" ht="38.25" x14ac:dyDescent="0.25">
      <c r="A32" s="488">
        <v>8</v>
      </c>
      <c r="B32" s="468" t="s">
        <v>6032</v>
      </c>
      <c r="C32" s="429" t="s">
        <v>1570</v>
      </c>
      <c r="D32" s="429" t="s">
        <v>3956</v>
      </c>
      <c r="E32" s="429" t="s">
        <v>584</v>
      </c>
      <c r="F32" s="429" t="s">
        <v>6033</v>
      </c>
      <c r="G32" s="431">
        <v>11187</v>
      </c>
      <c r="H32" s="436" t="s">
        <v>683</v>
      </c>
      <c r="I32" s="429" t="s">
        <v>6035</v>
      </c>
      <c r="J32" s="429" t="s">
        <v>6036</v>
      </c>
      <c r="K32" s="432">
        <v>41654</v>
      </c>
      <c r="L32" s="430">
        <v>2690</v>
      </c>
      <c r="M32" s="431">
        <v>11224</v>
      </c>
      <c r="N32" s="432">
        <v>41654</v>
      </c>
      <c r="O32" s="432">
        <v>42004</v>
      </c>
      <c r="P32" s="440" t="s">
        <v>591</v>
      </c>
      <c r="Q32" s="440" t="s">
        <v>677</v>
      </c>
      <c r="R32" s="440" t="s">
        <v>677</v>
      </c>
      <c r="S32" s="440" t="s">
        <v>677</v>
      </c>
      <c r="T32" s="429" t="s">
        <v>719</v>
      </c>
      <c r="U32" s="440" t="s">
        <v>677</v>
      </c>
      <c r="V32" s="448" t="s">
        <v>677</v>
      </c>
      <c r="W32" s="444" t="s">
        <v>677</v>
      </c>
      <c r="X32" s="440" t="s">
        <v>677</v>
      </c>
      <c r="Y32" s="448" t="s">
        <v>677</v>
      </c>
      <c r="Z32" s="448" t="s">
        <v>677</v>
      </c>
      <c r="AA32" s="440">
        <v>0</v>
      </c>
      <c r="AB32" s="440">
        <v>0</v>
      </c>
      <c r="AC32" s="440">
        <v>0</v>
      </c>
      <c r="AD32" s="440">
        <v>0</v>
      </c>
      <c r="AE32" s="177">
        <f t="shared" si="1"/>
        <v>2690</v>
      </c>
      <c r="AF32" s="429"/>
      <c r="AG32" s="278">
        <v>2690</v>
      </c>
      <c r="AH32" s="257">
        <f t="shared" si="0"/>
        <v>2690</v>
      </c>
      <c r="AI32" s="179"/>
      <c r="AJ32" s="107"/>
      <c r="AK32" s="107"/>
      <c r="AL32" s="180"/>
      <c r="AM32" s="179"/>
      <c r="AN32" s="181"/>
      <c r="AO32" s="181"/>
      <c r="AP32" s="181"/>
      <c r="AQ32" s="181"/>
      <c r="AR32" s="182"/>
      <c r="AS32" s="468"/>
      <c r="AT32" s="465"/>
      <c r="AU32" s="465"/>
      <c r="AV32" s="465"/>
      <c r="AW32" s="465"/>
      <c r="AX32" s="465"/>
      <c r="AY32" s="465"/>
      <c r="AZ32" s="465"/>
      <c r="BA32" s="465"/>
      <c r="BB32" s="465"/>
      <c r="BC32" s="465"/>
      <c r="BD32" s="467"/>
    </row>
    <row r="33" spans="1:56" ht="38.25" x14ac:dyDescent="0.25">
      <c r="A33" s="488">
        <v>9</v>
      </c>
      <c r="B33" s="468" t="s">
        <v>6037</v>
      </c>
      <c r="C33" s="429" t="s">
        <v>1631</v>
      </c>
      <c r="D33" s="429" t="s">
        <v>3956</v>
      </c>
      <c r="E33" s="429" t="s">
        <v>584</v>
      </c>
      <c r="F33" s="429" t="s">
        <v>4247</v>
      </c>
      <c r="G33" s="431">
        <v>11200</v>
      </c>
      <c r="H33" s="436" t="s">
        <v>686</v>
      </c>
      <c r="I33" s="429" t="s">
        <v>6038</v>
      </c>
      <c r="J33" s="429" t="s">
        <v>718</v>
      </c>
      <c r="K33" s="432">
        <v>41653</v>
      </c>
      <c r="L33" s="430">
        <v>4710</v>
      </c>
      <c r="M33" s="431">
        <v>11222</v>
      </c>
      <c r="N33" s="432">
        <v>41653</v>
      </c>
      <c r="O33" s="432">
        <v>41743</v>
      </c>
      <c r="P33" s="440" t="s">
        <v>591</v>
      </c>
      <c r="Q33" s="429"/>
      <c r="R33" s="429"/>
      <c r="S33" s="429"/>
      <c r="T33" s="429" t="s">
        <v>719</v>
      </c>
      <c r="U33" s="440" t="s">
        <v>677</v>
      </c>
      <c r="V33" s="448" t="s">
        <v>677</v>
      </c>
      <c r="W33" s="444" t="s">
        <v>677</v>
      </c>
      <c r="X33" s="440" t="s">
        <v>677</v>
      </c>
      <c r="Y33" s="448" t="s">
        <v>677</v>
      </c>
      <c r="Z33" s="448" t="s">
        <v>677</v>
      </c>
      <c r="AA33" s="440">
        <v>0</v>
      </c>
      <c r="AB33" s="440">
        <v>0</v>
      </c>
      <c r="AC33" s="440">
        <v>0</v>
      </c>
      <c r="AD33" s="440">
        <v>0</v>
      </c>
      <c r="AE33" s="177">
        <f t="shared" si="1"/>
        <v>4710</v>
      </c>
      <c r="AF33" s="429"/>
      <c r="AG33" s="429"/>
      <c r="AH33" s="257">
        <f t="shared" si="0"/>
        <v>0</v>
      </c>
      <c r="AI33" s="179"/>
      <c r="AJ33" s="107"/>
      <c r="AK33" s="107"/>
      <c r="AL33" s="180"/>
      <c r="AM33" s="179"/>
      <c r="AN33" s="181"/>
      <c r="AO33" s="181"/>
      <c r="AP33" s="181"/>
      <c r="AQ33" s="181"/>
      <c r="AR33" s="182"/>
      <c r="AS33" s="468"/>
      <c r="AT33" s="465"/>
      <c r="AU33" s="465"/>
      <c r="AV33" s="465"/>
      <c r="AW33" s="465"/>
      <c r="AX33" s="465"/>
      <c r="AY33" s="465"/>
      <c r="AZ33" s="465"/>
      <c r="BA33" s="465"/>
      <c r="BB33" s="465"/>
      <c r="BC33" s="465"/>
      <c r="BD33" s="467"/>
    </row>
    <row r="34" spans="1:56" ht="25.5" x14ac:dyDescent="0.25">
      <c r="A34" s="488">
        <v>10</v>
      </c>
      <c r="B34" s="468" t="s">
        <v>6037</v>
      </c>
      <c r="C34" s="429" t="s">
        <v>1631</v>
      </c>
      <c r="D34" s="429" t="s">
        <v>3956</v>
      </c>
      <c r="E34" s="429" t="s">
        <v>584</v>
      </c>
      <c r="F34" s="429" t="s">
        <v>4247</v>
      </c>
      <c r="G34" s="431">
        <v>11200</v>
      </c>
      <c r="H34" s="436" t="s">
        <v>704</v>
      </c>
      <c r="I34" s="429" t="s">
        <v>6039</v>
      </c>
      <c r="J34" s="429" t="s">
        <v>458</v>
      </c>
      <c r="K34" s="432">
        <v>41654</v>
      </c>
      <c r="L34" s="430">
        <v>912</v>
      </c>
      <c r="M34" s="431">
        <v>11222</v>
      </c>
      <c r="N34" s="432">
        <v>41654</v>
      </c>
      <c r="O34" s="432">
        <v>41712</v>
      </c>
      <c r="P34" s="440" t="s">
        <v>591</v>
      </c>
      <c r="Q34" s="429"/>
      <c r="R34" s="429"/>
      <c r="S34" s="429"/>
      <c r="T34" s="429" t="s">
        <v>6040</v>
      </c>
      <c r="U34" s="440" t="s">
        <v>677</v>
      </c>
      <c r="V34" s="448" t="s">
        <v>677</v>
      </c>
      <c r="W34" s="444" t="s">
        <v>677</v>
      </c>
      <c r="X34" s="440" t="s">
        <v>677</v>
      </c>
      <c r="Y34" s="448" t="s">
        <v>677</v>
      </c>
      <c r="Z34" s="448" t="s">
        <v>677</v>
      </c>
      <c r="AA34" s="440">
        <v>0</v>
      </c>
      <c r="AB34" s="440">
        <v>0</v>
      </c>
      <c r="AC34" s="440">
        <v>0</v>
      </c>
      <c r="AD34" s="440">
        <v>0</v>
      </c>
      <c r="AE34" s="177">
        <v>912</v>
      </c>
      <c r="AF34" s="429"/>
      <c r="AG34" s="429"/>
      <c r="AH34" s="257">
        <f t="shared" si="0"/>
        <v>0</v>
      </c>
      <c r="AI34" s="179"/>
      <c r="AJ34" s="107"/>
      <c r="AK34" s="107"/>
      <c r="AL34" s="180"/>
      <c r="AM34" s="179"/>
      <c r="AN34" s="181"/>
      <c r="AO34" s="181"/>
      <c r="AP34" s="181"/>
      <c r="AQ34" s="181"/>
      <c r="AR34" s="182"/>
      <c r="AS34" s="468"/>
      <c r="AT34" s="465"/>
      <c r="AU34" s="465"/>
      <c r="AV34" s="465"/>
      <c r="AW34" s="465"/>
      <c r="AX34" s="465"/>
      <c r="AY34" s="465"/>
      <c r="AZ34" s="465"/>
      <c r="BA34" s="465"/>
      <c r="BB34" s="465"/>
      <c r="BC34" s="465"/>
      <c r="BD34" s="467"/>
    </row>
    <row r="35" spans="1:56" ht="38.25" x14ac:dyDescent="0.25">
      <c r="A35" s="488">
        <v>11</v>
      </c>
      <c r="B35" s="468" t="s">
        <v>6041</v>
      </c>
      <c r="C35" s="429" t="s">
        <v>6042</v>
      </c>
      <c r="D35" s="429" t="s">
        <v>1548</v>
      </c>
      <c r="E35" s="429" t="s">
        <v>584</v>
      </c>
      <c r="F35" s="429" t="s">
        <v>6043</v>
      </c>
      <c r="G35" s="431">
        <v>11200</v>
      </c>
      <c r="H35" s="436" t="s">
        <v>6044</v>
      </c>
      <c r="I35" s="429" t="s">
        <v>6045</v>
      </c>
      <c r="J35" s="429" t="s">
        <v>6046</v>
      </c>
      <c r="K35" s="432">
        <v>41654</v>
      </c>
      <c r="L35" s="430">
        <v>4079</v>
      </c>
      <c r="M35" s="431">
        <v>11224</v>
      </c>
      <c r="N35" s="432">
        <v>41654</v>
      </c>
      <c r="O35" s="432">
        <v>41743</v>
      </c>
      <c r="P35" s="440" t="s">
        <v>591</v>
      </c>
      <c r="Q35" s="429"/>
      <c r="R35" s="429"/>
      <c r="S35" s="429"/>
      <c r="T35" s="429" t="s">
        <v>719</v>
      </c>
      <c r="U35" s="440" t="s">
        <v>677</v>
      </c>
      <c r="V35" s="448" t="s">
        <v>677</v>
      </c>
      <c r="W35" s="444" t="s">
        <v>677</v>
      </c>
      <c r="X35" s="440" t="s">
        <v>677</v>
      </c>
      <c r="Y35" s="448" t="s">
        <v>677</v>
      </c>
      <c r="Z35" s="448" t="s">
        <v>677</v>
      </c>
      <c r="AA35" s="440">
        <v>0</v>
      </c>
      <c r="AB35" s="440">
        <v>0</v>
      </c>
      <c r="AC35" s="440">
        <v>0</v>
      </c>
      <c r="AD35" s="440">
        <v>0</v>
      </c>
      <c r="AE35" s="177">
        <v>4079</v>
      </c>
      <c r="AF35" s="429"/>
      <c r="AG35" s="429"/>
      <c r="AH35" s="257">
        <f t="shared" si="0"/>
        <v>0</v>
      </c>
      <c r="AI35" s="179"/>
      <c r="AJ35" s="107"/>
      <c r="AK35" s="107"/>
      <c r="AL35" s="180"/>
      <c r="AM35" s="179"/>
      <c r="AN35" s="181"/>
      <c r="AO35" s="181"/>
      <c r="AP35" s="181"/>
      <c r="AQ35" s="181"/>
      <c r="AR35" s="182"/>
      <c r="AS35" s="468"/>
      <c r="AT35" s="465"/>
      <c r="AU35" s="465"/>
      <c r="AV35" s="465"/>
      <c r="AW35" s="465"/>
      <c r="AX35" s="465"/>
      <c r="AY35" s="465"/>
      <c r="AZ35" s="465"/>
      <c r="BA35" s="465"/>
      <c r="BB35" s="465"/>
      <c r="BC35" s="465"/>
      <c r="BD35" s="467"/>
    </row>
    <row r="36" spans="1:56" ht="25.5" x14ac:dyDescent="0.25">
      <c r="A36" s="488">
        <v>12</v>
      </c>
      <c r="B36" s="468" t="s">
        <v>6047</v>
      </c>
      <c r="C36" s="429" t="s">
        <v>5314</v>
      </c>
      <c r="D36" s="429" t="s">
        <v>1548</v>
      </c>
      <c r="E36" s="429" t="s">
        <v>584</v>
      </c>
      <c r="F36" s="429" t="s">
        <v>6048</v>
      </c>
      <c r="G36" s="431">
        <v>11136</v>
      </c>
      <c r="H36" s="436" t="s">
        <v>381</v>
      </c>
      <c r="I36" s="429" t="s">
        <v>6049</v>
      </c>
      <c r="J36" s="429" t="s">
        <v>6050</v>
      </c>
      <c r="K36" s="432">
        <v>41655</v>
      </c>
      <c r="L36" s="430">
        <v>33400</v>
      </c>
      <c r="M36" s="431">
        <v>11224</v>
      </c>
      <c r="N36" s="432">
        <v>41655</v>
      </c>
      <c r="O36" s="432">
        <v>41836</v>
      </c>
      <c r="P36" s="440" t="s">
        <v>6051</v>
      </c>
      <c r="Q36" s="429"/>
      <c r="R36" s="429"/>
      <c r="S36" s="429"/>
      <c r="T36" s="429" t="s">
        <v>685</v>
      </c>
      <c r="U36" s="440" t="s">
        <v>677</v>
      </c>
      <c r="V36" s="448" t="s">
        <v>677</v>
      </c>
      <c r="W36" s="444" t="s">
        <v>677</v>
      </c>
      <c r="X36" s="440" t="s">
        <v>677</v>
      </c>
      <c r="Y36" s="448" t="s">
        <v>677</v>
      </c>
      <c r="Z36" s="448" t="s">
        <v>677</v>
      </c>
      <c r="AA36" s="440">
        <v>0</v>
      </c>
      <c r="AB36" s="440">
        <v>0</v>
      </c>
      <c r="AC36" s="440">
        <v>0</v>
      </c>
      <c r="AD36" s="440">
        <v>0</v>
      </c>
      <c r="AE36" s="177">
        <v>33400</v>
      </c>
      <c r="AF36" s="429"/>
      <c r="AG36" s="278">
        <v>33400</v>
      </c>
      <c r="AH36" s="257">
        <f t="shared" si="0"/>
        <v>33400</v>
      </c>
      <c r="AI36" s="179"/>
      <c r="AJ36" s="107"/>
      <c r="AK36" s="107"/>
      <c r="AL36" s="180"/>
      <c r="AM36" s="179"/>
      <c r="AN36" s="181"/>
      <c r="AO36" s="181"/>
      <c r="AP36" s="181"/>
      <c r="AQ36" s="181"/>
      <c r="AR36" s="182"/>
      <c r="AS36" s="468"/>
      <c r="AT36" s="465"/>
      <c r="AU36" s="465"/>
      <c r="AV36" s="465"/>
      <c r="AW36" s="465"/>
      <c r="AX36" s="465"/>
      <c r="AY36" s="465"/>
      <c r="AZ36" s="465"/>
      <c r="BA36" s="465"/>
      <c r="BB36" s="465"/>
      <c r="BC36" s="465"/>
      <c r="BD36" s="467"/>
    </row>
    <row r="37" spans="1:56" ht="51" x14ac:dyDescent="0.25">
      <c r="A37" s="488">
        <v>13</v>
      </c>
      <c r="B37" s="468" t="s">
        <v>5455</v>
      </c>
      <c r="C37" s="429" t="s">
        <v>1750</v>
      </c>
      <c r="D37" s="429" t="s">
        <v>1548</v>
      </c>
      <c r="E37" s="429" t="s">
        <v>584</v>
      </c>
      <c r="F37" s="429" t="s">
        <v>6052</v>
      </c>
      <c r="G37" s="431">
        <v>11133</v>
      </c>
      <c r="H37" s="436" t="s">
        <v>680</v>
      </c>
      <c r="I37" s="429" t="s">
        <v>6053</v>
      </c>
      <c r="J37" s="429" t="s">
        <v>1671</v>
      </c>
      <c r="K37" s="432">
        <v>41662</v>
      </c>
      <c r="L37" s="430">
        <v>8000</v>
      </c>
      <c r="M37" s="431">
        <v>11241</v>
      </c>
      <c r="N37" s="432">
        <v>41662</v>
      </c>
      <c r="O37" s="432">
        <v>41835</v>
      </c>
      <c r="P37" s="440" t="s">
        <v>6051</v>
      </c>
      <c r="Q37" s="429"/>
      <c r="R37" s="429"/>
      <c r="S37" s="429"/>
      <c r="T37" s="429" t="s">
        <v>685</v>
      </c>
      <c r="U37" s="440">
        <v>1</v>
      </c>
      <c r="V37" s="448">
        <v>41834</v>
      </c>
      <c r="W37" s="444" t="s">
        <v>6054</v>
      </c>
      <c r="X37" s="440" t="s">
        <v>6055</v>
      </c>
      <c r="Y37" s="448">
        <v>41835</v>
      </c>
      <c r="Z37" s="448">
        <v>41988</v>
      </c>
      <c r="AA37" s="440">
        <v>0</v>
      </c>
      <c r="AB37" s="440">
        <v>0</v>
      </c>
      <c r="AC37" s="440">
        <v>0</v>
      </c>
      <c r="AD37" s="440">
        <v>0</v>
      </c>
      <c r="AE37" s="177">
        <v>8580</v>
      </c>
      <c r="AF37" s="429"/>
      <c r="AG37" s="278">
        <v>8580</v>
      </c>
      <c r="AH37" s="257">
        <f>AF37+AG37</f>
        <v>8580</v>
      </c>
      <c r="AI37" s="179"/>
      <c r="AJ37" s="181"/>
      <c r="AK37" s="107"/>
      <c r="AL37" s="922"/>
      <c r="AM37" s="179"/>
      <c r="AN37" s="181"/>
      <c r="AO37" s="181"/>
      <c r="AP37" s="181"/>
      <c r="AQ37" s="181"/>
      <c r="AR37" s="182"/>
      <c r="AS37" s="468"/>
      <c r="AT37" s="465"/>
      <c r="AU37" s="465"/>
      <c r="AV37" s="465"/>
      <c r="AW37" s="465"/>
      <c r="AX37" s="465"/>
      <c r="AY37" s="465"/>
      <c r="AZ37" s="465"/>
      <c r="BA37" s="465"/>
      <c r="BB37" s="465"/>
      <c r="BC37" s="465"/>
      <c r="BD37" s="467"/>
    </row>
    <row r="38" spans="1:56" ht="38.25" x14ac:dyDescent="0.25">
      <c r="A38" s="488">
        <v>14</v>
      </c>
      <c r="B38" s="468" t="s">
        <v>6056</v>
      </c>
      <c r="C38" s="429" t="s">
        <v>1756</v>
      </c>
      <c r="D38" s="429" t="s">
        <v>1548</v>
      </c>
      <c r="E38" s="429" t="s">
        <v>584</v>
      </c>
      <c r="F38" s="429" t="s">
        <v>6057</v>
      </c>
      <c r="G38" s="431">
        <v>11137</v>
      </c>
      <c r="H38" s="436" t="s">
        <v>724</v>
      </c>
      <c r="I38" s="429" t="s">
        <v>2345</v>
      </c>
      <c r="J38" s="429" t="s">
        <v>743</v>
      </c>
      <c r="K38" s="432">
        <v>41662</v>
      </c>
      <c r="L38" s="430">
        <v>3590</v>
      </c>
      <c r="M38" s="431">
        <v>11241</v>
      </c>
      <c r="N38" s="432">
        <v>41662</v>
      </c>
      <c r="O38" s="432">
        <v>41835</v>
      </c>
      <c r="P38" s="440" t="s">
        <v>6051</v>
      </c>
      <c r="Q38" s="429"/>
      <c r="R38" s="429"/>
      <c r="S38" s="429"/>
      <c r="T38" s="429" t="s">
        <v>685</v>
      </c>
      <c r="U38" s="440">
        <v>1</v>
      </c>
      <c r="V38" s="448">
        <v>41834</v>
      </c>
      <c r="W38" s="444" t="s">
        <v>6054</v>
      </c>
      <c r="X38" s="440" t="s">
        <v>6058</v>
      </c>
      <c r="Y38" s="448">
        <v>41835</v>
      </c>
      <c r="Z38" s="448">
        <v>41988</v>
      </c>
      <c r="AA38" s="440">
        <v>0</v>
      </c>
      <c r="AB38" s="440">
        <v>0</v>
      </c>
      <c r="AC38" s="440">
        <v>0</v>
      </c>
      <c r="AD38" s="440">
        <v>0</v>
      </c>
      <c r="AE38" s="177">
        <v>3590</v>
      </c>
      <c r="AF38" s="429"/>
      <c r="AG38" s="278">
        <v>0</v>
      </c>
      <c r="AH38" s="257">
        <f t="shared" ref="AH38:AH81" si="2">AF38+AG38</f>
        <v>0</v>
      </c>
      <c r="AI38" s="179"/>
      <c r="AJ38" s="107"/>
      <c r="AK38" s="107"/>
      <c r="AL38" s="922"/>
      <c r="AM38" s="179"/>
      <c r="AN38" s="181"/>
      <c r="AO38" s="181"/>
      <c r="AP38" s="181"/>
      <c r="AQ38" s="181"/>
      <c r="AR38" s="182"/>
      <c r="AS38" s="468"/>
      <c r="AT38" s="465"/>
      <c r="AU38" s="465"/>
      <c r="AV38" s="465"/>
      <c r="AW38" s="465"/>
      <c r="AX38" s="465"/>
      <c r="AY38" s="465"/>
      <c r="AZ38" s="465"/>
      <c r="BA38" s="465"/>
      <c r="BB38" s="465"/>
      <c r="BC38" s="465"/>
      <c r="BD38" s="467"/>
    </row>
    <row r="39" spans="1:56" ht="38.25" x14ac:dyDescent="0.25">
      <c r="A39" s="488">
        <v>15</v>
      </c>
      <c r="B39" s="468" t="s">
        <v>6056</v>
      </c>
      <c r="C39" s="429" t="s">
        <v>1756</v>
      </c>
      <c r="D39" s="429" t="s">
        <v>1548</v>
      </c>
      <c r="E39" s="429" t="s">
        <v>584</v>
      </c>
      <c r="F39" s="429" t="s">
        <v>6057</v>
      </c>
      <c r="G39" s="431">
        <v>11137</v>
      </c>
      <c r="H39" s="436" t="s">
        <v>388</v>
      </c>
      <c r="I39" s="429" t="s">
        <v>1958</v>
      </c>
      <c r="J39" s="429" t="s">
        <v>746</v>
      </c>
      <c r="K39" s="432">
        <v>41662</v>
      </c>
      <c r="L39" s="430">
        <v>198</v>
      </c>
      <c r="M39" s="431">
        <v>11241</v>
      </c>
      <c r="N39" s="432">
        <v>41662</v>
      </c>
      <c r="O39" s="432">
        <v>41835</v>
      </c>
      <c r="P39" s="440" t="s">
        <v>6051</v>
      </c>
      <c r="Q39" s="429"/>
      <c r="R39" s="429"/>
      <c r="S39" s="429"/>
      <c r="T39" s="429" t="s">
        <v>685</v>
      </c>
      <c r="U39" s="440">
        <v>1</v>
      </c>
      <c r="V39" s="448">
        <v>41834</v>
      </c>
      <c r="W39" s="444" t="s">
        <v>6054</v>
      </c>
      <c r="X39" s="440" t="s">
        <v>6059</v>
      </c>
      <c r="Y39" s="448">
        <v>41835</v>
      </c>
      <c r="Z39" s="448">
        <v>41988</v>
      </c>
      <c r="AA39" s="440">
        <v>0</v>
      </c>
      <c r="AB39" s="440">
        <v>0</v>
      </c>
      <c r="AC39" s="440">
        <v>0</v>
      </c>
      <c r="AD39" s="440">
        <v>0</v>
      </c>
      <c r="AE39" s="177">
        <v>198</v>
      </c>
      <c r="AF39" s="429"/>
      <c r="AG39" s="278">
        <v>0</v>
      </c>
      <c r="AH39" s="257">
        <f t="shared" si="2"/>
        <v>0</v>
      </c>
      <c r="AI39" s="179"/>
      <c r="AJ39" s="181"/>
      <c r="AK39" s="107"/>
      <c r="AL39" s="922"/>
      <c r="AM39" s="179"/>
      <c r="AN39" s="181"/>
      <c r="AO39" s="181"/>
      <c r="AP39" s="181"/>
      <c r="AQ39" s="181"/>
      <c r="AR39" s="182"/>
      <c r="AS39" s="468"/>
      <c r="AT39" s="465"/>
      <c r="AU39" s="465"/>
      <c r="AV39" s="465"/>
      <c r="AW39" s="465"/>
      <c r="AX39" s="465"/>
      <c r="AY39" s="465"/>
      <c r="AZ39" s="465"/>
      <c r="BA39" s="465"/>
      <c r="BB39" s="465"/>
      <c r="BC39" s="465"/>
      <c r="BD39" s="467"/>
    </row>
    <row r="40" spans="1:56" ht="25.5" x14ac:dyDescent="0.25">
      <c r="A40" s="488">
        <v>16</v>
      </c>
      <c r="B40" s="468" t="s">
        <v>6056</v>
      </c>
      <c r="C40" s="429" t="s">
        <v>1756</v>
      </c>
      <c r="D40" s="429" t="s">
        <v>1548</v>
      </c>
      <c r="E40" s="429" t="s">
        <v>584</v>
      </c>
      <c r="F40" s="429" t="s">
        <v>6057</v>
      </c>
      <c r="G40" s="431">
        <v>11137</v>
      </c>
      <c r="H40" s="436" t="s">
        <v>741</v>
      </c>
      <c r="I40" s="429" t="s">
        <v>6060</v>
      </c>
      <c r="J40" s="429" t="s">
        <v>749</v>
      </c>
      <c r="K40" s="432">
        <v>41662</v>
      </c>
      <c r="L40" s="430">
        <v>3779.9</v>
      </c>
      <c r="M40" s="431">
        <v>11241</v>
      </c>
      <c r="N40" s="432">
        <v>41662</v>
      </c>
      <c r="O40" s="432">
        <v>41835</v>
      </c>
      <c r="P40" s="440" t="s">
        <v>6051</v>
      </c>
      <c r="Q40" s="429"/>
      <c r="R40" s="429"/>
      <c r="S40" s="429"/>
      <c r="T40" s="429" t="s">
        <v>685</v>
      </c>
      <c r="U40" s="440" t="s">
        <v>677</v>
      </c>
      <c r="V40" s="448" t="s">
        <v>677</v>
      </c>
      <c r="W40" s="444" t="s">
        <v>677</v>
      </c>
      <c r="X40" s="440" t="s">
        <v>677</v>
      </c>
      <c r="Y40" s="448" t="s">
        <v>677</v>
      </c>
      <c r="Z40" s="448" t="s">
        <v>677</v>
      </c>
      <c r="AA40" s="440">
        <v>0</v>
      </c>
      <c r="AB40" s="440">
        <v>0</v>
      </c>
      <c r="AC40" s="440">
        <v>0</v>
      </c>
      <c r="AD40" s="440">
        <v>0</v>
      </c>
      <c r="AE40" s="177">
        <v>3779.9</v>
      </c>
      <c r="AF40" s="429"/>
      <c r="AG40" s="278">
        <v>3779.9</v>
      </c>
      <c r="AH40" s="257">
        <f t="shared" si="2"/>
        <v>3779.9</v>
      </c>
      <c r="AI40" s="179"/>
      <c r="AJ40" s="181"/>
      <c r="AK40" s="107"/>
      <c r="AL40" s="922"/>
      <c r="AM40" s="179"/>
      <c r="AN40" s="181"/>
      <c r="AO40" s="181"/>
      <c r="AP40" s="181"/>
      <c r="AQ40" s="181"/>
      <c r="AR40" s="182"/>
      <c r="AS40" s="468"/>
      <c r="AT40" s="465"/>
      <c r="AU40" s="465"/>
      <c r="AV40" s="465"/>
      <c r="AW40" s="465"/>
      <c r="AX40" s="465"/>
      <c r="AY40" s="465"/>
      <c r="AZ40" s="465"/>
      <c r="BA40" s="465"/>
      <c r="BB40" s="465"/>
      <c r="BC40" s="465"/>
      <c r="BD40" s="467"/>
    </row>
    <row r="41" spans="1:56" ht="38.25" x14ac:dyDescent="0.25">
      <c r="A41" s="488">
        <v>17</v>
      </c>
      <c r="B41" s="468" t="s">
        <v>6061</v>
      </c>
      <c r="C41" s="429" t="s">
        <v>1031</v>
      </c>
      <c r="D41" s="429" t="s">
        <v>4804</v>
      </c>
      <c r="E41" s="429" t="s">
        <v>584</v>
      </c>
      <c r="F41" s="429" t="s">
        <v>6062</v>
      </c>
      <c r="G41" s="431">
        <v>10991</v>
      </c>
      <c r="H41" s="436" t="s">
        <v>744</v>
      </c>
      <c r="I41" s="429" t="s">
        <v>1550</v>
      </c>
      <c r="J41" s="429" t="s">
        <v>6028</v>
      </c>
      <c r="K41" s="432">
        <v>41674</v>
      </c>
      <c r="L41" s="438">
        <v>16782</v>
      </c>
      <c r="M41" s="431">
        <v>11236</v>
      </c>
      <c r="N41" s="432">
        <v>41674</v>
      </c>
      <c r="O41" s="432">
        <v>42004</v>
      </c>
      <c r="P41" s="440" t="s">
        <v>591</v>
      </c>
      <c r="Q41" s="429"/>
      <c r="R41" s="429"/>
      <c r="S41" s="429"/>
      <c r="T41" s="429" t="s">
        <v>685</v>
      </c>
      <c r="U41" s="440"/>
      <c r="V41" s="448"/>
      <c r="W41" s="444"/>
      <c r="X41" s="440"/>
      <c r="Y41" s="448"/>
      <c r="Z41" s="448"/>
      <c r="AA41" s="440">
        <v>0</v>
      </c>
      <c r="AB41" s="440">
        <v>0</v>
      </c>
      <c r="AC41" s="440">
        <v>0</v>
      </c>
      <c r="AD41" s="440">
        <v>0</v>
      </c>
      <c r="AE41" s="701">
        <v>16782</v>
      </c>
      <c r="AF41" s="429"/>
      <c r="AG41" s="278">
        <v>9252</v>
      </c>
      <c r="AH41" s="257">
        <f t="shared" si="2"/>
        <v>9252</v>
      </c>
      <c r="AI41" s="267" t="s">
        <v>986</v>
      </c>
      <c r="AJ41" s="267"/>
      <c r="AK41" s="475" t="s">
        <v>6019</v>
      </c>
      <c r="AL41" s="267"/>
      <c r="AM41" s="179"/>
      <c r="AN41" s="181"/>
      <c r="AO41" s="181"/>
      <c r="AP41" s="181"/>
      <c r="AQ41" s="181"/>
      <c r="AR41" s="182"/>
      <c r="AS41" s="468"/>
      <c r="AT41" s="465"/>
      <c r="AU41" s="465"/>
      <c r="AV41" s="465"/>
      <c r="AW41" s="465"/>
      <c r="AX41" s="465"/>
      <c r="AY41" s="465"/>
      <c r="AZ41" s="465"/>
      <c r="BA41" s="465"/>
      <c r="BB41" s="465"/>
      <c r="BC41" s="465"/>
      <c r="BD41" s="467"/>
    </row>
    <row r="42" spans="1:56" ht="38.25" x14ac:dyDescent="0.25">
      <c r="A42" s="488">
        <v>18</v>
      </c>
      <c r="B42" s="468" t="s">
        <v>6061</v>
      </c>
      <c r="C42" s="429" t="s">
        <v>1031</v>
      </c>
      <c r="D42" s="429" t="s">
        <v>4804</v>
      </c>
      <c r="E42" s="429" t="s">
        <v>584</v>
      </c>
      <c r="F42" s="429" t="s">
        <v>6062</v>
      </c>
      <c r="G42" s="431">
        <v>10991</v>
      </c>
      <c r="H42" s="436" t="s">
        <v>747</v>
      </c>
      <c r="I42" s="429" t="s">
        <v>6063</v>
      </c>
      <c r="J42" s="429" t="s">
        <v>2688</v>
      </c>
      <c r="K42" s="432">
        <v>41674</v>
      </c>
      <c r="L42" s="430">
        <v>6348</v>
      </c>
      <c r="M42" s="431">
        <v>11236</v>
      </c>
      <c r="N42" s="432">
        <v>41674</v>
      </c>
      <c r="O42" s="432">
        <v>42004</v>
      </c>
      <c r="P42" s="440" t="s">
        <v>591</v>
      </c>
      <c r="Q42" s="429"/>
      <c r="R42" s="429"/>
      <c r="S42" s="429"/>
      <c r="T42" s="429" t="s">
        <v>685</v>
      </c>
      <c r="U42" s="440"/>
      <c r="V42" s="448"/>
      <c r="W42" s="444"/>
      <c r="X42" s="440"/>
      <c r="Y42" s="448"/>
      <c r="Z42" s="448"/>
      <c r="AA42" s="440">
        <v>0</v>
      </c>
      <c r="AB42" s="440">
        <v>0</v>
      </c>
      <c r="AC42" s="440">
        <v>0</v>
      </c>
      <c r="AD42" s="440">
        <v>0</v>
      </c>
      <c r="AE42" s="177">
        <v>6348</v>
      </c>
      <c r="AF42" s="429"/>
      <c r="AG42" s="278">
        <v>1436</v>
      </c>
      <c r="AH42" s="257">
        <f t="shared" si="2"/>
        <v>1436</v>
      </c>
      <c r="AI42" s="267" t="s">
        <v>986</v>
      </c>
      <c r="AJ42" s="267"/>
      <c r="AK42" s="475" t="s">
        <v>6019</v>
      </c>
      <c r="AL42" s="267"/>
      <c r="AM42" s="179"/>
      <c r="AN42" s="181"/>
      <c r="AO42" s="181"/>
      <c r="AP42" s="181"/>
      <c r="AQ42" s="181"/>
      <c r="AR42" s="182"/>
      <c r="AS42" s="468"/>
      <c r="AT42" s="465"/>
      <c r="AU42" s="465"/>
      <c r="AV42" s="465"/>
      <c r="AW42" s="465"/>
      <c r="AX42" s="465"/>
      <c r="AY42" s="465"/>
      <c r="AZ42" s="465"/>
      <c r="BA42" s="465"/>
      <c r="BB42" s="465"/>
      <c r="BC42" s="465"/>
      <c r="BD42" s="467"/>
    </row>
    <row r="43" spans="1:56" ht="63.75" x14ac:dyDescent="0.25">
      <c r="A43" s="488">
        <v>19</v>
      </c>
      <c r="B43" s="468" t="s">
        <v>750</v>
      </c>
      <c r="C43" s="429" t="s">
        <v>716</v>
      </c>
      <c r="D43" s="429" t="s">
        <v>3956</v>
      </c>
      <c r="E43" s="429" t="s">
        <v>584</v>
      </c>
      <c r="F43" s="429" t="s">
        <v>6064</v>
      </c>
      <c r="G43" s="431">
        <v>11227</v>
      </c>
      <c r="H43" s="436" t="s">
        <v>750</v>
      </c>
      <c r="I43" s="429" t="s">
        <v>6029</v>
      </c>
      <c r="J43" s="429" t="s">
        <v>6030</v>
      </c>
      <c r="K43" s="432">
        <v>41691</v>
      </c>
      <c r="L43" s="430">
        <v>32600</v>
      </c>
      <c r="M43" s="431">
        <v>11250</v>
      </c>
      <c r="N43" s="432">
        <v>41691</v>
      </c>
      <c r="O43" s="432">
        <v>42056</v>
      </c>
      <c r="P43" s="429" t="s">
        <v>6051</v>
      </c>
      <c r="Q43" s="429"/>
      <c r="R43" s="429"/>
      <c r="S43" s="429"/>
      <c r="T43" s="429" t="s">
        <v>685</v>
      </c>
      <c r="U43" s="440" t="s">
        <v>677</v>
      </c>
      <c r="V43" s="448" t="s">
        <v>677</v>
      </c>
      <c r="W43" s="444" t="s">
        <v>677</v>
      </c>
      <c r="X43" s="440" t="s">
        <v>677</v>
      </c>
      <c r="Y43" s="448" t="s">
        <v>677</v>
      </c>
      <c r="Z43" s="448" t="s">
        <v>677</v>
      </c>
      <c r="AA43" s="440">
        <v>0</v>
      </c>
      <c r="AB43" s="440">
        <v>0</v>
      </c>
      <c r="AC43" s="440">
        <v>0</v>
      </c>
      <c r="AD43" s="440">
        <v>0</v>
      </c>
      <c r="AE43" s="177">
        <v>32600</v>
      </c>
      <c r="AF43" s="429"/>
      <c r="AG43" s="278">
        <v>32600</v>
      </c>
      <c r="AH43" s="257">
        <f t="shared" si="2"/>
        <v>32600</v>
      </c>
      <c r="AI43" s="179"/>
      <c r="AJ43" s="107"/>
      <c r="AK43" s="107"/>
      <c r="AL43" s="180"/>
      <c r="AM43" s="179"/>
      <c r="AN43" s="181"/>
      <c r="AO43" s="181"/>
      <c r="AP43" s="181"/>
      <c r="AQ43" s="181"/>
      <c r="AR43" s="182"/>
      <c r="AS43" s="468"/>
      <c r="AT43" s="465"/>
      <c r="AU43" s="465"/>
      <c r="AV43" s="465"/>
      <c r="AW43" s="465"/>
      <c r="AX43" s="465"/>
      <c r="AY43" s="465"/>
      <c r="AZ43" s="465"/>
      <c r="BA43" s="465"/>
      <c r="BB43" s="465"/>
      <c r="BC43" s="465"/>
      <c r="BD43" s="467"/>
    </row>
    <row r="44" spans="1:56" ht="51" x14ac:dyDescent="0.25">
      <c r="A44" s="488">
        <v>20</v>
      </c>
      <c r="B44" s="468" t="s">
        <v>747</v>
      </c>
      <c r="C44" s="429" t="s">
        <v>704</v>
      </c>
      <c r="D44" s="429" t="s">
        <v>3956</v>
      </c>
      <c r="E44" s="429" t="s">
        <v>584</v>
      </c>
      <c r="F44" s="429" t="s">
        <v>6065</v>
      </c>
      <c r="G44" s="431">
        <v>11227</v>
      </c>
      <c r="H44" s="436" t="s">
        <v>757</v>
      </c>
      <c r="I44" s="429" t="s">
        <v>6066</v>
      </c>
      <c r="J44" s="429" t="s">
        <v>6067</v>
      </c>
      <c r="K44" s="432">
        <v>41691</v>
      </c>
      <c r="L44" s="430">
        <v>28000</v>
      </c>
      <c r="M44" s="431">
        <v>11250</v>
      </c>
      <c r="N44" s="432">
        <v>41691</v>
      </c>
      <c r="O44" s="432">
        <v>41872</v>
      </c>
      <c r="P44" s="429" t="s">
        <v>6051</v>
      </c>
      <c r="Q44" s="429"/>
      <c r="R44" s="429"/>
      <c r="S44" s="429"/>
      <c r="T44" s="429" t="s">
        <v>685</v>
      </c>
      <c r="U44" s="440" t="s">
        <v>677</v>
      </c>
      <c r="V44" s="448" t="s">
        <v>677</v>
      </c>
      <c r="W44" s="444" t="s">
        <v>677</v>
      </c>
      <c r="X44" s="440" t="s">
        <v>677</v>
      </c>
      <c r="Y44" s="448" t="s">
        <v>677</v>
      </c>
      <c r="Z44" s="448" t="s">
        <v>677</v>
      </c>
      <c r="AA44" s="440">
        <v>0</v>
      </c>
      <c r="AB44" s="440">
        <v>0</v>
      </c>
      <c r="AC44" s="440">
        <v>0</v>
      </c>
      <c r="AD44" s="440">
        <v>0</v>
      </c>
      <c r="AE44" s="177">
        <v>28000</v>
      </c>
      <c r="AF44" s="429"/>
      <c r="AG44" s="266">
        <v>0</v>
      </c>
      <c r="AH44" s="257">
        <f t="shared" si="2"/>
        <v>0</v>
      </c>
      <c r="AI44" s="179"/>
      <c r="AJ44" s="107"/>
      <c r="AK44" s="107"/>
      <c r="AL44" s="180"/>
      <c r="AM44" s="179"/>
      <c r="AN44" s="181"/>
      <c r="AO44" s="181"/>
      <c r="AP44" s="181"/>
      <c r="AQ44" s="181"/>
      <c r="AR44" s="182"/>
      <c r="AS44" s="468"/>
      <c r="AT44" s="465"/>
      <c r="AU44" s="465"/>
      <c r="AV44" s="465"/>
      <c r="AW44" s="465"/>
      <c r="AX44" s="465"/>
      <c r="AY44" s="465"/>
      <c r="AZ44" s="465"/>
      <c r="BA44" s="465"/>
      <c r="BB44" s="465"/>
      <c r="BC44" s="465"/>
      <c r="BD44" s="467"/>
    </row>
    <row r="45" spans="1:56" ht="25.5" x14ac:dyDescent="0.25">
      <c r="A45" s="488">
        <v>21</v>
      </c>
      <c r="B45" s="468" t="s">
        <v>828</v>
      </c>
      <c r="C45" s="429" t="s">
        <v>810</v>
      </c>
      <c r="D45" s="429" t="s">
        <v>3956</v>
      </c>
      <c r="E45" s="429" t="s">
        <v>584</v>
      </c>
      <c r="F45" s="429" t="s">
        <v>6068</v>
      </c>
      <c r="G45" s="431">
        <v>11234</v>
      </c>
      <c r="H45" s="436" t="s">
        <v>765</v>
      </c>
      <c r="I45" s="429" t="s">
        <v>6069</v>
      </c>
      <c r="J45" s="429" t="s">
        <v>6070</v>
      </c>
      <c r="K45" s="432">
        <v>41730</v>
      </c>
      <c r="L45" s="430">
        <v>19667.5</v>
      </c>
      <c r="M45" s="431">
        <v>11278</v>
      </c>
      <c r="N45" s="432">
        <v>41730</v>
      </c>
      <c r="O45" s="432">
        <v>41913</v>
      </c>
      <c r="P45" s="429" t="s">
        <v>6051</v>
      </c>
      <c r="Q45" s="429"/>
      <c r="R45" s="429"/>
      <c r="S45" s="429"/>
      <c r="T45" s="429" t="s">
        <v>685</v>
      </c>
      <c r="U45" s="440" t="s">
        <v>677</v>
      </c>
      <c r="V45" s="448" t="s">
        <v>677</v>
      </c>
      <c r="W45" s="444" t="s">
        <v>677</v>
      </c>
      <c r="X45" s="440" t="s">
        <v>677</v>
      </c>
      <c r="Y45" s="448" t="s">
        <v>677</v>
      </c>
      <c r="Z45" s="448" t="s">
        <v>677</v>
      </c>
      <c r="AA45" s="440">
        <v>0</v>
      </c>
      <c r="AB45" s="440">
        <v>0</v>
      </c>
      <c r="AC45" s="440">
        <v>0</v>
      </c>
      <c r="AD45" s="440">
        <v>0</v>
      </c>
      <c r="AE45" s="177">
        <v>19667.5</v>
      </c>
      <c r="AF45" s="429"/>
      <c r="AG45" s="278">
        <v>0</v>
      </c>
      <c r="AH45" s="257">
        <f t="shared" si="2"/>
        <v>0</v>
      </c>
      <c r="AI45" s="179"/>
      <c r="AJ45" s="107"/>
      <c r="AK45" s="107"/>
      <c r="AL45" s="180"/>
      <c r="AM45" s="179"/>
      <c r="AN45" s="181"/>
      <c r="AO45" s="181"/>
      <c r="AP45" s="181"/>
      <c r="AQ45" s="181"/>
      <c r="AR45" s="182"/>
      <c r="AS45" s="468"/>
      <c r="AT45" s="465"/>
      <c r="AU45" s="465"/>
      <c r="AV45" s="465"/>
      <c r="AW45" s="465"/>
      <c r="AX45" s="465"/>
      <c r="AY45" s="465"/>
      <c r="AZ45" s="465"/>
      <c r="BA45" s="465"/>
      <c r="BB45" s="465"/>
      <c r="BC45" s="465"/>
      <c r="BD45" s="467"/>
    </row>
    <row r="46" spans="1:56" ht="25.5" x14ac:dyDescent="0.25">
      <c r="A46" s="488">
        <v>22</v>
      </c>
      <c r="B46" s="468" t="s">
        <v>823</v>
      </c>
      <c r="C46" s="429" t="s">
        <v>828</v>
      </c>
      <c r="D46" s="429" t="s">
        <v>3956</v>
      </c>
      <c r="E46" s="429" t="s">
        <v>584</v>
      </c>
      <c r="F46" s="429" t="s">
        <v>4610</v>
      </c>
      <c r="G46" s="431">
        <v>11244</v>
      </c>
      <c r="H46" s="436" t="s">
        <v>777</v>
      </c>
      <c r="I46" s="429" t="s">
        <v>2345</v>
      </c>
      <c r="J46" s="429" t="s">
        <v>743</v>
      </c>
      <c r="K46" s="432">
        <v>41708</v>
      </c>
      <c r="L46" s="430">
        <v>8160</v>
      </c>
      <c r="M46" s="431">
        <v>11261</v>
      </c>
      <c r="N46" s="432">
        <v>41708</v>
      </c>
      <c r="O46" s="432">
        <v>41892</v>
      </c>
      <c r="P46" s="429" t="s">
        <v>6051</v>
      </c>
      <c r="Q46" s="429"/>
      <c r="R46" s="429"/>
      <c r="S46" s="429"/>
      <c r="T46" s="429" t="s">
        <v>685</v>
      </c>
      <c r="U46" s="440" t="s">
        <v>677</v>
      </c>
      <c r="V46" s="448" t="s">
        <v>677</v>
      </c>
      <c r="W46" s="444" t="s">
        <v>677</v>
      </c>
      <c r="X46" s="440" t="s">
        <v>677</v>
      </c>
      <c r="Y46" s="448" t="s">
        <v>677</v>
      </c>
      <c r="Z46" s="448" t="s">
        <v>677</v>
      </c>
      <c r="AA46" s="440">
        <v>0</v>
      </c>
      <c r="AB46" s="440">
        <v>0</v>
      </c>
      <c r="AC46" s="440">
        <v>0</v>
      </c>
      <c r="AD46" s="440">
        <v>0</v>
      </c>
      <c r="AE46" s="177">
        <v>8160</v>
      </c>
      <c r="AF46" s="429"/>
      <c r="AG46" s="278">
        <v>0</v>
      </c>
      <c r="AH46" s="257">
        <f t="shared" si="2"/>
        <v>0</v>
      </c>
      <c r="AI46" s="179"/>
      <c r="AJ46" s="107"/>
      <c r="AK46" s="107"/>
      <c r="AL46" s="180"/>
      <c r="AM46" s="179"/>
      <c r="AN46" s="181"/>
      <c r="AO46" s="181"/>
      <c r="AP46" s="181"/>
      <c r="AQ46" s="181"/>
      <c r="AR46" s="182"/>
      <c r="AS46" s="468"/>
      <c r="AT46" s="465"/>
      <c r="AU46" s="465"/>
      <c r="AV46" s="465"/>
      <c r="AW46" s="465"/>
      <c r="AX46" s="465"/>
      <c r="AY46" s="465"/>
      <c r="AZ46" s="465"/>
      <c r="BA46" s="465"/>
      <c r="BB46" s="465"/>
      <c r="BC46" s="465"/>
      <c r="BD46" s="467"/>
    </row>
    <row r="47" spans="1:56" ht="38.25" x14ac:dyDescent="0.25">
      <c r="A47" s="488">
        <v>23</v>
      </c>
      <c r="B47" s="468" t="s">
        <v>823</v>
      </c>
      <c r="C47" s="429" t="s">
        <v>828</v>
      </c>
      <c r="D47" s="429" t="s">
        <v>3956</v>
      </c>
      <c r="E47" s="429" t="s">
        <v>584</v>
      </c>
      <c r="F47" s="429" t="s">
        <v>4610</v>
      </c>
      <c r="G47" s="431">
        <v>11244</v>
      </c>
      <c r="H47" s="436" t="s">
        <v>780</v>
      </c>
      <c r="I47" s="429" t="s">
        <v>6071</v>
      </c>
      <c r="J47" s="429" t="s">
        <v>2333</v>
      </c>
      <c r="K47" s="432">
        <v>41708</v>
      </c>
      <c r="L47" s="430">
        <v>2015</v>
      </c>
      <c r="M47" s="431">
        <v>11261</v>
      </c>
      <c r="N47" s="432">
        <v>41708</v>
      </c>
      <c r="O47" s="432">
        <v>41892</v>
      </c>
      <c r="P47" s="429" t="s">
        <v>6051</v>
      </c>
      <c r="Q47" s="429"/>
      <c r="R47" s="429"/>
      <c r="S47" s="429"/>
      <c r="T47" s="429" t="s">
        <v>685</v>
      </c>
      <c r="U47" s="440" t="s">
        <v>677</v>
      </c>
      <c r="V47" s="448" t="s">
        <v>677</v>
      </c>
      <c r="W47" s="444" t="s">
        <v>677</v>
      </c>
      <c r="X47" s="440" t="s">
        <v>677</v>
      </c>
      <c r="Y47" s="448" t="s">
        <v>677</v>
      </c>
      <c r="Z47" s="448" t="s">
        <v>677</v>
      </c>
      <c r="AA47" s="440">
        <v>0</v>
      </c>
      <c r="AB47" s="440">
        <v>0</v>
      </c>
      <c r="AC47" s="440">
        <v>0</v>
      </c>
      <c r="AD47" s="440">
        <v>0</v>
      </c>
      <c r="AE47" s="177">
        <v>2015</v>
      </c>
      <c r="AF47" s="429"/>
      <c r="AG47" s="278">
        <v>0</v>
      </c>
      <c r="AH47" s="257">
        <f t="shared" si="2"/>
        <v>0</v>
      </c>
      <c r="AI47" s="179"/>
      <c r="AJ47" s="107"/>
      <c r="AK47" s="107"/>
      <c r="AL47" s="180"/>
      <c r="AM47" s="179"/>
      <c r="AN47" s="181"/>
      <c r="AO47" s="181"/>
      <c r="AP47" s="181"/>
      <c r="AQ47" s="181"/>
      <c r="AR47" s="182"/>
      <c r="AS47" s="468"/>
      <c r="AT47" s="465"/>
      <c r="AU47" s="465"/>
      <c r="AV47" s="465"/>
      <c r="AW47" s="465"/>
      <c r="AX47" s="465"/>
      <c r="AY47" s="465"/>
      <c r="AZ47" s="465"/>
      <c r="BA47" s="465"/>
      <c r="BB47" s="465"/>
      <c r="BC47" s="465"/>
      <c r="BD47" s="467"/>
    </row>
    <row r="48" spans="1:56" ht="25.5" x14ac:dyDescent="0.25">
      <c r="A48" s="488">
        <v>24</v>
      </c>
      <c r="B48" s="468" t="s">
        <v>823</v>
      </c>
      <c r="C48" s="429" t="s">
        <v>828</v>
      </c>
      <c r="D48" s="429" t="s">
        <v>3956</v>
      </c>
      <c r="E48" s="429" t="s">
        <v>584</v>
      </c>
      <c r="F48" s="429" t="s">
        <v>4610</v>
      </c>
      <c r="G48" s="431">
        <v>11244</v>
      </c>
      <c r="H48" s="436" t="s">
        <v>787</v>
      </c>
      <c r="I48" s="429" t="s">
        <v>6060</v>
      </c>
      <c r="J48" s="429" t="s">
        <v>749</v>
      </c>
      <c r="K48" s="432">
        <v>41708</v>
      </c>
      <c r="L48" s="430">
        <v>7980</v>
      </c>
      <c r="M48" s="431">
        <v>11261</v>
      </c>
      <c r="N48" s="432">
        <v>41708</v>
      </c>
      <c r="O48" s="432">
        <v>41892</v>
      </c>
      <c r="P48" s="429" t="s">
        <v>6051</v>
      </c>
      <c r="Q48" s="429"/>
      <c r="R48" s="429"/>
      <c r="S48" s="429"/>
      <c r="T48" s="429" t="s">
        <v>685</v>
      </c>
      <c r="U48" s="440" t="s">
        <v>677</v>
      </c>
      <c r="V48" s="448" t="s">
        <v>677</v>
      </c>
      <c r="W48" s="444" t="s">
        <v>677</v>
      </c>
      <c r="X48" s="440" t="s">
        <v>677</v>
      </c>
      <c r="Y48" s="448" t="s">
        <v>677</v>
      </c>
      <c r="Z48" s="448" t="s">
        <v>677</v>
      </c>
      <c r="AA48" s="440">
        <v>0</v>
      </c>
      <c r="AB48" s="440">
        <v>0</v>
      </c>
      <c r="AC48" s="440">
        <v>0</v>
      </c>
      <c r="AD48" s="440">
        <v>0</v>
      </c>
      <c r="AE48" s="177">
        <v>7980</v>
      </c>
      <c r="AF48" s="429"/>
      <c r="AG48" s="278">
        <v>7980</v>
      </c>
      <c r="AH48" s="257">
        <f t="shared" si="2"/>
        <v>7980</v>
      </c>
      <c r="AI48" s="179"/>
      <c r="AJ48" s="107"/>
      <c r="AK48" s="107"/>
      <c r="AL48" s="180"/>
      <c r="AM48" s="179"/>
      <c r="AN48" s="181"/>
      <c r="AO48" s="181"/>
      <c r="AP48" s="181"/>
      <c r="AQ48" s="181"/>
      <c r="AR48" s="182"/>
      <c r="AS48" s="468"/>
      <c r="AT48" s="465"/>
      <c r="AU48" s="465"/>
      <c r="AV48" s="465"/>
      <c r="AW48" s="465"/>
      <c r="AX48" s="465"/>
      <c r="AY48" s="465"/>
      <c r="AZ48" s="465"/>
      <c r="BA48" s="465"/>
      <c r="BB48" s="465"/>
      <c r="BC48" s="465"/>
      <c r="BD48" s="467"/>
    </row>
    <row r="49" spans="1:56" ht="38.25" x14ac:dyDescent="0.25">
      <c r="A49" s="488">
        <v>25</v>
      </c>
      <c r="B49" s="468" t="s">
        <v>817</v>
      </c>
      <c r="C49" s="429" t="s">
        <v>388</v>
      </c>
      <c r="D49" s="429" t="s">
        <v>3956</v>
      </c>
      <c r="E49" s="429" t="s">
        <v>584</v>
      </c>
      <c r="F49" s="429" t="s">
        <v>6072</v>
      </c>
      <c r="G49" s="431">
        <v>11261</v>
      </c>
      <c r="H49" s="436" t="s">
        <v>792</v>
      </c>
      <c r="I49" s="429" t="s">
        <v>6073</v>
      </c>
      <c r="J49" s="429" t="s">
        <v>6074</v>
      </c>
      <c r="K49" s="432">
        <v>41712</v>
      </c>
      <c r="L49" s="430">
        <v>10895</v>
      </c>
      <c r="M49" s="431">
        <v>1266</v>
      </c>
      <c r="N49" s="432">
        <v>41712</v>
      </c>
      <c r="O49" s="432">
        <v>42077</v>
      </c>
      <c r="P49" s="429" t="s">
        <v>6051</v>
      </c>
      <c r="Q49" s="429"/>
      <c r="R49" s="429"/>
      <c r="S49" s="429"/>
      <c r="T49" s="429" t="s">
        <v>685</v>
      </c>
      <c r="U49" s="440" t="s">
        <v>677</v>
      </c>
      <c r="V49" s="448" t="s">
        <v>677</v>
      </c>
      <c r="W49" s="444" t="s">
        <v>677</v>
      </c>
      <c r="X49" s="440" t="s">
        <v>677</v>
      </c>
      <c r="Y49" s="448" t="s">
        <v>677</v>
      </c>
      <c r="Z49" s="448" t="s">
        <v>677</v>
      </c>
      <c r="AA49" s="440">
        <v>0</v>
      </c>
      <c r="AB49" s="440">
        <v>0</v>
      </c>
      <c r="AC49" s="440">
        <v>0</v>
      </c>
      <c r="AD49" s="440">
        <v>0</v>
      </c>
      <c r="AE49" s="177">
        <v>10895</v>
      </c>
      <c r="AF49" s="429"/>
      <c r="AG49" s="278">
        <f>9035+1140</f>
        <v>10175</v>
      </c>
      <c r="AH49" s="257">
        <f t="shared" si="2"/>
        <v>10175</v>
      </c>
      <c r="AI49" s="179"/>
      <c r="AJ49" s="107"/>
      <c r="AK49" s="107"/>
      <c r="AL49" s="180"/>
      <c r="AM49" s="179"/>
      <c r="AN49" s="181"/>
      <c r="AO49" s="181"/>
      <c r="AP49" s="181"/>
      <c r="AQ49" s="181"/>
      <c r="AR49" s="182"/>
      <c r="AS49" s="468"/>
      <c r="AT49" s="465"/>
      <c r="AU49" s="465"/>
      <c r="AV49" s="465"/>
      <c r="AW49" s="465"/>
      <c r="AX49" s="465"/>
      <c r="AY49" s="465"/>
      <c r="AZ49" s="465"/>
      <c r="BA49" s="465"/>
      <c r="BB49" s="465"/>
      <c r="BC49" s="465"/>
      <c r="BD49" s="467"/>
    </row>
    <row r="50" spans="1:56" ht="38.25" x14ac:dyDescent="0.25">
      <c r="A50" s="488">
        <v>26</v>
      </c>
      <c r="B50" s="468" t="s">
        <v>757</v>
      </c>
      <c r="C50" s="429" t="s">
        <v>680</v>
      </c>
      <c r="D50" s="429" t="s">
        <v>3956</v>
      </c>
      <c r="E50" s="429" t="s">
        <v>584</v>
      </c>
      <c r="F50" s="429" t="s">
        <v>6075</v>
      </c>
      <c r="G50" s="431">
        <v>11242</v>
      </c>
      <c r="H50" s="436" t="s">
        <v>6076</v>
      </c>
      <c r="I50" s="429" t="s">
        <v>6038</v>
      </c>
      <c r="J50" s="429" t="s">
        <v>718</v>
      </c>
      <c r="K50" s="432">
        <v>41715</v>
      </c>
      <c r="L50" s="430">
        <v>96</v>
      </c>
      <c r="M50" s="431">
        <v>11279</v>
      </c>
      <c r="N50" s="432">
        <v>41715</v>
      </c>
      <c r="O50" s="432">
        <v>41837</v>
      </c>
      <c r="P50" s="440" t="s">
        <v>6051</v>
      </c>
      <c r="Q50" s="429"/>
      <c r="R50" s="429"/>
      <c r="S50" s="429"/>
      <c r="T50" s="429" t="s">
        <v>719</v>
      </c>
      <c r="U50" s="440" t="s">
        <v>677</v>
      </c>
      <c r="V50" s="448" t="s">
        <v>677</v>
      </c>
      <c r="W50" s="444" t="s">
        <v>677</v>
      </c>
      <c r="X50" s="440" t="s">
        <v>677</v>
      </c>
      <c r="Y50" s="448" t="s">
        <v>677</v>
      </c>
      <c r="Z50" s="448" t="s">
        <v>677</v>
      </c>
      <c r="AA50" s="440">
        <v>0</v>
      </c>
      <c r="AB50" s="440">
        <v>0</v>
      </c>
      <c r="AC50" s="440">
        <v>0</v>
      </c>
      <c r="AD50" s="440">
        <v>0</v>
      </c>
      <c r="AE50" s="184">
        <v>96</v>
      </c>
      <c r="AF50" s="429"/>
      <c r="AG50" s="278">
        <v>96</v>
      </c>
      <c r="AH50" s="257">
        <f t="shared" si="2"/>
        <v>96</v>
      </c>
      <c r="AI50" s="179"/>
      <c r="AJ50" s="107"/>
      <c r="AK50" s="107"/>
      <c r="AL50" s="180"/>
      <c r="AM50" s="179"/>
      <c r="AN50" s="181"/>
      <c r="AO50" s="181"/>
      <c r="AP50" s="181"/>
      <c r="AQ50" s="181"/>
      <c r="AR50" s="182"/>
      <c r="AS50" s="468"/>
      <c r="AT50" s="465"/>
      <c r="AU50" s="465"/>
      <c r="AV50" s="465"/>
      <c r="AW50" s="465"/>
      <c r="AX50" s="465"/>
      <c r="AY50" s="465"/>
      <c r="AZ50" s="465"/>
      <c r="BA50" s="465"/>
      <c r="BB50" s="465"/>
      <c r="BC50" s="465"/>
      <c r="BD50" s="467"/>
    </row>
    <row r="51" spans="1:56" ht="25.5" x14ac:dyDescent="0.25">
      <c r="A51" s="488">
        <v>27</v>
      </c>
      <c r="B51" s="468" t="s">
        <v>757</v>
      </c>
      <c r="C51" s="429" t="s">
        <v>680</v>
      </c>
      <c r="D51" s="429" t="s">
        <v>3956</v>
      </c>
      <c r="E51" s="429" t="s">
        <v>584</v>
      </c>
      <c r="F51" s="429" t="s">
        <v>6075</v>
      </c>
      <c r="G51" s="431">
        <v>11242</v>
      </c>
      <c r="H51" s="436" t="s">
        <v>6077</v>
      </c>
      <c r="I51" s="429" t="s">
        <v>6078</v>
      </c>
      <c r="J51" s="429" t="s">
        <v>1761</v>
      </c>
      <c r="K51" s="432">
        <v>41715</v>
      </c>
      <c r="L51" s="430">
        <v>1168</v>
      </c>
      <c r="M51" s="431">
        <v>11266</v>
      </c>
      <c r="N51" s="432">
        <v>41715</v>
      </c>
      <c r="O51" s="432">
        <v>41837</v>
      </c>
      <c r="P51" s="440" t="s">
        <v>6051</v>
      </c>
      <c r="Q51" s="429"/>
      <c r="R51" s="429"/>
      <c r="S51" s="429"/>
      <c r="T51" s="429" t="s">
        <v>719</v>
      </c>
      <c r="U51" s="440" t="s">
        <v>677</v>
      </c>
      <c r="V51" s="448" t="s">
        <v>677</v>
      </c>
      <c r="W51" s="444" t="s">
        <v>677</v>
      </c>
      <c r="X51" s="440" t="s">
        <v>677</v>
      </c>
      <c r="Y51" s="448" t="s">
        <v>677</v>
      </c>
      <c r="Z51" s="448" t="s">
        <v>677</v>
      </c>
      <c r="AA51" s="440">
        <v>0</v>
      </c>
      <c r="AB51" s="440">
        <v>0</v>
      </c>
      <c r="AC51" s="440">
        <v>0</v>
      </c>
      <c r="AD51" s="440">
        <v>0</v>
      </c>
      <c r="AE51" s="184">
        <v>1168</v>
      </c>
      <c r="AF51" s="429"/>
      <c r="AG51" s="278">
        <v>1168</v>
      </c>
      <c r="AH51" s="257">
        <f t="shared" si="2"/>
        <v>1168</v>
      </c>
      <c r="AI51" s="179"/>
      <c r="AJ51" s="107"/>
      <c r="AK51" s="107"/>
      <c r="AL51" s="180"/>
      <c r="AM51" s="179"/>
      <c r="AN51" s="181"/>
      <c r="AO51" s="181"/>
      <c r="AP51" s="181"/>
      <c r="AQ51" s="181"/>
      <c r="AR51" s="182"/>
      <c r="AS51" s="468"/>
      <c r="AT51" s="465"/>
      <c r="AU51" s="465"/>
      <c r="AV51" s="465"/>
      <c r="AW51" s="465"/>
      <c r="AX51" s="465"/>
      <c r="AY51" s="465"/>
      <c r="AZ51" s="465"/>
      <c r="BA51" s="465"/>
      <c r="BB51" s="465"/>
      <c r="BC51" s="465"/>
      <c r="BD51" s="467"/>
    </row>
    <row r="52" spans="1:56" ht="38.25" x14ac:dyDescent="0.25">
      <c r="A52" s="488">
        <v>28</v>
      </c>
      <c r="B52" s="468" t="s">
        <v>757</v>
      </c>
      <c r="C52" s="429" t="s">
        <v>680</v>
      </c>
      <c r="D52" s="429" t="s">
        <v>3956</v>
      </c>
      <c r="E52" s="429" t="s">
        <v>584</v>
      </c>
      <c r="F52" s="429" t="s">
        <v>6075</v>
      </c>
      <c r="G52" s="431">
        <v>11242</v>
      </c>
      <c r="H52" s="436" t="s">
        <v>6079</v>
      </c>
      <c r="I52" s="429" t="s">
        <v>6080</v>
      </c>
      <c r="J52" s="429" t="s">
        <v>464</v>
      </c>
      <c r="K52" s="432">
        <v>41715</v>
      </c>
      <c r="L52" s="430">
        <v>2315.75</v>
      </c>
      <c r="M52" s="431">
        <v>11266</v>
      </c>
      <c r="N52" s="432">
        <v>41715</v>
      </c>
      <c r="O52" s="432">
        <v>41837</v>
      </c>
      <c r="P52" s="440" t="s">
        <v>6051</v>
      </c>
      <c r="Q52" s="429"/>
      <c r="R52" s="429"/>
      <c r="S52" s="429"/>
      <c r="T52" s="429" t="s">
        <v>719</v>
      </c>
      <c r="U52" s="440" t="s">
        <v>677</v>
      </c>
      <c r="V52" s="448" t="s">
        <v>677</v>
      </c>
      <c r="W52" s="444" t="s">
        <v>677</v>
      </c>
      <c r="X52" s="440" t="s">
        <v>677</v>
      </c>
      <c r="Y52" s="448" t="s">
        <v>677</v>
      </c>
      <c r="Z52" s="448" t="s">
        <v>677</v>
      </c>
      <c r="AA52" s="440">
        <v>0</v>
      </c>
      <c r="AB52" s="440">
        <v>0</v>
      </c>
      <c r="AC52" s="440">
        <v>0</v>
      </c>
      <c r="AD52" s="440">
        <v>0</v>
      </c>
      <c r="AE52" s="184">
        <v>2315.75</v>
      </c>
      <c r="AF52" s="429"/>
      <c r="AG52" s="278">
        <v>2315.75</v>
      </c>
      <c r="AH52" s="257">
        <f t="shared" si="2"/>
        <v>2315.75</v>
      </c>
      <c r="AI52" s="179"/>
      <c r="AJ52" s="107"/>
      <c r="AK52" s="107"/>
      <c r="AL52" s="180"/>
      <c r="AM52" s="179"/>
      <c r="AN52" s="181"/>
      <c r="AO52" s="181"/>
      <c r="AP52" s="181"/>
      <c r="AQ52" s="181"/>
      <c r="AR52" s="182"/>
      <c r="AS52" s="468"/>
      <c r="AT52" s="465"/>
      <c r="AU52" s="465"/>
      <c r="AV52" s="465"/>
      <c r="AW52" s="465"/>
      <c r="AX52" s="465"/>
      <c r="AY52" s="465"/>
      <c r="AZ52" s="465"/>
      <c r="BA52" s="465"/>
      <c r="BB52" s="465"/>
      <c r="BC52" s="465"/>
      <c r="BD52" s="467"/>
    </row>
    <row r="53" spans="1:56" ht="25.5" x14ac:dyDescent="0.25">
      <c r="A53" s="488">
        <v>29</v>
      </c>
      <c r="B53" s="468" t="s">
        <v>757</v>
      </c>
      <c r="C53" s="429" t="s">
        <v>680</v>
      </c>
      <c r="D53" s="429" t="s">
        <v>3956</v>
      </c>
      <c r="E53" s="429" t="s">
        <v>584</v>
      </c>
      <c r="F53" s="429" t="s">
        <v>6075</v>
      </c>
      <c r="G53" s="431">
        <v>11242</v>
      </c>
      <c r="H53" s="436" t="s">
        <v>6081</v>
      </c>
      <c r="I53" s="429" t="s">
        <v>3536</v>
      </c>
      <c r="J53" s="429" t="s">
        <v>4219</v>
      </c>
      <c r="K53" s="432">
        <v>41715</v>
      </c>
      <c r="L53" s="430">
        <v>1034.9000000000001</v>
      </c>
      <c r="M53" s="431">
        <v>11266</v>
      </c>
      <c r="N53" s="432">
        <v>41715</v>
      </c>
      <c r="O53" s="432">
        <v>41837</v>
      </c>
      <c r="P53" s="440" t="s">
        <v>6051</v>
      </c>
      <c r="Q53" s="429"/>
      <c r="R53" s="429"/>
      <c r="S53" s="429"/>
      <c r="T53" s="429" t="s">
        <v>719</v>
      </c>
      <c r="U53" s="440" t="s">
        <v>677</v>
      </c>
      <c r="V53" s="448" t="s">
        <v>677</v>
      </c>
      <c r="W53" s="444" t="s">
        <v>677</v>
      </c>
      <c r="X53" s="440" t="s">
        <v>677</v>
      </c>
      <c r="Y53" s="448" t="s">
        <v>677</v>
      </c>
      <c r="Z53" s="448" t="s">
        <v>677</v>
      </c>
      <c r="AA53" s="440">
        <v>0</v>
      </c>
      <c r="AB53" s="440">
        <v>0</v>
      </c>
      <c r="AC53" s="440">
        <v>0</v>
      </c>
      <c r="AD53" s="440">
        <v>0</v>
      </c>
      <c r="AE53" s="184">
        <v>1034.9000000000001</v>
      </c>
      <c r="AF53" s="429"/>
      <c r="AG53" s="278">
        <v>1034.9000000000001</v>
      </c>
      <c r="AH53" s="257">
        <f t="shared" si="2"/>
        <v>1034.9000000000001</v>
      </c>
      <c r="AI53" s="179"/>
      <c r="AJ53" s="107"/>
      <c r="AK53" s="107"/>
      <c r="AL53" s="180"/>
      <c r="AM53" s="179"/>
      <c r="AN53" s="181"/>
      <c r="AO53" s="181"/>
      <c r="AP53" s="181"/>
      <c r="AQ53" s="181"/>
      <c r="AR53" s="182"/>
      <c r="AS53" s="468"/>
      <c r="AT53" s="465"/>
      <c r="AU53" s="465"/>
      <c r="AV53" s="465"/>
      <c r="AW53" s="465"/>
      <c r="AX53" s="465"/>
      <c r="AY53" s="465"/>
      <c r="AZ53" s="465"/>
      <c r="BA53" s="465"/>
      <c r="BB53" s="465"/>
      <c r="BC53" s="465"/>
      <c r="BD53" s="467"/>
    </row>
    <row r="54" spans="1:56" ht="25.5" x14ac:dyDescent="0.25">
      <c r="A54" s="488">
        <v>30</v>
      </c>
      <c r="B54" s="468" t="s">
        <v>757</v>
      </c>
      <c r="C54" s="429" t="s">
        <v>680</v>
      </c>
      <c r="D54" s="429" t="s">
        <v>3956</v>
      </c>
      <c r="E54" s="429" t="s">
        <v>584</v>
      </c>
      <c r="F54" s="429" t="s">
        <v>6075</v>
      </c>
      <c r="G54" s="431">
        <v>11242</v>
      </c>
      <c r="H54" s="436" t="s">
        <v>6082</v>
      </c>
      <c r="I54" s="429" t="s">
        <v>6039</v>
      </c>
      <c r="J54" s="429" t="s">
        <v>458</v>
      </c>
      <c r="K54" s="432">
        <v>41715</v>
      </c>
      <c r="L54" s="430">
        <v>507</v>
      </c>
      <c r="M54" s="431">
        <v>11266</v>
      </c>
      <c r="N54" s="432">
        <v>41715</v>
      </c>
      <c r="O54" s="432">
        <v>41837</v>
      </c>
      <c r="P54" s="440" t="s">
        <v>6051</v>
      </c>
      <c r="Q54" s="429"/>
      <c r="R54" s="429"/>
      <c r="S54" s="429"/>
      <c r="T54" s="429" t="s">
        <v>719</v>
      </c>
      <c r="U54" s="440" t="s">
        <v>677</v>
      </c>
      <c r="V54" s="448" t="s">
        <v>677</v>
      </c>
      <c r="W54" s="444" t="s">
        <v>677</v>
      </c>
      <c r="X54" s="440" t="s">
        <v>677</v>
      </c>
      <c r="Y54" s="448" t="s">
        <v>677</v>
      </c>
      <c r="Z54" s="448" t="s">
        <v>677</v>
      </c>
      <c r="AA54" s="440">
        <v>0</v>
      </c>
      <c r="AB54" s="440">
        <v>0</v>
      </c>
      <c r="AC54" s="440">
        <v>0</v>
      </c>
      <c r="AD54" s="440">
        <v>0</v>
      </c>
      <c r="AE54" s="184">
        <v>507</v>
      </c>
      <c r="AF54" s="429"/>
      <c r="AG54" s="278">
        <v>507</v>
      </c>
      <c r="AH54" s="257">
        <f t="shared" si="2"/>
        <v>507</v>
      </c>
      <c r="AI54" s="179"/>
      <c r="AJ54" s="107"/>
      <c r="AK54" s="107"/>
      <c r="AL54" s="180"/>
      <c r="AM54" s="179"/>
      <c r="AN54" s="181"/>
      <c r="AO54" s="181"/>
      <c r="AP54" s="181"/>
      <c r="AQ54" s="181"/>
      <c r="AR54" s="182"/>
      <c r="AS54" s="468"/>
      <c r="AT54" s="465"/>
      <c r="AU54" s="465"/>
      <c r="AV54" s="465"/>
      <c r="AW54" s="465"/>
      <c r="AX54" s="465"/>
      <c r="AY54" s="465"/>
      <c r="AZ54" s="465"/>
      <c r="BA54" s="465"/>
      <c r="BB54" s="465"/>
      <c r="BC54" s="465"/>
      <c r="BD54" s="467"/>
    </row>
    <row r="55" spans="1:56" ht="25.5" x14ac:dyDescent="0.25">
      <c r="A55" s="488">
        <v>31</v>
      </c>
      <c r="B55" s="468" t="s">
        <v>757</v>
      </c>
      <c r="C55" s="429" t="s">
        <v>680</v>
      </c>
      <c r="D55" s="429" t="s">
        <v>3956</v>
      </c>
      <c r="E55" s="429" t="s">
        <v>584</v>
      </c>
      <c r="F55" s="429" t="s">
        <v>6075</v>
      </c>
      <c r="G55" s="431">
        <v>11242</v>
      </c>
      <c r="H55" s="436" t="s">
        <v>6083</v>
      </c>
      <c r="I55" s="429" t="s">
        <v>6084</v>
      </c>
      <c r="J55" s="429" t="s">
        <v>448</v>
      </c>
      <c r="K55" s="432">
        <v>41715</v>
      </c>
      <c r="L55" s="430">
        <v>490.8</v>
      </c>
      <c r="M55" s="431">
        <v>11266</v>
      </c>
      <c r="N55" s="432">
        <v>41715</v>
      </c>
      <c r="O55" s="432">
        <v>41837</v>
      </c>
      <c r="P55" s="440" t="s">
        <v>6051</v>
      </c>
      <c r="Q55" s="429"/>
      <c r="R55" s="429"/>
      <c r="S55" s="429"/>
      <c r="T55" s="429" t="s">
        <v>719</v>
      </c>
      <c r="U55" s="440" t="s">
        <v>677</v>
      </c>
      <c r="V55" s="448" t="s">
        <v>677</v>
      </c>
      <c r="W55" s="444" t="s">
        <v>677</v>
      </c>
      <c r="X55" s="440" t="s">
        <v>677</v>
      </c>
      <c r="Y55" s="448" t="s">
        <v>677</v>
      </c>
      <c r="Z55" s="448" t="s">
        <v>677</v>
      </c>
      <c r="AA55" s="440">
        <v>0</v>
      </c>
      <c r="AB55" s="440">
        <v>0</v>
      </c>
      <c r="AC55" s="440">
        <v>0</v>
      </c>
      <c r="AD55" s="440">
        <v>0</v>
      </c>
      <c r="AE55" s="184">
        <v>490.8</v>
      </c>
      <c r="AF55" s="429"/>
      <c r="AG55" s="278">
        <v>490.8</v>
      </c>
      <c r="AH55" s="257">
        <f t="shared" si="2"/>
        <v>490.8</v>
      </c>
      <c r="AI55" s="179"/>
      <c r="AJ55" s="107"/>
      <c r="AK55" s="107"/>
      <c r="AL55" s="180"/>
      <c r="AM55" s="179"/>
      <c r="AN55" s="181"/>
      <c r="AO55" s="181"/>
      <c r="AP55" s="181"/>
      <c r="AQ55" s="181"/>
      <c r="AR55" s="182"/>
      <c r="AS55" s="468"/>
      <c r="AT55" s="465"/>
      <c r="AU55" s="465"/>
      <c r="AV55" s="465"/>
      <c r="AW55" s="465"/>
      <c r="AX55" s="465"/>
      <c r="AY55" s="465"/>
      <c r="AZ55" s="465"/>
      <c r="BA55" s="465"/>
      <c r="BB55" s="465"/>
      <c r="BC55" s="465"/>
      <c r="BD55" s="467"/>
    </row>
    <row r="56" spans="1:56" ht="38.25" x14ac:dyDescent="0.25">
      <c r="A56" s="488">
        <v>32</v>
      </c>
      <c r="B56" s="468" t="s">
        <v>757</v>
      </c>
      <c r="C56" s="429" t="s">
        <v>680</v>
      </c>
      <c r="D56" s="429" t="s">
        <v>3956</v>
      </c>
      <c r="E56" s="429" t="s">
        <v>584</v>
      </c>
      <c r="F56" s="429" t="s">
        <v>6075</v>
      </c>
      <c r="G56" s="431">
        <v>11242</v>
      </c>
      <c r="H56" s="436" t="s">
        <v>6085</v>
      </c>
      <c r="I56" s="429" t="s">
        <v>6073</v>
      </c>
      <c r="J56" s="429" t="s">
        <v>6074</v>
      </c>
      <c r="K56" s="432">
        <v>41715</v>
      </c>
      <c r="L56" s="430">
        <v>660</v>
      </c>
      <c r="M56" s="431">
        <v>11266</v>
      </c>
      <c r="N56" s="432">
        <v>41715</v>
      </c>
      <c r="O56" s="432">
        <v>41837</v>
      </c>
      <c r="P56" s="440" t="s">
        <v>6051</v>
      </c>
      <c r="Q56" s="429"/>
      <c r="R56" s="429"/>
      <c r="S56" s="429"/>
      <c r="T56" s="429" t="s">
        <v>719</v>
      </c>
      <c r="U56" s="440" t="s">
        <v>677</v>
      </c>
      <c r="V56" s="448" t="s">
        <v>677</v>
      </c>
      <c r="W56" s="444" t="s">
        <v>677</v>
      </c>
      <c r="X56" s="440" t="s">
        <v>677</v>
      </c>
      <c r="Y56" s="448" t="s">
        <v>677</v>
      </c>
      <c r="Z56" s="448" t="s">
        <v>677</v>
      </c>
      <c r="AA56" s="440">
        <v>0</v>
      </c>
      <c r="AB56" s="440">
        <v>0</v>
      </c>
      <c r="AC56" s="440">
        <v>0</v>
      </c>
      <c r="AD56" s="440">
        <v>0</v>
      </c>
      <c r="AE56" s="184">
        <v>660</v>
      </c>
      <c r="AF56" s="429"/>
      <c r="AG56" s="278">
        <v>660</v>
      </c>
      <c r="AH56" s="257">
        <f t="shared" si="2"/>
        <v>660</v>
      </c>
      <c r="AI56" s="179"/>
      <c r="AJ56" s="107"/>
      <c r="AK56" s="107"/>
      <c r="AL56" s="180"/>
      <c r="AM56" s="179"/>
      <c r="AN56" s="181"/>
      <c r="AO56" s="181"/>
      <c r="AP56" s="181"/>
      <c r="AQ56" s="181"/>
      <c r="AR56" s="182"/>
      <c r="AS56" s="468"/>
      <c r="AT56" s="465"/>
      <c r="AU56" s="465"/>
      <c r="AV56" s="465"/>
      <c r="AW56" s="465"/>
      <c r="AX56" s="465"/>
      <c r="AY56" s="465"/>
      <c r="AZ56" s="465"/>
      <c r="BA56" s="465"/>
      <c r="BB56" s="465"/>
      <c r="BC56" s="465"/>
      <c r="BD56" s="467"/>
    </row>
    <row r="57" spans="1:56" ht="38.25" x14ac:dyDescent="0.25">
      <c r="A57" s="488">
        <v>33</v>
      </c>
      <c r="B57" s="468" t="s">
        <v>489</v>
      </c>
      <c r="C57" s="429" t="s">
        <v>405</v>
      </c>
      <c r="D57" s="429" t="s">
        <v>1548</v>
      </c>
      <c r="E57" s="429" t="s">
        <v>584</v>
      </c>
      <c r="F57" s="429" t="s">
        <v>6086</v>
      </c>
      <c r="G57" s="431">
        <v>11255</v>
      </c>
      <c r="H57" s="436" t="s">
        <v>817</v>
      </c>
      <c r="I57" s="429" t="s">
        <v>6087</v>
      </c>
      <c r="J57" s="429" t="s">
        <v>265</v>
      </c>
      <c r="K57" s="432">
        <v>41723</v>
      </c>
      <c r="L57" s="430">
        <v>15752.51</v>
      </c>
      <c r="M57" s="431">
        <v>11277</v>
      </c>
      <c r="N57" s="432">
        <v>41723</v>
      </c>
      <c r="O57" s="432">
        <v>41835</v>
      </c>
      <c r="P57" s="440" t="s">
        <v>6051</v>
      </c>
      <c r="Q57" s="429"/>
      <c r="R57" s="429"/>
      <c r="S57" s="429"/>
      <c r="T57" s="429" t="s">
        <v>685</v>
      </c>
      <c r="U57" s="440">
        <v>1</v>
      </c>
      <c r="V57" s="448">
        <v>41834</v>
      </c>
      <c r="W57" s="444" t="s">
        <v>6088</v>
      </c>
      <c r="X57" s="440" t="s">
        <v>6059</v>
      </c>
      <c r="Y57" s="448">
        <v>41835</v>
      </c>
      <c r="Z57" s="448">
        <v>42353</v>
      </c>
      <c r="AA57" s="440">
        <v>0</v>
      </c>
      <c r="AB57" s="440">
        <v>0</v>
      </c>
      <c r="AC57" s="440">
        <v>0</v>
      </c>
      <c r="AD57" s="440">
        <v>0</v>
      </c>
      <c r="AE57" s="177">
        <f>L57-AD57+AC57</f>
        <v>15752.51</v>
      </c>
      <c r="AF57" s="506">
        <f>18373.2+7839.22</f>
        <v>26212.420000000002</v>
      </c>
      <c r="AG57" s="506">
        <v>59954.62</v>
      </c>
      <c r="AH57" s="257">
        <f>AF57+AG57</f>
        <v>86167.040000000008</v>
      </c>
      <c r="AI57" s="179"/>
      <c r="AJ57" s="107"/>
      <c r="AK57" s="107"/>
      <c r="AL57" s="108"/>
      <c r="AM57" s="179"/>
      <c r="AN57" s="181"/>
      <c r="AO57" s="181"/>
      <c r="AP57" s="181"/>
      <c r="AQ57" s="181"/>
      <c r="AR57" s="182"/>
      <c r="AS57" s="468"/>
      <c r="AT57" s="465"/>
      <c r="AU57" s="465"/>
      <c r="AV57" s="465"/>
      <c r="AW57" s="465"/>
      <c r="AX57" s="465"/>
      <c r="AY57" s="465"/>
      <c r="AZ57" s="465"/>
      <c r="BA57" s="465"/>
      <c r="BB57" s="465"/>
      <c r="BC57" s="465"/>
      <c r="BD57" s="467"/>
    </row>
    <row r="58" spans="1:56" ht="51" x14ac:dyDescent="0.25">
      <c r="A58" s="488">
        <v>34</v>
      </c>
      <c r="B58" s="468" t="s">
        <v>765</v>
      </c>
      <c r="C58" s="429" t="s">
        <v>381</v>
      </c>
      <c r="D58" s="429" t="s">
        <v>3956</v>
      </c>
      <c r="E58" s="429" t="s">
        <v>584</v>
      </c>
      <c r="F58" s="429" t="s">
        <v>6089</v>
      </c>
      <c r="G58" s="431">
        <v>11239</v>
      </c>
      <c r="H58" s="436" t="s">
        <v>823</v>
      </c>
      <c r="I58" s="429" t="s">
        <v>6090</v>
      </c>
      <c r="J58" s="429" t="s">
        <v>6091</v>
      </c>
      <c r="K58" s="432">
        <v>41729</v>
      </c>
      <c r="L58" s="430">
        <v>3945</v>
      </c>
      <c r="M58" s="431">
        <v>11277</v>
      </c>
      <c r="N58" s="432">
        <v>41729</v>
      </c>
      <c r="O58" s="432" t="s">
        <v>6092</v>
      </c>
      <c r="P58" s="440" t="s">
        <v>6051</v>
      </c>
      <c r="Q58" s="429"/>
      <c r="R58" s="429"/>
      <c r="S58" s="429"/>
      <c r="T58" s="429" t="s">
        <v>6093</v>
      </c>
      <c r="U58" s="440" t="s">
        <v>677</v>
      </c>
      <c r="V58" s="448" t="s">
        <v>677</v>
      </c>
      <c r="W58" s="444" t="s">
        <v>677</v>
      </c>
      <c r="X58" s="440" t="s">
        <v>677</v>
      </c>
      <c r="Y58" s="448" t="s">
        <v>677</v>
      </c>
      <c r="Z58" s="448" t="s">
        <v>677</v>
      </c>
      <c r="AA58" s="440">
        <v>0</v>
      </c>
      <c r="AB58" s="440">
        <v>0</v>
      </c>
      <c r="AC58" s="440">
        <v>0</v>
      </c>
      <c r="AD58" s="440">
        <v>0</v>
      </c>
      <c r="AE58" s="184">
        <v>3945</v>
      </c>
      <c r="AF58" s="429"/>
      <c r="AG58" s="278">
        <v>3945</v>
      </c>
      <c r="AH58" s="257">
        <f t="shared" si="2"/>
        <v>3945</v>
      </c>
      <c r="AI58" s="179"/>
      <c r="AJ58" s="107"/>
      <c r="AK58" s="107"/>
      <c r="AL58" s="180"/>
      <c r="AM58" s="179"/>
      <c r="AN58" s="181"/>
      <c r="AO58" s="181"/>
      <c r="AP58" s="181"/>
      <c r="AQ58" s="181"/>
      <c r="AR58" s="182"/>
      <c r="AS58" s="468"/>
      <c r="AT58" s="465"/>
      <c r="AU58" s="465"/>
      <c r="AV58" s="465"/>
      <c r="AW58" s="465"/>
      <c r="AX58" s="465"/>
      <c r="AY58" s="465"/>
      <c r="AZ58" s="465"/>
      <c r="BA58" s="465"/>
      <c r="BB58" s="465"/>
      <c r="BC58" s="465"/>
      <c r="BD58" s="467"/>
    </row>
    <row r="59" spans="1:56" ht="25.5" x14ac:dyDescent="0.25">
      <c r="A59" s="488">
        <v>35</v>
      </c>
      <c r="B59" s="468" t="s">
        <v>765</v>
      </c>
      <c r="C59" s="429" t="s">
        <v>381</v>
      </c>
      <c r="D59" s="429" t="s">
        <v>3956</v>
      </c>
      <c r="E59" s="429" t="s">
        <v>584</v>
      </c>
      <c r="F59" s="429" t="s">
        <v>6089</v>
      </c>
      <c r="G59" s="431">
        <v>11239</v>
      </c>
      <c r="H59" s="436" t="s">
        <v>828</v>
      </c>
      <c r="I59" s="429" t="s">
        <v>6094</v>
      </c>
      <c r="J59" s="429" t="s">
        <v>407</v>
      </c>
      <c r="K59" s="432">
        <v>41729</v>
      </c>
      <c r="L59" s="430">
        <v>6835</v>
      </c>
      <c r="M59" s="431">
        <v>11277</v>
      </c>
      <c r="N59" s="432">
        <v>41729</v>
      </c>
      <c r="O59" s="432" t="s">
        <v>6092</v>
      </c>
      <c r="P59" s="440" t="s">
        <v>6051</v>
      </c>
      <c r="Q59" s="429"/>
      <c r="R59" s="429"/>
      <c r="S59" s="429"/>
      <c r="T59" s="429" t="s">
        <v>6093</v>
      </c>
      <c r="U59" s="440" t="s">
        <v>677</v>
      </c>
      <c r="V59" s="448" t="s">
        <v>677</v>
      </c>
      <c r="W59" s="444" t="s">
        <v>677</v>
      </c>
      <c r="X59" s="440" t="s">
        <v>677</v>
      </c>
      <c r="Y59" s="448" t="s">
        <v>677</v>
      </c>
      <c r="Z59" s="448" t="s">
        <v>677</v>
      </c>
      <c r="AA59" s="440">
        <v>0</v>
      </c>
      <c r="AB59" s="440">
        <v>0</v>
      </c>
      <c r="AC59" s="440">
        <v>0</v>
      </c>
      <c r="AD59" s="440">
        <v>0</v>
      </c>
      <c r="AE59" s="184">
        <v>6835</v>
      </c>
      <c r="AF59" s="429"/>
      <c r="AG59" s="278">
        <v>6835</v>
      </c>
      <c r="AH59" s="257">
        <f t="shared" si="2"/>
        <v>6835</v>
      </c>
      <c r="AI59" s="179"/>
      <c r="AJ59" s="107"/>
      <c r="AK59" s="107"/>
      <c r="AL59" s="180"/>
      <c r="AM59" s="179"/>
      <c r="AN59" s="181"/>
      <c r="AO59" s="181"/>
      <c r="AP59" s="181"/>
      <c r="AQ59" s="181"/>
      <c r="AR59" s="182"/>
      <c r="AS59" s="468"/>
      <c r="AT59" s="465"/>
      <c r="AU59" s="465"/>
      <c r="AV59" s="465"/>
      <c r="AW59" s="465"/>
      <c r="AX59" s="465"/>
      <c r="AY59" s="465"/>
      <c r="AZ59" s="465"/>
      <c r="BA59" s="465"/>
      <c r="BB59" s="465"/>
      <c r="BC59" s="465"/>
      <c r="BD59" s="467"/>
    </row>
    <row r="60" spans="1:56" ht="25.5" x14ac:dyDescent="0.25">
      <c r="A60" s="488">
        <v>36</v>
      </c>
      <c r="B60" s="468" t="s">
        <v>765</v>
      </c>
      <c r="C60" s="429" t="s">
        <v>381</v>
      </c>
      <c r="D60" s="429" t="s">
        <v>3956</v>
      </c>
      <c r="E60" s="429" t="s">
        <v>584</v>
      </c>
      <c r="F60" s="429" t="s">
        <v>6089</v>
      </c>
      <c r="G60" s="431">
        <v>11239</v>
      </c>
      <c r="H60" s="436" t="s">
        <v>831</v>
      </c>
      <c r="I60" s="429" t="s">
        <v>6078</v>
      </c>
      <c r="J60" s="429" t="s">
        <v>1761</v>
      </c>
      <c r="K60" s="432">
        <v>41729</v>
      </c>
      <c r="L60" s="430">
        <v>890</v>
      </c>
      <c r="M60" s="431">
        <v>11277</v>
      </c>
      <c r="N60" s="432">
        <v>41729</v>
      </c>
      <c r="O60" s="432" t="s">
        <v>6092</v>
      </c>
      <c r="P60" s="440" t="s">
        <v>6051</v>
      </c>
      <c r="Q60" s="429"/>
      <c r="R60" s="429"/>
      <c r="S60" s="429"/>
      <c r="T60" s="429" t="s">
        <v>6093</v>
      </c>
      <c r="U60" s="440" t="s">
        <v>677</v>
      </c>
      <c r="V60" s="448" t="s">
        <v>677</v>
      </c>
      <c r="W60" s="444" t="s">
        <v>677</v>
      </c>
      <c r="X60" s="440" t="s">
        <v>677</v>
      </c>
      <c r="Y60" s="448" t="s">
        <v>677</v>
      </c>
      <c r="Z60" s="448" t="s">
        <v>677</v>
      </c>
      <c r="AA60" s="440">
        <v>0</v>
      </c>
      <c r="AB60" s="440">
        <v>0</v>
      </c>
      <c r="AC60" s="440">
        <v>0</v>
      </c>
      <c r="AD60" s="440">
        <v>0</v>
      </c>
      <c r="AE60" s="184">
        <v>890</v>
      </c>
      <c r="AF60" s="429"/>
      <c r="AG60" s="278">
        <v>890</v>
      </c>
      <c r="AH60" s="257">
        <f t="shared" si="2"/>
        <v>890</v>
      </c>
      <c r="AI60" s="179"/>
      <c r="AJ60" s="107"/>
      <c r="AK60" s="107"/>
      <c r="AL60" s="180"/>
      <c r="AM60" s="179"/>
      <c r="AN60" s="181"/>
      <c r="AO60" s="181"/>
      <c r="AP60" s="181"/>
      <c r="AQ60" s="181"/>
      <c r="AR60" s="182"/>
      <c r="AS60" s="468"/>
      <c r="AT60" s="465"/>
      <c r="AU60" s="465"/>
      <c r="AV60" s="465"/>
      <c r="AW60" s="465"/>
      <c r="AX60" s="465"/>
      <c r="AY60" s="465"/>
      <c r="AZ60" s="465"/>
      <c r="BA60" s="465"/>
      <c r="BB60" s="465"/>
      <c r="BC60" s="465"/>
      <c r="BD60" s="467"/>
    </row>
    <row r="61" spans="1:56" ht="51" x14ac:dyDescent="0.25">
      <c r="A61" s="488">
        <v>37</v>
      </c>
      <c r="B61" s="468" t="s">
        <v>765</v>
      </c>
      <c r="C61" s="429" t="s">
        <v>381</v>
      </c>
      <c r="D61" s="429" t="s">
        <v>3956</v>
      </c>
      <c r="E61" s="429" t="s">
        <v>584</v>
      </c>
      <c r="F61" s="429" t="s">
        <v>6089</v>
      </c>
      <c r="G61" s="431">
        <v>11239</v>
      </c>
      <c r="H61" s="436" t="s">
        <v>832</v>
      </c>
      <c r="I61" s="429" t="s">
        <v>6095</v>
      </c>
      <c r="J61" s="429" t="s">
        <v>6096</v>
      </c>
      <c r="K61" s="432">
        <v>41729</v>
      </c>
      <c r="L61" s="430">
        <v>6510</v>
      </c>
      <c r="M61" s="431">
        <v>11277</v>
      </c>
      <c r="N61" s="432">
        <v>41729</v>
      </c>
      <c r="O61" s="432" t="s">
        <v>6092</v>
      </c>
      <c r="P61" s="440" t="s">
        <v>6051</v>
      </c>
      <c r="Q61" s="429"/>
      <c r="R61" s="429"/>
      <c r="S61" s="429"/>
      <c r="T61" s="429" t="s">
        <v>6093</v>
      </c>
      <c r="U61" s="440" t="s">
        <v>677</v>
      </c>
      <c r="V61" s="448" t="s">
        <v>677</v>
      </c>
      <c r="W61" s="444" t="s">
        <v>677</v>
      </c>
      <c r="X61" s="440" t="s">
        <v>677</v>
      </c>
      <c r="Y61" s="448" t="s">
        <v>677</v>
      </c>
      <c r="Z61" s="448" t="s">
        <v>677</v>
      </c>
      <c r="AA61" s="440">
        <v>0</v>
      </c>
      <c r="AB61" s="440">
        <v>0</v>
      </c>
      <c r="AC61" s="440">
        <v>0</v>
      </c>
      <c r="AD61" s="440">
        <v>0</v>
      </c>
      <c r="AE61" s="184">
        <v>6510</v>
      </c>
      <c r="AF61" s="429"/>
      <c r="AG61" s="278">
        <v>6510</v>
      </c>
      <c r="AH61" s="257">
        <f t="shared" si="2"/>
        <v>6510</v>
      </c>
      <c r="AI61" s="179"/>
      <c r="AJ61" s="107"/>
      <c r="AK61" s="107"/>
      <c r="AL61" s="180"/>
      <c r="AM61" s="179"/>
      <c r="AN61" s="181"/>
      <c r="AO61" s="181"/>
      <c r="AP61" s="181"/>
      <c r="AQ61" s="181"/>
      <c r="AR61" s="182"/>
      <c r="AS61" s="468"/>
      <c r="AT61" s="465"/>
      <c r="AU61" s="465"/>
      <c r="AV61" s="465"/>
      <c r="AW61" s="465"/>
      <c r="AX61" s="465"/>
      <c r="AY61" s="465"/>
      <c r="AZ61" s="465"/>
      <c r="BA61" s="465"/>
      <c r="BB61" s="465"/>
      <c r="BC61" s="465"/>
      <c r="BD61" s="467"/>
    </row>
    <row r="62" spans="1:56" ht="51" x14ac:dyDescent="0.25">
      <c r="A62" s="488">
        <v>38</v>
      </c>
      <c r="B62" s="468" t="s">
        <v>6097</v>
      </c>
      <c r="C62" s="429" t="s">
        <v>6098</v>
      </c>
      <c r="D62" s="429" t="s">
        <v>4804</v>
      </c>
      <c r="E62" s="429" t="s">
        <v>584</v>
      </c>
      <c r="F62" s="429" t="s">
        <v>6099</v>
      </c>
      <c r="G62" s="431">
        <v>11243</v>
      </c>
      <c r="H62" s="436" t="s">
        <v>835</v>
      </c>
      <c r="I62" s="429" t="s">
        <v>6100</v>
      </c>
      <c r="J62" s="429" t="s">
        <v>6101</v>
      </c>
      <c r="K62" s="432">
        <v>41729</v>
      </c>
      <c r="L62" s="430">
        <v>51840</v>
      </c>
      <c r="M62" s="431">
        <v>11286</v>
      </c>
      <c r="N62" s="432">
        <v>41730</v>
      </c>
      <c r="O62" s="432">
        <v>42095</v>
      </c>
      <c r="P62" s="440" t="s">
        <v>591</v>
      </c>
      <c r="Q62" s="429"/>
      <c r="R62" s="429"/>
      <c r="S62" s="429"/>
      <c r="T62" s="429" t="s">
        <v>685</v>
      </c>
      <c r="U62" s="440" t="s">
        <v>677</v>
      </c>
      <c r="V62" s="448" t="s">
        <v>677</v>
      </c>
      <c r="W62" s="444" t="s">
        <v>677</v>
      </c>
      <c r="X62" s="440" t="s">
        <v>677</v>
      </c>
      <c r="Y62" s="448" t="s">
        <v>677</v>
      </c>
      <c r="Z62" s="448" t="s">
        <v>677</v>
      </c>
      <c r="AA62" s="440">
        <v>0</v>
      </c>
      <c r="AB62" s="440">
        <v>0</v>
      </c>
      <c r="AC62" s="440">
        <v>0</v>
      </c>
      <c r="AD62" s="440">
        <v>0</v>
      </c>
      <c r="AE62" s="184">
        <v>51840</v>
      </c>
      <c r="AF62" s="429"/>
      <c r="AG62" s="278">
        <v>38016</v>
      </c>
      <c r="AH62" s="257">
        <f t="shared" si="2"/>
        <v>38016</v>
      </c>
      <c r="AI62" s="267" t="s">
        <v>1690</v>
      </c>
      <c r="AJ62" s="267" t="s">
        <v>6102</v>
      </c>
      <c r="AK62" s="475" t="s">
        <v>6103</v>
      </c>
      <c r="AL62" s="267" t="s">
        <v>6102</v>
      </c>
      <c r="AM62" s="179"/>
      <c r="AN62" s="181"/>
      <c r="AO62" s="181"/>
      <c r="AP62" s="181"/>
      <c r="AQ62" s="181"/>
      <c r="AR62" s="182"/>
      <c r="AS62" s="468"/>
      <c r="AT62" s="465"/>
      <c r="AU62" s="465"/>
      <c r="AV62" s="465"/>
      <c r="AW62" s="465"/>
      <c r="AX62" s="465"/>
      <c r="AY62" s="465"/>
      <c r="AZ62" s="465"/>
      <c r="BA62" s="465"/>
      <c r="BB62" s="465"/>
      <c r="BC62" s="465"/>
      <c r="BD62" s="467"/>
    </row>
    <row r="63" spans="1:56" ht="38.25" x14ac:dyDescent="0.25">
      <c r="A63" s="488">
        <v>39</v>
      </c>
      <c r="B63" s="468" t="s">
        <v>1948</v>
      </c>
      <c r="C63" s="429" t="s">
        <v>6104</v>
      </c>
      <c r="D63" s="429" t="s">
        <v>4804</v>
      </c>
      <c r="E63" s="429" t="s">
        <v>584</v>
      </c>
      <c r="F63" s="429" t="s">
        <v>6105</v>
      </c>
      <c r="G63" s="431">
        <v>11102</v>
      </c>
      <c r="H63" s="436" t="s">
        <v>6106</v>
      </c>
      <c r="I63" s="429" t="s">
        <v>6107</v>
      </c>
      <c r="J63" s="429" t="s">
        <v>6108</v>
      </c>
      <c r="K63" s="432">
        <v>41773</v>
      </c>
      <c r="L63" s="430">
        <v>10261.94</v>
      </c>
      <c r="M63" s="431" t="s">
        <v>677</v>
      </c>
      <c r="N63" s="432">
        <v>41773</v>
      </c>
      <c r="O63" s="432">
        <v>41773</v>
      </c>
      <c r="P63" s="440" t="s">
        <v>591</v>
      </c>
      <c r="Q63" s="429"/>
      <c r="R63" s="429"/>
      <c r="S63" s="429"/>
      <c r="T63" s="429" t="s">
        <v>719</v>
      </c>
      <c r="U63" s="440" t="s">
        <v>677</v>
      </c>
      <c r="V63" s="448" t="s">
        <v>677</v>
      </c>
      <c r="W63" s="444" t="s">
        <v>677</v>
      </c>
      <c r="X63" s="440" t="s">
        <v>677</v>
      </c>
      <c r="Y63" s="448" t="s">
        <v>677</v>
      </c>
      <c r="Z63" s="448" t="s">
        <v>677</v>
      </c>
      <c r="AA63" s="440">
        <v>0</v>
      </c>
      <c r="AB63" s="440">
        <v>0</v>
      </c>
      <c r="AC63" s="440">
        <v>0</v>
      </c>
      <c r="AD63" s="440">
        <v>0</v>
      </c>
      <c r="AE63" s="184">
        <v>10261.94</v>
      </c>
      <c r="AF63" s="429"/>
      <c r="AG63" s="429"/>
      <c r="AH63" s="257">
        <f t="shared" si="2"/>
        <v>0</v>
      </c>
      <c r="AI63" s="267" t="s">
        <v>1057</v>
      </c>
      <c r="AJ63" s="267" t="s">
        <v>6109</v>
      </c>
      <c r="AK63" s="475" t="s">
        <v>6110</v>
      </c>
      <c r="AL63" s="267" t="s">
        <v>6111</v>
      </c>
      <c r="AM63" s="179"/>
      <c r="AN63" s="181"/>
      <c r="AO63" s="181"/>
      <c r="AP63" s="181"/>
      <c r="AQ63" s="181"/>
      <c r="AR63" s="182"/>
      <c r="AS63" s="468"/>
      <c r="AT63" s="465"/>
      <c r="AU63" s="465"/>
      <c r="AV63" s="465"/>
      <c r="AW63" s="465"/>
      <c r="AX63" s="465"/>
      <c r="AY63" s="465"/>
      <c r="AZ63" s="465"/>
      <c r="BA63" s="465"/>
      <c r="BB63" s="465"/>
      <c r="BC63" s="465"/>
      <c r="BD63" s="467"/>
    </row>
    <row r="64" spans="1:56" ht="38.25" x14ac:dyDescent="0.25">
      <c r="A64" s="488">
        <v>40</v>
      </c>
      <c r="B64" s="468" t="s">
        <v>1948</v>
      </c>
      <c r="C64" s="429" t="s">
        <v>6104</v>
      </c>
      <c r="D64" s="429" t="s">
        <v>4804</v>
      </c>
      <c r="E64" s="429" t="s">
        <v>584</v>
      </c>
      <c r="F64" s="429" t="s">
        <v>6105</v>
      </c>
      <c r="G64" s="431">
        <v>11102</v>
      </c>
      <c r="H64" s="436" t="s">
        <v>6112</v>
      </c>
      <c r="I64" s="429" t="s">
        <v>6113</v>
      </c>
      <c r="J64" s="429" t="s">
        <v>6114</v>
      </c>
      <c r="K64" s="432">
        <v>41773</v>
      </c>
      <c r="L64" s="430">
        <v>1270.5</v>
      </c>
      <c r="M64" s="431" t="s">
        <v>677</v>
      </c>
      <c r="N64" s="432">
        <v>41773</v>
      </c>
      <c r="O64" s="432">
        <v>41773</v>
      </c>
      <c r="P64" s="440" t="s">
        <v>591</v>
      </c>
      <c r="Q64" s="429"/>
      <c r="R64" s="429"/>
      <c r="S64" s="429"/>
      <c r="T64" s="429" t="s">
        <v>719</v>
      </c>
      <c r="U64" s="440" t="s">
        <v>677</v>
      </c>
      <c r="V64" s="448" t="s">
        <v>677</v>
      </c>
      <c r="W64" s="444" t="s">
        <v>677</v>
      </c>
      <c r="X64" s="440" t="s">
        <v>677</v>
      </c>
      <c r="Y64" s="448" t="s">
        <v>677</v>
      </c>
      <c r="Z64" s="448" t="s">
        <v>677</v>
      </c>
      <c r="AA64" s="440">
        <v>0</v>
      </c>
      <c r="AB64" s="440">
        <v>0</v>
      </c>
      <c r="AC64" s="440">
        <v>0</v>
      </c>
      <c r="AD64" s="440">
        <v>0</v>
      </c>
      <c r="AE64" s="184">
        <v>1270.5</v>
      </c>
      <c r="AF64" s="429"/>
      <c r="AG64" s="278">
        <v>792</v>
      </c>
      <c r="AH64" s="257">
        <f t="shared" si="2"/>
        <v>792</v>
      </c>
      <c r="AI64" s="267" t="s">
        <v>1057</v>
      </c>
      <c r="AJ64" s="267" t="s">
        <v>6109</v>
      </c>
      <c r="AK64" s="475" t="s">
        <v>6110</v>
      </c>
      <c r="AL64" s="267" t="s">
        <v>6111</v>
      </c>
      <c r="AM64" s="179"/>
      <c r="AN64" s="181"/>
      <c r="AO64" s="181"/>
      <c r="AP64" s="181"/>
      <c r="AQ64" s="181"/>
      <c r="AR64" s="182"/>
      <c r="AS64" s="468"/>
      <c r="AT64" s="465"/>
      <c r="AU64" s="465"/>
      <c r="AV64" s="465"/>
      <c r="AW64" s="465"/>
      <c r="AX64" s="465"/>
      <c r="AY64" s="465"/>
      <c r="AZ64" s="465"/>
      <c r="BA64" s="465"/>
      <c r="BB64" s="465"/>
      <c r="BC64" s="465"/>
      <c r="BD64" s="467"/>
    </row>
    <row r="65" spans="1:56" ht="38.25" x14ac:dyDescent="0.25">
      <c r="A65" s="488">
        <v>41</v>
      </c>
      <c r="B65" s="468" t="s">
        <v>6115</v>
      </c>
      <c r="C65" s="429" t="s">
        <v>403</v>
      </c>
      <c r="D65" s="429" t="s">
        <v>4804</v>
      </c>
      <c r="E65" s="429" t="s">
        <v>584</v>
      </c>
      <c r="F65" s="429" t="s">
        <v>6116</v>
      </c>
      <c r="G65" s="431" t="s">
        <v>677</v>
      </c>
      <c r="H65" s="436" t="s">
        <v>6117</v>
      </c>
      <c r="I65" s="429" t="s">
        <v>6094</v>
      </c>
      <c r="J65" s="429" t="s">
        <v>407</v>
      </c>
      <c r="K65" s="432">
        <v>41807</v>
      </c>
      <c r="L65" s="430">
        <v>15821</v>
      </c>
      <c r="M65" s="431" t="s">
        <v>677</v>
      </c>
      <c r="N65" s="432">
        <v>41807</v>
      </c>
      <c r="O65" s="432">
        <v>41807</v>
      </c>
      <c r="P65" s="440" t="s">
        <v>591</v>
      </c>
      <c r="Q65" s="429"/>
      <c r="R65" s="429"/>
      <c r="S65" s="429"/>
      <c r="T65" s="429" t="s">
        <v>6093</v>
      </c>
      <c r="U65" s="440" t="s">
        <v>677</v>
      </c>
      <c r="V65" s="448" t="s">
        <v>677</v>
      </c>
      <c r="W65" s="444" t="s">
        <v>677</v>
      </c>
      <c r="X65" s="440" t="s">
        <v>677</v>
      </c>
      <c r="Y65" s="448" t="s">
        <v>677</v>
      </c>
      <c r="Z65" s="448" t="s">
        <v>677</v>
      </c>
      <c r="AA65" s="440">
        <v>0</v>
      </c>
      <c r="AB65" s="440">
        <v>0</v>
      </c>
      <c r="AC65" s="440">
        <v>0</v>
      </c>
      <c r="AD65" s="440">
        <v>0</v>
      </c>
      <c r="AE65" s="184">
        <v>15821</v>
      </c>
      <c r="AF65" s="429"/>
      <c r="AG65" s="429"/>
      <c r="AH65" s="257">
        <f t="shared" si="2"/>
        <v>0</v>
      </c>
      <c r="AI65" s="267" t="s">
        <v>1775</v>
      </c>
      <c r="AJ65" s="267" t="s">
        <v>410</v>
      </c>
      <c r="AK65" s="475" t="s">
        <v>6118</v>
      </c>
      <c r="AL65" s="267" t="s">
        <v>410</v>
      </c>
      <c r="AM65" s="179"/>
      <c r="AN65" s="181"/>
      <c r="AO65" s="181"/>
      <c r="AP65" s="181"/>
      <c r="AQ65" s="181"/>
      <c r="AR65" s="182"/>
      <c r="AS65" s="468"/>
      <c r="AT65" s="465"/>
      <c r="AU65" s="465"/>
      <c r="AV65" s="465"/>
      <c r="AW65" s="465"/>
      <c r="AX65" s="465"/>
      <c r="AY65" s="465"/>
      <c r="AZ65" s="465"/>
      <c r="BA65" s="465"/>
      <c r="BB65" s="465"/>
      <c r="BC65" s="465"/>
      <c r="BD65" s="467"/>
    </row>
    <row r="66" spans="1:56" ht="38.25" x14ac:dyDescent="0.25">
      <c r="A66" s="488">
        <v>42</v>
      </c>
      <c r="B66" s="468" t="s">
        <v>6115</v>
      </c>
      <c r="C66" s="429" t="s">
        <v>403</v>
      </c>
      <c r="D66" s="429" t="s">
        <v>4804</v>
      </c>
      <c r="E66" s="429" t="s">
        <v>584</v>
      </c>
      <c r="F66" s="429" t="s">
        <v>6119</v>
      </c>
      <c r="G66" s="431" t="s">
        <v>677</v>
      </c>
      <c r="H66" s="436" t="s">
        <v>6120</v>
      </c>
      <c r="I66" s="429" t="s">
        <v>6094</v>
      </c>
      <c r="J66" s="429" t="s">
        <v>407</v>
      </c>
      <c r="K66" s="432">
        <v>41807</v>
      </c>
      <c r="L66" s="430">
        <v>24284</v>
      </c>
      <c r="M66" s="431" t="s">
        <v>677</v>
      </c>
      <c r="N66" s="432">
        <v>41807</v>
      </c>
      <c r="O66" s="432">
        <v>41807</v>
      </c>
      <c r="P66" s="440" t="s">
        <v>591</v>
      </c>
      <c r="Q66" s="429"/>
      <c r="R66" s="429"/>
      <c r="S66" s="429"/>
      <c r="T66" s="429" t="s">
        <v>6093</v>
      </c>
      <c r="U66" s="440" t="s">
        <v>677</v>
      </c>
      <c r="V66" s="448" t="s">
        <v>677</v>
      </c>
      <c r="W66" s="444" t="s">
        <v>677</v>
      </c>
      <c r="X66" s="440" t="s">
        <v>677</v>
      </c>
      <c r="Y66" s="448" t="s">
        <v>677</v>
      </c>
      <c r="Z66" s="448" t="s">
        <v>677</v>
      </c>
      <c r="AA66" s="440">
        <v>0</v>
      </c>
      <c r="AB66" s="440">
        <v>0</v>
      </c>
      <c r="AC66" s="440">
        <v>0</v>
      </c>
      <c r="AD66" s="440">
        <v>0</v>
      </c>
      <c r="AE66" s="184">
        <v>15821</v>
      </c>
      <c r="AF66" s="429"/>
      <c r="AG66" s="429"/>
      <c r="AH66" s="257">
        <f t="shared" si="2"/>
        <v>0</v>
      </c>
      <c r="AI66" s="267" t="s">
        <v>1775</v>
      </c>
      <c r="AJ66" s="267" t="s">
        <v>410</v>
      </c>
      <c r="AK66" s="475" t="s">
        <v>6118</v>
      </c>
      <c r="AL66" s="267" t="s">
        <v>410</v>
      </c>
      <c r="AM66" s="179"/>
      <c r="AN66" s="181"/>
      <c r="AO66" s="181"/>
      <c r="AP66" s="181"/>
      <c r="AQ66" s="181"/>
      <c r="AR66" s="182"/>
      <c r="AS66" s="468"/>
      <c r="AT66" s="465"/>
      <c r="AU66" s="465"/>
      <c r="AV66" s="465"/>
      <c r="AW66" s="465"/>
      <c r="AX66" s="465"/>
      <c r="AY66" s="465"/>
      <c r="AZ66" s="465"/>
      <c r="BA66" s="465"/>
      <c r="BB66" s="465"/>
      <c r="BC66" s="465"/>
      <c r="BD66" s="467"/>
    </row>
    <row r="67" spans="1:56" ht="38.25" x14ac:dyDescent="0.25">
      <c r="A67" s="488">
        <v>43</v>
      </c>
      <c r="B67" s="468" t="s">
        <v>2162</v>
      </c>
      <c r="C67" s="429" t="s">
        <v>1723</v>
      </c>
      <c r="D67" s="429" t="s">
        <v>3956</v>
      </c>
      <c r="E67" s="429" t="s">
        <v>584</v>
      </c>
      <c r="F67" s="429" t="s">
        <v>6121</v>
      </c>
      <c r="G67" s="431">
        <v>11278</v>
      </c>
      <c r="H67" s="436" t="s">
        <v>840</v>
      </c>
      <c r="I67" s="429" t="s">
        <v>6073</v>
      </c>
      <c r="J67" s="429" t="s">
        <v>6074</v>
      </c>
      <c r="K67" s="432">
        <v>41764</v>
      </c>
      <c r="L67" s="430">
        <v>9639</v>
      </c>
      <c r="M67" s="431">
        <v>11294</v>
      </c>
      <c r="N67" s="432">
        <v>41764</v>
      </c>
      <c r="O67" s="432">
        <v>41830</v>
      </c>
      <c r="P67" s="440" t="s">
        <v>6051</v>
      </c>
      <c r="Q67" s="429"/>
      <c r="R67" s="429"/>
      <c r="S67" s="429"/>
      <c r="T67" s="429" t="s">
        <v>685</v>
      </c>
      <c r="U67" s="440">
        <v>1</v>
      </c>
      <c r="V67" s="448">
        <v>41834</v>
      </c>
      <c r="W67" s="444" t="s">
        <v>6054</v>
      </c>
      <c r="X67" s="440" t="s">
        <v>6058</v>
      </c>
      <c r="Y67" s="448">
        <v>41835</v>
      </c>
      <c r="Z67" s="448">
        <v>42353</v>
      </c>
      <c r="AA67" s="440">
        <v>0</v>
      </c>
      <c r="AB67" s="440">
        <v>0</v>
      </c>
      <c r="AC67" s="440">
        <v>0</v>
      </c>
      <c r="AD67" s="440">
        <v>0</v>
      </c>
      <c r="AE67" s="177">
        <f>L67-AD67+AC67</f>
        <v>9639</v>
      </c>
      <c r="AF67" s="506">
        <v>0</v>
      </c>
      <c r="AG67" s="506">
        <v>0</v>
      </c>
      <c r="AH67" s="257">
        <f t="shared" si="2"/>
        <v>0</v>
      </c>
      <c r="AI67" s="267"/>
      <c r="AJ67" s="106"/>
      <c r="AK67" s="475"/>
      <c r="AL67" s="923"/>
      <c r="AM67" s="179"/>
      <c r="AN67" s="181"/>
      <c r="AO67" s="181"/>
      <c r="AP67" s="181"/>
      <c r="AQ67" s="181"/>
      <c r="AR67" s="182"/>
      <c r="AS67" s="468"/>
      <c r="AT67" s="465"/>
      <c r="AU67" s="465"/>
      <c r="AV67" s="465"/>
      <c r="AW67" s="465"/>
      <c r="AX67" s="465"/>
      <c r="AY67" s="465"/>
      <c r="AZ67" s="465"/>
      <c r="BA67" s="465"/>
      <c r="BB67" s="465"/>
      <c r="BC67" s="465"/>
      <c r="BD67" s="467"/>
    </row>
    <row r="68" spans="1:56" ht="38.25" x14ac:dyDescent="0.25">
      <c r="A68" s="469">
        <v>44</v>
      </c>
      <c r="B68" s="468" t="s">
        <v>2322</v>
      </c>
      <c r="C68" s="429" t="s">
        <v>795</v>
      </c>
      <c r="D68" s="429" t="s">
        <v>3956</v>
      </c>
      <c r="E68" s="429" t="s">
        <v>584</v>
      </c>
      <c r="F68" s="429" t="s">
        <v>6122</v>
      </c>
      <c r="G68" s="431">
        <v>11309</v>
      </c>
      <c r="H68" s="436" t="s">
        <v>841</v>
      </c>
      <c r="I68" s="429" t="s">
        <v>6038</v>
      </c>
      <c r="J68" s="429" t="s">
        <v>718</v>
      </c>
      <c r="K68" s="432">
        <v>41806</v>
      </c>
      <c r="L68" s="430">
        <v>4125</v>
      </c>
      <c r="M68" s="431">
        <v>11331</v>
      </c>
      <c r="N68" s="432">
        <v>41806</v>
      </c>
      <c r="O68" s="432">
        <v>41835</v>
      </c>
      <c r="P68" s="440" t="s">
        <v>6051</v>
      </c>
      <c r="Q68" s="429"/>
      <c r="R68" s="429"/>
      <c r="S68" s="429"/>
      <c r="T68" s="429" t="s">
        <v>6093</v>
      </c>
      <c r="U68" s="440" t="s">
        <v>677</v>
      </c>
      <c r="V68" s="448" t="s">
        <v>677</v>
      </c>
      <c r="W68" s="444" t="s">
        <v>677</v>
      </c>
      <c r="X68" s="440" t="s">
        <v>677</v>
      </c>
      <c r="Y68" s="448" t="s">
        <v>677</v>
      </c>
      <c r="Z68" s="448" t="s">
        <v>677</v>
      </c>
      <c r="AA68" s="440">
        <v>0</v>
      </c>
      <c r="AB68" s="440">
        <v>0</v>
      </c>
      <c r="AC68" s="440">
        <v>0</v>
      </c>
      <c r="AD68" s="440">
        <v>0</v>
      </c>
      <c r="AE68" s="184">
        <v>4125</v>
      </c>
      <c r="AF68" s="429"/>
      <c r="AG68" s="278">
        <v>4125</v>
      </c>
      <c r="AH68" s="257">
        <f t="shared" si="2"/>
        <v>4125</v>
      </c>
      <c r="AI68" s="267"/>
      <c r="AJ68" s="106"/>
      <c r="AK68" s="475"/>
      <c r="AL68" s="923"/>
      <c r="AM68" s="179"/>
      <c r="AN68" s="181"/>
      <c r="AO68" s="181"/>
      <c r="AP68" s="181"/>
      <c r="AQ68" s="181"/>
      <c r="AR68" s="182"/>
      <c r="AS68" s="468"/>
      <c r="AT68" s="465"/>
      <c r="AU68" s="465"/>
      <c r="AV68" s="465"/>
      <c r="AW68" s="465"/>
      <c r="AX68" s="465"/>
      <c r="AY68" s="465"/>
      <c r="AZ68" s="465"/>
      <c r="BA68" s="465"/>
      <c r="BB68" s="465"/>
      <c r="BC68" s="465"/>
      <c r="BD68" s="467"/>
    </row>
    <row r="69" spans="1:56" ht="25.5" x14ac:dyDescent="0.25">
      <c r="A69" s="469">
        <v>45</v>
      </c>
      <c r="B69" s="468" t="s">
        <v>2322</v>
      </c>
      <c r="C69" s="429" t="s">
        <v>795</v>
      </c>
      <c r="D69" s="429" t="s">
        <v>3956</v>
      </c>
      <c r="E69" s="429" t="s">
        <v>584</v>
      </c>
      <c r="F69" s="429" t="s">
        <v>6122</v>
      </c>
      <c r="G69" s="431">
        <v>11309</v>
      </c>
      <c r="H69" s="436" t="s">
        <v>1677</v>
      </c>
      <c r="I69" s="429" t="s">
        <v>6123</v>
      </c>
      <c r="J69" s="429" t="s">
        <v>4539</v>
      </c>
      <c r="K69" s="432">
        <v>41806</v>
      </c>
      <c r="L69" s="430">
        <v>3600</v>
      </c>
      <c r="M69" s="431">
        <v>11331</v>
      </c>
      <c r="N69" s="432">
        <v>41806</v>
      </c>
      <c r="O69" s="432">
        <v>41835</v>
      </c>
      <c r="P69" s="440" t="s">
        <v>6051</v>
      </c>
      <c r="Q69" s="429"/>
      <c r="R69" s="429"/>
      <c r="S69" s="429"/>
      <c r="T69" s="429" t="s">
        <v>6093</v>
      </c>
      <c r="U69" s="440" t="s">
        <v>677</v>
      </c>
      <c r="V69" s="448" t="s">
        <v>677</v>
      </c>
      <c r="W69" s="444" t="s">
        <v>677</v>
      </c>
      <c r="X69" s="440" t="s">
        <v>677</v>
      </c>
      <c r="Y69" s="448" t="s">
        <v>677</v>
      </c>
      <c r="Z69" s="448" t="s">
        <v>677</v>
      </c>
      <c r="AA69" s="440">
        <v>0</v>
      </c>
      <c r="AB69" s="440">
        <v>0</v>
      </c>
      <c r="AC69" s="440">
        <v>0</v>
      </c>
      <c r="AD69" s="440">
        <v>0</v>
      </c>
      <c r="AE69" s="184">
        <v>3600</v>
      </c>
      <c r="AF69" s="429"/>
      <c r="AG69" s="278">
        <v>3600</v>
      </c>
      <c r="AH69" s="257">
        <f t="shared" si="2"/>
        <v>3600</v>
      </c>
      <c r="AI69" s="267"/>
      <c r="AJ69" s="106"/>
      <c r="AK69" s="475"/>
      <c r="AL69" s="923"/>
      <c r="AM69" s="179"/>
      <c r="AN69" s="181"/>
      <c r="AO69" s="181"/>
      <c r="AP69" s="181"/>
      <c r="AQ69" s="181"/>
      <c r="AR69" s="182"/>
      <c r="AS69" s="468"/>
      <c r="AT69" s="465"/>
      <c r="AU69" s="465"/>
      <c r="AV69" s="465"/>
      <c r="AW69" s="465"/>
      <c r="AX69" s="465"/>
      <c r="AY69" s="465"/>
      <c r="AZ69" s="465"/>
      <c r="BA69" s="465"/>
      <c r="BB69" s="465"/>
      <c r="BC69" s="465"/>
      <c r="BD69" s="467"/>
    </row>
    <row r="70" spans="1:56" ht="38.25" x14ac:dyDescent="0.25">
      <c r="A70" s="469">
        <v>46</v>
      </c>
      <c r="B70" s="468" t="s">
        <v>2322</v>
      </c>
      <c r="C70" s="429" t="s">
        <v>795</v>
      </c>
      <c r="D70" s="429" t="s">
        <v>3956</v>
      </c>
      <c r="E70" s="429" t="s">
        <v>584</v>
      </c>
      <c r="F70" s="429" t="s">
        <v>6122</v>
      </c>
      <c r="G70" s="431">
        <v>11309</v>
      </c>
      <c r="H70" s="436" t="s">
        <v>1679</v>
      </c>
      <c r="I70" s="429" t="s">
        <v>6124</v>
      </c>
      <c r="J70" s="429" t="s">
        <v>5029</v>
      </c>
      <c r="K70" s="432">
        <v>41806</v>
      </c>
      <c r="L70" s="430">
        <v>4600</v>
      </c>
      <c r="M70" s="431">
        <v>11331</v>
      </c>
      <c r="N70" s="432">
        <v>41806</v>
      </c>
      <c r="O70" s="432">
        <v>41835</v>
      </c>
      <c r="P70" s="440" t="s">
        <v>6051</v>
      </c>
      <c r="Q70" s="429"/>
      <c r="R70" s="429"/>
      <c r="S70" s="429"/>
      <c r="T70" s="429" t="s">
        <v>6093</v>
      </c>
      <c r="U70" s="440" t="s">
        <v>677</v>
      </c>
      <c r="V70" s="448" t="s">
        <v>677</v>
      </c>
      <c r="W70" s="444" t="s">
        <v>677</v>
      </c>
      <c r="X70" s="440" t="s">
        <v>677</v>
      </c>
      <c r="Y70" s="448" t="s">
        <v>677</v>
      </c>
      <c r="Z70" s="448" t="s">
        <v>677</v>
      </c>
      <c r="AA70" s="440">
        <v>0</v>
      </c>
      <c r="AB70" s="440">
        <v>0</v>
      </c>
      <c r="AC70" s="440">
        <v>0</v>
      </c>
      <c r="AD70" s="440">
        <v>0</v>
      </c>
      <c r="AE70" s="184">
        <v>4600</v>
      </c>
      <c r="AF70" s="429"/>
      <c r="AG70" s="278">
        <v>4600</v>
      </c>
      <c r="AH70" s="257">
        <f t="shared" si="2"/>
        <v>4600</v>
      </c>
      <c r="AI70" s="267"/>
      <c r="AJ70" s="106"/>
      <c r="AK70" s="475"/>
      <c r="AL70" s="923"/>
      <c r="AM70" s="179"/>
      <c r="AN70" s="181"/>
      <c r="AO70" s="181"/>
      <c r="AP70" s="181"/>
      <c r="AQ70" s="181"/>
      <c r="AR70" s="182"/>
      <c r="AS70" s="468"/>
      <c r="AT70" s="465"/>
      <c r="AU70" s="465"/>
      <c r="AV70" s="465"/>
      <c r="AW70" s="465"/>
      <c r="AX70" s="465"/>
      <c r="AY70" s="465"/>
      <c r="AZ70" s="465"/>
      <c r="BA70" s="465"/>
      <c r="BB70" s="465"/>
      <c r="BC70" s="465"/>
      <c r="BD70" s="467"/>
    </row>
    <row r="71" spans="1:56" ht="51" x14ac:dyDescent="0.25">
      <c r="A71" s="488">
        <v>47</v>
      </c>
      <c r="B71" s="468" t="s">
        <v>2356</v>
      </c>
      <c r="C71" s="429" t="s">
        <v>1856</v>
      </c>
      <c r="D71" s="429" t="s">
        <v>1548</v>
      </c>
      <c r="E71" s="429" t="s">
        <v>584</v>
      </c>
      <c r="F71" s="429" t="s">
        <v>6125</v>
      </c>
      <c r="G71" s="431">
        <v>11317</v>
      </c>
      <c r="H71" s="436" t="s">
        <v>1210</v>
      </c>
      <c r="I71" s="429" t="s">
        <v>6039</v>
      </c>
      <c r="J71" s="429" t="s">
        <v>458</v>
      </c>
      <c r="K71" s="432">
        <v>41813</v>
      </c>
      <c r="L71" s="430">
        <v>6510</v>
      </c>
      <c r="M71" s="431">
        <v>11336</v>
      </c>
      <c r="N71" s="432">
        <v>41813</v>
      </c>
      <c r="O71" s="432">
        <v>42004</v>
      </c>
      <c r="P71" s="440" t="s">
        <v>591</v>
      </c>
      <c r="Q71" s="429"/>
      <c r="R71" s="429"/>
      <c r="S71" s="429"/>
      <c r="T71" s="429" t="s">
        <v>719</v>
      </c>
      <c r="U71" s="440" t="s">
        <v>677</v>
      </c>
      <c r="V71" s="448" t="s">
        <v>677</v>
      </c>
      <c r="W71" s="444" t="s">
        <v>677</v>
      </c>
      <c r="X71" s="440" t="s">
        <v>677</v>
      </c>
      <c r="Y71" s="448" t="s">
        <v>677</v>
      </c>
      <c r="Z71" s="448" t="s">
        <v>677</v>
      </c>
      <c r="AA71" s="440">
        <v>0</v>
      </c>
      <c r="AB71" s="440">
        <v>0</v>
      </c>
      <c r="AC71" s="440">
        <v>0</v>
      </c>
      <c r="AD71" s="440">
        <v>0</v>
      </c>
      <c r="AE71" s="177">
        <v>6510</v>
      </c>
      <c r="AF71" s="429"/>
      <c r="AG71" s="429"/>
      <c r="AH71" s="257">
        <f t="shared" si="2"/>
        <v>0</v>
      </c>
      <c r="AI71" s="179"/>
      <c r="AJ71" s="107"/>
      <c r="AK71" s="107"/>
      <c r="AL71" s="180"/>
      <c r="AM71" s="179"/>
      <c r="AN71" s="181"/>
      <c r="AO71" s="181"/>
      <c r="AP71" s="181"/>
      <c r="AQ71" s="181"/>
      <c r="AR71" s="182"/>
      <c r="AS71" s="468"/>
      <c r="AT71" s="465"/>
      <c r="AU71" s="465"/>
      <c r="AV71" s="465"/>
      <c r="AW71" s="465"/>
      <c r="AX71" s="465"/>
      <c r="AY71" s="465"/>
      <c r="AZ71" s="465"/>
      <c r="BA71" s="465"/>
      <c r="BB71" s="465"/>
      <c r="BC71" s="465"/>
      <c r="BD71" s="467"/>
    </row>
    <row r="72" spans="1:56" ht="51" x14ac:dyDescent="0.25">
      <c r="A72" s="488">
        <v>48</v>
      </c>
      <c r="B72" s="468" t="s">
        <v>2356</v>
      </c>
      <c r="C72" s="429" t="s">
        <v>1856</v>
      </c>
      <c r="D72" s="429" t="s">
        <v>1548</v>
      </c>
      <c r="E72" s="429" t="s">
        <v>584</v>
      </c>
      <c r="F72" s="429" t="s">
        <v>6125</v>
      </c>
      <c r="G72" s="431">
        <v>11317</v>
      </c>
      <c r="H72" s="436" t="s">
        <v>1690</v>
      </c>
      <c r="I72" s="429" t="s">
        <v>6035</v>
      </c>
      <c r="J72" s="429" t="s">
        <v>6126</v>
      </c>
      <c r="K72" s="432">
        <v>41813</v>
      </c>
      <c r="L72" s="430">
        <v>1845</v>
      </c>
      <c r="M72" s="431">
        <v>11336</v>
      </c>
      <c r="N72" s="432">
        <v>41813</v>
      </c>
      <c r="O72" s="432">
        <v>42004</v>
      </c>
      <c r="P72" s="440" t="s">
        <v>591</v>
      </c>
      <c r="Q72" s="429"/>
      <c r="R72" s="429"/>
      <c r="S72" s="429"/>
      <c r="T72" s="429" t="s">
        <v>719</v>
      </c>
      <c r="U72" s="440" t="s">
        <v>677</v>
      </c>
      <c r="V72" s="448" t="s">
        <v>677</v>
      </c>
      <c r="W72" s="444" t="s">
        <v>677</v>
      </c>
      <c r="X72" s="440" t="s">
        <v>677</v>
      </c>
      <c r="Y72" s="448" t="s">
        <v>677</v>
      </c>
      <c r="Z72" s="448" t="s">
        <v>677</v>
      </c>
      <c r="AA72" s="440">
        <v>0</v>
      </c>
      <c r="AB72" s="440">
        <v>0</v>
      </c>
      <c r="AC72" s="440">
        <v>0</v>
      </c>
      <c r="AD72" s="440">
        <v>0</v>
      </c>
      <c r="AE72" s="278">
        <v>1845</v>
      </c>
      <c r="AF72" s="429"/>
      <c r="AG72" s="429"/>
      <c r="AH72" s="257">
        <f t="shared" si="2"/>
        <v>0</v>
      </c>
      <c r="AI72" s="179"/>
      <c r="AJ72" s="107"/>
      <c r="AK72" s="107"/>
      <c r="AL72" s="180"/>
      <c r="AM72" s="179"/>
      <c r="AN72" s="181"/>
      <c r="AO72" s="181"/>
      <c r="AP72" s="181"/>
      <c r="AQ72" s="181"/>
      <c r="AR72" s="182"/>
      <c r="AS72" s="468"/>
      <c r="AT72" s="465"/>
      <c r="AU72" s="465"/>
      <c r="AV72" s="465"/>
      <c r="AW72" s="465"/>
      <c r="AX72" s="465"/>
      <c r="AY72" s="465"/>
      <c r="AZ72" s="465"/>
      <c r="BA72" s="465"/>
      <c r="BB72" s="465"/>
      <c r="BC72" s="465"/>
      <c r="BD72" s="467"/>
    </row>
    <row r="73" spans="1:56" ht="51" x14ac:dyDescent="0.25">
      <c r="A73" s="488">
        <v>49</v>
      </c>
      <c r="B73" s="468" t="s">
        <v>6127</v>
      </c>
      <c r="C73" s="429"/>
      <c r="D73" s="429" t="s">
        <v>4804</v>
      </c>
      <c r="E73" s="429" t="s">
        <v>584</v>
      </c>
      <c r="F73" s="429" t="s">
        <v>6128</v>
      </c>
      <c r="G73" s="431" t="s">
        <v>677</v>
      </c>
      <c r="H73" s="436" t="s">
        <v>1699</v>
      </c>
      <c r="I73" s="429" t="s">
        <v>6129</v>
      </c>
      <c r="J73" s="429" t="s">
        <v>5549</v>
      </c>
      <c r="K73" s="432">
        <v>41821</v>
      </c>
      <c r="L73" s="430">
        <v>31400</v>
      </c>
      <c r="M73" s="431">
        <v>11339</v>
      </c>
      <c r="N73" s="432">
        <v>41821</v>
      </c>
      <c r="O73" s="432">
        <v>42003</v>
      </c>
      <c r="P73" s="440" t="s">
        <v>591</v>
      </c>
      <c r="Q73" s="429"/>
      <c r="R73" s="429"/>
      <c r="S73" s="429"/>
      <c r="T73" s="429" t="s">
        <v>685</v>
      </c>
      <c r="U73" s="440" t="s">
        <v>677</v>
      </c>
      <c r="V73" s="448" t="s">
        <v>677</v>
      </c>
      <c r="W73" s="444" t="s">
        <v>677</v>
      </c>
      <c r="X73" s="440" t="s">
        <v>677</v>
      </c>
      <c r="Y73" s="448" t="s">
        <v>677</v>
      </c>
      <c r="Z73" s="448" t="s">
        <v>677</v>
      </c>
      <c r="AA73" s="440">
        <v>0</v>
      </c>
      <c r="AB73" s="440">
        <v>0</v>
      </c>
      <c r="AC73" s="440">
        <v>0</v>
      </c>
      <c r="AD73" s="440">
        <v>0</v>
      </c>
      <c r="AE73" s="278">
        <v>31400</v>
      </c>
      <c r="AF73" s="429"/>
      <c r="AG73" s="278">
        <v>31193.34</v>
      </c>
      <c r="AH73" s="257">
        <f t="shared" si="2"/>
        <v>31193.34</v>
      </c>
      <c r="AI73" s="267" t="s">
        <v>403</v>
      </c>
      <c r="AJ73" s="107"/>
      <c r="AK73" s="475" t="s">
        <v>6130</v>
      </c>
      <c r="AL73" s="180"/>
      <c r="AM73" s="179"/>
      <c r="AN73" s="181"/>
      <c r="AO73" s="181"/>
      <c r="AP73" s="181"/>
      <c r="AQ73" s="181"/>
      <c r="AR73" s="182"/>
      <c r="AS73" s="468"/>
      <c r="AT73" s="465"/>
      <c r="AU73" s="465"/>
      <c r="AV73" s="465"/>
      <c r="AW73" s="465"/>
      <c r="AX73" s="465"/>
      <c r="AY73" s="465"/>
      <c r="AZ73" s="465"/>
      <c r="BA73" s="465"/>
      <c r="BB73" s="465"/>
      <c r="BC73" s="465"/>
      <c r="BD73" s="467"/>
    </row>
    <row r="74" spans="1:56" ht="63.75" x14ac:dyDescent="0.25">
      <c r="A74" s="488">
        <v>50</v>
      </c>
      <c r="B74" s="468" t="s">
        <v>2119</v>
      </c>
      <c r="C74" s="429" t="s">
        <v>675</v>
      </c>
      <c r="D74" s="429" t="s">
        <v>6131</v>
      </c>
      <c r="E74" s="429" t="s">
        <v>584</v>
      </c>
      <c r="F74" s="429" t="s">
        <v>6132</v>
      </c>
      <c r="G74" s="431">
        <v>11284</v>
      </c>
      <c r="H74" s="436" t="s">
        <v>1705</v>
      </c>
      <c r="I74" s="429" t="s">
        <v>6133</v>
      </c>
      <c r="J74" s="429" t="s">
        <v>6134</v>
      </c>
      <c r="K74" s="432">
        <v>41821</v>
      </c>
      <c r="L74" s="430">
        <v>19200</v>
      </c>
      <c r="M74" s="431">
        <v>11359</v>
      </c>
      <c r="N74" s="432">
        <v>41821</v>
      </c>
      <c r="O74" s="432">
        <v>42186</v>
      </c>
      <c r="P74" s="440" t="s">
        <v>591</v>
      </c>
      <c r="Q74" s="429"/>
      <c r="R74" s="429"/>
      <c r="S74" s="429"/>
      <c r="T74" s="429" t="s">
        <v>685</v>
      </c>
      <c r="U74" s="440" t="s">
        <v>677</v>
      </c>
      <c r="V74" s="448" t="s">
        <v>677</v>
      </c>
      <c r="W74" s="444" t="s">
        <v>677</v>
      </c>
      <c r="X74" s="440" t="s">
        <v>677</v>
      </c>
      <c r="Y74" s="448" t="s">
        <v>677</v>
      </c>
      <c r="Z74" s="448" t="s">
        <v>677</v>
      </c>
      <c r="AA74" s="440">
        <v>0</v>
      </c>
      <c r="AB74" s="440">
        <v>0</v>
      </c>
      <c r="AC74" s="440">
        <v>0</v>
      </c>
      <c r="AD74" s="440">
        <v>0</v>
      </c>
      <c r="AE74" s="177">
        <v>19200</v>
      </c>
      <c r="AF74" s="429"/>
      <c r="AG74" s="278">
        <v>6000</v>
      </c>
      <c r="AH74" s="257">
        <f t="shared" si="2"/>
        <v>6000</v>
      </c>
      <c r="AI74" s="179"/>
      <c r="AJ74" s="107"/>
      <c r="AK74" s="107"/>
      <c r="AL74" s="180"/>
      <c r="AM74" s="179"/>
      <c r="AN74" s="181"/>
      <c r="AO74" s="181"/>
      <c r="AP74" s="181"/>
      <c r="AQ74" s="181"/>
      <c r="AR74" s="182"/>
      <c r="AS74" s="468"/>
      <c r="AT74" s="465"/>
      <c r="AU74" s="465"/>
      <c r="AV74" s="465"/>
      <c r="AW74" s="465"/>
      <c r="AX74" s="465"/>
      <c r="AY74" s="465"/>
      <c r="AZ74" s="465"/>
      <c r="BA74" s="465"/>
      <c r="BB74" s="465"/>
      <c r="BC74" s="465"/>
      <c r="BD74" s="467"/>
    </row>
    <row r="75" spans="1:56" ht="63.75" x14ac:dyDescent="0.25">
      <c r="A75" s="488">
        <v>51</v>
      </c>
      <c r="B75" s="468" t="s">
        <v>2119</v>
      </c>
      <c r="C75" s="429" t="s">
        <v>675</v>
      </c>
      <c r="D75" s="429" t="s">
        <v>6131</v>
      </c>
      <c r="E75" s="429" t="s">
        <v>584</v>
      </c>
      <c r="F75" s="429" t="s">
        <v>6132</v>
      </c>
      <c r="G75" s="431">
        <v>11284</v>
      </c>
      <c r="H75" s="436" t="s">
        <v>1712</v>
      </c>
      <c r="I75" s="429" t="s">
        <v>6135</v>
      </c>
      <c r="J75" s="429" t="s">
        <v>6136</v>
      </c>
      <c r="K75" s="432">
        <v>41821</v>
      </c>
      <c r="L75" s="430">
        <v>19200</v>
      </c>
      <c r="M75" s="431">
        <v>11359</v>
      </c>
      <c r="N75" s="432">
        <v>41821</v>
      </c>
      <c r="O75" s="432">
        <v>42186</v>
      </c>
      <c r="P75" s="440" t="s">
        <v>591</v>
      </c>
      <c r="Q75" s="429"/>
      <c r="R75" s="429"/>
      <c r="S75" s="429"/>
      <c r="T75" s="429" t="s">
        <v>685</v>
      </c>
      <c r="U75" s="440" t="s">
        <v>677</v>
      </c>
      <c r="V75" s="448" t="s">
        <v>677</v>
      </c>
      <c r="W75" s="444" t="s">
        <v>677</v>
      </c>
      <c r="X75" s="440" t="s">
        <v>677</v>
      </c>
      <c r="Y75" s="448" t="s">
        <v>677</v>
      </c>
      <c r="Z75" s="448" t="s">
        <v>677</v>
      </c>
      <c r="AA75" s="440">
        <v>0</v>
      </c>
      <c r="AB75" s="440">
        <v>0</v>
      </c>
      <c r="AC75" s="440">
        <v>0</v>
      </c>
      <c r="AD75" s="440">
        <v>0</v>
      </c>
      <c r="AE75" s="177">
        <v>19200</v>
      </c>
      <c r="AF75" s="429"/>
      <c r="AG75" s="278">
        <v>5600</v>
      </c>
      <c r="AH75" s="257">
        <f t="shared" si="2"/>
        <v>5600</v>
      </c>
      <c r="AI75" s="179"/>
      <c r="AJ75" s="107"/>
      <c r="AK75" s="107"/>
      <c r="AL75" s="180"/>
      <c r="AM75" s="179"/>
      <c r="AN75" s="181"/>
      <c r="AO75" s="181"/>
      <c r="AP75" s="181"/>
      <c r="AQ75" s="181"/>
      <c r="AR75" s="182"/>
      <c r="AS75" s="468"/>
      <c r="AT75" s="465"/>
      <c r="AU75" s="465"/>
      <c r="AV75" s="465"/>
      <c r="AW75" s="465"/>
      <c r="AX75" s="465"/>
      <c r="AY75" s="465"/>
      <c r="AZ75" s="465"/>
      <c r="BA75" s="465"/>
      <c r="BB75" s="465"/>
      <c r="BC75" s="465"/>
      <c r="BD75" s="467"/>
    </row>
    <row r="76" spans="1:56" ht="63.75" x14ac:dyDescent="0.25">
      <c r="A76" s="488">
        <v>52</v>
      </c>
      <c r="B76" s="468" t="s">
        <v>6137</v>
      </c>
      <c r="C76" s="429" t="s">
        <v>1453</v>
      </c>
      <c r="D76" s="429" t="s">
        <v>4804</v>
      </c>
      <c r="E76" s="429" t="s">
        <v>584</v>
      </c>
      <c r="F76" s="429" t="s">
        <v>6138</v>
      </c>
      <c r="G76" s="431">
        <v>11188</v>
      </c>
      <c r="H76" s="58" t="s">
        <v>1715</v>
      </c>
      <c r="I76" s="459" t="s">
        <v>6139</v>
      </c>
      <c r="J76" s="429" t="s">
        <v>639</v>
      </c>
      <c r="K76" s="432">
        <v>41852</v>
      </c>
      <c r="L76" s="430">
        <v>26120</v>
      </c>
      <c r="M76" s="431">
        <v>11386</v>
      </c>
      <c r="N76" s="432">
        <v>41852</v>
      </c>
      <c r="O76" s="432">
        <v>42216</v>
      </c>
      <c r="P76" s="440" t="s">
        <v>591</v>
      </c>
      <c r="Q76" s="429"/>
      <c r="R76" s="429"/>
      <c r="S76" s="429"/>
      <c r="T76" s="429" t="s">
        <v>685</v>
      </c>
      <c r="U76" s="440" t="s">
        <v>677</v>
      </c>
      <c r="V76" s="448" t="s">
        <v>677</v>
      </c>
      <c r="W76" s="444" t="s">
        <v>677</v>
      </c>
      <c r="X76" s="440"/>
      <c r="Y76" s="448" t="s">
        <v>677</v>
      </c>
      <c r="Z76" s="448" t="s">
        <v>677</v>
      </c>
      <c r="AA76" s="440">
        <v>0</v>
      </c>
      <c r="AB76" s="440">
        <v>0</v>
      </c>
      <c r="AC76" s="440">
        <v>0</v>
      </c>
      <c r="AD76" s="440">
        <v>0</v>
      </c>
      <c r="AE76" s="604">
        <v>26160</v>
      </c>
      <c r="AF76" s="440"/>
      <c r="AG76" s="506">
        <f>2180+3268</f>
        <v>5448</v>
      </c>
      <c r="AH76" s="257">
        <f t="shared" si="2"/>
        <v>5448</v>
      </c>
      <c r="AI76" s="267" t="s">
        <v>675</v>
      </c>
      <c r="AJ76" s="107"/>
      <c r="AK76" s="475" t="s">
        <v>6140</v>
      </c>
      <c r="AL76" s="108"/>
      <c r="AM76" s="179"/>
      <c r="AN76" s="181"/>
      <c r="AO76" s="181"/>
      <c r="AP76" s="181"/>
      <c r="AQ76" s="181"/>
      <c r="AR76" s="182"/>
      <c r="AS76" s="468"/>
      <c r="AT76" s="465"/>
      <c r="AU76" s="465"/>
      <c r="AV76" s="465"/>
      <c r="AW76" s="465"/>
      <c r="AX76" s="465"/>
      <c r="AY76" s="465"/>
      <c r="AZ76" s="465"/>
      <c r="BA76" s="465"/>
      <c r="BB76" s="465"/>
      <c r="BC76" s="465"/>
      <c r="BD76" s="467"/>
    </row>
    <row r="77" spans="1:56" ht="63.75" x14ac:dyDescent="0.25">
      <c r="A77" s="488">
        <v>53</v>
      </c>
      <c r="B77" s="468" t="s">
        <v>6141</v>
      </c>
      <c r="C77" s="429" t="s">
        <v>356</v>
      </c>
      <c r="D77" s="429" t="s">
        <v>3956</v>
      </c>
      <c r="E77" s="429" t="s">
        <v>584</v>
      </c>
      <c r="F77" s="429" t="s">
        <v>6142</v>
      </c>
      <c r="G77" s="431">
        <v>11387</v>
      </c>
      <c r="H77" s="58" t="s">
        <v>1719</v>
      </c>
      <c r="I77" s="459" t="s">
        <v>6029</v>
      </c>
      <c r="J77" s="429" t="s">
        <v>6030</v>
      </c>
      <c r="K77" s="432">
        <v>41961</v>
      </c>
      <c r="L77" s="430">
        <v>13200</v>
      </c>
      <c r="M77" s="431">
        <v>11442</v>
      </c>
      <c r="N77" s="432">
        <v>41961</v>
      </c>
      <c r="O77" s="432">
        <v>42053</v>
      </c>
      <c r="P77" s="440" t="s">
        <v>6143</v>
      </c>
      <c r="Q77" s="429"/>
      <c r="R77" s="429"/>
      <c r="S77" s="429"/>
      <c r="T77" s="429" t="s">
        <v>685</v>
      </c>
      <c r="U77" s="440" t="s">
        <v>677</v>
      </c>
      <c r="V77" s="448" t="s">
        <v>677</v>
      </c>
      <c r="W77" s="444" t="s">
        <v>677</v>
      </c>
      <c r="X77" s="440"/>
      <c r="Y77" s="448" t="s">
        <v>677</v>
      </c>
      <c r="Z77" s="448" t="s">
        <v>677</v>
      </c>
      <c r="AA77" s="440">
        <v>0</v>
      </c>
      <c r="AB77" s="440">
        <v>0</v>
      </c>
      <c r="AC77" s="440">
        <v>0</v>
      </c>
      <c r="AD77" s="440">
        <v>0</v>
      </c>
      <c r="AE77" s="604">
        <v>13200</v>
      </c>
      <c r="AF77" s="440"/>
      <c r="AG77" s="506"/>
      <c r="AH77" s="257"/>
      <c r="AI77" s="267"/>
      <c r="AJ77" s="107"/>
      <c r="AK77" s="475"/>
      <c r="AL77" s="108"/>
      <c r="AM77" s="179"/>
      <c r="AN77" s="181"/>
      <c r="AO77" s="181"/>
      <c r="AP77" s="181"/>
      <c r="AQ77" s="181"/>
      <c r="AR77" s="182"/>
      <c r="AS77" s="468"/>
      <c r="AT77" s="465"/>
      <c r="AU77" s="465"/>
      <c r="AV77" s="465"/>
      <c r="AW77" s="465"/>
      <c r="AX77" s="465"/>
      <c r="AY77" s="465"/>
      <c r="AZ77" s="465"/>
      <c r="BA77" s="465"/>
      <c r="BB77" s="465"/>
      <c r="BC77" s="465"/>
      <c r="BD77" s="467"/>
    </row>
    <row r="78" spans="1:56" ht="63.75" x14ac:dyDescent="0.25">
      <c r="A78" s="924">
        <v>54</v>
      </c>
      <c r="B78" s="468" t="s">
        <v>6144</v>
      </c>
      <c r="C78" s="429" t="s">
        <v>392</v>
      </c>
      <c r="D78" s="429" t="s">
        <v>3991</v>
      </c>
      <c r="E78" s="429" t="s">
        <v>6145</v>
      </c>
      <c r="F78" s="429" t="s">
        <v>6146</v>
      </c>
      <c r="G78" s="431">
        <v>11383</v>
      </c>
      <c r="H78" s="58" t="s">
        <v>1728</v>
      </c>
      <c r="I78" s="459" t="s">
        <v>6147</v>
      </c>
      <c r="J78" s="431" t="s">
        <v>6148</v>
      </c>
      <c r="K78" s="432">
        <v>41932</v>
      </c>
      <c r="L78" s="430">
        <v>9563.14</v>
      </c>
      <c r="M78" s="431">
        <v>11434</v>
      </c>
      <c r="N78" s="432">
        <v>41932</v>
      </c>
      <c r="O78" s="432">
        <v>42024</v>
      </c>
      <c r="P78" s="440" t="s">
        <v>591</v>
      </c>
      <c r="Q78" s="429"/>
      <c r="R78" s="429"/>
      <c r="S78" s="429"/>
      <c r="T78" s="429" t="s">
        <v>685</v>
      </c>
      <c r="U78" s="440" t="s">
        <v>677</v>
      </c>
      <c r="V78" s="448" t="s">
        <v>677</v>
      </c>
      <c r="W78" s="444" t="s">
        <v>677</v>
      </c>
      <c r="X78" s="440"/>
      <c r="Y78" s="448" t="s">
        <v>677</v>
      </c>
      <c r="Z78" s="448" t="s">
        <v>677</v>
      </c>
      <c r="AA78" s="440">
        <v>0</v>
      </c>
      <c r="AB78" s="440">
        <v>0</v>
      </c>
      <c r="AC78" s="440">
        <v>0</v>
      </c>
      <c r="AD78" s="440">
        <v>0</v>
      </c>
      <c r="AE78" s="604">
        <v>9563.14</v>
      </c>
      <c r="AF78" s="440"/>
      <c r="AG78" s="506"/>
      <c r="AH78" s="257"/>
      <c r="AI78" s="267"/>
      <c r="AJ78" s="107"/>
      <c r="AK78" s="475"/>
      <c r="AL78" s="108"/>
      <c r="AM78" s="179"/>
      <c r="AN78" s="181"/>
      <c r="AO78" s="181"/>
      <c r="AP78" s="181"/>
      <c r="AQ78" s="181"/>
      <c r="AR78" s="182"/>
      <c r="AS78" s="468"/>
      <c r="AT78" s="465"/>
      <c r="AU78" s="465"/>
      <c r="AV78" s="465"/>
      <c r="AW78" s="465"/>
      <c r="AX78" s="465"/>
      <c r="AY78" s="465"/>
      <c r="AZ78" s="465"/>
      <c r="BA78" s="465"/>
      <c r="BB78" s="465"/>
      <c r="BC78" s="465"/>
      <c r="BD78" s="467"/>
    </row>
    <row r="79" spans="1:56" ht="25.5" x14ac:dyDescent="0.25">
      <c r="A79" s="488">
        <v>55</v>
      </c>
      <c r="B79" s="468" t="s">
        <v>6149</v>
      </c>
      <c r="C79" s="429" t="s">
        <v>398</v>
      </c>
      <c r="D79" s="429" t="s">
        <v>3991</v>
      </c>
      <c r="E79" s="429" t="s">
        <v>6145</v>
      </c>
      <c r="F79" s="429" t="s">
        <v>6150</v>
      </c>
      <c r="G79" s="431">
        <v>11396</v>
      </c>
      <c r="H79" s="436" t="s">
        <v>1731</v>
      </c>
      <c r="I79" s="429" t="s">
        <v>6151</v>
      </c>
      <c r="J79" s="429" t="s">
        <v>6152</v>
      </c>
      <c r="K79" s="432">
        <v>41954</v>
      </c>
      <c r="L79" s="430">
        <v>10400</v>
      </c>
      <c r="M79" s="431">
        <v>11434</v>
      </c>
      <c r="N79" s="432">
        <v>41954</v>
      </c>
      <c r="O79" s="432">
        <v>42015</v>
      </c>
      <c r="P79" s="440" t="s">
        <v>591</v>
      </c>
      <c r="Q79" s="429"/>
      <c r="R79" s="429"/>
      <c r="S79" s="429"/>
      <c r="T79" s="429" t="s">
        <v>685</v>
      </c>
      <c r="U79" s="440"/>
      <c r="V79" s="448"/>
      <c r="W79" s="444"/>
      <c r="X79" s="440"/>
      <c r="Y79" s="448"/>
      <c r="Z79" s="448"/>
      <c r="AA79" s="440"/>
      <c r="AB79" s="440"/>
      <c r="AC79" s="440"/>
      <c r="AD79" s="440"/>
      <c r="AE79" s="177">
        <v>10400</v>
      </c>
      <c r="AF79" s="506"/>
      <c r="AG79" s="506">
        <v>10400</v>
      </c>
      <c r="AH79" s="257">
        <f t="shared" si="2"/>
        <v>10400</v>
      </c>
      <c r="AI79" s="179"/>
      <c r="AJ79" s="107"/>
      <c r="AK79" s="107"/>
      <c r="AL79" s="108"/>
      <c r="AM79" s="179"/>
      <c r="AN79" s="181"/>
      <c r="AO79" s="181"/>
      <c r="AP79" s="181"/>
      <c r="AQ79" s="181"/>
      <c r="AR79" s="182"/>
      <c r="AS79" s="468"/>
      <c r="AT79" s="465"/>
      <c r="AU79" s="465"/>
      <c r="AV79" s="465"/>
      <c r="AW79" s="465"/>
      <c r="AX79" s="465"/>
      <c r="AY79" s="465"/>
      <c r="AZ79" s="465"/>
      <c r="BA79" s="465"/>
      <c r="BB79" s="465"/>
      <c r="BC79" s="465"/>
      <c r="BD79" s="467"/>
    </row>
    <row r="80" spans="1:56" ht="38.25" x14ac:dyDescent="0.25">
      <c r="A80" s="488">
        <v>56</v>
      </c>
      <c r="B80" s="468" t="s">
        <v>6153</v>
      </c>
      <c r="C80" s="429" t="s">
        <v>817</v>
      </c>
      <c r="D80" s="429" t="s">
        <v>1548</v>
      </c>
      <c r="E80" s="429" t="s">
        <v>584</v>
      </c>
      <c r="F80" s="429" t="s">
        <v>6154</v>
      </c>
      <c r="G80" s="431">
        <v>11426</v>
      </c>
      <c r="H80" s="436" t="s">
        <v>1737</v>
      </c>
      <c r="I80" s="429" t="s">
        <v>6155</v>
      </c>
      <c r="J80" s="429" t="s">
        <v>2130</v>
      </c>
      <c r="K80" s="432">
        <v>41970</v>
      </c>
      <c r="L80" s="430">
        <v>10449</v>
      </c>
      <c r="M80" s="431">
        <v>11446</v>
      </c>
      <c r="N80" s="432">
        <v>41970</v>
      </c>
      <c r="O80" s="432">
        <v>41985</v>
      </c>
      <c r="P80" s="440" t="s">
        <v>6051</v>
      </c>
      <c r="Q80" s="429"/>
      <c r="R80" s="429"/>
      <c r="S80" s="429"/>
      <c r="T80" s="429" t="s">
        <v>6156</v>
      </c>
      <c r="U80" s="440">
        <v>1</v>
      </c>
      <c r="V80" s="448">
        <v>41985</v>
      </c>
      <c r="W80" s="444" t="s">
        <v>6157</v>
      </c>
      <c r="X80" s="440" t="s">
        <v>6158</v>
      </c>
      <c r="Y80" s="448">
        <v>41985</v>
      </c>
      <c r="Z80" s="444" t="s">
        <v>6159</v>
      </c>
      <c r="AA80" s="440">
        <v>0</v>
      </c>
      <c r="AB80" s="440">
        <v>0</v>
      </c>
      <c r="AC80" s="440">
        <v>0</v>
      </c>
      <c r="AD80" s="440">
        <v>0</v>
      </c>
      <c r="AE80" s="177">
        <f>L80-AD80+AC80</f>
        <v>10449</v>
      </c>
      <c r="AF80" s="506"/>
      <c r="AG80" s="506">
        <v>10449</v>
      </c>
      <c r="AH80" s="257">
        <f t="shared" si="2"/>
        <v>10449</v>
      </c>
      <c r="AI80" s="179"/>
      <c r="AJ80" s="107"/>
      <c r="AK80" s="107"/>
      <c r="AL80" s="108"/>
      <c r="AM80" s="179"/>
      <c r="AN80" s="181"/>
      <c r="AO80" s="181"/>
      <c r="AP80" s="181"/>
      <c r="AQ80" s="181"/>
      <c r="AR80" s="182"/>
      <c r="AS80" s="468"/>
      <c r="AT80" s="465"/>
      <c r="AU80" s="465"/>
      <c r="AV80" s="465"/>
      <c r="AW80" s="465"/>
      <c r="AX80" s="465"/>
      <c r="AY80" s="465"/>
      <c r="AZ80" s="465"/>
      <c r="BA80" s="465"/>
      <c r="BB80" s="465"/>
      <c r="BC80" s="465"/>
      <c r="BD80" s="467"/>
    </row>
    <row r="81" spans="1:56" ht="51.75" thickBot="1" x14ac:dyDescent="0.3">
      <c r="A81" s="470">
        <v>57</v>
      </c>
      <c r="B81" s="489" t="s">
        <v>6160</v>
      </c>
      <c r="C81" s="439"/>
      <c r="D81" s="439" t="s">
        <v>4804</v>
      </c>
      <c r="E81" s="439" t="s">
        <v>584</v>
      </c>
      <c r="F81" s="439" t="s">
        <v>6161</v>
      </c>
      <c r="G81" s="445" t="s">
        <v>677</v>
      </c>
      <c r="H81" s="443" t="s">
        <v>6162</v>
      </c>
      <c r="I81" s="439" t="s">
        <v>6080</v>
      </c>
      <c r="J81" s="439" t="s">
        <v>464</v>
      </c>
      <c r="K81" s="447">
        <v>41932</v>
      </c>
      <c r="L81" s="451">
        <v>19999.8</v>
      </c>
      <c r="M81" s="445">
        <v>11308</v>
      </c>
      <c r="N81" s="447">
        <v>41932</v>
      </c>
      <c r="O81" s="447">
        <v>41932</v>
      </c>
      <c r="P81" s="458" t="s">
        <v>591</v>
      </c>
      <c r="Q81" s="439"/>
      <c r="R81" s="439"/>
      <c r="S81" s="439"/>
      <c r="T81" s="439" t="s">
        <v>719</v>
      </c>
      <c r="U81" s="458" t="s">
        <v>677</v>
      </c>
      <c r="V81" s="460" t="s">
        <v>677</v>
      </c>
      <c r="W81" s="493" t="s">
        <v>677</v>
      </c>
      <c r="X81" s="458" t="s">
        <v>677</v>
      </c>
      <c r="Y81" s="460" t="s">
        <v>677</v>
      </c>
      <c r="Z81" s="460" t="s">
        <v>677</v>
      </c>
      <c r="AA81" s="458">
        <v>0</v>
      </c>
      <c r="AB81" s="458">
        <v>0</v>
      </c>
      <c r="AC81" s="458">
        <v>0</v>
      </c>
      <c r="AD81" s="458">
        <v>0</v>
      </c>
      <c r="AE81" s="282">
        <v>19999.8</v>
      </c>
      <c r="AF81" s="439"/>
      <c r="AG81" s="439"/>
      <c r="AH81" s="294">
        <f t="shared" si="2"/>
        <v>0</v>
      </c>
      <c r="AI81" s="838" t="s">
        <v>675</v>
      </c>
      <c r="AJ81" s="925" t="s">
        <v>6163</v>
      </c>
      <c r="AK81" s="926" t="s">
        <v>6164</v>
      </c>
      <c r="AL81" s="925" t="s">
        <v>6163</v>
      </c>
      <c r="AM81" s="284"/>
      <c r="AN81" s="287"/>
      <c r="AO81" s="287"/>
      <c r="AP81" s="287"/>
      <c r="AQ81" s="287"/>
      <c r="AR81" s="288"/>
      <c r="AS81" s="489"/>
      <c r="AT81" s="927"/>
      <c r="AU81" s="927"/>
      <c r="AV81" s="927"/>
      <c r="AW81" s="927"/>
      <c r="AX81" s="927"/>
      <c r="AY81" s="927"/>
      <c r="AZ81" s="927"/>
      <c r="BA81" s="927"/>
      <c r="BB81" s="927"/>
      <c r="BC81" s="927"/>
      <c r="BD81" s="928"/>
    </row>
    <row r="82" spans="1:56" ht="15.75" thickBot="1" x14ac:dyDescent="0.3">
      <c r="A82" s="2132" t="s">
        <v>601</v>
      </c>
      <c r="B82" s="2133"/>
      <c r="C82" s="2133"/>
      <c r="D82" s="2133"/>
      <c r="E82" s="2133"/>
      <c r="F82" s="2133"/>
      <c r="G82" s="2133"/>
      <c r="H82" s="2133"/>
      <c r="I82" s="2133"/>
      <c r="J82" s="2133"/>
      <c r="K82" s="2134"/>
      <c r="L82" s="881">
        <f>SUM(L24:L81)</f>
        <v>653919.46000000008</v>
      </c>
      <c r="M82" s="355"/>
      <c r="N82" s="355"/>
      <c r="O82" s="355"/>
      <c r="P82" s="355"/>
      <c r="Q82" s="355"/>
      <c r="R82" s="355"/>
      <c r="S82" s="355"/>
      <c r="T82" s="355"/>
      <c r="U82" s="355"/>
      <c r="V82" s="355"/>
      <c r="W82" s="355"/>
      <c r="X82" s="355"/>
      <c r="Y82" s="355"/>
      <c r="Z82" s="355"/>
      <c r="AA82" s="355"/>
      <c r="AB82" s="355"/>
      <c r="AC82" s="360">
        <f t="shared" ref="AC82:AH82" si="3">SUM(AC24:AC81)</f>
        <v>0</v>
      </c>
      <c r="AD82" s="360">
        <f t="shared" si="3"/>
        <v>0</v>
      </c>
      <c r="AE82" s="356">
        <f t="shared" si="3"/>
        <v>630716.46000000008</v>
      </c>
      <c r="AF82" s="356">
        <f t="shared" si="3"/>
        <v>65128.84</v>
      </c>
      <c r="AG82" s="356">
        <f t="shared" si="3"/>
        <v>408880.93</v>
      </c>
      <c r="AH82" s="356">
        <f t="shared" si="3"/>
        <v>474009.77</v>
      </c>
      <c r="AI82" s="359"/>
      <c r="AJ82" s="360"/>
      <c r="AK82" s="360"/>
      <c r="AL82" s="361"/>
      <c r="AM82" s="359"/>
      <c r="AN82" s="362"/>
      <c r="AO82" s="362"/>
      <c r="AP82" s="362"/>
      <c r="AQ82" s="362"/>
      <c r="AR82" s="363"/>
      <c r="AS82" s="364"/>
      <c r="AT82" s="365"/>
      <c r="AU82" s="365"/>
      <c r="AV82" s="365"/>
      <c r="AW82" s="365"/>
      <c r="AX82" s="365"/>
      <c r="AY82" s="365"/>
      <c r="AZ82" s="365"/>
      <c r="BA82" s="365"/>
      <c r="BB82" s="365"/>
      <c r="BC82" s="365"/>
      <c r="BD82" s="366"/>
    </row>
    <row r="85" spans="1:56" x14ac:dyDescent="0.25">
      <c r="A85" s="1076" t="s">
        <v>7559</v>
      </c>
      <c r="B85" s="1076"/>
      <c r="C85" s="1076"/>
      <c r="D85" s="162" t="s">
        <v>7588</v>
      </c>
      <c r="E85" s="162"/>
      <c r="F85" s="162"/>
    </row>
    <row r="86" spans="1:56" x14ac:dyDescent="0.25">
      <c r="A86" s="162" t="s">
        <v>7589</v>
      </c>
      <c r="B86" s="162"/>
      <c r="C86" s="162"/>
      <c r="D86" s="162"/>
      <c r="E86" s="162"/>
      <c r="F86" s="162"/>
    </row>
  </sheetData>
  <mergeCells count="29">
    <mergeCell ref="A9:BD9"/>
    <mergeCell ref="A11:BD11"/>
    <mergeCell ref="AU22:AW22"/>
    <mergeCell ref="AM22:AM23"/>
    <mergeCell ref="AN22:AN23"/>
    <mergeCell ref="H21:AH21"/>
    <mergeCell ref="AI21:AL21"/>
    <mergeCell ref="AM21:AR21"/>
    <mergeCell ref="AE22:AH22"/>
    <mergeCell ref="AI22:AI23"/>
    <mergeCell ref="AJ22:AJ23"/>
    <mergeCell ref="AK22:AK23"/>
    <mergeCell ref="AL22:AL23"/>
    <mergeCell ref="AX22:AY22"/>
    <mergeCell ref="AZ22:AZ23"/>
    <mergeCell ref="BA22:BA23"/>
    <mergeCell ref="BB22:BD22"/>
    <mergeCell ref="A82:K82"/>
    <mergeCell ref="AO22:AO23"/>
    <mergeCell ref="AP22:AP23"/>
    <mergeCell ref="AQ22:AQ23"/>
    <mergeCell ref="AR22:AR23"/>
    <mergeCell ref="A21:A24"/>
    <mergeCell ref="B21:G22"/>
    <mergeCell ref="AS22:AS23"/>
    <mergeCell ref="AT22:AT23"/>
    <mergeCell ref="AS21:BD21"/>
    <mergeCell ref="H22:T22"/>
    <mergeCell ref="U22:AD22"/>
  </mergeCells>
  <pageMargins left="0.511811024" right="0.511811024" top="0.78740157499999996" bottom="0.78740157499999996" header="0.31496062000000002" footer="0.3149606200000000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65"/>
  <sheetViews>
    <sheetView topLeftCell="O1" workbookViewId="0">
      <selection sqref="A1:XFD11"/>
    </sheetView>
  </sheetViews>
  <sheetFormatPr defaultRowHeight="15" x14ac:dyDescent="0.25"/>
  <cols>
    <col min="1" max="1" width="6.5703125" style="239" customWidth="1"/>
    <col min="2" max="2" width="16.28515625" style="239" bestFit="1" customWidth="1"/>
    <col min="3" max="3" width="10.140625" style="239" bestFit="1" customWidth="1"/>
    <col min="4" max="4" width="19.5703125" style="239" bestFit="1" customWidth="1"/>
    <col min="5" max="5" width="6.42578125" style="239" customWidth="1"/>
    <col min="6" max="6" width="38.140625" style="239" customWidth="1"/>
    <col min="7" max="8" width="12.140625" style="239" customWidth="1"/>
    <col min="9" max="9" width="34.85546875" style="239" customWidth="1"/>
    <col min="10" max="10" width="10.85546875" style="239" customWidth="1"/>
    <col min="11" max="11" width="12.5703125" style="239" customWidth="1"/>
    <col min="12" max="12" width="11.7109375" style="239" bestFit="1" customWidth="1"/>
    <col min="13" max="13" width="12.42578125" style="239" customWidth="1"/>
    <col min="14" max="14" width="12.7109375" style="239" customWidth="1"/>
    <col min="15" max="15" width="10.140625" style="239" bestFit="1" customWidth="1"/>
    <col min="16" max="16" width="9.140625" style="239"/>
    <col min="17" max="17" width="10.85546875" style="239" customWidth="1"/>
    <col min="18" max="18" width="13.28515625" style="239" customWidth="1"/>
    <col min="19" max="19" width="13.7109375" style="239" customWidth="1"/>
    <col min="20" max="20" width="12.5703125" style="239" customWidth="1"/>
    <col min="21" max="21" width="8.5703125" style="239" bestFit="1" customWidth="1"/>
    <col min="22" max="22" width="10.140625" style="239" bestFit="1" customWidth="1"/>
    <col min="23" max="23" width="12.85546875" style="239" customWidth="1"/>
    <col min="24" max="24" width="15" style="239" bestFit="1" customWidth="1"/>
    <col min="25" max="25" width="11.7109375" style="239" customWidth="1"/>
    <col min="26" max="26" width="10.140625" style="239" bestFit="1" customWidth="1"/>
    <col min="27" max="27" width="12" style="239" customWidth="1"/>
    <col min="28" max="28" width="11.140625" style="239" customWidth="1"/>
    <col min="29" max="29" width="11.5703125" style="239" customWidth="1"/>
    <col min="30" max="30" width="11.28515625" style="239" customWidth="1"/>
    <col min="31" max="31" width="19.85546875" style="239" bestFit="1" customWidth="1"/>
    <col min="32" max="32" width="11" style="239" customWidth="1"/>
    <col min="33" max="33" width="13" style="239" customWidth="1"/>
    <col min="34" max="34" width="15" style="239" customWidth="1"/>
    <col min="35" max="35" width="10.5703125" style="239" customWidth="1"/>
    <col min="36" max="36" width="15.28515625" style="239" customWidth="1"/>
    <col min="37" max="37" width="12.140625" style="239" customWidth="1"/>
    <col min="38" max="38" width="13.42578125" style="239" customWidth="1"/>
    <col min="39" max="39" width="17.7109375" style="239" customWidth="1"/>
    <col min="40" max="40" width="16.140625" style="239" customWidth="1"/>
    <col min="41" max="41" width="14.7109375" style="239" customWidth="1"/>
    <col min="42" max="42" width="13" style="239" customWidth="1"/>
    <col min="43" max="43" width="13.7109375" style="239" customWidth="1"/>
    <col min="44" max="44" width="9.140625" style="239" customWidth="1"/>
    <col min="45" max="45" width="9.140625" style="239"/>
    <col min="46" max="46" width="11.5703125" style="239" customWidth="1"/>
    <col min="47" max="47" width="6" style="239" bestFit="1" customWidth="1"/>
    <col min="48" max="48" width="8.5703125" style="239" bestFit="1" customWidth="1"/>
    <col min="49" max="49" width="4.42578125" style="239" bestFit="1" customWidth="1"/>
    <col min="50" max="51" width="9.140625" style="239"/>
    <col min="52" max="52" width="10.140625" style="239" customWidth="1"/>
    <col min="53" max="53" width="16" style="239" customWidth="1"/>
    <col min="54" max="54" width="6" style="239" bestFit="1" customWidth="1"/>
    <col min="55" max="55" width="9.140625" style="239"/>
    <col min="56" max="56" width="7" style="239" bestFit="1" customWidth="1"/>
    <col min="57"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x14ac:dyDescent="0.25">
      <c r="AI12" s="1083"/>
      <c r="AJ12" s="1083"/>
      <c r="AK12" s="1083"/>
      <c r="AL12" s="1083"/>
      <c r="AM12" s="1083"/>
      <c r="AN12" s="1083"/>
      <c r="AO12" s="1083"/>
      <c r="AP12" s="1083"/>
      <c r="AQ12" s="1083"/>
      <c r="AR12" s="1083"/>
    </row>
    <row r="13" spans="1:56" s="369" customFormat="1" ht="15.75" x14ac:dyDescent="0.25">
      <c r="A13" s="368" t="s">
        <v>1</v>
      </c>
      <c r="B13" s="368"/>
      <c r="C13" s="368"/>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row>
    <row r="14" spans="1:56" s="369" customFormat="1" ht="15.75" x14ac:dyDescent="0.25">
      <c r="A14" s="368" t="s">
        <v>2</v>
      </c>
      <c r="B14" s="368"/>
      <c r="C14" s="368"/>
      <c r="D14" s="368"/>
      <c r="E14" s="368"/>
      <c r="F14" s="368"/>
      <c r="G14" s="368"/>
      <c r="H14" s="368"/>
      <c r="I14" s="368"/>
      <c r="J14" s="368"/>
      <c r="K14" s="371"/>
      <c r="L14" s="371"/>
      <c r="M14" s="371"/>
      <c r="N14" s="371"/>
      <c r="O14" s="371"/>
      <c r="P14" s="371"/>
      <c r="Q14" s="371"/>
      <c r="R14" s="371"/>
      <c r="S14" s="371"/>
      <c r="T14" s="371"/>
      <c r="U14" s="371"/>
      <c r="V14" s="371"/>
      <c r="W14" s="371"/>
      <c r="X14" s="371"/>
      <c r="Y14" s="371"/>
      <c r="Z14" s="371"/>
      <c r="AA14" s="371"/>
      <c r="AB14" s="371"/>
      <c r="AC14" s="371"/>
      <c r="AD14" s="371"/>
      <c r="AE14" s="371"/>
      <c r="AF14" s="371"/>
      <c r="AG14" s="371"/>
      <c r="AH14" s="371"/>
      <c r="AI14" s="371"/>
      <c r="AJ14" s="371"/>
      <c r="AK14" s="371"/>
      <c r="AL14" s="371"/>
      <c r="AM14" s="371"/>
      <c r="AN14" s="371"/>
      <c r="AO14" s="371"/>
      <c r="AP14" s="371"/>
      <c r="AQ14" s="371"/>
      <c r="AR14" s="371"/>
      <c r="AS14" s="371"/>
    </row>
    <row r="15" spans="1:56" s="369" customFormat="1" ht="15.75" x14ac:dyDescent="0.25">
      <c r="A15" s="368" t="s">
        <v>3</v>
      </c>
      <c r="B15" s="368"/>
      <c r="C15" s="368"/>
      <c r="D15" s="368"/>
      <c r="E15" s="368"/>
      <c r="F15" s="1093"/>
      <c r="G15" s="1093"/>
      <c r="H15" s="1093"/>
      <c r="I15" s="1093"/>
      <c r="J15" s="1093"/>
      <c r="K15" s="1093"/>
      <c r="L15" s="1093"/>
      <c r="M15" s="1093"/>
      <c r="N15" s="1093"/>
      <c r="O15" s="1093"/>
      <c r="P15" s="1093"/>
      <c r="Q15" s="1093"/>
      <c r="R15" s="1093"/>
      <c r="S15" s="1093"/>
      <c r="T15" s="1093"/>
      <c r="U15" s="1093"/>
      <c r="V15" s="1093"/>
      <c r="W15" s="1093"/>
      <c r="X15" s="1093"/>
      <c r="Y15" s="1093"/>
      <c r="Z15" s="1093"/>
      <c r="AA15" s="1093"/>
      <c r="AB15" s="1093"/>
      <c r="AC15" s="1093"/>
      <c r="AD15" s="1093"/>
      <c r="AE15" s="1093"/>
      <c r="AF15" s="1093"/>
      <c r="AG15" s="1093"/>
      <c r="AH15" s="1093"/>
      <c r="AI15" s="1093"/>
      <c r="AJ15" s="1093"/>
      <c r="AK15" s="1093"/>
      <c r="AL15" s="1093"/>
      <c r="AM15" s="1093"/>
      <c r="AN15" s="1093"/>
      <c r="AO15" s="1093"/>
      <c r="AP15" s="1093"/>
      <c r="AQ15" s="1093"/>
      <c r="AR15" s="1093"/>
      <c r="AS15" s="1093"/>
    </row>
    <row r="16" spans="1:56" s="369" customFormat="1" ht="15.75" x14ac:dyDescent="0.25">
      <c r="B16" s="370"/>
      <c r="C16" s="370"/>
      <c r="D16" s="370"/>
      <c r="E16" s="370"/>
      <c r="F16" s="370"/>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row>
    <row r="17" spans="1:56" s="369" customFormat="1" ht="15.75" x14ac:dyDescent="0.25">
      <c r="A17" s="368" t="s">
        <v>7595</v>
      </c>
      <c r="B17" s="368"/>
      <c r="C17" s="368"/>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68"/>
      <c r="AS17" s="368"/>
    </row>
    <row r="18" spans="1:56" s="369" customFormat="1" ht="15.75" x14ac:dyDescent="0.25">
      <c r="A18" s="368" t="s">
        <v>7567</v>
      </c>
      <c r="B18" s="368"/>
      <c r="C18" s="368"/>
      <c r="D18" s="368"/>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row>
    <row r="19" spans="1:56" s="369" customFormat="1" ht="15.75" x14ac:dyDescent="0.25">
      <c r="A19" s="368" t="s">
        <v>7596</v>
      </c>
      <c r="B19" s="368"/>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row>
    <row r="20" spans="1:56" ht="15.75" customHeight="1" thickBot="1" x14ac:dyDescent="0.3">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c r="AL20" s="1740"/>
      <c r="AM20" s="1740"/>
      <c r="AN20" s="1740"/>
      <c r="AO20" s="1740"/>
      <c r="AP20" s="1740"/>
      <c r="AQ20" s="1740"/>
      <c r="AR20" s="1740"/>
      <c r="AS20" s="1740"/>
      <c r="AT20" s="1740"/>
      <c r="AU20" s="1740"/>
      <c r="AV20" s="1740"/>
      <c r="AW20" s="1740"/>
      <c r="AX20" s="1740"/>
      <c r="AY20" s="1740"/>
      <c r="AZ20" s="1740"/>
      <c r="BA20" s="1740"/>
      <c r="BB20" s="1740"/>
      <c r="BC20" s="1740"/>
      <c r="BD20" s="1740"/>
    </row>
    <row r="21" spans="1:56" ht="15.75" customHeight="1" x14ac:dyDescent="0.25">
      <c r="A21" s="2122" t="s">
        <v>5</v>
      </c>
      <c r="B21" s="2086" t="s">
        <v>6</v>
      </c>
      <c r="C21" s="2087"/>
      <c r="D21" s="2087"/>
      <c r="E21" s="2087"/>
      <c r="F21" s="2087"/>
      <c r="G21" s="2088"/>
      <c r="H21" s="2126" t="s">
        <v>7</v>
      </c>
      <c r="I21" s="2126"/>
      <c r="J21" s="2126"/>
      <c r="K21" s="2126"/>
      <c r="L21" s="2126"/>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056" t="s">
        <v>8</v>
      </c>
      <c r="AJ21" s="2049"/>
      <c r="AK21" s="2049"/>
      <c r="AL21" s="2051"/>
      <c r="AM21" s="2125" t="s">
        <v>9</v>
      </c>
      <c r="AN21" s="2126"/>
      <c r="AO21" s="2126"/>
      <c r="AP21" s="2126"/>
      <c r="AQ21" s="2126"/>
      <c r="AR21" s="2127"/>
      <c r="AS21" s="2128" t="s">
        <v>10</v>
      </c>
      <c r="AT21" s="2129"/>
      <c r="AU21" s="2129"/>
      <c r="AV21" s="2129"/>
      <c r="AW21" s="2129"/>
      <c r="AX21" s="2129"/>
      <c r="AY21" s="2129"/>
      <c r="AZ21" s="2129"/>
      <c r="BA21" s="2129"/>
      <c r="BB21" s="2129"/>
      <c r="BC21" s="2129"/>
      <c r="BD21" s="2130"/>
    </row>
    <row r="22" spans="1:56" ht="15.75" customHeight="1" x14ac:dyDescent="0.25">
      <c r="A22" s="2123"/>
      <c r="B22" s="2089"/>
      <c r="C22" s="2090"/>
      <c r="D22" s="2090"/>
      <c r="E22" s="2090"/>
      <c r="F22" s="2090"/>
      <c r="G22" s="2091"/>
      <c r="H22" s="2102" t="s">
        <v>11</v>
      </c>
      <c r="I22" s="2102"/>
      <c r="J22" s="2102"/>
      <c r="K22" s="2102"/>
      <c r="L22" s="2102"/>
      <c r="M22" s="2102"/>
      <c r="N22" s="2102"/>
      <c r="O22" s="2102"/>
      <c r="P22" s="2102"/>
      <c r="Q22" s="2102"/>
      <c r="R22" s="2102"/>
      <c r="S22" s="2102"/>
      <c r="T22" s="2069"/>
      <c r="U22" s="2103" t="s">
        <v>12</v>
      </c>
      <c r="V22" s="2102"/>
      <c r="W22" s="2102"/>
      <c r="X22" s="2102"/>
      <c r="Y22" s="2102"/>
      <c r="Z22" s="2102"/>
      <c r="AA22" s="2102"/>
      <c r="AB22" s="2102"/>
      <c r="AC22" s="2102"/>
      <c r="AD22" s="2069"/>
      <c r="AE22" s="2103" t="s">
        <v>13</v>
      </c>
      <c r="AF22" s="2102"/>
      <c r="AG22" s="2102"/>
      <c r="AH22" s="2102"/>
      <c r="AI22" s="2057" t="s">
        <v>14</v>
      </c>
      <c r="AJ22" s="2050" t="s">
        <v>15</v>
      </c>
      <c r="AK22" s="2050" t="s">
        <v>16</v>
      </c>
      <c r="AL22" s="2052" t="s">
        <v>581</v>
      </c>
      <c r="AM22" s="2112" t="s">
        <v>18</v>
      </c>
      <c r="AN22" s="2114" t="s">
        <v>19</v>
      </c>
      <c r="AO22" s="2114" t="s">
        <v>20</v>
      </c>
      <c r="AP22" s="2114" t="s">
        <v>21</v>
      </c>
      <c r="AQ22" s="2114" t="s">
        <v>22</v>
      </c>
      <c r="AR22" s="2116" t="s">
        <v>21</v>
      </c>
      <c r="AS22" s="2069" t="s">
        <v>23</v>
      </c>
      <c r="AT22" s="2110" t="s">
        <v>24</v>
      </c>
      <c r="AU22" s="2111" t="s">
        <v>25</v>
      </c>
      <c r="AV22" s="2111"/>
      <c r="AW22" s="2111"/>
      <c r="AX22" s="2111" t="s">
        <v>26</v>
      </c>
      <c r="AY22" s="2111"/>
      <c r="AZ22" s="2110" t="s">
        <v>27</v>
      </c>
      <c r="BA22" s="2050" t="s">
        <v>28</v>
      </c>
      <c r="BB22" s="2111" t="s">
        <v>29</v>
      </c>
      <c r="BC22" s="2111"/>
      <c r="BD22" s="2131"/>
    </row>
    <row r="23" spans="1:56" ht="51" x14ac:dyDescent="0.25">
      <c r="A23" s="2123"/>
      <c r="B23" s="1028" t="s">
        <v>30</v>
      </c>
      <c r="C23" s="1026" t="s">
        <v>31</v>
      </c>
      <c r="D23" s="1026" t="s">
        <v>32</v>
      </c>
      <c r="E23" s="1026" t="s">
        <v>23</v>
      </c>
      <c r="F23" s="1026" t="s">
        <v>33</v>
      </c>
      <c r="G23" s="1027" t="s">
        <v>34</v>
      </c>
      <c r="H23" s="1738" t="s">
        <v>35</v>
      </c>
      <c r="I23" s="1026" t="s">
        <v>36</v>
      </c>
      <c r="J23" s="1026" t="s">
        <v>37</v>
      </c>
      <c r="K23" s="1026" t="s">
        <v>38</v>
      </c>
      <c r="L23" s="1026" t="s">
        <v>39</v>
      </c>
      <c r="M23" s="1026" t="s">
        <v>40</v>
      </c>
      <c r="N23" s="1026" t="s">
        <v>41</v>
      </c>
      <c r="O23" s="1026" t="s">
        <v>42</v>
      </c>
      <c r="P23" s="1026" t="s">
        <v>43</v>
      </c>
      <c r="Q23" s="1026" t="s">
        <v>44</v>
      </c>
      <c r="R23" s="1026" t="s">
        <v>45</v>
      </c>
      <c r="S23" s="1026" t="s">
        <v>46</v>
      </c>
      <c r="T23" s="1026" t="s">
        <v>47</v>
      </c>
      <c r="U23" s="1026" t="s">
        <v>48</v>
      </c>
      <c r="V23" s="1026" t="s">
        <v>38</v>
      </c>
      <c r="W23" s="1026" t="s">
        <v>40</v>
      </c>
      <c r="X23" s="1026" t="s">
        <v>49</v>
      </c>
      <c r="Y23" s="1026" t="s">
        <v>41</v>
      </c>
      <c r="Z23" s="1026" t="s">
        <v>42</v>
      </c>
      <c r="AA23" s="1026" t="s">
        <v>50</v>
      </c>
      <c r="AB23" s="1026" t="s">
        <v>51</v>
      </c>
      <c r="AC23" s="1026" t="s">
        <v>52</v>
      </c>
      <c r="AD23" s="1026" t="s">
        <v>53</v>
      </c>
      <c r="AE23" s="1026" t="s">
        <v>54</v>
      </c>
      <c r="AF23" s="1026" t="s">
        <v>55</v>
      </c>
      <c r="AG23" s="1026" t="s">
        <v>56</v>
      </c>
      <c r="AH23" s="1077" t="s">
        <v>57</v>
      </c>
      <c r="AI23" s="2057"/>
      <c r="AJ23" s="2050"/>
      <c r="AK23" s="2050"/>
      <c r="AL23" s="2052"/>
      <c r="AM23" s="2113"/>
      <c r="AN23" s="2115"/>
      <c r="AO23" s="2115"/>
      <c r="AP23" s="2115"/>
      <c r="AQ23" s="2115"/>
      <c r="AR23" s="2117"/>
      <c r="AS23" s="2069"/>
      <c r="AT23" s="2110"/>
      <c r="AU23" s="1086" t="s">
        <v>58</v>
      </c>
      <c r="AV23" s="1086" t="s">
        <v>59</v>
      </c>
      <c r="AW23" s="1086" t="s">
        <v>60</v>
      </c>
      <c r="AX23" s="1086" t="s">
        <v>61</v>
      </c>
      <c r="AY23" s="1085" t="s">
        <v>62</v>
      </c>
      <c r="AZ23" s="2110"/>
      <c r="BA23" s="2050"/>
      <c r="BB23" s="1086" t="s">
        <v>58</v>
      </c>
      <c r="BC23" s="1086" t="s">
        <v>63</v>
      </c>
      <c r="BD23" s="1087" t="s">
        <v>64</v>
      </c>
    </row>
    <row r="24" spans="1:56" ht="26.25" thickBot="1" x14ac:dyDescent="0.3">
      <c r="A24" s="2124"/>
      <c r="B24" s="10" t="s">
        <v>65</v>
      </c>
      <c r="C24" s="11" t="s">
        <v>66</v>
      </c>
      <c r="D24" s="12" t="s">
        <v>67</v>
      </c>
      <c r="E24" s="11" t="s">
        <v>68</v>
      </c>
      <c r="F24" s="11" t="s">
        <v>69</v>
      </c>
      <c r="G24" s="13" t="s">
        <v>70</v>
      </c>
      <c r="H24" s="1739" t="s">
        <v>71</v>
      </c>
      <c r="I24" s="11" t="s">
        <v>72</v>
      </c>
      <c r="J24" s="11" t="s">
        <v>73</v>
      </c>
      <c r="K24" s="11" t="s">
        <v>74</v>
      </c>
      <c r="L24" s="15" t="s">
        <v>75</v>
      </c>
      <c r="M24" s="11" t="s">
        <v>76</v>
      </c>
      <c r="N24" s="11" t="s">
        <v>77</v>
      </c>
      <c r="O24" s="11" t="s">
        <v>78</v>
      </c>
      <c r="P24" s="11" t="s">
        <v>79</v>
      </c>
      <c r="Q24" s="11" t="s">
        <v>80</v>
      </c>
      <c r="R24" s="11" t="s">
        <v>81</v>
      </c>
      <c r="S24" s="11" t="s">
        <v>82</v>
      </c>
      <c r="T24" s="11" t="s">
        <v>83</v>
      </c>
      <c r="U24" s="11" t="s">
        <v>84</v>
      </c>
      <c r="V24" s="11" t="s">
        <v>85</v>
      </c>
      <c r="W24" s="11" t="s">
        <v>86</v>
      </c>
      <c r="X24" s="11" t="s">
        <v>87</v>
      </c>
      <c r="Y24" s="11" t="s">
        <v>88</v>
      </c>
      <c r="Z24" s="11" t="s">
        <v>89</v>
      </c>
      <c r="AA24" s="11" t="s">
        <v>90</v>
      </c>
      <c r="AB24" s="11" t="s">
        <v>91</v>
      </c>
      <c r="AC24" s="11" t="s">
        <v>92</v>
      </c>
      <c r="AD24" s="11" t="s">
        <v>93</v>
      </c>
      <c r="AE24" s="11" t="s">
        <v>94</v>
      </c>
      <c r="AF24" s="11" t="s">
        <v>95</v>
      </c>
      <c r="AG24" s="247" t="s">
        <v>96</v>
      </c>
      <c r="AH24" s="248" t="s">
        <v>97</v>
      </c>
      <c r="AI24" s="10" t="s">
        <v>98</v>
      </c>
      <c r="AJ24" s="16" t="s">
        <v>99</v>
      </c>
      <c r="AK24" s="16" t="s">
        <v>100</v>
      </c>
      <c r="AL24" s="249" t="s">
        <v>101</v>
      </c>
      <c r="AM24" s="250" t="s">
        <v>102</v>
      </c>
      <c r="AN24" s="251" t="s">
        <v>103</v>
      </c>
      <c r="AO24" s="251" t="s">
        <v>104</v>
      </c>
      <c r="AP24" s="251" t="s">
        <v>105</v>
      </c>
      <c r="AQ24" s="251" t="s">
        <v>106</v>
      </c>
      <c r="AR24" s="252" t="s">
        <v>107</v>
      </c>
      <c r="AS24" s="253" t="s">
        <v>108</v>
      </c>
      <c r="AT24" s="251" t="s">
        <v>109</v>
      </c>
      <c r="AU24" s="251" t="s">
        <v>110</v>
      </c>
      <c r="AV24" s="251" t="s">
        <v>111</v>
      </c>
      <c r="AW24" s="252" t="s">
        <v>112</v>
      </c>
      <c r="AX24" s="252" t="s">
        <v>113</v>
      </c>
      <c r="AY24" s="252" t="s">
        <v>114</v>
      </c>
      <c r="AZ24" s="251" t="s">
        <v>115</v>
      </c>
      <c r="BA24" s="251" t="s">
        <v>116</v>
      </c>
      <c r="BB24" s="251" t="s">
        <v>117</v>
      </c>
      <c r="BC24" s="252" t="s">
        <v>118</v>
      </c>
      <c r="BD24" s="252" t="s">
        <v>119</v>
      </c>
    </row>
    <row r="25" spans="1:56" s="1747" customFormat="1" ht="76.5" x14ac:dyDescent="0.25">
      <c r="A25" s="1089">
        <v>1</v>
      </c>
      <c r="B25" s="1218" t="s">
        <v>6351</v>
      </c>
      <c r="C25" s="1043" t="s">
        <v>983</v>
      </c>
      <c r="D25" s="1043" t="s">
        <v>1171</v>
      </c>
      <c r="E25" s="1042" t="s">
        <v>616</v>
      </c>
      <c r="F25" s="1042" t="s">
        <v>6352</v>
      </c>
      <c r="G25" s="1032" t="s">
        <v>6353</v>
      </c>
      <c r="H25" s="991" t="s">
        <v>967</v>
      </c>
      <c r="I25" s="1042" t="s">
        <v>6354</v>
      </c>
      <c r="J25" s="1042" t="s">
        <v>225</v>
      </c>
      <c r="K25" s="992">
        <v>41389</v>
      </c>
      <c r="L25" s="1142">
        <v>71400</v>
      </c>
      <c r="M25" s="1042" t="s">
        <v>6355</v>
      </c>
      <c r="N25" s="934">
        <v>41389</v>
      </c>
      <c r="O25" s="934">
        <v>41754</v>
      </c>
      <c r="P25" s="1043" t="s">
        <v>591</v>
      </c>
      <c r="Q25" s="1043"/>
      <c r="R25" s="1043"/>
      <c r="S25" s="1043"/>
      <c r="T25" s="1043" t="s">
        <v>685</v>
      </c>
      <c r="U25" s="1043" t="s">
        <v>675</v>
      </c>
      <c r="V25" s="934">
        <v>41754</v>
      </c>
      <c r="W25" s="1043" t="s">
        <v>6356</v>
      </c>
      <c r="X25" s="1043" t="s">
        <v>6357</v>
      </c>
      <c r="Y25" s="934">
        <v>41754</v>
      </c>
      <c r="Z25" s="934">
        <v>42119</v>
      </c>
      <c r="AA25" s="1043"/>
      <c r="AB25" s="1043"/>
      <c r="AC25" s="1043"/>
      <c r="AD25" s="1043"/>
      <c r="AE25" s="1043"/>
      <c r="AF25" s="1142">
        <v>43570</v>
      </c>
      <c r="AG25" s="993">
        <v>71340</v>
      </c>
      <c r="AH25" s="994">
        <f t="shared" ref="AH25:AH28" si="0">AF25+AG25</f>
        <v>114910</v>
      </c>
      <c r="AI25" s="1218" t="s">
        <v>998</v>
      </c>
      <c r="AJ25" s="1129" t="s">
        <v>6358</v>
      </c>
      <c r="AK25" s="1129" t="s">
        <v>382</v>
      </c>
      <c r="AL25" s="1129" t="s">
        <v>6359</v>
      </c>
      <c r="AM25" s="1741"/>
      <c r="AN25" s="1742"/>
      <c r="AO25" s="1742"/>
      <c r="AP25" s="1742"/>
      <c r="AQ25" s="1742"/>
      <c r="AR25" s="1743"/>
      <c r="AS25" s="1744"/>
      <c r="AT25" s="1152"/>
      <c r="AU25" s="1152"/>
      <c r="AV25" s="1152"/>
      <c r="AW25" s="1745"/>
      <c r="AX25" s="1745"/>
      <c r="AY25" s="1745"/>
      <c r="AZ25" s="1152"/>
      <c r="BA25" s="1152"/>
      <c r="BB25" s="1152"/>
      <c r="BC25" s="1745"/>
      <c r="BD25" s="1746"/>
    </row>
    <row r="26" spans="1:56" s="1747" customFormat="1" ht="76.5" x14ac:dyDescent="0.25">
      <c r="A26" s="1088">
        <v>2</v>
      </c>
      <c r="B26" s="99" t="s">
        <v>6360</v>
      </c>
      <c r="C26" s="1055" t="s">
        <v>6361</v>
      </c>
      <c r="D26" s="1043" t="s">
        <v>1171</v>
      </c>
      <c r="E26" s="1055" t="s">
        <v>616</v>
      </c>
      <c r="F26" s="1055" t="s">
        <v>6362</v>
      </c>
      <c r="G26" s="1051" t="s">
        <v>6363</v>
      </c>
      <c r="H26" s="498" t="s">
        <v>986</v>
      </c>
      <c r="I26" s="1055" t="s">
        <v>606</v>
      </c>
      <c r="J26" s="1055" t="s">
        <v>607</v>
      </c>
      <c r="K26" s="1137">
        <v>41389</v>
      </c>
      <c r="L26" s="1155">
        <v>24427.15</v>
      </c>
      <c r="M26" s="1055" t="s">
        <v>6355</v>
      </c>
      <c r="N26" s="1137">
        <v>41389</v>
      </c>
      <c r="O26" s="1137">
        <v>41754</v>
      </c>
      <c r="P26" s="1043" t="s">
        <v>591</v>
      </c>
      <c r="Q26" s="1055"/>
      <c r="R26" s="1055"/>
      <c r="S26" s="1055"/>
      <c r="T26" s="1055" t="s">
        <v>685</v>
      </c>
      <c r="U26" s="1055" t="s">
        <v>683</v>
      </c>
      <c r="V26" s="1137">
        <v>41753</v>
      </c>
      <c r="W26" s="1055" t="s">
        <v>6364</v>
      </c>
      <c r="X26" s="1055" t="s">
        <v>6357</v>
      </c>
      <c r="Y26" s="1137">
        <v>41753</v>
      </c>
      <c r="Z26" s="1137">
        <v>42118</v>
      </c>
      <c r="AA26" s="1055"/>
      <c r="AB26" s="1055"/>
      <c r="AC26" s="1055"/>
      <c r="AD26" s="1055"/>
      <c r="AE26" s="1055"/>
      <c r="AF26" s="1155">
        <v>8315.01</v>
      </c>
      <c r="AG26" s="1155">
        <v>7750</v>
      </c>
      <c r="AH26" s="994">
        <f t="shared" si="0"/>
        <v>16065.01</v>
      </c>
      <c r="AI26" s="99" t="s">
        <v>4769</v>
      </c>
      <c r="AJ26" s="1217" t="s">
        <v>6365</v>
      </c>
      <c r="AK26" s="1217" t="s">
        <v>382</v>
      </c>
      <c r="AL26" s="995" t="s">
        <v>6359</v>
      </c>
      <c r="AM26" s="1748"/>
      <c r="AN26" s="636"/>
      <c r="AO26" s="636"/>
      <c r="AP26" s="636"/>
      <c r="AQ26" s="636"/>
      <c r="AR26" s="1749"/>
      <c r="AS26" s="1750"/>
      <c r="AT26" s="1133"/>
      <c r="AU26" s="1133"/>
      <c r="AV26" s="1133"/>
      <c r="AW26" s="1751"/>
      <c r="AX26" s="1751"/>
      <c r="AY26" s="1751"/>
      <c r="AZ26" s="1133"/>
      <c r="BA26" s="1133"/>
      <c r="BB26" s="1133"/>
      <c r="BC26" s="1751"/>
      <c r="BD26" s="930"/>
    </row>
    <row r="27" spans="1:56" s="1747" customFormat="1" ht="24.75" customHeight="1" x14ac:dyDescent="0.25">
      <c r="A27" s="1088">
        <v>3</v>
      </c>
      <c r="B27" s="1218" t="s">
        <v>6366</v>
      </c>
      <c r="C27" s="1043" t="s">
        <v>5552</v>
      </c>
      <c r="D27" s="1043" t="s">
        <v>1171</v>
      </c>
      <c r="E27" s="1055" t="s">
        <v>616</v>
      </c>
      <c r="F27" s="1043" t="s">
        <v>6367</v>
      </c>
      <c r="G27" s="1033" t="s">
        <v>6368</v>
      </c>
      <c r="H27" s="996" t="s">
        <v>993</v>
      </c>
      <c r="I27" s="1043" t="s">
        <v>6369</v>
      </c>
      <c r="J27" s="1043" t="s">
        <v>1053</v>
      </c>
      <c r="K27" s="934">
        <v>41389</v>
      </c>
      <c r="L27" s="1143">
        <v>39500</v>
      </c>
      <c r="M27" s="1043" t="s">
        <v>6355</v>
      </c>
      <c r="N27" s="1137">
        <v>41389</v>
      </c>
      <c r="O27" s="934">
        <v>41754</v>
      </c>
      <c r="P27" s="1043" t="s">
        <v>591</v>
      </c>
      <c r="Q27" s="1055"/>
      <c r="R27" s="1055"/>
      <c r="S27" s="1055"/>
      <c r="T27" s="1055" t="s">
        <v>719</v>
      </c>
      <c r="U27" s="1055"/>
      <c r="V27" s="1055"/>
      <c r="W27" s="1055"/>
      <c r="X27" s="1043"/>
      <c r="Y27" s="934"/>
      <c r="Z27" s="934"/>
      <c r="AA27" s="1055"/>
      <c r="AB27" s="1055"/>
      <c r="AC27" s="1055"/>
      <c r="AD27" s="1055"/>
      <c r="AE27" s="1055"/>
      <c r="AF27" s="1143">
        <v>19524.599999999999</v>
      </c>
      <c r="AG27" s="1143">
        <v>2607.92</v>
      </c>
      <c r="AH27" s="994">
        <f t="shared" si="0"/>
        <v>22132.519999999997</v>
      </c>
      <c r="AI27" s="99"/>
      <c r="AJ27" s="1217"/>
      <c r="AK27" s="1217"/>
      <c r="AL27" s="995"/>
      <c r="AM27" s="1748"/>
      <c r="AN27" s="636"/>
      <c r="AO27" s="636"/>
      <c r="AP27" s="636"/>
      <c r="AQ27" s="636"/>
      <c r="AR27" s="1749"/>
      <c r="AS27" s="1750"/>
      <c r="AT27" s="1133"/>
      <c r="AU27" s="1133"/>
      <c r="AV27" s="1133"/>
      <c r="AW27" s="1751"/>
      <c r="AX27" s="1751"/>
      <c r="AY27" s="1751"/>
      <c r="AZ27" s="1133"/>
      <c r="BA27" s="1133"/>
      <c r="BB27" s="1133"/>
      <c r="BC27" s="1751"/>
      <c r="BD27" s="930"/>
    </row>
    <row r="28" spans="1:56" s="1747" customFormat="1" ht="24.75" customHeight="1" x14ac:dyDescent="0.25">
      <c r="A28" s="1088">
        <v>4</v>
      </c>
      <c r="B28" s="1218" t="s">
        <v>6370</v>
      </c>
      <c r="C28" s="1043" t="s">
        <v>6371</v>
      </c>
      <c r="D28" s="1043" t="s">
        <v>1171</v>
      </c>
      <c r="E28" s="1055" t="s">
        <v>616</v>
      </c>
      <c r="F28" s="1043" t="s">
        <v>6372</v>
      </c>
      <c r="G28" s="1033" t="s">
        <v>6373</v>
      </c>
      <c r="H28" s="996" t="s">
        <v>975</v>
      </c>
      <c r="I28" s="1043" t="s">
        <v>6374</v>
      </c>
      <c r="J28" s="1043" t="s">
        <v>4414</v>
      </c>
      <c r="K28" s="934">
        <v>41432</v>
      </c>
      <c r="L28" s="1143">
        <v>81835</v>
      </c>
      <c r="M28" s="1043" t="s">
        <v>6375</v>
      </c>
      <c r="N28" s="934">
        <v>41432</v>
      </c>
      <c r="O28" s="934">
        <v>41797</v>
      </c>
      <c r="P28" s="1043" t="s">
        <v>591</v>
      </c>
      <c r="Q28" s="1055"/>
      <c r="R28" s="1055"/>
      <c r="S28" s="1055"/>
      <c r="T28" s="1055" t="s">
        <v>6376</v>
      </c>
      <c r="U28" s="1055"/>
      <c r="V28" s="1055"/>
      <c r="W28" s="1055"/>
      <c r="X28" s="1043"/>
      <c r="Y28" s="934"/>
      <c r="Z28" s="934"/>
      <c r="AA28" s="1043"/>
      <c r="AB28" s="1043"/>
      <c r="AC28" s="1043"/>
      <c r="AD28" s="1043"/>
      <c r="AE28" s="1043"/>
      <c r="AF28" s="1143">
        <v>69242.899999999994</v>
      </c>
      <c r="AG28" s="1143">
        <v>0</v>
      </c>
      <c r="AH28" s="994">
        <f t="shared" si="0"/>
        <v>69242.899999999994</v>
      </c>
      <c r="AI28" s="99" t="s">
        <v>6377</v>
      </c>
      <c r="AJ28" s="1217" t="s">
        <v>6378</v>
      </c>
      <c r="AK28" s="1217" t="s">
        <v>5497</v>
      </c>
      <c r="AL28" s="995" t="s">
        <v>6379</v>
      </c>
      <c r="AM28" s="1748"/>
      <c r="AN28" s="636"/>
      <c r="AO28" s="636"/>
      <c r="AP28" s="636"/>
      <c r="AQ28" s="636"/>
      <c r="AR28" s="1749"/>
      <c r="AS28" s="1750"/>
      <c r="AT28" s="1133"/>
      <c r="AU28" s="1133"/>
      <c r="AV28" s="1133"/>
      <c r="AW28" s="1751"/>
      <c r="AX28" s="1751"/>
      <c r="AY28" s="1751"/>
      <c r="AZ28" s="1133"/>
      <c r="BA28" s="1133"/>
      <c r="BB28" s="1133"/>
      <c r="BC28" s="1751"/>
      <c r="BD28" s="930"/>
    </row>
    <row r="29" spans="1:56" s="1747" customFormat="1" ht="51" x14ac:dyDescent="0.25">
      <c r="A29" s="1088">
        <v>5</v>
      </c>
      <c r="B29" s="1218" t="s">
        <v>6380</v>
      </c>
      <c r="C29" s="936" t="s">
        <v>975</v>
      </c>
      <c r="D29" s="1043" t="s">
        <v>239</v>
      </c>
      <c r="E29" s="1055" t="s">
        <v>616</v>
      </c>
      <c r="F29" s="1043" t="s">
        <v>6381</v>
      </c>
      <c r="G29" s="1033"/>
      <c r="H29" s="996" t="s">
        <v>403</v>
      </c>
      <c r="I29" s="1043" t="s">
        <v>6382</v>
      </c>
      <c r="J29" s="1043" t="s">
        <v>243</v>
      </c>
      <c r="K29" s="934">
        <v>41495</v>
      </c>
      <c r="L29" s="1143">
        <v>210940.08</v>
      </c>
      <c r="M29" s="1043" t="s">
        <v>6375</v>
      </c>
      <c r="N29" s="934">
        <v>41495</v>
      </c>
      <c r="O29" s="934">
        <v>41860</v>
      </c>
      <c r="P29" s="1043" t="s">
        <v>591</v>
      </c>
      <c r="Q29" s="1055"/>
      <c r="R29" s="1055"/>
      <c r="S29" s="1055"/>
      <c r="T29" s="1055" t="s">
        <v>685</v>
      </c>
      <c r="U29" s="1055" t="s">
        <v>686</v>
      </c>
      <c r="V29" s="1137">
        <v>41843</v>
      </c>
      <c r="W29" s="1055" t="s">
        <v>6383</v>
      </c>
      <c r="X29" s="1043" t="s">
        <v>6384</v>
      </c>
      <c r="Y29" s="934" t="s">
        <v>6385</v>
      </c>
      <c r="Z29" s="934" t="s">
        <v>6386</v>
      </c>
      <c r="AA29" s="1043">
        <v>25</v>
      </c>
      <c r="AB29" s="1043"/>
      <c r="AC29" s="1143">
        <v>53735.02</v>
      </c>
      <c r="AD29" s="1043"/>
      <c r="AE29" s="937">
        <f>L29+AC29</f>
        <v>264675.09999999998</v>
      </c>
      <c r="AF29" s="1143">
        <v>84171.99</v>
      </c>
      <c r="AG29" s="1143">
        <v>245519.31</v>
      </c>
      <c r="AH29" s="994">
        <f>AF29+AG29</f>
        <v>329691.3</v>
      </c>
      <c r="AI29" s="99" t="s">
        <v>245</v>
      </c>
      <c r="AJ29" s="1217" t="s">
        <v>6387</v>
      </c>
      <c r="AK29" s="1217" t="s">
        <v>6388</v>
      </c>
      <c r="AL29" s="995" t="s">
        <v>6389</v>
      </c>
      <c r="AM29" s="1748"/>
      <c r="AN29" s="636"/>
      <c r="AO29" s="636"/>
      <c r="AP29" s="636"/>
      <c r="AQ29" s="636"/>
      <c r="AR29" s="1749"/>
      <c r="AS29" s="1750"/>
      <c r="AT29" s="1133"/>
      <c r="AU29" s="1133"/>
      <c r="AV29" s="1133"/>
      <c r="AW29" s="1751"/>
      <c r="AX29" s="1751"/>
      <c r="AY29" s="1751"/>
      <c r="AZ29" s="1133"/>
      <c r="BA29" s="1133"/>
      <c r="BB29" s="1133"/>
      <c r="BC29" s="1751"/>
      <c r="BD29" s="930"/>
    </row>
    <row r="30" spans="1:56" s="1747" customFormat="1" ht="76.5" x14ac:dyDescent="0.25">
      <c r="A30" s="1088">
        <v>6</v>
      </c>
      <c r="B30" s="1218" t="s">
        <v>6390</v>
      </c>
      <c r="C30" s="936" t="s">
        <v>3764</v>
      </c>
      <c r="D30" s="1043" t="s">
        <v>239</v>
      </c>
      <c r="E30" s="1043" t="s">
        <v>616</v>
      </c>
      <c r="F30" s="1043" t="s">
        <v>6391</v>
      </c>
      <c r="G30" s="1033" t="s">
        <v>6392</v>
      </c>
      <c r="H30" s="996" t="s">
        <v>1586</v>
      </c>
      <c r="I30" s="1043" t="s">
        <v>6393</v>
      </c>
      <c r="J30" s="1043" t="s">
        <v>6394</v>
      </c>
      <c r="K30" s="934">
        <v>41554</v>
      </c>
      <c r="L30" s="1143">
        <v>9000</v>
      </c>
      <c r="M30" s="1043" t="s">
        <v>6395</v>
      </c>
      <c r="N30" s="934">
        <v>41554</v>
      </c>
      <c r="O30" s="934">
        <v>41827</v>
      </c>
      <c r="P30" s="1043" t="s">
        <v>591</v>
      </c>
      <c r="Q30" s="1055"/>
      <c r="R30" s="1055"/>
      <c r="S30" s="1055"/>
      <c r="T30" s="1055" t="s">
        <v>685</v>
      </c>
      <c r="U30" s="1055"/>
      <c r="V30" s="1137"/>
      <c r="W30" s="1055"/>
      <c r="X30" s="1043"/>
      <c r="Y30" s="934"/>
      <c r="Z30" s="934"/>
      <c r="AA30" s="1043"/>
      <c r="AB30" s="1043"/>
      <c r="AC30" s="1143"/>
      <c r="AD30" s="1043"/>
      <c r="AE30" s="937">
        <v>9000</v>
      </c>
      <c r="AF30" s="1143">
        <v>7020</v>
      </c>
      <c r="AG30" s="1143">
        <v>0</v>
      </c>
      <c r="AH30" s="994">
        <f>AF30+AG30</f>
        <v>7020</v>
      </c>
      <c r="AI30" s="99" t="s">
        <v>1059</v>
      </c>
      <c r="AJ30" s="1217"/>
      <c r="AK30" s="1217" t="s">
        <v>382</v>
      </c>
      <c r="AL30" s="995" t="s">
        <v>6396</v>
      </c>
      <c r="AM30" s="1748"/>
      <c r="AN30" s="636"/>
      <c r="AO30" s="636"/>
      <c r="AP30" s="636"/>
      <c r="AQ30" s="636"/>
      <c r="AR30" s="1749"/>
      <c r="AS30" s="1750"/>
      <c r="AT30" s="1133"/>
      <c r="AU30" s="1133"/>
      <c r="AV30" s="1133"/>
      <c r="AW30" s="1751"/>
      <c r="AX30" s="1751"/>
      <c r="AY30" s="1751"/>
      <c r="AZ30" s="1133"/>
      <c r="BA30" s="1133"/>
      <c r="BB30" s="1133"/>
      <c r="BC30" s="1751"/>
      <c r="BD30" s="930"/>
    </row>
    <row r="31" spans="1:56" s="1747" customFormat="1" ht="76.5" x14ac:dyDescent="0.25">
      <c r="A31" s="1088">
        <v>7</v>
      </c>
      <c r="B31" s="1218" t="s">
        <v>6397</v>
      </c>
      <c r="C31" s="936" t="s">
        <v>4339</v>
      </c>
      <c r="D31" s="1043" t="s">
        <v>239</v>
      </c>
      <c r="E31" s="1043" t="s">
        <v>616</v>
      </c>
      <c r="F31" s="1043" t="s">
        <v>6398</v>
      </c>
      <c r="G31" s="1033" t="s">
        <v>6399</v>
      </c>
      <c r="H31" s="996" t="s">
        <v>4225</v>
      </c>
      <c r="I31" s="1043" t="s">
        <v>6400</v>
      </c>
      <c r="J31" s="1043" t="s">
        <v>455</v>
      </c>
      <c r="K31" s="934">
        <v>41604</v>
      </c>
      <c r="L31" s="1143">
        <v>65000</v>
      </c>
      <c r="M31" s="1043" t="s">
        <v>6401</v>
      </c>
      <c r="N31" s="934">
        <v>41604</v>
      </c>
      <c r="O31" s="934">
        <v>41969</v>
      </c>
      <c r="P31" s="1043" t="s">
        <v>591</v>
      </c>
      <c r="Q31" s="1055"/>
      <c r="R31" s="1055"/>
      <c r="S31" s="1055"/>
      <c r="T31" s="1055" t="s">
        <v>678</v>
      </c>
      <c r="U31" s="1055"/>
      <c r="V31" s="1137"/>
      <c r="W31" s="1055"/>
      <c r="X31" s="1043"/>
      <c r="Y31" s="934"/>
      <c r="Z31" s="934"/>
      <c r="AA31" s="1043"/>
      <c r="AB31" s="1043"/>
      <c r="AC31" s="1143"/>
      <c r="AD31" s="1043"/>
      <c r="AE31" s="937">
        <v>65000</v>
      </c>
      <c r="AF31" s="1143">
        <v>2750</v>
      </c>
      <c r="AG31" s="1143">
        <v>7400</v>
      </c>
      <c r="AH31" s="994">
        <f t="shared" ref="AH31:AH60" si="1">AF31+AG31</f>
        <v>10150</v>
      </c>
      <c r="AI31" s="99" t="s">
        <v>403</v>
      </c>
      <c r="AJ31" s="1217" t="s">
        <v>6402</v>
      </c>
      <c r="AK31" s="1217" t="s">
        <v>6403</v>
      </c>
      <c r="AL31" s="995" t="s">
        <v>6404</v>
      </c>
      <c r="AM31" s="1748"/>
      <c r="AN31" s="636"/>
      <c r="AO31" s="636"/>
      <c r="AP31" s="636"/>
      <c r="AQ31" s="636"/>
      <c r="AR31" s="1749"/>
      <c r="AS31" s="1750"/>
      <c r="AT31" s="1133"/>
      <c r="AU31" s="1133"/>
      <c r="AV31" s="1133"/>
      <c r="AW31" s="1751"/>
      <c r="AX31" s="1751"/>
      <c r="AY31" s="1751"/>
      <c r="AZ31" s="1133"/>
      <c r="BA31" s="1133"/>
      <c r="BB31" s="1133"/>
      <c r="BC31" s="1751"/>
      <c r="BD31" s="930"/>
    </row>
    <row r="32" spans="1:56" s="1747" customFormat="1" ht="24.75" customHeight="1" x14ac:dyDescent="0.25">
      <c r="A32" s="1088">
        <v>8</v>
      </c>
      <c r="B32" s="1218" t="s">
        <v>6405</v>
      </c>
      <c r="C32" s="1043" t="s">
        <v>1433</v>
      </c>
      <c r="D32" s="1043" t="s">
        <v>1171</v>
      </c>
      <c r="E32" s="1043" t="s">
        <v>616</v>
      </c>
      <c r="F32" s="1043" t="s">
        <v>6406</v>
      </c>
      <c r="G32" s="1033" t="s">
        <v>6407</v>
      </c>
      <c r="H32" s="996" t="s">
        <v>6408</v>
      </c>
      <c r="I32" s="1043" t="s">
        <v>6409</v>
      </c>
      <c r="J32" s="1043" t="s">
        <v>6410</v>
      </c>
      <c r="K32" s="934">
        <v>41634</v>
      </c>
      <c r="L32" s="1143">
        <v>18067</v>
      </c>
      <c r="M32" s="1043" t="s">
        <v>6411</v>
      </c>
      <c r="N32" s="934">
        <v>41634</v>
      </c>
      <c r="O32" s="934">
        <v>41999</v>
      </c>
      <c r="P32" s="1043" t="s">
        <v>591</v>
      </c>
      <c r="Q32" s="1055"/>
      <c r="R32" s="1055"/>
      <c r="S32" s="1055"/>
      <c r="T32" s="1055" t="s">
        <v>6412</v>
      </c>
      <c r="U32" s="1055"/>
      <c r="V32" s="1055"/>
      <c r="W32" s="1055"/>
      <c r="X32" s="1043"/>
      <c r="Y32" s="1043"/>
      <c r="Z32" s="1043"/>
      <c r="AA32" s="1043"/>
      <c r="AB32" s="1043"/>
      <c r="AC32" s="1043"/>
      <c r="AD32" s="1043"/>
      <c r="AE32" s="937">
        <f>L32-AD32+AC32</f>
        <v>18067</v>
      </c>
      <c r="AF32" s="1143">
        <v>12001</v>
      </c>
      <c r="AG32" s="1143">
        <v>3810</v>
      </c>
      <c r="AH32" s="994">
        <f t="shared" si="1"/>
        <v>15811</v>
      </c>
      <c r="AI32" s="946"/>
      <c r="AJ32" s="524"/>
      <c r="AK32" s="524"/>
      <c r="AL32" s="997"/>
      <c r="AM32" s="946"/>
      <c r="AN32" s="944"/>
      <c r="AO32" s="944"/>
      <c r="AP32" s="944"/>
      <c r="AQ32" s="944"/>
      <c r="AR32" s="945"/>
      <c r="AS32" s="1217"/>
      <c r="AT32" s="1133"/>
      <c r="AU32" s="1133"/>
      <c r="AV32" s="1133"/>
      <c r="AW32" s="1133"/>
      <c r="AX32" s="1133"/>
      <c r="AY32" s="1133"/>
      <c r="AZ32" s="1133"/>
      <c r="BA32" s="1133"/>
      <c r="BB32" s="1133"/>
      <c r="BC32" s="1133"/>
      <c r="BD32" s="930"/>
    </row>
    <row r="33" spans="1:56" s="1747" customFormat="1" ht="25.5" x14ac:dyDescent="0.25">
      <c r="A33" s="1088">
        <v>9</v>
      </c>
      <c r="B33" s="1218" t="s">
        <v>6405</v>
      </c>
      <c r="C33" s="1043" t="s">
        <v>1433</v>
      </c>
      <c r="D33" s="1043" t="s">
        <v>1171</v>
      </c>
      <c r="E33" s="1043" t="s">
        <v>616</v>
      </c>
      <c r="F33" s="1043" t="s">
        <v>6406</v>
      </c>
      <c r="G33" s="1033" t="s">
        <v>6407</v>
      </c>
      <c r="H33" s="498" t="s">
        <v>4633</v>
      </c>
      <c r="I33" s="1055" t="s">
        <v>6413</v>
      </c>
      <c r="J33" s="1055" t="s">
        <v>458</v>
      </c>
      <c r="K33" s="1137">
        <v>41631</v>
      </c>
      <c r="L33" s="1155">
        <v>33992.35</v>
      </c>
      <c r="M33" s="1055" t="s">
        <v>6414</v>
      </c>
      <c r="N33" s="934">
        <v>41634</v>
      </c>
      <c r="O33" s="934">
        <v>41999</v>
      </c>
      <c r="P33" s="1043" t="s">
        <v>591</v>
      </c>
      <c r="Q33" s="1055"/>
      <c r="R33" s="1055"/>
      <c r="S33" s="1055"/>
      <c r="T33" s="1055" t="s">
        <v>6412</v>
      </c>
      <c r="U33" s="1055"/>
      <c r="V33" s="1055"/>
      <c r="W33" s="1055"/>
      <c r="X33" s="1055"/>
      <c r="Y33" s="1055"/>
      <c r="Z33" s="1055"/>
      <c r="AA33" s="1055"/>
      <c r="AB33" s="1055"/>
      <c r="AC33" s="1055"/>
      <c r="AD33" s="1055"/>
      <c r="AE33" s="937">
        <f t="shared" ref="AE33:AE53" si="2">L33-AD33+AC33</f>
        <v>33992.35</v>
      </c>
      <c r="AF33" s="1155">
        <v>20684.349999999999</v>
      </c>
      <c r="AG33" s="1155">
        <v>13308</v>
      </c>
      <c r="AH33" s="994">
        <f t="shared" si="1"/>
        <v>33992.35</v>
      </c>
      <c r="AI33" s="946"/>
      <c r="AJ33" s="524"/>
      <c r="AK33" s="524"/>
      <c r="AL33" s="997"/>
      <c r="AM33" s="946"/>
      <c r="AN33" s="944"/>
      <c r="AO33" s="944"/>
      <c r="AP33" s="944"/>
      <c r="AQ33" s="944"/>
      <c r="AR33" s="945"/>
      <c r="AS33" s="1217"/>
      <c r="AT33" s="1133"/>
      <c r="AU33" s="1133"/>
      <c r="AV33" s="1133"/>
      <c r="AW33" s="1133"/>
      <c r="AX33" s="1133"/>
      <c r="AY33" s="1133"/>
      <c r="AZ33" s="1133"/>
      <c r="BA33" s="1133"/>
      <c r="BB33" s="1133"/>
      <c r="BC33" s="1133"/>
      <c r="BD33" s="930"/>
    </row>
    <row r="34" spans="1:56" s="1747" customFormat="1" ht="24.75" customHeight="1" x14ac:dyDescent="0.25">
      <c r="A34" s="1088">
        <v>11</v>
      </c>
      <c r="B34" s="1218" t="s">
        <v>6405</v>
      </c>
      <c r="C34" s="1043" t="s">
        <v>2055</v>
      </c>
      <c r="D34" s="1043" t="s">
        <v>1171</v>
      </c>
      <c r="E34" s="1043" t="s">
        <v>616</v>
      </c>
      <c r="F34" s="1043" t="s">
        <v>6406</v>
      </c>
      <c r="G34" s="1033" t="s">
        <v>6407</v>
      </c>
      <c r="H34" s="498" t="s">
        <v>4163</v>
      </c>
      <c r="I34" s="1055" t="s">
        <v>6415</v>
      </c>
      <c r="J34" s="1055" t="s">
        <v>6126</v>
      </c>
      <c r="K34" s="1137">
        <v>41634</v>
      </c>
      <c r="L34" s="1155">
        <v>6828</v>
      </c>
      <c r="M34" s="1144" t="s">
        <v>6411</v>
      </c>
      <c r="N34" s="934">
        <v>41634</v>
      </c>
      <c r="O34" s="934">
        <v>41999</v>
      </c>
      <c r="P34" s="1043" t="s">
        <v>591</v>
      </c>
      <c r="Q34" s="1055"/>
      <c r="R34" s="1055"/>
      <c r="S34" s="1055"/>
      <c r="T34" s="1055" t="s">
        <v>719</v>
      </c>
      <c r="U34" s="1055"/>
      <c r="V34" s="1055"/>
      <c r="W34" s="1055"/>
      <c r="X34" s="1055"/>
      <c r="Y34" s="1055"/>
      <c r="Z34" s="1055"/>
      <c r="AA34" s="1055"/>
      <c r="AB34" s="1055"/>
      <c r="AC34" s="1055"/>
      <c r="AD34" s="1055"/>
      <c r="AE34" s="937">
        <v>6828</v>
      </c>
      <c r="AF34" s="1155"/>
      <c r="AG34" s="1155">
        <v>6828</v>
      </c>
      <c r="AH34" s="994">
        <f t="shared" si="1"/>
        <v>6828</v>
      </c>
      <c r="AI34" s="946"/>
      <c r="AJ34" s="524"/>
      <c r="AK34" s="524"/>
      <c r="AL34" s="997"/>
      <c r="AM34" s="946"/>
      <c r="AN34" s="944"/>
      <c r="AO34" s="944"/>
      <c r="AP34" s="944"/>
      <c r="AQ34" s="944"/>
      <c r="AR34" s="945"/>
      <c r="AS34" s="1217"/>
      <c r="AT34" s="1133"/>
      <c r="AU34" s="1133"/>
      <c r="AV34" s="1133"/>
      <c r="AW34" s="1133"/>
      <c r="AX34" s="1133"/>
      <c r="AY34" s="1133"/>
      <c r="AZ34" s="1133"/>
      <c r="BA34" s="1133"/>
      <c r="BB34" s="1133"/>
      <c r="BC34" s="1133"/>
      <c r="BD34" s="930"/>
    </row>
    <row r="35" spans="1:56" s="1747" customFormat="1" ht="24.75" customHeight="1" x14ac:dyDescent="0.25">
      <c r="A35" s="1088">
        <v>12</v>
      </c>
      <c r="B35" s="998" t="s">
        <v>683</v>
      </c>
      <c r="C35" s="1055"/>
      <c r="D35" s="1055" t="s">
        <v>690</v>
      </c>
      <c r="E35" s="1055"/>
      <c r="F35" s="1055" t="s">
        <v>6416</v>
      </c>
      <c r="G35" s="1051"/>
      <c r="H35" s="498"/>
      <c r="I35" s="1055" t="s">
        <v>6417</v>
      </c>
      <c r="J35" s="1055" t="s">
        <v>6418</v>
      </c>
      <c r="K35" s="1055"/>
      <c r="L35" s="1155">
        <v>5572.5</v>
      </c>
      <c r="M35" s="1055"/>
      <c r="N35" s="1055"/>
      <c r="O35" s="1055"/>
      <c r="P35" s="1043" t="s">
        <v>591</v>
      </c>
      <c r="Q35" s="1055"/>
      <c r="R35" s="1055"/>
      <c r="S35" s="1055"/>
      <c r="T35" s="1055" t="s">
        <v>678</v>
      </c>
      <c r="U35" s="1055"/>
      <c r="V35" s="1055"/>
      <c r="W35" s="1055"/>
      <c r="X35" s="1055"/>
      <c r="Y35" s="1055"/>
      <c r="Z35" s="1055"/>
      <c r="AA35" s="1055"/>
      <c r="AB35" s="1055"/>
      <c r="AC35" s="1055"/>
      <c r="AD35" s="1055"/>
      <c r="AE35" s="937">
        <f t="shared" si="2"/>
        <v>5572.5</v>
      </c>
      <c r="AF35" s="1155"/>
      <c r="AG35" s="1155">
        <v>5572.5</v>
      </c>
      <c r="AH35" s="994">
        <f t="shared" si="1"/>
        <v>5572.5</v>
      </c>
      <c r="AI35" s="946"/>
      <c r="AJ35" s="524"/>
      <c r="AK35" s="524"/>
      <c r="AL35" s="997"/>
      <c r="AM35" s="943" t="s">
        <v>1311</v>
      </c>
      <c r="AN35" s="999" t="s">
        <v>6419</v>
      </c>
      <c r="AO35" s="944"/>
      <c r="AP35" s="944"/>
      <c r="AQ35" s="944"/>
      <c r="AR35" s="945"/>
      <c r="AS35" s="1217"/>
      <c r="AT35" s="1133"/>
      <c r="AU35" s="1133"/>
      <c r="AV35" s="1133"/>
      <c r="AW35" s="1133"/>
      <c r="AX35" s="1133"/>
      <c r="AY35" s="1133"/>
      <c r="AZ35" s="1133"/>
      <c r="BA35" s="1133"/>
      <c r="BB35" s="1133"/>
      <c r="BC35" s="1133"/>
      <c r="BD35" s="930"/>
    </row>
    <row r="36" spans="1:56" s="1747" customFormat="1" ht="25.5" x14ac:dyDescent="0.25">
      <c r="A36" s="1088">
        <v>13</v>
      </c>
      <c r="B36" s="99" t="s">
        <v>686</v>
      </c>
      <c r="C36" s="1055"/>
      <c r="D36" s="1055" t="s">
        <v>690</v>
      </c>
      <c r="E36" s="1055"/>
      <c r="F36" s="1055" t="s">
        <v>6420</v>
      </c>
      <c r="G36" s="1051"/>
      <c r="H36" s="498"/>
      <c r="I36" s="1055" t="s">
        <v>6421</v>
      </c>
      <c r="J36" s="1055" t="s">
        <v>6422</v>
      </c>
      <c r="K36" s="1055"/>
      <c r="L36" s="1155">
        <v>7810</v>
      </c>
      <c r="M36" s="1055"/>
      <c r="N36" s="1055"/>
      <c r="O36" s="1055"/>
      <c r="P36" s="1043" t="s">
        <v>591</v>
      </c>
      <c r="Q36" s="1055"/>
      <c r="R36" s="1055"/>
      <c r="S36" s="1055"/>
      <c r="T36" s="1055" t="s">
        <v>719</v>
      </c>
      <c r="U36" s="1055"/>
      <c r="V36" s="1055"/>
      <c r="W36" s="1055"/>
      <c r="X36" s="1055"/>
      <c r="Y36" s="1055"/>
      <c r="Z36" s="1055"/>
      <c r="AA36" s="1055"/>
      <c r="AB36" s="1055"/>
      <c r="AC36" s="1055"/>
      <c r="AD36" s="1055"/>
      <c r="AE36" s="937">
        <f t="shared" si="2"/>
        <v>7810</v>
      </c>
      <c r="AF36" s="1155"/>
      <c r="AG36" s="1155">
        <v>7810</v>
      </c>
      <c r="AH36" s="994">
        <f t="shared" si="1"/>
        <v>7810</v>
      </c>
      <c r="AI36" s="946"/>
      <c r="AJ36" s="524"/>
      <c r="AK36" s="524"/>
      <c r="AL36" s="997"/>
      <c r="AM36" s="943" t="s">
        <v>1311</v>
      </c>
      <c r="AN36" s="999" t="s">
        <v>6423</v>
      </c>
      <c r="AO36" s="944"/>
      <c r="AP36" s="944"/>
      <c r="AQ36" s="944"/>
      <c r="AR36" s="945"/>
      <c r="AS36" s="1217"/>
      <c r="AT36" s="1133"/>
      <c r="AU36" s="1133"/>
      <c r="AV36" s="1133"/>
      <c r="AW36" s="1133"/>
      <c r="AX36" s="1133"/>
      <c r="AY36" s="1133"/>
      <c r="AZ36" s="1133"/>
      <c r="BA36" s="1133"/>
      <c r="BB36" s="1133"/>
      <c r="BC36" s="1133"/>
      <c r="BD36" s="930"/>
    </row>
    <row r="37" spans="1:56" s="1747" customFormat="1" ht="25.5" x14ac:dyDescent="0.25">
      <c r="A37" s="1088">
        <v>14</v>
      </c>
      <c r="B37" s="99" t="s">
        <v>704</v>
      </c>
      <c r="C37" s="1055"/>
      <c r="D37" s="1055" t="s">
        <v>690</v>
      </c>
      <c r="E37" s="1055"/>
      <c r="F37" s="1055" t="s">
        <v>6424</v>
      </c>
      <c r="G37" s="1051"/>
      <c r="H37" s="498"/>
      <c r="I37" s="1055" t="s">
        <v>6421</v>
      </c>
      <c r="J37" s="1055" t="s">
        <v>6422</v>
      </c>
      <c r="K37" s="1055"/>
      <c r="L37" s="1155">
        <v>7758.72</v>
      </c>
      <c r="M37" s="1055"/>
      <c r="N37" s="1055"/>
      <c r="O37" s="1055"/>
      <c r="P37" s="1043" t="s">
        <v>591</v>
      </c>
      <c r="Q37" s="1055"/>
      <c r="R37" s="1055"/>
      <c r="S37" s="1055"/>
      <c r="T37" s="1055" t="s">
        <v>685</v>
      </c>
      <c r="U37" s="1055"/>
      <c r="V37" s="1055"/>
      <c r="W37" s="1055"/>
      <c r="X37" s="1055"/>
      <c r="Y37" s="1055"/>
      <c r="Z37" s="1055"/>
      <c r="AA37" s="1055"/>
      <c r="AB37" s="1055"/>
      <c r="AC37" s="1055"/>
      <c r="AD37" s="1055"/>
      <c r="AE37" s="937">
        <f t="shared" si="2"/>
        <v>7758.72</v>
      </c>
      <c r="AF37" s="1155"/>
      <c r="AG37" s="1155">
        <v>7758.72</v>
      </c>
      <c r="AH37" s="994">
        <f t="shared" si="1"/>
        <v>7758.72</v>
      </c>
      <c r="AI37" s="946"/>
      <c r="AJ37" s="524"/>
      <c r="AK37" s="524"/>
      <c r="AL37" s="997"/>
      <c r="AM37" s="943" t="s">
        <v>1311</v>
      </c>
      <c r="AN37" s="999" t="s">
        <v>6425</v>
      </c>
      <c r="AO37" s="944"/>
      <c r="AP37" s="944"/>
      <c r="AQ37" s="944"/>
      <c r="AR37" s="945"/>
      <c r="AS37" s="1217"/>
      <c r="AT37" s="1133"/>
      <c r="AU37" s="1133"/>
      <c r="AV37" s="1133"/>
      <c r="AW37" s="1133"/>
      <c r="AX37" s="1133"/>
      <c r="AY37" s="1133"/>
      <c r="AZ37" s="1133"/>
      <c r="BA37" s="1133"/>
      <c r="BB37" s="1133"/>
      <c r="BC37" s="1133"/>
      <c r="BD37" s="930"/>
    </row>
    <row r="38" spans="1:56" s="1747" customFormat="1" ht="25.5" x14ac:dyDescent="0.25">
      <c r="A38" s="1088">
        <v>15</v>
      </c>
      <c r="B38" s="99" t="s">
        <v>716</v>
      </c>
      <c r="C38" s="1055"/>
      <c r="D38" s="1055" t="s">
        <v>690</v>
      </c>
      <c r="E38" s="1055"/>
      <c r="F38" s="1055" t="s">
        <v>6426</v>
      </c>
      <c r="G38" s="1051"/>
      <c r="H38" s="498"/>
      <c r="I38" s="1055" t="s">
        <v>6427</v>
      </c>
      <c r="J38" s="1055" t="s">
        <v>6428</v>
      </c>
      <c r="K38" s="1055"/>
      <c r="L38" s="1155">
        <v>2250</v>
      </c>
      <c r="M38" s="1055"/>
      <c r="N38" s="1055"/>
      <c r="O38" s="1055"/>
      <c r="P38" s="1043" t="s">
        <v>591</v>
      </c>
      <c r="Q38" s="1055"/>
      <c r="R38" s="1055"/>
      <c r="S38" s="1055"/>
      <c r="T38" s="1055" t="s">
        <v>678</v>
      </c>
      <c r="U38" s="1055"/>
      <c r="V38" s="1055"/>
      <c r="W38" s="1055"/>
      <c r="X38" s="1055"/>
      <c r="Y38" s="1055"/>
      <c r="Z38" s="1055"/>
      <c r="AA38" s="1055"/>
      <c r="AB38" s="1055"/>
      <c r="AC38" s="1055"/>
      <c r="AD38" s="1055"/>
      <c r="AE38" s="937">
        <f t="shared" si="2"/>
        <v>2250</v>
      </c>
      <c r="AF38" s="1155"/>
      <c r="AG38" s="1155">
        <v>2250</v>
      </c>
      <c r="AH38" s="994">
        <f t="shared" si="1"/>
        <v>2250</v>
      </c>
      <c r="AI38" s="946"/>
      <c r="AJ38" s="524"/>
      <c r="AK38" s="524"/>
      <c r="AL38" s="997"/>
      <c r="AM38" s="943" t="s">
        <v>1311</v>
      </c>
      <c r="AN38" s="999" t="s">
        <v>6429</v>
      </c>
      <c r="AO38" s="944"/>
      <c r="AP38" s="944"/>
      <c r="AQ38" s="944"/>
      <c r="AR38" s="945"/>
      <c r="AS38" s="1217"/>
      <c r="AT38" s="1133"/>
      <c r="AU38" s="1133"/>
      <c r="AV38" s="1133"/>
      <c r="AW38" s="1133"/>
      <c r="AX38" s="1133"/>
      <c r="AY38" s="1133"/>
      <c r="AZ38" s="1133"/>
      <c r="BA38" s="1133"/>
      <c r="BB38" s="1133"/>
      <c r="BC38" s="1133"/>
      <c r="BD38" s="930"/>
    </row>
    <row r="39" spans="1:56" s="1747" customFormat="1" ht="38.25" x14ac:dyDescent="0.25">
      <c r="A39" s="1088">
        <v>16</v>
      </c>
      <c r="B39" s="99" t="s">
        <v>6430</v>
      </c>
      <c r="C39" s="1055" t="s">
        <v>680</v>
      </c>
      <c r="D39" s="1043" t="s">
        <v>1171</v>
      </c>
      <c r="E39" s="1043" t="s">
        <v>616</v>
      </c>
      <c r="F39" s="1055" t="s">
        <v>6431</v>
      </c>
      <c r="G39" s="1051" t="s">
        <v>682</v>
      </c>
      <c r="H39" s="498" t="s">
        <v>6432</v>
      </c>
      <c r="I39" s="1055" t="s">
        <v>6354</v>
      </c>
      <c r="J39" s="1042" t="s">
        <v>225</v>
      </c>
      <c r="K39" s="1137">
        <v>41715</v>
      </c>
      <c r="L39" s="1155">
        <v>21000</v>
      </c>
      <c r="M39" s="1055" t="s">
        <v>6433</v>
      </c>
      <c r="N39" s="1137">
        <v>41715</v>
      </c>
      <c r="O39" s="1137">
        <v>42080</v>
      </c>
      <c r="P39" s="1043" t="s">
        <v>591</v>
      </c>
      <c r="Q39" s="1055"/>
      <c r="R39" s="1055"/>
      <c r="S39" s="1055"/>
      <c r="T39" s="1055" t="s">
        <v>685</v>
      </c>
      <c r="U39" s="1055"/>
      <c r="V39" s="1055"/>
      <c r="W39" s="1055"/>
      <c r="X39" s="1055"/>
      <c r="Y39" s="1055"/>
      <c r="Z39" s="1055"/>
      <c r="AA39" s="1055"/>
      <c r="AB39" s="1055"/>
      <c r="AC39" s="1055"/>
      <c r="AD39" s="1055"/>
      <c r="AE39" s="937">
        <f t="shared" si="2"/>
        <v>21000</v>
      </c>
      <c r="AF39" s="1155"/>
      <c r="AG39" s="1155">
        <v>15750</v>
      </c>
      <c r="AH39" s="994">
        <f t="shared" si="1"/>
        <v>15750</v>
      </c>
      <c r="AI39" s="1000" t="s">
        <v>686</v>
      </c>
      <c r="AJ39" s="341" t="s">
        <v>6434</v>
      </c>
      <c r="AK39" s="341" t="s">
        <v>6435</v>
      </c>
      <c r="AL39" s="1001" t="s">
        <v>6433</v>
      </c>
      <c r="AM39" s="946"/>
      <c r="AN39" s="944"/>
      <c r="AO39" s="944"/>
      <c r="AP39" s="944"/>
      <c r="AQ39" s="944"/>
      <c r="AR39" s="945"/>
      <c r="AS39" s="1217"/>
      <c r="AT39" s="1133"/>
      <c r="AU39" s="1133"/>
      <c r="AV39" s="1133"/>
      <c r="AW39" s="1133"/>
      <c r="AX39" s="1133"/>
      <c r="AY39" s="1133"/>
      <c r="AZ39" s="1133"/>
      <c r="BA39" s="1133"/>
      <c r="BB39" s="1133"/>
      <c r="BC39" s="1133"/>
      <c r="BD39" s="930"/>
    </row>
    <row r="40" spans="1:56" s="1747" customFormat="1" ht="38.25" x14ac:dyDescent="0.25">
      <c r="A40" s="1088">
        <v>17</v>
      </c>
      <c r="B40" s="99" t="s">
        <v>6430</v>
      </c>
      <c r="C40" s="1055" t="s">
        <v>680</v>
      </c>
      <c r="D40" s="1043" t="s">
        <v>1171</v>
      </c>
      <c r="E40" s="1043" t="s">
        <v>616</v>
      </c>
      <c r="F40" s="1055" t="s">
        <v>6436</v>
      </c>
      <c r="G40" s="1051" t="s">
        <v>682</v>
      </c>
      <c r="H40" s="498" t="s">
        <v>241</v>
      </c>
      <c r="I40" s="1055" t="s">
        <v>6437</v>
      </c>
      <c r="J40" s="1055" t="s">
        <v>6438</v>
      </c>
      <c r="K40" s="1137">
        <v>41715</v>
      </c>
      <c r="L40" s="1155">
        <v>36000</v>
      </c>
      <c r="M40" s="1055" t="s">
        <v>6439</v>
      </c>
      <c r="N40" s="1137" t="s">
        <v>6440</v>
      </c>
      <c r="O40" s="1137">
        <v>42080</v>
      </c>
      <c r="P40" s="1043" t="s">
        <v>591</v>
      </c>
      <c r="Q40" s="1055"/>
      <c r="R40" s="1055"/>
      <c r="S40" s="1055"/>
      <c r="T40" s="1055" t="s">
        <v>685</v>
      </c>
      <c r="U40" s="1055"/>
      <c r="V40" s="1055"/>
      <c r="W40" s="1055"/>
      <c r="X40" s="1055"/>
      <c r="Y40" s="1055"/>
      <c r="Z40" s="1055"/>
      <c r="AA40" s="1055"/>
      <c r="AB40" s="1055"/>
      <c r="AC40" s="1055"/>
      <c r="AD40" s="1055"/>
      <c r="AE40" s="937">
        <f t="shared" si="2"/>
        <v>36000</v>
      </c>
      <c r="AF40" s="1155"/>
      <c r="AG40" s="1155">
        <v>27000</v>
      </c>
      <c r="AH40" s="994">
        <f t="shared" si="1"/>
        <v>27000</v>
      </c>
      <c r="AI40" s="1000" t="s">
        <v>686</v>
      </c>
      <c r="AJ40" s="341" t="s">
        <v>6434</v>
      </c>
      <c r="AK40" s="341" t="s">
        <v>6435</v>
      </c>
      <c r="AL40" s="1001" t="s">
        <v>6441</v>
      </c>
      <c r="AM40" s="946"/>
      <c r="AN40" s="944"/>
      <c r="AO40" s="944"/>
      <c r="AP40" s="944"/>
      <c r="AQ40" s="944"/>
      <c r="AR40" s="945"/>
      <c r="AS40" s="1217"/>
      <c r="AT40" s="1133"/>
      <c r="AU40" s="1133"/>
      <c r="AV40" s="1133"/>
      <c r="AW40" s="1133"/>
      <c r="AX40" s="1133"/>
      <c r="AY40" s="1133"/>
      <c r="AZ40" s="1133"/>
      <c r="BA40" s="1133"/>
      <c r="BB40" s="1133"/>
      <c r="BC40" s="1133"/>
      <c r="BD40" s="930"/>
    </row>
    <row r="41" spans="1:56" s="1747" customFormat="1" ht="76.5" x14ac:dyDescent="0.25">
      <c r="A41" s="1088">
        <v>18</v>
      </c>
      <c r="B41" s="99" t="s">
        <v>6442</v>
      </c>
      <c r="C41" s="1149" t="s">
        <v>1357</v>
      </c>
      <c r="D41" s="1043" t="s">
        <v>6443</v>
      </c>
      <c r="E41" s="1043" t="s">
        <v>616</v>
      </c>
      <c r="F41" s="1055" t="s">
        <v>6444</v>
      </c>
      <c r="G41" s="1051" t="s">
        <v>1501</v>
      </c>
      <c r="H41" s="498" t="s">
        <v>254</v>
      </c>
      <c r="I41" s="1055" t="s">
        <v>6445</v>
      </c>
      <c r="J41" s="1055" t="s">
        <v>4539</v>
      </c>
      <c r="K41" s="1137">
        <v>41724</v>
      </c>
      <c r="L41" s="1155">
        <v>13530</v>
      </c>
      <c r="M41" s="1055" t="s">
        <v>6446</v>
      </c>
      <c r="N41" s="1137">
        <v>41724</v>
      </c>
      <c r="O41" s="1137">
        <v>42089</v>
      </c>
      <c r="P41" s="1043" t="s">
        <v>591</v>
      </c>
      <c r="Q41" s="1055"/>
      <c r="R41" s="1055"/>
      <c r="S41" s="1055"/>
      <c r="T41" s="1055" t="s">
        <v>678</v>
      </c>
      <c r="U41" s="1055"/>
      <c r="V41" s="1055"/>
      <c r="W41" s="1055"/>
      <c r="X41" s="1055"/>
      <c r="Y41" s="1055"/>
      <c r="Z41" s="1055"/>
      <c r="AA41" s="1055"/>
      <c r="AB41" s="1055"/>
      <c r="AC41" s="1055"/>
      <c r="AD41" s="1055"/>
      <c r="AE41" s="937">
        <f t="shared" si="2"/>
        <v>13530</v>
      </c>
      <c r="AF41" s="1155"/>
      <c r="AG41" s="1155">
        <v>6765</v>
      </c>
      <c r="AH41" s="994">
        <f t="shared" si="1"/>
        <v>6765</v>
      </c>
      <c r="AI41" s="1000" t="s">
        <v>1070</v>
      </c>
      <c r="AJ41" s="341" t="s">
        <v>6447</v>
      </c>
      <c r="AK41" s="341" t="s">
        <v>6448</v>
      </c>
      <c r="AL41" s="1001" t="s">
        <v>6439</v>
      </c>
      <c r="AM41" s="946"/>
      <c r="AN41" s="944"/>
      <c r="AO41" s="944"/>
      <c r="AP41" s="944"/>
      <c r="AQ41" s="944"/>
      <c r="AR41" s="945"/>
      <c r="AS41" s="1217"/>
      <c r="AT41" s="1133"/>
      <c r="AU41" s="1133"/>
      <c r="AV41" s="1133"/>
      <c r="AW41" s="1133"/>
      <c r="AX41" s="1133"/>
      <c r="AY41" s="1133"/>
      <c r="AZ41" s="1133"/>
      <c r="BA41" s="1133"/>
      <c r="BB41" s="1133"/>
      <c r="BC41" s="1133"/>
      <c r="BD41" s="930"/>
    </row>
    <row r="42" spans="1:56" s="1747" customFormat="1" ht="25.5" x14ac:dyDescent="0.25">
      <c r="A42" s="1088">
        <v>19</v>
      </c>
      <c r="B42" s="99" t="s">
        <v>388</v>
      </c>
      <c r="C42" s="1055"/>
      <c r="D42" s="1055" t="s">
        <v>690</v>
      </c>
      <c r="E42" s="1055"/>
      <c r="F42" s="1055" t="s">
        <v>6449</v>
      </c>
      <c r="G42" s="1051"/>
      <c r="H42" s="498"/>
      <c r="I42" s="1055" t="s">
        <v>6450</v>
      </c>
      <c r="J42" s="1055" t="s">
        <v>5623</v>
      </c>
      <c r="K42" s="1055"/>
      <c r="L42" s="1155">
        <v>1870</v>
      </c>
      <c r="M42" s="1055"/>
      <c r="N42" s="1055"/>
      <c r="O42" s="1055"/>
      <c r="P42" s="1043" t="s">
        <v>591</v>
      </c>
      <c r="Q42" s="1055"/>
      <c r="R42" s="1055"/>
      <c r="S42" s="1055"/>
      <c r="T42" s="1055" t="s">
        <v>685</v>
      </c>
      <c r="U42" s="1055"/>
      <c r="V42" s="1055"/>
      <c r="W42" s="1055"/>
      <c r="X42" s="1055"/>
      <c r="Y42" s="1055"/>
      <c r="Z42" s="1055"/>
      <c r="AA42" s="1055"/>
      <c r="AB42" s="1055"/>
      <c r="AC42" s="1055"/>
      <c r="AD42" s="1055"/>
      <c r="AE42" s="937">
        <f t="shared" si="2"/>
        <v>1870</v>
      </c>
      <c r="AF42" s="1155"/>
      <c r="AG42" s="1155">
        <v>1870</v>
      </c>
      <c r="AH42" s="994">
        <f t="shared" si="1"/>
        <v>1870</v>
      </c>
      <c r="AI42" s="946"/>
      <c r="AJ42" s="524"/>
      <c r="AK42" s="524"/>
      <c r="AL42" s="997"/>
      <c r="AM42" s="943" t="s">
        <v>1311</v>
      </c>
      <c r="AN42" s="999" t="s">
        <v>6429</v>
      </c>
      <c r="AO42" s="944"/>
      <c r="AP42" s="944"/>
      <c r="AQ42" s="944"/>
      <c r="AR42" s="945"/>
      <c r="AS42" s="1217"/>
      <c r="AT42" s="1133"/>
      <c r="AU42" s="1133"/>
      <c r="AV42" s="1133"/>
      <c r="AW42" s="1133"/>
      <c r="AX42" s="1133"/>
      <c r="AY42" s="1133"/>
      <c r="AZ42" s="1133"/>
      <c r="BA42" s="1133"/>
      <c r="BB42" s="1133"/>
      <c r="BC42" s="1133"/>
      <c r="BD42" s="930"/>
    </row>
    <row r="43" spans="1:56" s="1747" customFormat="1" ht="76.5" x14ac:dyDescent="0.25">
      <c r="A43" s="1088">
        <v>20</v>
      </c>
      <c r="B43" s="99" t="s">
        <v>6451</v>
      </c>
      <c r="C43" s="1149" t="s">
        <v>6452</v>
      </c>
      <c r="D43" s="1043" t="s">
        <v>1171</v>
      </c>
      <c r="E43" s="1043" t="s">
        <v>616</v>
      </c>
      <c r="F43" s="1055" t="s">
        <v>6453</v>
      </c>
      <c r="G43" s="1051" t="s">
        <v>6407</v>
      </c>
      <c r="H43" s="498" t="s">
        <v>259</v>
      </c>
      <c r="I43" s="1055" t="s">
        <v>6454</v>
      </c>
      <c r="J43" s="1055" t="s">
        <v>380</v>
      </c>
      <c r="K43" s="1137">
        <v>41775</v>
      </c>
      <c r="L43" s="1155">
        <v>7700</v>
      </c>
      <c r="M43" s="1055" t="s">
        <v>6455</v>
      </c>
      <c r="N43" s="1137">
        <v>41775</v>
      </c>
      <c r="O43" s="1137">
        <v>42140</v>
      </c>
      <c r="P43" s="1043" t="s">
        <v>591</v>
      </c>
      <c r="Q43" s="1055"/>
      <c r="R43" s="1055"/>
      <c r="S43" s="1055"/>
      <c r="T43" s="1055" t="s">
        <v>685</v>
      </c>
      <c r="U43" s="1055"/>
      <c r="V43" s="1055"/>
      <c r="W43" s="1055"/>
      <c r="X43" s="1055"/>
      <c r="Y43" s="1055"/>
      <c r="Z43" s="1055"/>
      <c r="AA43" s="1055"/>
      <c r="AB43" s="1055"/>
      <c r="AC43" s="1055"/>
      <c r="AD43" s="1055"/>
      <c r="AE43" s="937">
        <f t="shared" si="2"/>
        <v>7700</v>
      </c>
      <c r="AF43" s="1155"/>
      <c r="AG43" s="1155">
        <v>7700</v>
      </c>
      <c r="AH43" s="994">
        <f t="shared" si="1"/>
        <v>7700</v>
      </c>
      <c r="AI43" s="1000" t="s">
        <v>381</v>
      </c>
      <c r="AJ43" s="341" t="s">
        <v>6456</v>
      </c>
      <c r="AK43" s="1217" t="s">
        <v>382</v>
      </c>
      <c r="AL43" s="1001" t="s">
        <v>6457</v>
      </c>
      <c r="AM43" s="946"/>
      <c r="AN43" s="944"/>
      <c r="AO43" s="944"/>
      <c r="AP43" s="944"/>
      <c r="AQ43" s="944"/>
      <c r="AR43" s="945"/>
      <c r="AS43" s="1217"/>
      <c r="AT43" s="1133"/>
      <c r="AU43" s="1133"/>
      <c r="AV43" s="1133"/>
      <c r="AW43" s="1133"/>
      <c r="AX43" s="1133"/>
      <c r="AY43" s="1133"/>
      <c r="AZ43" s="1133"/>
      <c r="BA43" s="1133"/>
      <c r="BB43" s="1133"/>
      <c r="BC43" s="1133"/>
      <c r="BD43" s="930"/>
    </row>
    <row r="44" spans="1:56" s="1747" customFormat="1" ht="25.5" x14ac:dyDescent="0.25">
      <c r="A44" s="1088">
        <v>21</v>
      </c>
      <c r="B44" s="99" t="s">
        <v>6458</v>
      </c>
      <c r="C44" s="1149"/>
      <c r="D44" s="1055" t="s">
        <v>690</v>
      </c>
      <c r="E44" s="1055"/>
      <c r="F44" s="1055" t="s">
        <v>6459</v>
      </c>
      <c r="G44" s="1051"/>
      <c r="H44" s="498"/>
      <c r="I44" s="1002" t="s">
        <v>6460</v>
      </c>
      <c r="J44" s="1055" t="s">
        <v>6461</v>
      </c>
      <c r="K44" s="1003"/>
      <c r="L44" s="1141">
        <v>5070</v>
      </c>
      <c r="M44" s="1041"/>
      <c r="N44" s="1004"/>
      <c r="O44" s="1004"/>
      <c r="P44" s="1043" t="s">
        <v>591</v>
      </c>
      <c r="Q44" s="1041"/>
      <c r="R44" s="1041"/>
      <c r="S44" s="1041"/>
      <c r="T44" s="1041" t="s">
        <v>685</v>
      </c>
      <c r="U44" s="1041"/>
      <c r="V44" s="1041"/>
      <c r="W44" s="1041"/>
      <c r="X44" s="1041"/>
      <c r="Y44" s="1041"/>
      <c r="Z44" s="1041"/>
      <c r="AA44" s="1041"/>
      <c r="AB44" s="1041"/>
      <c r="AC44" s="1041"/>
      <c r="AD44" s="1041"/>
      <c r="AE44" s="523">
        <f t="shared" si="2"/>
        <v>5070</v>
      </c>
      <c r="AF44" s="1141"/>
      <c r="AG44" s="1141">
        <v>1440</v>
      </c>
      <c r="AH44" s="523">
        <v>1440</v>
      </c>
      <c r="AI44" s="1005"/>
      <c r="AJ44" s="1006"/>
      <c r="AK44" s="1006"/>
      <c r="AL44" s="1007"/>
      <c r="AM44" s="943" t="s">
        <v>1311</v>
      </c>
      <c r="AN44" s="999" t="s">
        <v>6429</v>
      </c>
      <c r="AO44" s="984"/>
      <c r="AP44" s="984"/>
      <c r="AQ44" s="984"/>
      <c r="AR44" s="1008"/>
      <c r="AS44" s="1128"/>
      <c r="AT44" s="1151"/>
      <c r="AU44" s="1151"/>
      <c r="AV44" s="1151"/>
      <c r="AW44" s="1151"/>
      <c r="AX44" s="1151"/>
      <c r="AY44" s="1151"/>
      <c r="AZ44" s="1151"/>
      <c r="BA44" s="1151"/>
      <c r="BB44" s="1151"/>
      <c r="BC44" s="1151"/>
      <c r="BD44" s="1752"/>
    </row>
    <row r="45" spans="1:56" s="1747" customFormat="1" ht="76.5" x14ac:dyDescent="0.25">
      <c r="A45" s="1088">
        <v>22</v>
      </c>
      <c r="B45" s="99" t="s">
        <v>6462</v>
      </c>
      <c r="C45" s="1149" t="s">
        <v>4548</v>
      </c>
      <c r="D45" s="1043" t="s">
        <v>1171</v>
      </c>
      <c r="E45" s="1043" t="s">
        <v>616</v>
      </c>
      <c r="F45" s="1055" t="s">
        <v>6463</v>
      </c>
      <c r="G45" s="1051" t="s">
        <v>6464</v>
      </c>
      <c r="H45" s="498" t="s">
        <v>263</v>
      </c>
      <c r="I45" s="1002" t="s">
        <v>6465</v>
      </c>
      <c r="J45" s="1055" t="s">
        <v>4552</v>
      </c>
      <c r="K45" s="1003">
        <v>41787</v>
      </c>
      <c r="L45" s="1141">
        <v>3000</v>
      </c>
      <c r="M45" s="1041" t="s">
        <v>6466</v>
      </c>
      <c r="N45" s="1004">
        <v>41787</v>
      </c>
      <c r="O45" s="1004">
        <v>42004</v>
      </c>
      <c r="P45" s="1043" t="s">
        <v>591</v>
      </c>
      <c r="Q45" s="1041"/>
      <c r="R45" s="1041"/>
      <c r="S45" s="1041"/>
      <c r="T45" s="1041" t="s">
        <v>678</v>
      </c>
      <c r="U45" s="1041"/>
      <c r="V45" s="1041"/>
      <c r="W45" s="1041"/>
      <c r="X45" s="1041"/>
      <c r="Y45" s="1041"/>
      <c r="Z45" s="1041"/>
      <c r="AA45" s="1041"/>
      <c r="AB45" s="1041"/>
      <c r="AC45" s="1041"/>
      <c r="AD45" s="1041"/>
      <c r="AE45" s="523">
        <f t="shared" si="2"/>
        <v>3000</v>
      </c>
      <c r="AF45" s="1141"/>
      <c r="AG45" s="1141">
        <v>2956.2</v>
      </c>
      <c r="AH45" s="994">
        <v>2956.2</v>
      </c>
      <c r="AI45" s="1009" t="s">
        <v>4790</v>
      </c>
      <c r="AJ45" s="1006" t="s">
        <v>642</v>
      </c>
      <c r="AK45" s="1217" t="s">
        <v>382</v>
      </c>
      <c r="AL45" s="1007" t="s">
        <v>6467</v>
      </c>
      <c r="AM45" s="1010"/>
      <c r="AN45" s="984"/>
      <c r="AO45" s="984"/>
      <c r="AP45" s="984"/>
      <c r="AQ45" s="984"/>
      <c r="AR45" s="1008"/>
      <c r="AS45" s="1128"/>
      <c r="AT45" s="1151"/>
      <c r="AU45" s="1151"/>
      <c r="AV45" s="1151"/>
      <c r="AW45" s="1151"/>
      <c r="AX45" s="1151"/>
      <c r="AY45" s="1151"/>
      <c r="AZ45" s="1151"/>
      <c r="BA45" s="1151"/>
      <c r="BB45" s="1151"/>
      <c r="BC45" s="1151"/>
      <c r="BD45" s="1752"/>
    </row>
    <row r="46" spans="1:56" s="1747" customFormat="1" ht="51" x14ac:dyDescent="0.25">
      <c r="A46" s="1088">
        <v>23</v>
      </c>
      <c r="B46" s="99" t="s">
        <v>6468</v>
      </c>
      <c r="C46" s="1149" t="s">
        <v>2318</v>
      </c>
      <c r="D46" s="1043" t="s">
        <v>1171</v>
      </c>
      <c r="E46" s="1043" t="s">
        <v>616</v>
      </c>
      <c r="F46" s="1055" t="s">
        <v>6469</v>
      </c>
      <c r="G46" s="1051" t="s">
        <v>2243</v>
      </c>
      <c r="H46" s="498" t="s">
        <v>269</v>
      </c>
      <c r="I46" s="1002" t="s">
        <v>6470</v>
      </c>
      <c r="J46" s="1055" t="s">
        <v>458</v>
      </c>
      <c r="K46" s="1003">
        <v>41806</v>
      </c>
      <c r="L46" s="1141">
        <v>88468</v>
      </c>
      <c r="M46" s="1041" t="s">
        <v>6467</v>
      </c>
      <c r="N46" s="1004">
        <v>41806</v>
      </c>
      <c r="O46" s="1004">
        <v>42171</v>
      </c>
      <c r="P46" s="1043" t="s">
        <v>591</v>
      </c>
      <c r="Q46" s="1041"/>
      <c r="R46" s="1041"/>
      <c r="S46" s="1041"/>
      <c r="T46" s="1041" t="s">
        <v>6376</v>
      </c>
      <c r="U46" s="1041"/>
      <c r="V46" s="1041"/>
      <c r="W46" s="1041"/>
      <c r="X46" s="1041"/>
      <c r="Y46" s="1041"/>
      <c r="Z46" s="1041"/>
      <c r="AA46" s="1041"/>
      <c r="AB46" s="1041"/>
      <c r="AC46" s="1041"/>
      <c r="AD46" s="1041"/>
      <c r="AE46" s="523">
        <f t="shared" si="2"/>
        <v>88468</v>
      </c>
      <c r="AF46" s="1141"/>
      <c r="AG46" s="1141">
        <v>53335.98</v>
      </c>
      <c r="AH46" s="994">
        <f t="shared" si="1"/>
        <v>53335.98</v>
      </c>
      <c r="AI46" s="1011" t="s">
        <v>1728</v>
      </c>
      <c r="AJ46" s="1012" t="s">
        <v>6471</v>
      </c>
      <c r="AK46" s="1128" t="s">
        <v>5497</v>
      </c>
      <c r="AL46" s="1007" t="s">
        <v>6471</v>
      </c>
      <c r="AM46" s="1010"/>
      <c r="AN46" s="984"/>
      <c r="AO46" s="984"/>
      <c r="AP46" s="984"/>
      <c r="AQ46" s="984"/>
      <c r="AR46" s="1008"/>
      <c r="AS46" s="1128"/>
      <c r="AT46" s="1151"/>
      <c r="AU46" s="1151"/>
      <c r="AV46" s="1151"/>
      <c r="AW46" s="1151"/>
      <c r="AX46" s="1151"/>
      <c r="AY46" s="1151"/>
      <c r="AZ46" s="1151"/>
      <c r="BA46" s="1151"/>
      <c r="BB46" s="1151"/>
      <c r="BC46" s="1151"/>
      <c r="BD46" s="1752"/>
    </row>
    <row r="47" spans="1:56" s="1747" customFormat="1" ht="51" x14ac:dyDescent="0.25">
      <c r="A47" s="1088">
        <v>24</v>
      </c>
      <c r="B47" s="99" t="s">
        <v>6472</v>
      </c>
      <c r="C47" s="1149" t="s">
        <v>683</v>
      </c>
      <c r="D47" s="1043" t="s">
        <v>1171</v>
      </c>
      <c r="E47" s="1043" t="s">
        <v>616</v>
      </c>
      <c r="F47" s="1055" t="s">
        <v>6473</v>
      </c>
      <c r="G47" s="1051" t="s">
        <v>334</v>
      </c>
      <c r="H47" s="498" t="s">
        <v>274</v>
      </c>
      <c r="I47" s="1002" t="s">
        <v>1628</v>
      </c>
      <c r="J47" s="1055" t="s">
        <v>285</v>
      </c>
      <c r="K47" s="1003">
        <v>41831</v>
      </c>
      <c r="L47" s="1141">
        <v>28158</v>
      </c>
      <c r="M47" s="1041" t="s">
        <v>6474</v>
      </c>
      <c r="N47" s="1004">
        <v>41831</v>
      </c>
      <c r="O47" s="1004">
        <v>42004</v>
      </c>
      <c r="P47" s="1043" t="s">
        <v>591</v>
      </c>
      <c r="Q47" s="1041"/>
      <c r="R47" s="1041"/>
      <c r="S47" s="1041"/>
      <c r="T47" s="1041" t="s">
        <v>719</v>
      </c>
      <c r="U47" s="1041"/>
      <c r="V47" s="1041"/>
      <c r="W47" s="1041"/>
      <c r="X47" s="1041"/>
      <c r="Y47" s="1041"/>
      <c r="Z47" s="1041"/>
      <c r="AA47" s="1041"/>
      <c r="AB47" s="1041"/>
      <c r="AC47" s="1041"/>
      <c r="AD47" s="1041"/>
      <c r="AE47" s="523">
        <f t="shared" si="2"/>
        <v>28158</v>
      </c>
      <c r="AF47" s="1141"/>
      <c r="AG47" s="1141">
        <v>28158</v>
      </c>
      <c r="AH47" s="523">
        <f>AF47+AG47</f>
        <v>28158</v>
      </c>
      <c r="AI47" s="1005" t="s">
        <v>683</v>
      </c>
      <c r="AJ47" s="1013" t="s">
        <v>6475</v>
      </c>
      <c r="AK47" s="1128" t="s">
        <v>6476</v>
      </c>
      <c r="AL47" s="1007" t="s">
        <v>6477</v>
      </c>
      <c r="AM47" s="1010"/>
      <c r="AN47" s="984"/>
      <c r="AO47" s="984"/>
      <c r="AP47" s="984"/>
      <c r="AQ47" s="984"/>
      <c r="AR47" s="1008"/>
      <c r="AS47" s="1128"/>
      <c r="AT47" s="1151"/>
      <c r="AU47" s="1151"/>
      <c r="AV47" s="1151"/>
      <c r="AW47" s="1151"/>
      <c r="AX47" s="1151"/>
      <c r="AY47" s="1151"/>
      <c r="AZ47" s="1151"/>
      <c r="BA47" s="1151"/>
      <c r="BB47" s="1151"/>
      <c r="BC47" s="1151"/>
      <c r="BD47" s="1752"/>
    </row>
    <row r="48" spans="1:56" s="1747" customFormat="1" ht="38.25" x14ac:dyDescent="0.25">
      <c r="A48" s="1088">
        <v>25</v>
      </c>
      <c r="B48" s="99" t="s">
        <v>6478</v>
      </c>
      <c r="C48" s="1149" t="s">
        <v>1486</v>
      </c>
      <c r="D48" s="1043" t="s">
        <v>239</v>
      </c>
      <c r="E48" s="1043" t="s">
        <v>616</v>
      </c>
      <c r="F48" s="1055" t="s">
        <v>6473</v>
      </c>
      <c r="G48" s="1051"/>
      <c r="H48" s="498" t="s">
        <v>283</v>
      </c>
      <c r="I48" s="1002" t="s">
        <v>5131</v>
      </c>
      <c r="J48" s="1055" t="s">
        <v>6479</v>
      </c>
      <c r="K48" s="1003">
        <v>41815</v>
      </c>
      <c r="L48" s="1141">
        <v>84950</v>
      </c>
      <c r="M48" s="1041" t="s">
        <v>6480</v>
      </c>
      <c r="N48" s="1004">
        <v>41815</v>
      </c>
      <c r="O48" s="1004">
        <v>42004</v>
      </c>
      <c r="P48" s="1043" t="s">
        <v>591</v>
      </c>
      <c r="Q48" s="1041"/>
      <c r="R48" s="1041"/>
      <c r="S48" s="1041"/>
      <c r="T48" s="1041" t="s">
        <v>719</v>
      </c>
      <c r="U48" s="1041"/>
      <c r="V48" s="1041"/>
      <c r="W48" s="1041"/>
      <c r="X48" s="1041"/>
      <c r="Y48" s="1041"/>
      <c r="Z48" s="1041"/>
      <c r="AA48" s="1041"/>
      <c r="AB48" s="1041"/>
      <c r="AC48" s="1041"/>
      <c r="AD48" s="1041"/>
      <c r="AE48" s="523">
        <f t="shared" si="2"/>
        <v>84950</v>
      </c>
      <c r="AF48" s="1141"/>
      <c r="AG48" s="1141">
        <v>57186.45</v>
      </c>
      <c r="AH48" s="523">
        <f t="shared" si="1"/>
        <v>57186.45</v>
      </c>
      <c r="AI48" s="1005" t="s">
        <v>388</v>
      </c>
      <c r="AJ48" s="1006" t="s">
        <v>6481</v>
      </c>
      <c r="AK48" s="1006" t="s">
        <v>6482</v>
      </c>
      <c r="AL48" s="1007" t="s">
        <v>6483</v>
      </c>
      <c r="AM48" s="1010"/>
      <c r="AN48" s="984"/>
      <c r="AO48" s="984"/>
      <c r="AP48" s="984"/>
      <c r="AQ48" s="984"/>
      <c r="AR48" s="1008"/>
      <c r="AS48" s="1128"/>
      <c r="AT48" s="1151"/>
      <c r="AU48" s="1151"/>
      <c r="AV48" s="1151"/>
      <c r="AW48" s="1151"/>
      <c r="AX48" s="1151"/>
      <c r="AY48" s="1151"/>
      <c r="AZ48" s="1151"/>
      <c r="BA48" s="1151"/>
      <c r="BB48" s="1151"/>
      <c r="BC48" s="1151"/>
      <c r="BD48" s="1752"/>
    </row>
    <row r="49" spans="1:56" s="1747" customFormat="1" ht="51" x14ac:dyDescent="0.25">
      <c r="A49" s="1088">
        <v>26</v>
      </c>
      <c r="B49" s="99" t="s">
        <v>6484</v>
      </c>
      <c r="C49" s="1149" t="s">
        <v>6485</v>
      </c>
      <c r="D49" s="1043" t="s">
        <v>1171</v>
      </c>
      <c r="E49" s="1043" t="s">
        <v>616</v>
      </c>
      <c r="F49" s="1055" t="s">
        <v>6486</v>
      </c>
      <c r="G49" s="1051" t="s">
        <v>6487</v>
      </c>
      <c r="H49" s="498" t="s">
        <v>290</v>
      </c>
      <c r="I49" s="1002" t="s">
        <v>6488</v>
      </c>
      <c r="J49" s="1055" t="s">
        <v>6489</v>
      </c>
      <c r="K49" s="1003">
        <v>41807</v>
      </c>
      <c r="L49" s="1141">
        <v>347890</v>
      </c>
      <c r="M49" s="1041" t="s">
        <v>6490</v>
      </c>
      <c r="N49" s="1004">
        <v>41807</v>
      </c>
      <c r="O49" s="1004">
        <v>42004</v>
      </c>
      <c r="P49" s="1043" t="s">
        <v>591</v>
      </c>
      <c r="Q49" s="1041"/>
      <c r="R49" s="1041"/>
      <c r="S49" s="1041"/>
      <c r="T49" s="1041" t="s">
        <v>685</v>
      </c>
      <c r="U49" s="1041"/>
      <c r="V49" s="1041"/>
      <c r="W49" s="1041"/>
      <c r="X49" s="1041"/>
      <c r="Y49" s="1041"/>
      <c r="Z49" s="1041"/>
      <c r="AA49" s="1041"/>
      <c r="AB49" s="1041"/>
      <c r="AC49" s="1041"/>
      <c r="AD49" s="1041"/>
      <c r="AE49" s="523">
        <f t="shared" si="2"/>
        <v>347890</v>
      </c>
      <c r="AF49" s="1141"/>
      <c r="AG49" s="1141">
        <v>107478</v>
      </c>
      <c r="AH49" s="523">
        <f t="shared" si="1"/>
        <v>107478</v>
      </c>
      <c r="AI49" s="1005" t="s">
        <v>1690</v>
      </c>
      <c r="AJ49" s="1006" t="s">
        <v>6491</v>
      </c>
      <c r="AK49" s="1128" t="s">
        <v>5497</v>
      </c>
      <c r="AL49" s="1007" t="s">
        <v>6490</v>
      </c>
      <c r="AM49" s="1010"/>
      <c r="AN49" s="984"/>
      <c r="AO49" s="984"/>
      <c r="AP49" s="984"/>
      <c r="AQ49" s="984"/>
      <c r="AR49" s="1008"/>
      <c r="AS49" s="1128"/>
      <c r="AT49" s="1151"/>
      <c r="AU49" s="1151"/>
      <c r="AV49" s="1151"/>
      <c r="AW49" s="1151"/>
      <c r="AX49" s="1151"/>
      <c r="AY49" s="1151"/>
      <c r="AZ49" s="1151"/>
      <c r="BA49" s="1151"/>
      <c r="BB49" s="1151"/>
      <c r="BC49" s="1151"/>
      <c r="BD49" s="1752"/>
    </row>
    <row r="50" spans="1:56" s="1747" customFormat="1" ht="38.25" x14ac:dyDescent="0.25">
      <c r="A50" s="1088">
        <v>27</v>
      </c>
      <c r="B50" s="99" t="s">
        <v>2364</v>
      </c>
      <c r="C50" s="1149" t="s">
        <v>1862</v>
      </c>
      <c r="D50" s="1043" t="s">
        <v>1171</v>
      </c>
      <c r="E50" s="1043" t="s">
        <v>616</v>
      </c>
      <c r="F50" s="1055" t="s">
        <v>6492</v>
      </c>
      <c r="G50" s="1051" t="s">
        <v>6493</v>
      </c>
      <c r="H50" s="498" t="s">
        <v>741</v>
      </c>
      <c r="I50" s="1002" t="s">
        <v>6494</v>
      </c>
      <c r="J50" s="1055" t="s">
        <v>6495</v>
      </c>
      <c r="K50" s="1003">
        <v>41836</v>
      </c>
      <c r="L50" s="1141">
        <v>23705</v>
      </c>
      <c r="M50" s="1041" t="s">
        <v>6496</v>
      </c>
      <c r="N50" s="1003">
        <v>41836</v>
      </c>
      <c r="O50" s="1004">
        <v>42004</v>
      </c>
      <c r="P50" s="1043" t="s">
        <v>591</v>
      </c>
      <c r="Q50" s="1041"/>
      <c r="R50" s="1041"/>
      <c r="S50" s="1041"/>
      <c r="T50" s="1041" t="s">
        <v>6497</v>
      </c>
      <c r="U50" s="1041"/>
      <c r="V50" s="1041"/>
      <c r="W50" s="1041"/>
      <c r="X50" s="1041"/>
      <c r="Y50" s="1041"/>
      <c r="Z50" s="1041"/>
      <c r="AA50" s="1041"/>
      <c r="AB50" s="1041"/>
      <c r="AC50" s="1041"/>
      <c r="AD50" s="1041"/>
      <c r="AE50" s="523">
        <f>L50-AD50+AC50</f>
        <v>23705</v>
      </c>
      <c r="AF50" s="1141"/>
      <c r="AG50" s="1141">
        <v>23621.55</v>
      </c>
      <c r="AH50" s="994">
        <f t="shared" si="1"/>
        <v>23621.55</v>
      </c>
      <c r="AI50" s="941"/>
      <c r="AJ50" s="1006"/>
      <c r="AK50" s="1128"/>
      <c r="AL50" s="1007"/>
      <c r="AM50" s="1010"/>
      <c r="AN50" s="984"/>
      <c r="AO50" s="984"/>
      <c r="AP50" s="984"/>
      <c r="AQ50" s="984"/>
      <c r="AR50" s="1008"/>
      <c r="AS50" s="1128"/>
      <c r="AT50" s="1151"/>
      <c r="AU50" s="1151"/>
      <c r="AV50" s="1151"/>
      <c r="AW50" s="1151"/>
      <c r="AX50" s="1151"/>
      <c r="AY50" s="1151"/>
      <c r="AZ50" s="1151"/>
      <c r="BA50" s="1151"/>
      <c r="BB50" s="1151"/>
      <c r="BC50" s="1151"/>
      <c r="BD50" s="1752"/>
    </row>
    <row r="51" spans="1:56" s="1747" customFormat="1" ht="25.5" x14ac:dyDescent="0.25">
      <c r="A51" s="1088">
        <v>28</v>
      </c>
      <c r="B51" s="99" t="s">
        <v>6498</v>
      </c>
      <c r="C51" s="1149" t="s">
        <v>1872</v>
      </c>
      <c r="D51" s="1043" t="s">
        <v>1171</v>
      </c>
      <c r="E51" s="1043" t="s">
        <v>616</v>
      </c>
      <c r="F51" s="1055" t="s">
        <v>6499</v>
      </c>
      <c r="G51" s="1051" t="s">
        <v>6500</v>
      </c>
      <c r="H51" s="498" t="s">
        <v>744</v>
      </c>
      <c r="I51" s="1002" t="s">
        <v>6501</v>
      </c>
      <c r="J51" s="1055" t="s">
        <v>6502</v>
      </c>
      <c r="K51" s="1003">
        <v>41843</v>
      </c>
      <c r="L51" s="1141">
        <v>4403.3999999999996</v>
      </c>
      <c r="M51" s="1041" t="s">
        <v>6496</v>
      </c>
      <c r="N51" s="1003">
        <v>41843</v>
      </c>
      <c r="O51" s="1004">
        <v>41640</v>
      </c>
      <c r="P51" s="1043" t="s">
        <v>591</v>
      </c>
      <c r="Q51" s="1041"/>
      <c r="R51" s="1041"/>
      <c r="S51" s="1041"/>
      <c r="T51" s="1041" t="s">
        <v>685</v>
      </c>
      <c r="U51" s="1041"/>
      <c r="V51" s="1041"/>
      <c r="W51" s="1041"/>
      <c r="X51" s="1041"/>
      <c r="Y51" s="1041"/>
      <c r="Z51" s="1041"/>
      <c r="AA51" s="1041"/>
      <c r="AB51" s="1041"/>
      <c r="AC51" s="1041"/>
      <c r="AD51" s="1041"/>
      <c r="AE51" s="523">
        <f t="shared" si="2"/>
        <v>4403.3999999999996</v>
      </c>
      <c r="AF51" s="1141"/>
      <c r="AG51" s="1141">
        <v>628.5</v>
      </c>
      <c r="AH51" s="994">
        <f t="shared" si="1"/>
        <v>628.5</v>
      </c>
      <c r="AI51" s="941"/>
      <c r="AJ51" s="1006"/>
      <c r="AK51" s="1006"/>
      <c r="AL51" s="1007"/>
      <c r="AM51" s="1010"/>
      <c r="AN51" s="984"/>
      <c r="AO51" s="984"/>
      <c r="AP51" s="984"/>
      <c r="AQ51" s="984"/>
      <c r="AR51" s="1008"/>
      <c r="AS51" s="1128"/>
      <c r="AT51" s="1151"/>
      <c r="AU51" s="1151"/>
      <c r="AV51" s="1151"/>
      <c r="AW51" s="1151"/>
      <c r="AX51" s="1151"/>
      <c r="AY51" s="1151"/>
      <c r="AZ51" s="1151"/>
      <c r="BA51" s="1151"/>
      <c r="BB51" s="1151"/>
      <c r="BC51" s="1151"/>
      <c r="BD51" s="1752"/>
    </row>
    <row r="52" spans="1:56" s="1747" customFormat="1" ht="25.5" x14ac:dyDescent="0.25">
      <c r="A52" s="1088">
        <v>29</v>
      </c>
      <c r="B52" s="99" t="s">
        <v>787</v>
      </c>
      <c r="C52" s="1149"/>
      <c r="D52" s="1055" t="s">
        <v>690</v>
      </c>
      <c r="E52" s="1055"/>
      <c r="F52" s="1055" t="s">
        <v>6503</v>
      </c>
      <c r="G52" s="1051"/>
      <c r="H52" s="498"/>
      <c r="I52" s="1055" t="s">
        <v>6504</v>
      </c>
      <c r="J52" s="1055" t="s">
        <v>6505</v>
      </c>
      <c r="K52" s="1137"/>
      <c r="L52" s="1141">
        <v>7920</v>
      </c>
      <c r="M52" s="1041"/>
      <c r="N52" s="1003"/>
      <c r="O52" s="1004"/>
      <c r="P52" s="1043" t="s">
        <v>591</v>
      </c>
      <c r="Q52" s="1041"/>
      <c r="R52" s="1041"/>
      <c r="S52" s="1041"/>
      <c r="T52" s="1041" t="s">
        <v>719</v>
      </c>
      <c r="U52" s="1041"/>
      <c r="V52" s="1041"/>
      <c r="W52" s="1041"/>
      <c r="X52" s="1041"/>
      <c r="Y52" s="1041"/>
      <c r="Z52" s="1041"/>
      <c r="AA52" s="1041"/>
      <c r="AB52" s="1041"/>
      <c r="AC52" s="1041"/>
      <c r="AD52" s="1041"/>
      <c r="AE52" s="1014">
        <f t="shared" si="2"/>
        <v>7920</v>
      </c>
      <c r="AF52" s="1141"/>
      <c r="AG52" s="1141">
        <v>7920</v>
      </c>
      <c r="AH52" s="994">
        <f t="shared" si="1"/>
        <v>7920</v>
      </c>
      <c r="AI52" s="941"/>
      <c r="AJ52" s="1006"/>
      <c r="AK52" s="1006"/>
      <c r="AL52" s="1007"/>
      <c r="AM52" s="943" t="s">
        <v>1311</v>
      </c>
      <c r="AN52" s="999" t="s">
        <v>6429</v>
      </c>
      <c r="AO52" s="984"/>
      <c r="AP52" s="984"/>
      <c r="AQ52" s="984"/>
      <c r="AR52" s="1008"/>
      <c r="AS52" s="1128"/>
      <c r="AT52" s="1151"/>
      <c r="AU52" s="1151"/>
      <c r="AV52" s="1151"/>
      <c r="AW52" s="1151"/>
      <c r="AX52" s="1151"/>
      <c r="AY52" s="1151"/>
      <c r="AZ52" s="1151"/>
      <c r="BA52" s="1151"/>
      <c r="BB52" s="1151"/>
      <c r="BC52" s="1151"/>
      <c r="BD52" s="1752"/>
    </row>
    <row r="53" spans="1:56" s="1747" customFormat="1" ht="25.5" x14ac:dyDescent="0.25">
      <c r="A53" s="1088">
        <v>30</v>
      </c>
      <c r="B53" s="99" t="s">
        <v>807</v>
      </c>
      <c r="C53" s="1149"/>
      <c r="D53" s="1055" t="s">
        <v>690</v>
      </c>
      <c r="E53" s="1055"/>
      <c r="F53" s="1055" t="s">
        <v>6486</v>
      </c>
      <c r="G53" s="1051"/>
      <c r="H53" s="498"/>
      <c r="I53" s="1055" t="s">
        <v>6488</v>
      </c>
      <c r="J53" s="1055" t="s">
        <v>6489</v>
      </c>
      <c r="K53" s="1137"/>
      <c r="L53" s="1141">
        <v>7340</v>
      </c>
      <c r="M53" s="1041"/>
      <c r="N53" s="1003"/>
      <c r="O53" s="1004"/>
      <c r="P53" s="1043" t="s">
        <v>591</v>
      </c>
      <c r="Q53" s="1041"/>
      <c r="R53" s="1041"/>
      <c r="S53" s="1041"/>
      <c r="T53" s="1041" t="s">
        <v>685</v>
      </c>
      <c r="U53" s="1041"/>
      <c r="V53" s="1041"/>
      <c r="W53" s="1041"/>
      <c r="X53" s="1041"/>
      <c r="Y53" s="1041"/>
      <c r="Z53" s="1041"/>
      <c r="AA53" s="1041"/>
      <c r="AB53" s="1041"/>
      <c r="AC53" s="1041"/>
      <c r="AD53" s="1041"/>
      <c r="AE53" s="1014">
        <f t="shared" si="2"/>
        <v>7340</v>
      </c>
      <c r="AF53" s="1141"/>
      <c r="AG53" s="1141">
        <v>5400</v>
      </c>
      <c r="AH53" s="994">
        <f t="shared" si="1"/>
        <v>5400</v>
      </c>
      <c r="AI53" s="941"/>
      <c r="AJ53" s="1006"/>
      <c r="AK53" s="1006"/>
      <c r="AL53" s="1007"/>
      <c r="AM53" s="943" t="s">
        <v>1311</v>
      </c>
      <c r="AN53" s="999" t="s">
        <v>6506</v>
      </c>
      <c r="AO53" s="984"/>
      <c r="AP53" s="984"/>
      <c r="AQ53" s="984"/>
      <c r="AR53" s="1008"/>
      <c r="AS53" s="1128"/>
      <c r="AT53" s="1151"/>
      <c r="AU53" s="1151"/>
      <c r="AV53" s="1151"/>
      <c r="AW53" s="1151"/>
      <c r="AX53" s="1151"/>
      <c r="AY53" s="1151"/>
      <c r="AZ53" s="1151"/>
      <c r="BA53" s="1151"/>
      <c r="BB53" s="1151"/>
      <c r="BC53" s="1151"/>
      <c r="BD53" s="1752"/>
    </row>
    <row r="54" spans="1:56" s="1747" customFormat="1" ht="25.5" x14ac:dyDescent="0.25">
      <c r="A54" s="1088">
        <v>31</v>
      </c>
      <c r="B54" s="99" t="s">
        <v>334</v>
      </c>
      <c r="C54" s="1149"/>
      <c r="D54" s="1055" t="s">
        <v>301</v>
      </c>
      <c r="E54" s="1055"/>
      <c r="F54" s="1055" t="s">
        <v>6507</v>
      </c>
      <c r="G54" s="1051"/>
      <c r="H54" s="498"/>
      <c r="I54" s="1055" t="s">
        <v>2835</v>
      </c>
      <c r="J54" s="1055" t="s">
        <v>6508</v>
      </c>
      <c r="K54" s="1137"/>
      <c r="L54" s="1141">
        <v>7504</v>
      </c>
      <c r="M54" s="1041"/>
      <c r="N54" s="1003"/>
      <c r="O54" s="1004"/>
      <c r="P54" s="1043" t="s">
        <v>591</v>
      </c>
      <c r="Q54" s="1041"/>
      <c r="R54" s="1041"/>
      <c r="S54" s="1041"/>
      <c r="T54" s="1041" t="s">
        <v>719</v>
      </c>
      <c r="U54" s="1041"/>
      <c r="V54" s="1041"/>
      <c r="W54" s="1041"/>
      <c r="X54" s="1041"/>
      <c r="Y54" s="1041"/>
      <c r="Z54" s="1041"/>
      <c r="AA54" s="1041"/>
      <c r="AB54" s="1041"/>
      <c r="AC54" s="1041"/>
      <c r="AD54" s="1041"/>
      <c r="AE54" s="1014">
        <f>L54-AD54+AC54</f>
        <v>7504</v>
      </c>
      <c r="AF54" s="1141"/>
      <c r="AG54" s="1141">
        <f>7294.64+209.36</f>
        <v>7504</v>
      </c>
      <c r="AH54" s="994">
        <f t="shared" si="1"/>
        <v>7504</v>
      </c>
      <c r="AI54" s="941"/>
      <c r="AJ54" s="1006"/>
      <c r="AK54" s="1006"/>
      <c r="AL54" s="1007"/>
      <c r="AM54" s="943" t="s">
        <v>1311</v>
      </c>
      <c r="AN54" s="999" t="s">
        <v>6506</v>
      </c>
      <c r="AO54" s="984"/>
      <c r="AP54" s="984"/>
      <c r="AQ54" s="984"/>
      <c r="AR54" s="1008"/>
      <c r="AS54" s="1128"/>
      <c r="AT54" s="1151"/>
      <c r="AU54" s="1151"/>
      <c r="AV54" s="1151"/>
      <c r="AW54" s="1151"/>
      <c r="AX54" s="1151"/>
      <c r="AY54" s="1151"/>
      <c r="AZ54" s="1151"/>
      <c r="BA54" s="1151"/>
      <c r="BB54" s="1151"/>
      <c r="BC54" s="1151"/>
      <c r="BD54" s="1752"/>
    </row>
    <row r="55" spans="1:56" s="1747" customFormat="1" ht="25.5" x14ac:dyDescent="0.25">
      <c r="A55" s="1088">
        <v>32</v>
      </c>
      <c r="B55" s="99" t="s">
        <v>355</v>
      </c>
      <c r="C55" s="1149"/>
      <c r="D55" s="1055" t="s">
        <v>301</v>
      </c>
      <c r="E55" s="1055"/>
      <c r="F55" s="1055" t="s">
        <v>6509</v>
      </c>
      <c r="G55" s="1051"/>
      <c r="H55" s="498"/>
      <c r="I55" s="1055" t="s">
        <v>6510</v>
      </c>
      <c r="J55" s="1055" t="s">
        <v>6511</v>
      </c>
      <c r="K55" s="1137"/>
      <c r="L55" s="1141">
        <v>1815</v>
      </c>
      <c r="M55" s="1041"/>
      <c r="N55" s="1003"/>
      <c r="O55" s="1004"/>
      <c r="P55" s="1043" t="s">
        <v>591</v>
      </c>
      <c r="Q55" s="1041"/>
      <c r="R55" s="1041"/>
      <c r="S55" s="1041"/>
      <c r="T55" s="1041" t="s">
        <v>696</v>
      </c>
      <c r="U55" s="1041"/>
      <c r="V55" s="1041"/>
      <c r="W55" s="1041"/>
      <c r="X55" s="1041"/>
      <c r="Y55" s="1041"/>
      <c r="Z55" s="1041"/>
      <c r="AA55" s="1041"/>
      <c r="AB55" s="1041"/>
      <c r="AC55" s="1041"/>
      <c r="AD55" s="1041"/>
      <c r="AE55" s="1014">
        <f>L55-AD55+AC55</f>
        <v>1815</v>
      </c>
      <c r="AF55" s="1141"/>
      <c r="AG55" s="1141">
        <v>1815</v>
      </c>
      <c r="AH55" s="994">
        <f t="shared" si="1"/>
        <v>1815</v>
      </c>
      <c r="AI55" s="941"/>
      <c r="AJ55" s="1006"/>
      <c r="AK55" s="1006"/>
      <c r="AL55" s="1007"/>
      <c r="AM55" s="943" t="s">
        <v>1311</v>
      </c>
      <c r="AN55" s="999" t="s">
        <v>6506</v>
      </c>
      <c r="AO55" s="984"/>
      <c r="AP55" s="984"/>
      <c r="AQ55" s="984"/>
      <c r="AR55" s="1008"/>
      <c r="AS55" s="1128"/>
      <c r="AT55" s="1151"/>
      <c r="AU55" s="1151"/>
      <c r="AV55" s="1151"/>
      <c r="AW55" s="1151"/>
      <c r="AX55" s="1151"/>
      <c r="AY55" s="1151"/>
      <c r="AZ55" s="1151"/>
      <c r="BA55" s="1151"/>
      <c r="BB55" s="1151"/>
      <c r="BC55" s="1151"/>
      <c r="BD55" s="1752"/>
    </row>
    <row r="56" spans="1:56" s="1747" customFormat="1" ht="25.5" x14ac:dyDescent="0.25">
      <c r="A56" s="1088">
        <v>35</v>
      </c>
      <c r="B56" s="99" t="s">
        <v>356</v>
      </c>
      <c r="C56" s="1149" t="s">
        <v>1948</v>
      </c>
      <c r="D56" s="1043" t="s">
        <v>1171</v>
      </c>
      <c r="E56" s="1055" t="s">
        <v>616</v>
      </c>
      <c r="F56" s="1055" t="s">
        <v>6512</v>
      </c>
      <c r="G56" s="1051" t="s">
        <v>6513</v>
      </c>
      <c r="H56" s="498" t="s">
        <v>319</v>
      </c>
      <c r="I56" s="1055" t="s">
        <v>6514</v>
      </c>
      <c r="J56" s="1055" t="s">
        <v>330</v>
      </c>
      <c r="K56" s="1137">
        <v>41879</v>
      </c>
      <c r="L56" s="1141">
        <v>3131.8</v>
      </c>
      <c r="M56" s="1013" t="s">
        <v>6515</v>
      </c>
      <c r="N56" s="1003">
        <v>41879</v>
      </c>
      <c r="O56" s="1004">
        <v>42004</v>
      </c>
      <c r="P56" s="1043" t="s">
        <v>591</v>
      </c>
      <c r="Q56" s="1146"/>
      <c r="R56" s="1041"/>
      <c r="S56" s="1041"/>
      <c r="T56" s="1041" t="s">
        <v>719</v>
      </c>
      <c r="U56" s="1041"/>
      <c r="V56" s="1041"/>
      <c r="W56" s="1041"/>
      <c r="X56" s="1041"/>
      <c r="Y56" s="1041"/>
      <c r="Z56" s="1041"/>
      <c r="AA56" s="1041"/>
      <c r="AB56" s="1041"/>
      <c r="AC56" s="1041"/>
      <c r="AD56" s="1041"/>
      <c r="AE56" s="1014">
        <f t="shared" ref="AE56:AE60" si="3">L56-AD56+AC56</f>
        <v>3131.8</v>
      </c>
      <c r="AF56" s="1141"/>
      <c r="AG56" s="1141">
        <v>3131.8</v>
      </c>
      <c r="AH56" s="994">
        <f t="shared" si="1"/>
        <v>3131.8</v>
      </c>
      <c r="AI56" s="941"/>
      <c r="AJ56" s="1006"/>
      <c r="AK56" s="1006"/>
      <c r="AL56" s="1007"/>
      <c r="AM56" s="943"/>
      <c r="AN56" s="999"/>
      <c r="AO56" s="984"/>
      <c r="AP56" s="984"/>
      <c r="AQ56" s="984"/>
      <c r="AR56" s="1008"/>
      <c r="AS56" s="1128"/>
      <c r="AT56" s="1151"/>
      <c r="AU56" s="1151"/>
      <c r="AV56" s="1151"/>
      <c r="AW56" s="1151"/>
      <c r="AX56" s="1151"/>
      <c r="AY56" s="1151"/>
      <c r="AZ56" s="1151"/>
      <c r="BA56" s="1151"/>
      <c r="BB56" s="1151"/>
      <c r="BC56" s="1151"/>
      <c r="BD56" s="1752"/>
    </row>
    <row r="57" spans="1:56" s="1747" customFormat="1" ht="25.5" x14ac:dyDescent="0.25">
      <c r="A57" s="1088">
        <v>36</v>
      </c>
      <c r="B57" s="99" t="s">
        <v>319</v>
      </c>
      <c r="C57" s="1149" t="s">
        <v>6516</v>
      </c>
      <c r="D57" s="1043" t="s">
        <v>1171</v>
      </c>
      <c r="E57" s="1055" t="s">
        <v>616</v>
      </c>
      <c r="F57" s="1055" t="s">
        <v>6517</v>
      </c>
      <c r="G57" s="1051" t="s">
        <v>6518</v>
      </c>
      <c r="H57" s="498" t="s">
        <v>308</v>
      </c>
      <c r="I57" s="1055" t="s">
        <v>6519</v>
      </c>
      <c r="J57" s="1055" t="s">
        <v>5273</v>
      </c>
      <c r="K57" s="1137">
        <v>41878</v>
      </c>
      <c r="L57" s="1141">
        <v>6000</v>
      </c>
      <c r="M57" s="1013" t="s">
        <v>6520</v>
      </c>
      <c r="N57" s="1003">
        <v>41878</v>
      </c>
      <c r="O57" s="1004">
        <v>42004</v>
      </c>
      <c r="P57" s="1043" t="s">
        <v>591</v>
      </c>
      <c r="Q57" s="1146"/>
      <c r="R57" s="1041"/>
      <c r="S57" s="1041"/>
      <c r="T57" s="1041" t="s">
        <v>719</v>
      </c>
      <c r="U57" s="1041"/>
      <c r="V57" s="1041"/>
      <c r="W57" s="1041"/>
      <c r="X57" s="1041"/>
      <c r="Y57" s="1041"/>
      <c r="Z57" s="1041"/>
      <c r="AA57" s="1041"/>
      <c r="AB57" s="1041"/>
      <c r="AC57" s="1041"/>
      <c r="AD57" s="1041"/>
      <c r="AE57" s="1014">
        <f t="shared" si="3"/>
        <v>6000</v>
      </c>
      <c r="AF57" s="1141"/>
      <c r="AG57" s="1141">
        <v>6000</v>
      </c>
      <c r="AH57" s="994">
        <f t="shared" si="1"/>
        <v>6000</v>
      </c>
      <c r="AI57" s="941"/>
      <c r="AJ57" s="1006"/>
      <c r="AK57" s="1006"/>
      <c r="AL57" s="1007"/>
      <c r="AM57" s="943" t="s">
        <v>1311</v>
      </c>
      <c r="AN57" s="999" t="s">
        <v>6506</v>
      </c>
      <c r="AO57" s="984"/>
      <c r="AP57" s="984"/>
      <c r="AQ57" s="984"/>
      <c r="AR57" s="1008"/>
      <c r="AS57" s="1128"/>
      <c r="AT57" s="1151"/>
      <c r="AU57" s="1151"/>
      <c r="AV57" s="1151"/>
      <c r="AW57" s="1151"/>
      <c r="AX57" s="1151"/>
      <c r="AY57" s="1151"/>
      <c r="AZ57" s="1151"/>
      <c r="BA57" s="1151"/>
      <c r="BB57" s="1151"/>
      <c r="BC57" s="1151"/>
      <c r="BD57" s="1752"/>
    </row>
    <row r="58" spans="1:56" s="1747" customFormat="1" ht="25.5" x14ac:dyDescent="0.25">
      <c r="A58" s="1088">
        <v>37</v>
      </c>
      <c r="B58" s="99" t="s">
        <v>361</v>
      </c>
      <c r="C58" s="1149" t="s">
        <v>1948</v>
      </c>
      <c r="D58" s="1043" t="s">
        <v>1171</v>
      </c>
      <c r="E58" s="1055" t="s">
        <v>616</v>
      </c>
      <c r="F58" s="1055" t="s">
        <v>6512</v>
      </c>
      <c r="G58" s="1051" t="s">
        <v>6513</v>
      </c>
      <c r="H58" s="498" t="s">
        <v>323</v>
      </c>
      <c r="I58" s="1055" t="s">
        <v>6521</v>
      </c>
      <c r="J58" s="1055" t="s">
        <v>6522</v>
      </c>
      <c r="K58" s="1137">
        <v>41879</v>
      </c>
      <c r="L58" s="1141">
        <v>3352</v>
      </c>
      <c r="M58" s="1013" t="s">
        <v>6523</v>
      </c>
      <c r="N58" s="1003">
        <v>41879</v>
      </c>
      <c r="O58" s="1004">
        <v>42004</v>
      </c>
      <c r="P58" s="1043" t="s">
        <v>591</v>
      </c>
      <c r="Q58" s="1146"/>
      <c r="R58" s="1041"/>
      <c r="S58" s="1041"/>
      <c r="T58" s="1041" t="s">
        <v>719</v>
      </c>
      <c r="U58" s="1041"/>
      <c r="V58" s="1041"/>
      <c r="W58" s="1041"/>
      <c r="X58" s="1041"/>
      <c r="Y58" s="1041"/>
      <c r="Z58" s="1041"/>
      <c r="AA58" s="1041"/>
      <c r="AB58" s="1041"/>
      <c r="AC58" s="1041"/>
      <c r="AD58" s="1041"/>
      <c r="AE58" s="1014">
        <f t="shared" si="3"/>
        <v>3352</v>
      </c>
      <c r="AF58" s="1141"/>
      <c r="AG58" s="1141">
        <f>210+3142</f>
        <v>3352</v>
      </c>
      <c r="AH58" s="994">
        <f t="shared" si="1"/>
        <v>3352</v>
      </c>
      <c r="AI58" s="941"/>
      <c r="AJ58" s="1006"/>
      <c r="AK58" s="1006"/>
      <c r="AL58" s="1007"/>
      <c r="AM58" s="943"/>
      <c r="AN58" s="999"/>
      <c r="AO58" s="984"/>
      <c r="AP58" s="984"/>
      <c r="AQ58" s="984"/>
      <c r="AR58" s="1008"/>
      <c r="AS58" s="1128"/>
      <c r="AT58" s="1151"/>
      <c r="AU58" s="1151"/>
      <c r="AV58" s="1151"/>
      <c r="AW58" s="1151"/>
      <c r="AX58" s="1151"/>
      <c r="AY58" s="1151"/>
      <c r="AZ58" s="1151"/>
      <c r="BA58" s="1151"/>
      <c r="BB58" s="1151"/>
      <c r="BC58" s="1151"/>
      <c r="BD58" s="1752"/>
    </row>
    <row r="59" spans="1:56" s="1747" customFormat="1" ht="25.5" x14ac:dyDescent="0.25">
      <c r="A59" s="1088">
        <v>39</v>
      </c>
      <c r="B59" s="99" t="s">
        <v>6524</v>
      </c>
      <c r="C59" s="1015" t="s">
        <v>757</v>
      </c>
      <c r="D59" s="1043" t="s">
        <v>1171</v>
      </c>
      <c r="E59" s="1055" t="s">
        <v>616</v>
      </c>
      <c r="F59" s="1055" t="s">
        <v>6525</v>
      </c>
      <c r="G59" s="1051" t="s">
        <v>6526</v>
      </c>
      <c r="H59" s="498" t="s">
        <v>3833</v>
      </c>
      <c r="I59" s="1055" t="s">
        <v>6415</v>
      </c>
      <c r="J59" s="1055" t="s">
        <v>6126</v>
      </c>
      <c r="K59" s="1003">
        <v>41918</v>
      </c>
      <c r="L59" s="1141">
        <v>44277.3</v>
      </c>
      <c r="M59" s="1013" t="s">
        <v>6527</v>
      </c>
      <c r="N59" s="1003">
        <v>41918</v>
      </c>
      <c r="O59" s="1004">
        <v>42004</v>
      </c>
      <c r="P59" s="1043" t="s">
        <v>591</v>
      </c>
      <c r="Q59" s="977"/>
      <c r="R59" s="1041"/>
      <c r="S59" s="1041"/>
      <c r="T59" s="1041" t="s">
        <v>719</v>
      </c>
      <c r="U59" s="1041"/>
      <c r="V59" s="1041"/>
      <c r="W59" s="1041"/>
      <c r="X59" s="1041"/>
      <c r="Y59" s="1041"/>
      <c r="Z59" s="1041"/>
      <c r="AA59" s="1041"/>
      <c r="AB59" s="1041"/>
      <c r="AC59" s="1041"/>
      <c r="AD59" s="1041"/>
      <c r="AE59" s="1014">
        <f t="shared" si="3"/>
        <v>44277.3</v>
      </c>
      <c r="AF59" s="1141"/>
      <c r="AG59" s="1141">
        <v>13490.7</v>
      </c>
      <c r="AH59" s="523">
        <f t="shared" si="1"/>
        <v>13490.7</v>
      </c>
      <c r="AI59" s="1005"/>
      <c r="AJ59" s="1006"/>
      <c r="AK59" s="1006"/>
      <c r="AL59" s="1007"/>
      <c r="AM59" s="1016"/>
      <c r="AN59" s="1017"/>
      <c r="AO59" s="984"/>
      <c r="AP59" s="984"/>
      <c r="AQ59" s="984"/>
      <c r="AR59" s="1008"/>
      <c r="AS59" s="1128"/>
      <c r="AT59" s="1151"/>
      <c r="AU59" s="1151"/>
      <c r="AV59" s="1151"/>
      <c r="AW59" s="1151"/>
      <c r="AX59" s="1151"/>
      <c r="AY59" s="1151"/>
      <c r="AZ59" s="1151"/>
      <c r="BA59" s="1151"/>
      <c r="BB59" s="1151"/>
      <c r="BC59" s="1151"/>
      <c r="BD59" s="1752"/>
    </row>
    <row r="60" spans="1:56" s="1747" customFormat="1" ht="26.25" thickBot="1" x14ac:dyDescent="0.3">
      <c r="A60" s="1018">
        <v>40</v>
      </c>
      <c r="B60" s="931" t="s">
        <v>372</v>
      </c>
      <c r="C60" s="1019"/>
      <c r="D60" s="932" t="s">
        <v>301</v>
      </c>
      <c r="E60" s="932" t="s">
        <v>616</v>
      </c>
      <c r="F60" s="932" t="s">
        <v>6528</v>
      </c>
      <c r="G60" s="933"/>
      <c r="H60" s="1020"/>
      <c r="I60" s="1041" t="s">
        <v>6529</v>
      </c>
      <c r="J60" s="1041" t="s">
        <v>6530</v>
      </c>
      <c r="K60" s="1003"/>
      <c r="L60" s="1141">
        <v>7899</v>
      </c>
      <c r="M60" s="1013"/>
      <c r="N60" s="1003"/>
      <c r="O60" s="1004"/>
      <c r="P60" s="1042" t="s">
        <v>591</v>
      </c>
      <c r="Q60" s="977"/>
      <c r="R60" s="1041"/>
      <c r="S60" s="1041"/>
      <c r="T60" s="1041" t="s">
        <v>685</v>
      </c>
      <c r="U60" s="1041"/>
      <c r="V60" s="1041"/>
      <c r="W60" s="1041"/>
      <c r="X60" s="1041"/>
      <c r="Y60" s="1041"/>
      <c r="Z60" s="1041"/>
      <c r="AA60" s="1041"/>
      <c r="AB60" s="1041"/>
      <c r="AC60" s="1041"/>
      <c r="AD60" s="1041"/>
      <c r="AE60" s="1014">
        <f t="shared" si="3"/>
        <v>7899</v>
      </c>
      <c r="AF60" s="1141"/>
      <c r="AG60" s="1141">
        <v>7899</v>
      </c>
      <c r="AH60" s="1014">
        <f t="shared" si="1"/>
        <v>7899</v>
      </c>
      <c r="AI60" s="1005"/>
      <c r="AJ60" s="1006"/>
      <c r="AK60" s="1006"/>
      <c r="AL60" s="1007"/>
      <c r="AM60" s="1016" t="s">
        <v>1311</v>
      </c>
      <c r="AN60" s="1017" t="s">
        <v>6506</v>
      </c>
      <c r="AO60" s="984"/>
      <c r="AP60" s="984"/>
      <c r="AQ60" s="984"/>
      <c r="AR60" s="1008"/>
      <c r="AS60" s="1128"/>
      <c r="AT60" s="1151"/>
      <c r="AU60" s="1151"/>
      <c r="AV60" s="1151"/>
      <c r="AW60" s="1151"/>
      <c r="AX60" s="1151"/>
      <c r="AY60" s="1151"/>
      <c r="AZ60" s="1151"/>
      <c r="BA60" s="1151"/>
      <c r="BB60" s="1151"/>
      <c r="BC60" s="1151"/>
      <c r="BD60" s="1752"/>
    </row>
    <row r="61" spans="1:56" ht="15.75" thickBot="1" x14ac:dyDescent="0.3">
      <c r="A61" s="2168" t="s">
        <v>601</v>
      </c>
      <c r="B61" s="2169"/>
      <c r="C61" s="2169"/>
      <c r="D61" s="2169"/>
      <c r="E61" s="2169"/>
      <c r="F61" s="2169"/>
      <c r="G61" s="2169"/>
      <c r="H61" s="2169"/>
      <c r="I61" s="2169"/>
      <c r="J61" s="2169"/>
      <c r="K61" s="2597"/>
      <c r="L61" s="1753">
        <f>SUM(L24:L60)</f>
        <v>1339364.2999999998</v>
      </c>
      <c r="M61" s="296"/>
      <c r="N61" s="296"/>
      <c r="O61" s="296"/>
      <c r="P61" s="296"/>
      <c r="Q61" s="296"/>
      <c r="R61" s="296"/>
      <c r="S61" s="296"/>
      <c r="T61" s="296"/>
      <c r="U61" s="296"/>
      <c r="V61" s="296"/>
      <c r="W61" s="296"/>
      <c r="X61" s="296"/>
      <c r="Y61" s="296"/>
      <c r="Z61" s="296"/>
      <c r="AA61" s="296"/>
      <c r="AB61" s="296"/>
      <c r="AC61" s="295">
        <f>SUM(AC24:AC58)</f>
        <v>53735.02</v>
      </c>
      <c r="AD61" s="297">
        <f>SUM(AD24:AD42)</f>
        <v>0</v>
      </c>
      <c r="AE61" s="295">
        <f>SUM(AE24:AE60)</f>
        <v>1175937.17</v>
      </c>
      <c r="AF61" s="295">
        <f>SUM(AF24:AF58)</f>
        <v>267279.84999999998</v>
      </c>
      <c r="AG61" s="295">
        <f>SUM(AG25:AG60)</f>
        <v>772356.62999999989</v>
      </c>
      <c r="AH61" s="1754">
        <f>SUM(AH24:AH60)</f>
        <v>1039636.4799999999</v>
      </c>
      <c r="AI61" s="397"/>
      <c r="AJ61" s="297"/>
      <c r="AK61" s="297"/>
      <c r="AL61" s="398"/>
      <c r="AM61" s="397"/>
      <c r="AN61" s="399"/>
      <c r="AO61" s="399"/>
      <c r="AP61" s="399"/>
      <c r="AQ61" s="399"/>
      <c r="AR61" s="683"/>
      <c r="AS61" s="403"/>
      <c r="AT61" s="300"/>
      <c r="AU61" s="300"/>
      <c r="AV61" s="300"/>
      <c r="AW61" s="300"/>
      <c r="AX61" s="300"/>
      <c r="AY61" s="300"/>
      <c r="AZ61" s="300"/>
      <c r="BA61" s="300"/>
      <c r="BB61" s="300"/>
      <c r="BC61" s="300"/>
      <c r="BD61" s="301"/>
    </row>
    <row r="64" spans="1:56" customFormat="1" x14ac:dyDescent="0.25">
      <c r="A64" s="1076" t="s">
        <v>7559</v>
      </c>
      <c r="B64" s="1076"/>
      <c r="C64" s="1076"/>
      <c r="D64" s="1076" t="s">
        <v>7597</v>
      </c>
      <c r="AG64" s="208"/>
    </row>
    <row r="65" spans="1:4" customFormat="1" x14ac:dyDescent="0.25">
      <c r="A65" s="162" t="s">
        <v>7598</v>
      </c>
      <c r="B65" s="162"/>
      <c r="C65" s="162"/>
      <c r="D65" s="162"/>
    </row>
  </sheetData>
  <mergeCells count="29">
    <mergeCell ref="A9:BD9"/>
    <mergeCell ref="A11:BD11"/>
    <mergeCell ref="A61:K61"/>
    <mergeCell ref="AT22:AT23"/>
    <mergeCell ref="AU22:AW22"/>
    <mergeCell ref="A21:A24"/>
    <mergeCell ref="B21:G22"/>
    <mergeCell ref="H21:AH21"/>
    <mergeCell ref="AI21:AL21"/>
    <mergeCell ref="AM21:AR21"/>
    <mergeCell ref="AS21:BD21"/>
    <mergeCell ref="H22:T22"/>
    <mergeCell ref="U22:AD22"/>
    <mergeCell ref="BA22:BA23"/>
    <mergeCell ref="BB22:BD22"/>
    <mergeCell ref="AN22:AN23"/>
    <mergeCell ref="AX22:AY22"/>
    <mergeCell ref="AZ22:AZ23"/>
    <mergeCell ref="AE22:AH22"/>
    <mergeCell ref="AI22:AI23"/>
    <mergeCell ref="AJ22:AJ23"/>
    <mergeCell ref="AK22:AK23"/>
    <mergeCell ref="AL22:AL23"/>
    <mergeCell ref="AM22:AM23"/>
    <mergeCell ref="AR22:AR23"/>
    <mergeCell ref="AS22:AS23"/>
    <mergeCell ref="AO22:AO23"/>
    <mergeCell ref="AP22:AP23"/>
    <mergeCell ref="AQ22:AQ23"/>
  </mergeCells>
  <pageMargins left="0.511811024" right="0.511811024" top="0.78740157499999996" bottom="0.78740157499999996" header="0.31496062000000002" footer="0.31496062000000002"/>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I96"/>
  <sheetViews>
    <sheetView topLeftCell="W1" workbookViewId="0">
      <selection activeCell="A11" sqref="A11:BD11"/>
    </sheetView>
  </sheetViews>
  <sheetFormatPr defaultRowHeight="15" x14ac:dyDescent="0.25"/>
  <cols>
    <col min="1" max="1" width="9.140625" style="1823"/>
    <col min="2" max="2" width="15.28515625" style="239" customWidth="1"/>
    <col min="3" max="3" width="12.140625" style="239" customWidth="1"/>
    <col min="4" max="4" width="11.7109375" style="239" bestFit="1" customWidth="1"/>
    <col min="5" max="5" width="7.7109375" style="239" customWidth="1"/>
    <col min="6" max="6" width="43.5703125" style="239" customWidth="1"/>
    <col min="7" max="7" width="14" style="239" bestFit="1" customWidth="1"/>
    <col min="8" max="8" width="11.28515625" style="239" bestFit="1" customWidth="1"/>
    <col min="9" max="9" width="32.140625" style="239" customWidth="1"/>
    <col min="10" max="10" width="16" style="239" customWidth="1"/>
    <col min="11" max="11" width="10.140625" style="239" bestFit="1" customWidth="1"/>
    <col min="12" max="12" width="15.85546875" style="239" bestFit="1" customWidth="1"/>
    <col min="13" max="13" width="12.42578125" style="239" customWidth="1"/>
    <col min="14" max="15" width="10.140625" style="239" bestFit="1" customWidth="1"/>
    <col min="16" max="16" width="10.28515625" style="239" bestFit="1" customWidth="1"/>
    <col min="17" max="17" width="10.28515625" style="239" customWidth="1"/>
    <col min="18" max="18" width="16.42578125" style="239" bestFit="1" customWidth="1"/>
    <col min="19" max="19" width="13.5703125" style="239" bestFit="1" customWidth="1"/>
    <col min="20" max="20" width="12.42578125" style="239" bestFit="1" customWidth="1"/>
    <col min="21" max="21" width="12.28515625" style="239" bestFit="1" customWidth="1"/>
    <col min="22" max="22" width="13.42578125" style="239" customWidth="1"/>
    <col min="23" max="23" width="11.42578125" style="239" customWidth="1"/>
    <col min="24" max="24" width="12" style="239" customWidth="1"/>
    <col min="25" max="25" width="11" style="239" customWidth="1"/>
    <col min="26" max="26" width="10.85546875" style="239" customWidth="1"/>
    <col min="27" max="27" width="11.140625" style="239" customWidth="1"/>
    <col min="28" max="28" width="12.140625" style="239" customWidth="1"/>
    <col min="29" max="29" width="11" style="239" customWidth="1"/>
    <col min="30" max="30" width="10.5703125" style="239" customWidth="1"/>
    <col min="31" max="31" width="21" style="239" customWidth="1"/>
    <col min="32" max="32" width="14.28515625" style="239" bestFit="1" customWidth="1"/>
    <col min="33" max="34" width="15.85546875" style="239" bestFit="1" customWidth="1"/>
    <col min="35" max="35" width="9.42578125" style="239" bestFit="1" customWidth="1"/>
    <col min="36" max="36" width="14.28515625" style="239" customWidth="1"/>
    <col min="37" max="37" width="18.7109375" style="239" bestFit="1" customWidth="1"/>
    <col min="38" max="38" width="13.28515625" style="239" customWidth="1"/>
    <col min="39" max="39" width="15.140625" style="239" customWidth="1"/>
    <col min="40" max="40" width="16.28515625" style="239" customWidth="1"/>
    <col min="41" max="41" width="15.85546875" style="239" customWidth="1"/>
    <col min="42" max="42" width="10.7109375" style="239" customWidth="1"/>
    <col min="43" max="43" width="13.42578125" style="239" customWidth="1"/>
    <col min="44" max="44" width="10" style="239" customWidth="1"/>
    <col min="45" max="45" width="5" style="239" bestFit="1" customWidth="1"/>
    <col min="46" max="46" width="11" style="239" customWidth="1"/>
    <col min="47" max="47" width="6" style="239" bestFit="1" customWidth="1"/>
    <col min="48" max="48" width="8.5703125" style="239" bestFit="1" customWidth="1"/>
    <col min="49" max="50" width="9.140625" style="239"/>
    <col min="51" max="51" width="7.5703125" style="239" bestFit="1" customWidth="1"/>
    <col min="52" max="52" width="11" style="239" customWidth="1"/>
    <col min="53" max="53" width="11.5703125" style="239" customWidth="1"/>
    <col min="54"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x14ac:dyDescent="0.25">
      <c r="AI12" s="1083"/>
      <c r="AJ12" s="1083"/>
      <c r="AK12" s="1083"/>
      <c r="AL12" s="1083"/>
      <c r="AM12" s="1083"/>
      <c r="AN12" s="1083"/>
      <c r="AO12" s="1083"/>
      <c r="AP12" s="1083"/>
      <c r="AQ12" s="1083"/>
      <c r="AR12" s="1083"/>
    </row>
    <row r="13" spans="1:56" s="371" customFormat="1" ht="15.75" x14ac:dyDescent="0.25">
      <c r="A13" s="1302" t="s">
        <v>1</v>
      </c>
      <c r="B13" s="1302"/>
      <c r="C13" s="1302"/>
      <c r="D13" s="1302"/>
      <c r="E13" s="1302"/>
      <c r="F13" s="1302"/>
      <c r="G13" s="1302"/>
      <c r="H13" s="1302"/>
      <c r="I13" s="1302"/>
      <c r="J13" s="1302"/>
      <c r="K13" s="1302"/>
      <c r="L13" s="1808"/>
      <c r="M13" s="1302"/>
      <c r="N13" s="1302"/>
      <c r="O13" s="1302"/>
      <c r="P13" s="1302"/>
      <c r="Q13" s="1302"/>
      <c r="R13" s="1302"/>
      <c r="S13" s="1302"/>
      <c r="T13" s="1302"/>
      <c r="U13" s="1302"/>
      <c r="V13" s="1302"/>
      <c r="W13" s="1302"/>
      <c r="X13" s="1302"/>
      <c r="Y13" s="1302"/>
      <c r="Z13" s="1302"/>
      <c r="AA13" s="1302"/>
      <c r="AB13" s="1302"/>
      <c r="AC13" s="1302"/>
      <c r="AD13" s="1302"/>
      <c r="AE13" s="1302"/>
      <c r="AF13" s="1808"/>
      <c r="AG13" s="1808"/>
      <c r="AH13" s="1808"/>
      <c r="AI13" s="1302"/>
      <c r="AJ13" s="1302"/>
      <c r="AK13" s="1302"/>
      <c r="AL13" s="1302"/>
      <c r="AM13" s="1302"/>
      <c r="AN13" s="1302"/>
      <c r="AO13" s="1302"/>
      <c r="AP13" s="1302"/>
      <c r="AQ13" s="1302"/>
      <c r="AR13" s="1302"/>
      <c r="AS13" s="1302"/>
    </row>
    <row r="14" spans="1:56" s="371" customFormat="1" ht="15.75" x14ac:dyDescent="0.25">
      <c r="A14" s="1302" t="s">
        <v>2</v>
      </c>
      <c r="B14" s="1302"/>
      <c r="C14" s="1302"/>
      <c r="D14" s="1302"/>
      <c r="E14" s="1302"/>
      <c r="F14" s="1302"/>
      <c r="G14" s="1302"/>
      <c r="H14" s="1302"/>
      <c r="I14" s="1302"/>
      <c r="J14" s="1302"/>
      <c r="L14" s="1809"/>
      <c r="AF14" s="1809"/>
      <c r="AG14" s="1809"/>
      <c r="AH14" s="1809"/>
    </row>
    <row r="15" spans="1:56" s="371" customFormat="1" ht="15.75" x14ac:dyDescent="0.25">
      <c r="A15" s="1302" t="s">
        <v>3</v>
      </c>
      <c r="B15" s="1302"/>
      <c r="C15" s="1302"/>
      <c r="D15" s="1302"/>
      <c r="E15" s="1302"/>
      <c r="F15" s="1302"/>
      <c r="G15" s="1302"/>
      <c r="H15" s="1302"/>
      <c r="I15" s="1302"/>
      <c r="J15" s="1302"/>
      <c r="K15" s="1302"/>
      <c r="L15" s="1808"/>
      <c r="M15" s="1302"/>
      <c r="N15" s="1302"/>
      <c r="O15" s="1302"/>
      <c r="P15" s="1302"/>
      <c r="Q15" s="1302"/>
      <c r="R15" s="1302"/>
      <c r="S15" s="1302"/>
      <c r="T15" s="1302"/>
      <c r="U15" s="1302"/>
      <c r="V15" s="1302"/>
      <c r="W15" s="1302"/>
      <c r="X15" s="1302"/>
      <c r="Y15" s="1302"/>
      <c r="Z15" s="1302"/>
      <c r="AA15" s="1302"/>
      <c r="AB15" s="1302"/>
      <c r="AC15" s="1302"/>
      <c r="AD15" s="1302"/>
      <c r="AE15" s="1302"/>
      <c r="AF15" s="1808"/>
      <c r="AG15" s="1808"/>
      <c r="AH15" s="1808"/>
      <c r="AI15" s="1302"/>
      <c r="AJ15" s="1302"/>
      <c r="AK15" s="1302"/>
      <c r="AL15" s="1302"/>
      <c r="AM15" s="1302"/>
      <c r="AN15" s="1302"/>
      <c r="AO15" s="1302"/>
      <c r="AP15" s="1302"/>
      <c r="AQ15" s="1302"/>
      <c r="AR15" s="1302"/>
      <c r="AS15" s="1302"/>
    </row>
    <row r="16" spans="1:56" s="371" customFormat="1" ht="15.75" x14ac:dyDescent="0.25">
      <c r="B16" s="1302"/>
      <c r="C16" s="1302"/>
      <c r="D16" s="1302"/>
      <c r="E16" s="1302"/>
      <c r="F16" s="1302"/>
      <c r="G16" s="1302"/>
      <c r="H16" s="1302"/>
      <c r="I16" s="1302"/>
      <c r="J16" s="1302"/>
      <c r="K16" s="1302"/>
      <c r="L16" s="1808"/>
      <c r="M16" s="1302"/>
      <c r="N16" s="1302"/>
      <c r="O16" s="1302"/>
      <c r="P16" s="1302"/>
      <c r="Q16" s="1302"/>
      <c r="R16" s="1302"/>
      <c r="S16" s="1302"/>
      <c r="T16" s="1302"/>
      <c r="U16" s="1302"/>
      <c r="V16" s="1302"/>
      <c r="W16" s="1302"/>
      <c r="X16" s="1302"/>
      <c r="Y16" s="1302"/>
      <c r="Z16" s="1302"/>
      <c r="AA16" s="1302"/>
      <c r="AB16" s="1302"/>
      <c r="AC16" s="1302"/>
      <c r="AD16" s="1302"/>
      <c r="AE16" s="1302"/>
      <c r="AF16" s="1808"/>
      <c r="AG16" s="1808"/>
      <c r="AH16" s="1808"/>
      <c r="AI16" s="1302"/>
      <c r="AJ16" s="1302"/>
      <c r="AK16" s="1302"/>
      <c r="AL16" s="1302"/>
      <c r="AM16" s="1302"/>
      <c r="AN16" s="1302"/>
      <c r="AO16" s="1302"/>
      <c r="AP16" s="1302"/>
      <c r="AQ16" s="1302"/>
      <c r="AR16" s="1302"/>
      <c r="AS16" s="1302"/>
    </row>
    <row r="17" spans="1:56" s="371" customFormat="1" ht="15.75" x14ac:dyDescent="0.25">
      <c r="A17" s="1302" t="s">
        <v>7599</v>
      </c>
      <c r="B17" s="1302"/>
      <c r="C17" s="1302"/>
      <c r="D17" s="1302"/>
      <c r="E17" s="1302"/>
      <c r="F17" s="1302"/>
      <c r="G17" s="1302"/>
      <c r="H17" s="1302"/>
      <c r="I17" s="1302"/>
      <c r="J17" s="1302"/>
      <c r="K17" s="1302"/>
      <c r="L17" s="1808"/>
      <c r="M17" s="1302"/>
      <c r="N17" s="1302"/>
      <c r="O17" s="1302"/>
      <c r="P17" s="1302"/>
      <c r="Q17" s="1302"/>
      <c r="R17" s="1302"/>
      <c r="S17" s="1302"/>
      <c r="T17" s="1302"/>
      <c r="U17" s="1302"/>
      <c r="V17" s="1302"/>
      <c r="W17" s="1302"/>
      <c r="X17" s="1302"/>
      <c r="Y17" s="1302"/>
      <c r="Z17" s="1302"/>
      <c r="AA17" s="1302"/>
      <c r="AB17" s="1302"/>
      <c r="AC17" s="1302"/>
      <c r="AD17" s="1302"/>
      <c r="AE17" s="1302"/>
      <c r="AF17" s="1808"/>
      <c r="AG17" s="1808"/>
      <c r="AH17" s="1808"/>
      <c r="AI17" s="1302"/>
      <c r="AJ17" s="1302"/>
      <c r="AK17" s="1302"/>
      <c r="AL17" s="1302"/>
      <c r="AM17" s="1302"/>
      <c r="AN17" s="1302"/>
      <c r="AO17" s="1302"/>
      <c r="AP17" s="1302"/>
      <c r="AQ17" s="1302"/>
      <c r="AR17" s="1302"/>
      <c r="AS17" s="1302"/>
    </row>
    <row r="18" spans="1:56" s="371" customFormat="1" ht="15.75" x14ac:dyDescent="0.25">
      <c r="A18" s="1302" t="s">
        <v>7600</v>
      </c>
      <c r="B18" s="1302"/>
      <c r="C18" s="1302"/>
      <c r="D18" s="1302"/>
      <c r="E18" s="1302"/>
      <c r="F18" s="1302"/>
      <c r="G18" s="1302"/>
      <c r="H18" s="1302"/>
      <c r="I18" s="1302"/>
      <c r="J18" s="1302"/>
      <c r="K18" s="1302"/>
      <c r="L18" s="1808"/>
      <c r="M18" s="1302"/>
      <c r="N18" s="1302"/>
      <c r="O18" s="1302"/>
      <c r="P18" s="1302"/>
      <c r="Q18" s="1302"/>
      <c r="R18" s="1302"/>
      <c r="S18" s="1302"/>
      <c r="T18" s="1302"/>
      <c r="U18" s="1302"/>
      <c r="V18" s="1302"/>
      <c r="W18" s="1302"/>
      <c r="X18" s="1302"/>
      <c r="Y18" s="1302"/>
      <c r="Z18" s="1302"/>
      <c r="AA18" s="1302"/>
      <c r="AB18" s="1302"/>
      <c r="AC18" s="1302"/>
      <c r="AD18" s="1302"/>
      <c r="AE18" s="1302"/>
      <c r="AF18" s="1808"/>
      <c r="AG18" s="1808"/>
      <c r="AH18" s="1808"/>
      <c r="AI18" s="1302"/>
      <c r="AJ18" s="1302"/>
      <c r="AK18" s="1302"/>
      <c r="AL18" s="1302"/>
      <c r="AM18" s="1302"/>
      <c r="AN18" s="1302"/>
      <c r="AO18" s="1302"/>
      <c r="AP18" s="1302"/>
      <c r="AQ18" s="1302"/>
      <c r="AR18" s="1302"/>
      <c r="AS18" s="1302"/>
    </row>
    <row r="19" spans="1:56" s="371" customFormat="1" ht="15.75" x14ac:dyDescent="0.25">
      <c r="A19" s="1302" t="s">
        <v>7601</v>
      </c>
      <c r="B19" s="1302"/>
      <c r="C19" s="1302"/>
      <c r="D19" s="1302"/>
      <c r="E19" s="1302"/>
      <c r="F19" s="1302"/>
      <c r="G19" s="1302"/>
      <c r="H19" s="1302"/>
      <c r="I19" s="1302"/>
      <c r="J19" s="1302"/>
      <c r="K19" s="1302"/>
      <c r="L19" s="1808"/>
      <c r="M19" s="1302"/>
      <c r="N19" s="1302"/>
      <c r="O19" s="1302"/>
      <c r="P19" s="1302"/>
      <c r="Q19" s="1302"/>
      <c r="R19" s="1302"/>
      <c r="S19" s="1302"/>
      <c r="T19" s="1302"/>
      <c r="U19" s="1302"/>
      <c r="V19" s="1302"/>
      <c r="W19" s="1302"/>
      <c r="X19" s="1302"/>
      <c r="Y19" s="1302"/>
      <c r="Z19" s="1302"/>
      <c r="AA19" s="1302"/>
      <c r="AB19" s="1302"/>
      <c r="AC19" s="1302"/>
      <c r="AD19" s="1302"/>
      <c r="AE19" s="1302"/>
      <c r="AF19" s="1808"/>
      <c r="AG19" s="1808"/>
      <c r="AH19" s="1808"/>
      <c r="AI19" s="1302"/>
      <c r="AJ19" s="1302"/>
      <c r="AK19" s="1302"/>
      <c r="AL19" s="1302"/>
      <c r="AM19" s="1302"/>
      <c r="AN19" s="1302"/>
      <c r="AO19" s="1302"/>
      <c r="AP19" s="1302"/>
      <c r="AQ19" s="1302"/>
      <c r="AR19" s="1302"/>
      <c r="AS19" s="1302"/>
    </row>
    <row r="20" spans="1:56" x14ac:dyDescent="0.25">
      <c r="F20" s="1083"/>
      <c r="I20" s="1083"/>
      <c r="J20" s="1083"/>
      <c r="L20" s="1810"/>
      <c r="AF20" s="1811"/>
      <c r="AG20" s="1810"/>
      <c r="AH20" s="1811"/>
      <c r="AI20" s="1812"/>
      <c r="AJ20" s="1667"/>
      <c r="AL20" s="1612"/>
    </row>
    <row r="21" spans="1:56" ht="15.75" thickBot="1" x14ac:dyDescent="0.3">
      <c r="B21" s="241"/>
      <c r="C21" s="241"/>
      <c r="D21" s="241"/>
      <c r="E21" s="241"/>
      <c r="F21" s="1323"/>
      <c r="G21" s="241"/>
      <c r="H21" s="241"/>
      <c r="I21" s="1323"/>
      <c r="J21" s="1323"/>
      <c r="K21" s="241"/>
      <c r="L21" s="1813"/>
      <c r="M21" s="241"/>
      <c r="N21" s="241"/>
      <c r="O21" s="241"/>
      <c r="P21" s="241"/>
      <c r="Q21" s="241"/>
      <c r="R21" s="241"/>
      <c r="S21" s="241"/>
      <c r="T21" s="241"/>
      <c r="U21" s="241"/>
      <c r="V21" s="241"/>
      <c r="W21" s="241"/>
      <c r="X21" s="241"/>
      <c r="Y21" s="241"/>
      <c r="Z21" s="241"/>
      <c r="AA21" s="241"/>
      <c r="AB21" s="241"/>
      <c r="AC21" s="241"/>
      <c r="AD21" s="241"/>
      <c r="AE21" s="241"/>
      <c r="AF21" s="1814"/>
      <c r="AG21" s="1813"/>
      <c r="AH21" s="1814"/>
      <c r="AI21" s="1815"/>
      <c r="AJ21" s="1816"/>
      <c r="AK21" s="241"/>
      <c r="AL21" s="1817"/>
      <c r="AM21" s="241"/>
      <c r="AN21" s="241"/>
      <c r="AO21" s="241"/>
      <c r="AP21" s="241"/>
      <c r="AQ21" s="241"/>
      <c r="AR21" s="241"/>
    </row>
    <row r="22" spans="1:56" ht="15.75" customHeight="1" x14ac:dyDescent="0.25">
      <c r="A22" s="2610" t="s">
        <v>5</v>
      </c>
      <c r="B22" s="2613" t="s">
        <v>6</v>
      </c>
      <c r="C22" s="2613"/>
      <c r="D22" s="2613"/>
      <c r="E22" s="2613"/>
      <c r="F22" s="2613"/>
      <c r="G22" s="2614"/>
      <c r="H22" s="2617" t="s">
        <v>7</v>
      </c>
      <c r="I22" s="2618"/>
      <c r="J22" s="2618"/>
      <c r="K22" s="2618"/>
      <c r="L22" s="2618"/>
      <c r="M22" s="2618"/>
      <c r="N22" s="2618"/>
      <c r="O22" s="2618"/>
      <c r="P22" s="2618"/>
      <c r="Q22" s="2618"/>
      <c r="R22" s="2618"/>
      <c r="S22" s="2618"/>
      <c r="T22" s="2618"/>
      <c r="U22" s="2618"/>
      <c r="V22" s="2618"/>
      <c r="W22" s="2618"/>
      <c r="X22" s="2618"/>
      <c r="Y22" s="2618"/>
      <c r="Z22" s="2618"/>
      <c r="AA22" s="2618"/>
      <c r="AB22" s="2618"/>
      <c r="AC22" s="2618"/>
      <c r="AD22" s="2618"/>
      <c r="AE22" s="2618"/>
      <c r="AF22" s="2618"/>
      <c r="AG22" s="2618"/>
      <c r="AH22" s="2618"/>
      <c r="AI22" s="2619" t="s">
        <v>8</v>
      </c>
      <c r="AJ22" s="2450"/>
      <c r="AK22" s="2450"/>
      <c r="AL22" s="2601"/>
      <c r="AM22" s="2617" t="s">
        <v>9</v>
      </c>
      <c r="AN22" s="2618"/>
      <c r="AO22" s="2618"/>
      <c r="AP22" s="2618"/>
      <c r="AQ22" s="2618"/>
      <c r="AR22" s="2620"/>
      <c r="AS22" s="2600" t="s">
        <v>10</v>
      </c>
      <c r="AT22" s="2450"/>
      <c r="AU22" s="2450"/>
      <c r="AV22" s="2450"/>
      <c r="AW22" s="2450"/>
      <c r="AX22" s="2450"/>
      <c r="AY22" s="2450"/>
      <c r="AZ22" s="2450"/>
      <c r="BA22" s="2450"/>
      <c r="BB22" s="2450"/>
      <c r="BC22" s="2450"/>
      <c r="BD22" s="2601"/>
    </row>
    <row r="23" spans="1:56" ht="15.75" customHeight="1" x14ac:dyDescent="0.25">
      <c r="A23" s="2611"/>
      <c r="B23" s="2615"/>
      <c r="C23" s="2615"/>
      <c r="D23" s="2615"/>
      <c r="E23" s="2615"/>
      <c r="F23" s="2615"/>
      <c r="G23" s="2616"/>
      <c r="H23" s="2621" t="s">
        <v>11</v>
      </c>
      <c r="I23" s="2622"/>
      <c r="J23" s="2622"/>
      <c r="K23" s="2622"/>
      <c r="L23" s="2622"/>
      <c r="M23" s="2622"/>
      <c r="N23" s="2622"/>
      <c r="O23" s="2622"/>
      <c r="P23" s="2622"/>
      <c r="Q23" s="2622"/>
      <c r="R23" s="2622"/>
      <c r="S23" s="2622"/>
      <c r="T23" s="2602"/>
      <c r="U23" s="2623" t="s">
        <v>12</v>
      </c>
      <c r="V23" s="2622"/>
      <c r="W23" s="2622"/>
      <c r="X23" s="2622"/>
      <c r="Y23" s="2622"/>
      <c r="Z23" s="2622"/>
      <c r="AA23" s="2622"/>
      <c r="AB23" s="2622"/>
      <c r="AC23" s="2622"/>
      <c r="AD23" s="2602"/>
      <c r="AE23" s="2623" t="s">
        <v>13</v>
      </c>
      <c r="AF23" s="2622"/>
      <c r="AG23" s="2622"/>
      <c r="AH23" s="2622"/>
      <c r="AI23" s="2624" t="s">
        <v>14</v>
      </c>
      <c r="AJ23" s="2625" t="s">
        <v>15</v>
      </c>
      <c r="AK23" s="2443" t="s">
        <v>16</v>
      </c>
      <c r="AL23" s="2626" t="s">
        <v>581</v>
      </c>
      <c r="AM23" s="2627" t="s">
        <v>18</v>
      </c>
      <c r="AN23" s="2598" t="s">
        <v>19</v>
      </c>
      <c r="AO23" s="2598" t="s">
        <v>20</v>
      </c>
      <c r="AP23" s="2598" t="s">
        <v>21</v>
      </c>
      <c r="AQ23" s="2598" t="s">
        <v>22</v>
      </c>
      <c r="AR23" s="2605" t="s">
        <v>21</v>
      </c>
      <c r="AS23" s="2602" t="s">
        <v>23</v>
      </c>
      <c r="AT23" s="2443" t="s">
        <v>24</v>
      </c>
      <c r="AU23" s="2603" t="s">
        <v>25</v>
      </c>
      <c r="AV23" s="2603"/>
      <c r="AW23" s="2603"/>
      <c r="AX23" s="2603" t="s">
        <v>26</v>
      </c>
      <c r="AY23" s="2603"/>
      <c r="AZ23" s="2443" t="s">
        <v>27</v>
      </c>
      <c r="BA23" s="2443" t="s">
        <v>28</v>
      </c>
      <c r="BB23" s="2603" t="s">
        <v>29</v>
      </c>
      <c r="BC23" s="2603"/>
      <c r="BD23" s="2604"/>
    </row>
    <row r="24" spans="1:56" s="1823" customFormat="1" ht="38.25" x14ac:dyDescent="0.25">
      <c r="A24" s="2611"/>
      <c r="B24" s="1349" t="s">
        <v>30</v>
      </c>
      <c r="C24" s="1310" t="s">
        <v>31</v>
      </c>
      <c r="D24" s="1310" t="s">
        <v>32</v>
      </c>
      <c r="E24" s="1310" t="s">
        <v>23</v>
      </c>
      <c r="F24" s="1310" t="s">
        <v>33</v>
      </c>
      <c r="G24" s="1790" t="s">
        <v>34</v>
      </c>
      <c r="H24" s="1791" t="s">
        <v>35</v>
      </c>
      <c r="I24" s="1310" t="s">
        <v>36</v>
      </c>
      <c r="J24" s="1310" t="s">
        <v>37</v>
      </c>
      <c r="K24" s="1310" t="s">
        <v>38</v>
      </c>
      <c r="L24" s="1792" t="s">
        <v>39</v>
      </c>
      <c r="M24" s="1310" t="s">
        <v>40</v>
      </c>
      <c r="N24" s="1310" t="s">
        <v>41</v>
      </c>
      <c r="O24" s="1310" t="s">
        <v>42</v>
      </c>
      <c r="P24" s="1310" t="s">
        <v>43</v>
      </c>
      <c r="Q24" s="1310" t="s">
        <v>44</v>
      </c>
      <c r="R24" s="1310" t="s">
        <v>45</v>
      </c>
      <c r="S24" s="1310" t="s">
        <v>46</v>
      </c>
      <c r="T24" s="1310" t="s">
        <v>47</v>
      </c>
      <c r="U24" s="1310" t="s">
        <v>48</v>
      </c>
      <c r="V24" s="1310" t="s">
        <v>38</v>
      </c>
      <c r="W24" s="1310" t="s">
        <v>40</v>
      </c>
      <c r="X24" s="1310" t="s">
        <v>49</v>
      </c>
      <c r="Y24" s="1310" t="s">
        <v>41</v>
      </c>
      <c r="Z24" s="1310" t="s">
        <v>42</v>
      </c>
      <c r="AA24" s="1310" t="s">
        <v>50</v>
      </c>
      <c r="AB24" s="1310" t="s">
        <v>51</v>
      </c>
      <c r="AC24" s="1310" t="s">
        <v>52</v>
      </c>
      <c r="AD24" s="1310" t="s">
        <v>53</v>
      </c>
      <c r="AE24" s="1310" t="s">
        <v>54</v>
      </c>
      <c r="AF24" s="1792" t="s">
        <v>55</v>
      </c>
      <c r="AG24" s="1792" t="s">
        <v>56</v>
      </c>
      <c r="AH24" s="1793" t="s">
        <v>57</v>
      </c>
      <c r="AI24" s="2624"/>
      <c r="AJ24" s="2625"/>
      <c r="AK24" s="2443"/>
      <c r="AL24" s="2626"/>
      <c r="AM24" s="2628"/>
      <c r="AN24" s="2599"/>
      <c r="AO24" s="2599"/>
      <c r="AP24" s="2599"/>
      <c r="AQ24" s="2599"/>
      <c r="AR24" s="2606"/>
      <c r="AS24" s="2602"/>
      <c r="AT24" s="2443"/>
      <c r="AU24" s="1794" t="s">
        <v>58</v>
      </c>
      <c r="AV24" s="1794" t="s">
        <v>59</v>
      </c>
      <c r="AW24" s="1794" t="s">
        <v>60</v>
      </c>
      <c r="AX24" s="1794" t="s">
        <v>61</v>
      </c>
      <c r="AY24" s="1310" t="s">
        <v>62</v>
      </c>
      <c r="AZ24" s="2443"/>
      <c r="BA24" s="2443"/>
      <c r="BB24" s="1794" t="s">
        <v>58</v>
      </c>
      <c r="BC24" s="1794" t="s">
        <v>63</v>
      </c>
      <c r="BD24" s="1795" t="s">
        <v>64</v>
      </c>
    </row>
    <row r="25" spans="1:56" ht="26.25" thickBot="1" x14ac:dyDescent="0.3">
      <c r="A25" s="2612"/>
      <c r="B25" s="1824" t="s">
        <v>65</v>
      </c>
      <c r="C25" s="1796" t="s">
        <v>66</v>
      </c>
      <c r="D25" s="1797" t="s">
        <v>67</v>
      </c>
      <c r="E25" s="1796" t="s">
        <v>68</v>
      </c>
      <c r="F25" s="1798" t="s">
        <v>69</v>
      </c>
      <c r="G25" s="1799" t="s">
        <v>70</v>
      </c>
      <c r="H25" s="1800" t="s">
        <v>71</v>
      </c>
      <c r="I25" s="1798" t="s">
        <v>72</v>
      </c>
      <c r="J25" s="1798" t="s">
        <v>73</v>
      </c>
      <c r="K25" s="1796" t="s">
        <v>74</v>
      </c>
      <c r="L25" s="1801" t="s">
        <v>75</v>
      </c>
      <c r="M25" s="1796" t="s">
        <v>76</v>
      </c>
      <c r="N25" s="1796" t="s">
        <v>77</v>
      </c>
      <c r="O25" s="1796" t="s">
        <v>78</v>
      </c>
      <c r="P25" s="1796" t="s">
        <v>79</v>
      </c>
      <c r="Q25" s="1796" t="s">
        <v>80</v>
      </c>
      <c r="R25" s="1796" t="s">
        <v>81</v>
      </c>
      <c r="S25" s="1796" t="s">
        <v>82</v>
      </c>
      <c r="T25" s="1796" t="s">
        <v>83</v>
      </c>
      <c r="U25" s="1796" t="s">
        <v>84</v>
      </c>
      <c r="V25" s="1796" t="s">
        <v>85</v>
      </c>
      <c r="W25" s="1796" t="s">
        <v>86</v>
      </c>
      <c r="X25" s="1796" t="s">
        <v>87</v>
      </c>
      <c r="Y25" s="1796" t="s">
        <v>88</v>
      </c>
      <c r="Z25" s="1796" t="s">
        <v>89</v>
      </c>
      <c r="AA25" s="1796" t="s">
        <v>90</v>
      </c>
      <c r="AB25" s="1796" t="s">
        <v>91</v>
      </c>
      <c r="AC25" s="1796" t="s">
        <v>92</v>
      </c>
      <c r="AD25" s="1796" t="s">
        <v>93</v>
      </c>
      <c r="AE25" s="1796" t="s">
        <v>94</v>
      </c>
      <c r="AF25" s="1802" t="s">
        <v>95</v>
      </c>
      <c r="AG25" s="1803" t="s">
        <v>96</v>
      </c>
      <c r="AH25" s="1804" t="s">
        <v>97</v>
      </c>
      <c r="AI25" s="1805" t="s">
        <v>98</v>
      </c>
      <c r="AJ25" s="1806" t="s">
        <v>99</v>
      </c>
      <c r="AK25" s="1349" t="s">
        <v>100</v>
      </c>
      <c r="AL25" s="1807" t="s">
        <v>101</v>
      </c>
      <c r="AM25" s="1818" t="s">
        <v>102</v>
      </c>
      <c r="AN25" s="1794" t="s">
        <v>103</v>
      </c>
      <c r="AO25" s="1794" t="s">
        <v>104</v>
      </c>
      <c r="AP25" s="1794" t="s">
        <v>105</v>
      </c>
      <c r="AQ25" s="1794" t="s">
        <v>106</v>
      </c>
      <c r="AR25" s="1795" t="s">
        <v>107</v>
      </c>
      <c r="AS25" s="1819" t="s">
        <v>108</v>
      </c>
      <c r="AT25" s="1794" t="s">
        <v>109</v>
      </c>
      <c r="AU25" s="1794" t="s">
        <v>110</v>
      </c>
      <c r="AV25" s="1794" t="s">
        <v>111</v>
      </c>
      <c r="AW25" s="1795" t="s">
        <v>112</v>
      </c>
      <c r="AX25" s="1795" t="s">
        <v>113</v>
      </c>
      <c r="AY25" s="1795" t="s">
        <v>114</v>
      </c>
      <c r="AZ25" s="1794" t="s">
        <v>115</v>
      </c>
      <c r="BA25" s="1794" t="s">
        <v>116</v>
      </c>
      <c r="BB25" s="1794" t="s">
        <v>117</v>
      </c>
      <c r="BC25" s="1795" t="s">
        <v>118</v>
      </c>
      <c r="BD25" s="1795" t="s">
        <v>119</v>
      </c>
    </row>
    <row r="26" spans="1:56" x14ac:dyDescent="0.25">
      <c r="A26" s="1825">
        <v>1</v>
      </c>
      <c r="B26" s="1304"/>
      <c r="C26" s="1271"/>
      <c r="D26" s="1271"/>
      <c r="E26" s="1271"/>
      <c r="F26" s="1312"/>
      <c r="G26" s="1271"/>
      <c r="H26" s="1543"/>
      <c r="I26" s="1312"/>
      <c r="J26" s="1312"/>
      <c r="K26" s="1544"/>
      <c r="L26" s="935"/>
      <c r="M26" s="1306"/>
      <c r="N26" s="1544"/>
      <c r="O26" s="1544"/>
      <c r="P26" s="1271"/>
      <c r="Q26" s="936"/>
      <c r="R26" s="1271"/>
      <c r="S26" s="1271"/>
      <c r="T26" s="1271"/>
      <c r="U26" s="1271"/>
      <c r="V26" s="1271"/>
      <c r="W26" s="1306"/>
      <c r="X26" s="1271"/>
      <c r="Y26" s="1271"/>
      <c r="Z26" s="1271"/>
      <c r="AA26" s="1271"/>
      <c r="AB26" s="1271"/>
      <c r="AC26" s="1271"/>
      <c r="AD26" s="1271"/>
      <c r="AE26" s="937"/>
      <c r="AF26" s="938"/>
      <c r="AG26" s="935"/>
      <c r="AH26" s="939"/>
      <c r="AI26" s="940"/>
      <c r="AJ26" s="941"/>
      <c r="AK26" s="524"/>
      <c r="AL26" s="942"/>
      <c r="AM26" s="943"/>
      <c r="AN26" s="944"/>
      <c r="AO26" s="944"/>
      <c r="AP26" s="944"/>
      <c r="AQ26" s="944"/>
      <c r="AR26" s="945"/>
      <c r="AS26" s="1350"/>
      <c r="AT26" s="1314"/>
      <c r="AU26" s="1314"/>
      <c r="AV26" s="1314"/>
      <c r="AW26" s="1314"/>
      <c r="AX26" s="1314"/>
      <c r="AY26" s="1314"/>
      <c r="AZ26" s="1314"/>
      <c r="BA26" s="1314"/>
      <c r="BB26" s="1314"/>
      <c r="BC26" s="1314"/>
      <c r="BD26" s="930"/>
    </row>
    <row r="27" spans="1:56" ht="25.5" x14ac:dyDescent="0.25">
      <c r="A27" s="1826">
        <v>2</v>
      </c>
      <c r="B27" s="1350" t="s">
        <v>6165</v>
      </c>
      <c r="C27" s="1267" t="s">
        <v>6166</v>
      </c>
      <c r="D27" s="1267" t="s">
        <v>616</v>
      </c>
      <c r="E27" s="1267" t="s">
        <v>6167</v>
      </c>
      <c r="F27" s="510" t="s">
        <v>6168</v>
      </c>
      <c r="G27" s="1263">
        <v>11191</v>
      </c>
      <c r="H27" s="1315" t="s">
        <v>741</v>
      </c>
      <c r="I27" s="510" t="s">
        <v>6169</v>
      </c>
      <c r="J27" s="510" t="s">
        <v>6170</v>
      </c>
      <c r="K27" s="1313">
        <v>41660</v>
      </c>
      <c r="L27" s="929">
        <v>1500</v>
      </c>
      <c r="M27" s="1263">
        <v>11244</v>
      </c>
      <c r="N27" s="1313">
        <v>41660</v>
      </c>
      <c r="O27" s="1313">
        <v>42024</v>
      </c>
      <c r="P27" s="1267" t="s">
        <v>6171</v>
      </c>
      <c r="Q27" s="1267" t="s">
        <v>741</v>
      </c>
      <c r="R27" s="1267" t="s">
        <v>6172</v>
      </c>
      <c r="S27" s="1267"/>
      <c r="T27" s="1267" t="s">
        <v>158</v>
      </c>
      <c r="U27" s="1267"/>
      <c r="V27" s="1267"/>
      <c r="W27" s="1263"/>
      <c r="X27" s="1271"/>
      <c r="Y27" s="1267"/>
      <c r="Z27" s="1267"/>
      <c r="AA27" s="1267"/>
      <c r="AB27" s="1267"/>
      <c r="AC27" s="1267"/>
      <c r="AD27" s="1267"/>
      <c r="AE27" s="937"/>
      <c r="AF27" s="321">
        <v>13500</v>
      </c>
      <c r="AG27" s="929">
        <v>13500</v>
      </c>
      <c r="AH27" s="939">
        <f>AF27+AG27</f>
        <v>27000</v>
      </c>
      <c r="AI27" s="940"/>
      <c r="AJ27" s="941"/>
      <c r="AK27" s="524"/>
      <c r="AL27" s="942"/>
      <c r="AM27" s="943"/>
      <c r="AN27" s="944"/>
      <c r="AO27" s="944"/>
      <c r="AP27" s="944"/>
      <c r="AQ27" s="944"/>
      <c r="AR27" s="945"/>
      <c r="AS27" s="1350"/>
      <c r="AT27" s="1314"/>
      <c r="AU27" s="1314"/>
      <c r="AV27" s="1314"/>
      <c r="AW27" s="1314"/>
      <c r="AX27" s="1314"/>
      <c r="AY27" s="1314"/>
      <c r="AZ27" s="1314"/>
      <c r="BA27" s="1314"/>
      <c r="BB27" s="1314"/>
      <c r="BC27" s="1314"/>
      <c r="BD27" s="930"/>
    </row>
    <row r="28" spans="1:56" ht="25.5" x14ac:dyDescent="0.25">
      <c r="A28" s="1826">
        <v>3</v>
      </c>
      <c r="B28" s="1350" t="s">
        <v>6165</v>
      </c>
      <c r="C28" s="1267" t="s">
        <v>6166</v>
      </c>
      <c r="D28" s="1267" t="s">
        <v>616</v>
      </c>
      <c r="E28" s="1267" t="s">
        <v>6167</v>
      </c>
      <c r="F28" s="510" t="s">
        <v>6168</v>
      </c>
      <c r="G28" s="1263">
        <v>11191</v>
      </c>
      <c r="H28" s="1315" t="s">
        <v>744</v>
      </c>
      <c r="I28" s="510" t="s">
        <v>6173</v>
      </c>
      <c r="J28" s="510" t="s">
        <v>6174</v>
      </c>
      <c r="K28" s="1313">
        <v>41660</v>
      </c>
      <c r="L28" s="929">
        <v>1600</v>
      </c>
      <c r="M28" s="1263">
        <v>11247</v>
      </c>
      <c r="N28" s="1313">
        <v>41660</v>
      </c>
      <c r="O28" s="1313">
        <v>42024</v>
      </c>
      <c r="P28" s="1267" t="s">
        <v>6171</v>
      </c>
      <c r="Q28" s="1267" t="s">
        <v>744</v>
      </c>
      <c r="R28" s="1267" t="s">
        <v>6172</v>
      </c>
      <c r="S28" s="1267"/>
      <c r="T28" s="1267" t="s">
        <v>158</v>
      </c>
      <c r="U28" s="1267"/>
      <c r="V28" s="1313"/>
      <c r="W28" s="1263"/>
      <c r="X28" s="1271"/>
      <c r="Y28" s="1267"/>
      <c r="Z28" s="1267"/>
      <c r="AA28" s="1267"/>
      <c r="AB28" s="1267"/>
      <c r="AC28" s="1267"/>
      <c r="AD28" s="1267"/>
      <c r="AE28" s="937"/>
      <c r="AF28" s="321">
        <v>14400</v>
      </c>
      <c r="AG28" s="929">
        <v>14400</v>
      </c>
      <c r="AH28" s="939">
        <f t="shared" ref="AH28:AH91" si="0">AF28+AG28</f>
        <v>28800</v>
      </c>
      <c r="AI28" s="940"/>
      <c r="AJ28" s="941"/>
      <c r="AK28" s="524"/>
      <c r="AL28" s="942"/>
      <c r="AM28" s="946"/>
      <c r="AN28" s="944"/>
      <c r="AO28" s="944"/>
      <c r="AP28" s="944"/>
      <c r="AQ28" s="944"/>
      <c r="AR28" s="945"/>
      <c r="AS28" s="1350"/>
      <c r="AT28" s="1314"/>
      <c r="AU28" s="1314"/>
      <c r="AV28" s="1314"/>
      <c r="AW28" s="1314"/>
      <c r="AX28" s="1314"/>
      <c r="AY28" s="1314"/>
      <c r="AZ28" s="1314"/>
      <c r="BA28" s="1314"/>
      <c r="BB28" s="1314"/>
      <c r="BC28" s="1314"/>
      <c r="BD28" s="930"/>
    </row>
    <row r="29" spans="1:56" ht="25.5" x14ac:dyDescent="0.25">
      <c r="A29" s="1826">
        <v>4</v>
      </c>
      <c r="B29" s="1350" t="s">
        <v>6165</v>
      </c>
      <c r="C29" s="1267" t="s">
        <v>6166</v>
      </c>
      <c r="D29" s="1267" t="s">
        <v>616</v>
      </c>
      <c r="E29" s="1267" t="s">
        <v>6167</v>
      </c>
      <c r="F29" s="510" t="s">
        <v>6168</v>
      </c>
      <c r="G29" s="1263">
        <v>11191</v>
      </c>
      <c r="H29" s="1315" t="s">
        <v>747</v>
      </c>
      <c r="I29" s="510" t="s">
        <v>6175</v>
      </c>
      <c r="J29" s="510" t="s">
        <v>6176</v>
      </c>
      <c r="K29" s="1313">
        <v>41660</v>
      </c>
      <c r="L29" s="929">
        <v>1490</v>
      </c>
      <c r="M29" s="1263">
        <v>11244</v>
      </c>
      <c r="N29" s="1313">
        <v>41660</v>
      </c>
      <c r="O29" s="1313">
        <v>42024</v>
      </c>
      <c r="P29" s="1267" t="s">
        <v>6171</v>
      </c>
      <c r="Q29" s="1267" t="s">
        <v>747</v>
      </c>
      <c r="R29" s="1267" t="s">
        <v>6172</v>
      </c>
      <c r="S29" s="1267"/>
      <c r="T29" s="1267" t="s">
        <v>158</v>
      </c>
      <c r="U29" s="1267"/>
      <c r="V29" s="1267"/>
      <c r="W29" s="1267"/>
      <c r="X29" s="1267"/>
      <c r="Y29" s="1267"/>
      <c r="Z29" s="1267"/>
      <c r="AA29" s="1267"/>
      <c r="AB29" s="1267"/>
      <c r="AC29" s="1267"/>
      <c r="AD29" s="1267"/>
      <c r="AE29" s="937"/>
      <c r="AF29" s="321">
        <v>13484.5</v>
      </c>
      <c r="AG29" s="929">
        <v>13484.5</v>
      </c>
      <c r="AH29" s="939">
        <f t="shared" si="0"/>
        <v>26969</v>
      </c>
      <c r="AI29" s="940"/>
      <c r="AJ29" s="941"/>
      <c r="AK29" s="524"/>
      <c r="AL29" s="942"/>
      <c r="AM29" s="946"/>
      <c r="AN29" s="944"/>
      <c r="AO29" s="944"/>
      <c r="AP29" s="944"/>
      <c r="AQ29" s="944"/>
      <c r="AR29" s="945"/>
      <c r="AS29" s="1350"/>
      <c r="AT29" s="1314"/>
      <c r="AU29" s="1314"/>
      <c r="AV29" s="1314"/>
      <c r="AW29" s="1314"/>
      <c r="AX29" s="1314"/>
      <c r="AY29" s="1314"/>
      <c r="AZ29" s="1314"/>
      <c r="BA29" s="1314"/>
      <c r="BB29" s="1314"/>
      <c r="BC29" s="1314"/>
      <c r="BD29" s="930"/>
    </row>
    <row r="30" spans="1:56" ht="25.5" x14ac:dyDescent="0.25">
      <c r="A30" s="1826">
        <v>5</v>
      </c>
      <c r="B30" s="1350" t="s">
        <v>6165</v>
      </c>
      <c r="C30" s="1267" t="s">
        <v>6166</v>
      </c>
      <c r="D30" s="1267" t="s">
        <v>616</v>
      </c>
      <c r="E30" s="1267" t="s">
        <v>6167</v>
      </c>
      <c r="F30" s="510" t="s">
        <v>6168</v>
      </c>
      <c r="G30" s="1263">
        <v>11191</v>
      </c>
      <c r="H30" s="1315" t="s">
        <v>750</v>
      </c>
      <c r="I30" s="510" t="s">
        <v>6177</v>
      </c>
      <c r="J30" s="510" t="s">
        <v>6178</v>
      </c>
      <c r="K30" s="1313">
        <v>41660</v>
      </c>
      <c r="L30" s="929">
        <v>1430</v>
      </c>
      <c r="M30" s="1263">
        <v>11244</v>
      </c>
      <c r="N30" s="1313">
        <v>41660</v>
      </c>
      <c r="O30" s="1313">
        <v>42024</v>
      </c>
      <c r="P30" s="1267" t="s">
        <v>6171</v>
      </c>
      <c r="Q30" s="1267" t="s">
        <v>750</v>
      </c>
      <c r="R30" s="1267" t="s">
        <v>6172</v>
      </c>
      <c r="S30" s="1267"/>
      <c r="T30" s="1267" t="s">
        <v>158</v>
      </c>
      <c r="U30" s="1267"/>
      <c r="V30" s="1267"/>
      <c r="W30" s="1267"/>
      <c r="X30" s="1267"/>
      <c r="Y30" s="1267"/>
      <c r="Z30" s="1267"/>
      <c r="AA30" s="1267"/>
      <c r="AB30" s="1267"/>
      <c r="AC30" s="1267"/>
      <c r="AD30" s="1267"/>
      <c r="AE30" s="937"/>
      <c r="AF30" s="321">
        <v>12870</v>
      </c>
      <c r="AG30" s="929">
        <v>12870</v>
      </c>
      <c r="AH30" s="939">
        <f t="shared" si="0"/>
        <v>25740</v>
      </c>
      <c r="AI30" s="940"/>
      <c r="AJ30" s="941"/>
      <c r="AK30" s="524"/>
      <c r="AL30" s="942"/>
      <c r="AM30" s="946"/>
      <c r="AN30" s="944"/>
      <c r="AO30" s="944"/>
      <c r="AP30" s="944"/>
      <c r="AQ30" s="944"/>
      <c r="AR30" s="945"/>
      <c r="AS30" s="1350"/>
      <c r="AT30" s="1314"/>
      <c r="AU30" s="1314"/>
      <c r="AV30" s="1314"/>
      <c r="AW30" s="1314"/>
      <c r="AX30" s="1314"/>
      <c r="AY30" s="1314"/>
      <c r="AZ30" s="1314"/>
      <c r="BA30" s="1314"/>
      <c r="BB30" s="1314"/>
      <c r="BC30" s="1314"/>
      <c r="BD30" s="930"/>
    </row>
    <row r="31" spans="1:56" ht="25.5" x14ac:dyDescent="0.25">
      <c r="A31" s="1826">
        <v>6</v>
      </c>
      <c r="B31" s="1350" t="s">
        <v>6165</v>
      </c>
      <c r="C31" s="1267" t="s">
        <v>6166</v>
      </c>
      <c r="D31" s="1267" t="s">
        <v>616</v>
      </c>
      <c r="E31" s="1267" t="s">
        <v>6167</v>
      </c>
      <c r="F31" s="510" t="s">
        <v>6168</v>
      </c>
      <c r="G31" s="1263">
        <v>11191</v>
      </c>
      <c r="H31" s="1315" t="s">
        <v>757</v>
      </c>
      <c r="I31" s="510" t="s">
        <v>6179</v>
      </c>
      <c r="J31" s="510" t="s">
        <v>6180</v>
      </c>
      <c r="K31" s="1313">
        <v>41660</v>
      </c>
      <c r="L31" s="929">
        <v>1400</v>
      </c>
      <c r="M31" s="1263">
        <v>11244</v>
      </c>
      <c r="N31" s="1313">
        <v>41660</v>
      </c>
      <c r="O31" s="1313">
        <v>42024</v>
      </c>
      <c r="P31" s="1267" t="s">
        <v>6171</v>
      </c>
      <c r="Q31" s="1267" t="s">
        <v>757</v>
      </c>
      <c r="R31" s="1267" t="s">
        <v>6172</v>
      </c>
      <c r="S31" s="1267"/>
      <c r="T31" s="1267" t="s">
        <v>158</v>
      </c>
      <c r="U31" s="1267"/>
      <c r="V31" s="1267"/>
      <c r="W31" s="1267"/>
      <c r="X31" s="1267"/>
      <c r="Y31" s="1267"/>
      <c r="Z31" s="1267"/>
      <c r="AA31" s="1267"/>
      <c r="AB31" s="1267"/>
      <c r="AC31" s="1267"/>
      <c r="AD31" s="1267"/>
      <c r="AE31" s="937"/>
      <c r="AF31" s="321">
        <v>14400</v>
      </c>
      <c r="AG31" s="929">
        <v>14400</v>
      </c>
      <c r="AH31" s="939">
        <f t="shared" si="0"/>
        <v>28800</v>
      </c>
      <c r="AI31" s="940"/>
      <c r="AJ31" s="941"/>
      <c r="AK31" s="524"/>
      <c r="AL31" s="942"/>
      <c r="AM31" s="946"/>
      <c r="AN31" s="944"/>
      <c r="AO31" s="944"/>
      <c r="AP31" s="944"/>
      <c r="AQ31" s="944"/>
      <c r="AR31" s="945"/>
      <c r="AS31" s="1350"/>
      <c r="AT31" s="1314"/>
      <c r="AU31" s="1314"/>
      <c r="AV31" s="1314"/>
      <c r="AW31" s="1314"/>
      <c r="AX31" s="1314"/>
      <c r="AY31" s="1314"/>
      <c r="AZ31" s="1314"/>
      <c r="BA31" s="1314"/>
      <c r="BB31" s="1314"/>
      <c r="BC31" s="1314"/>
      <c r="BD31" s="930"/>
    </row>
    <row r="32" spans="1:56" ht="25.5" x14ac:dyDescent="0.25">
      <c r="A32" s="1826">
        <v>7</v>
      </c>
      <c r="B32" s="1350" t="s">
        <v>6165</v>
      </c>
      <c r="C32" s="1267" t="s">
        <v>6166</v>
      </c>
      <c r="D32" s="1267" t="s">
        <v>616</v>
      </c>
      <c r="E32" s="1267" t="s">
        <v>6167</v>
      </c>
      <c r="F32" s="510" t="s">
        <v>6168</v>
      </c>
      <c r="G32" s="1263">
        <v>11191</v>
      </c>
      <c r="H32" s="1315" t="s">
        <v>765</v>
      </c>
      <c r="I32" s="510" t="s">
        <v>4096</v>
      </c>
      <c r="J32" s="510" t="s">
        <v>4097</v>
      </c>
      <c r="K32" s="1313">
        <v>41660</v>
      </c>
      <c r="L32" s="929">
        <v>1440</v>
      </c>
      <c r="M32" s="1263">
        <v>11244</v>
      </c>
      <c r="N32" s="1313">
        <v>41660</v>
      </c>
      <c r="O32" s="1313">
        <v>42024</v>
      </c>
      <c r="P32" s="1267" t="s">
        <v>6171</v>
      </c>
      <c r="Q32" s="1267" t="s">
        <v>765</v>
      </c>
      <c r="R32" s="1267" t="s">
        <v>6172</v>
      </c>
      <c r="S32" s="1267"/>
      <c r="T32" s="1267" t="s">
        <v>158</v>
      </c>
      <c r="U32" s="1267"/>
      <c r="V32" s="1267"/>
      <c r="W32" s="1267"/>
      <c r="X32" s="1267"/>
      <c r="Y32" s="1267"/>
      <c r="Z32" s="1267"/>
      <c r="AA32" s="1267"/>
      <c r="AB32" s="1267"/>
      <c r="AC32" s="1267"/>
      <c r="AD32" s="1267"/>
      <c r="AE32" s="937"/>
      <c r="AF32" s="321">
        <v>12960</v>
      </c>
      <c r="AG32" s="929">
        <v>12960</v>
      </c>
      <c r="AH32" s="939">
        <f t="shared" si="0"/>
        <v>25920</v>
      </c>
      <c r="AI32" s="940"/>
      <c r="AJ32" s="941"/>
      <c r="AK32" s="524"/>
      <c r="AL32" s="942"/>
      <c r="AM32" s="946"/>
      <c r="AN32" s="944"/>
      <c r="AO32" s="944"/>
      <c r="AP32" s="944"/>
      <c r="AQ32" s="944"/>
      <c r="AR32" s="945"/>
      <c r="AS32" s="1350"/>
      <c r="AT32" s="1314"/>
      <c r="AU32" s="1314"/>
      <c r="AV32" s="1314"/>
      <c r="AW32" s="1314"/>
      <c r="AX32" s="1314"/>
      <c r="AY32" s="1314"/>
      <c r="AZ32" s="1314"/>
      <c r="BA32" s="1314"/>
      <c r="BB32" s="1314"/>
      <c r="BC32" s="1314"/>
      <c r="BD32" s="930"/>
    </row>
    <row r="33" spans="1:2739" ht="25.5" x14ac:dyDescent="0.25">
      <c r="A33" s="1826">
        <v>8</v>
      </c>
      <c r="B33" s="1350" t="s">
        <v>6165</v>
      </c>
      <c r="C33" s="1267" t="s">
        <v>6166</v>
      </c>
      <c r="D33" s="1267" t="s">
        <v>616</v>
      </c>
      <c r="E33" s="1267" t="s">
        <v>6167</v>
      </c>
      <c r="F33" s="510" t="s">
        <v>6168</v>
      </c>
      <c r="G33" s="1263">
        <v>11191</v>
      </c>
      <c r="H33" s="1315" t="s">
        <v>777</v>
      </c>
      <c r="I33" s="510" t="s">
        <v>6181</v>
      </c>
      <c r="J33" s="510" t="s">
        <v>6182</v>
      </c>
      <c r="K33" s="1313">
        <v>41660</v>
      </c>
      <c r="L33" s="929">
        <v>1450</v>
      </c>
      <c r="M33" s="1263">
        <v>11247</v>
      </c>
      <c r="N33" s="1313">
        <v>41660</v>
      </c>
      <c r="O33" s="1313">
        <v>42024</v>
      </c>
      <c r="P33" s="1267" t="s">
        <v>6171</v>
      </c>
      <c r="Q33" s="1267" t="s">
        <v>777</v>
      </c>
      <c r="R33" s="1267" t="s">
        <v>6172</v>
      </c>
      <c r="S33" s="1267"/>
      <c r="T33" s="1267" t="s">
        <v>158</v>
      </c>
      <c r="U33" s="1267"/>
      <c r="V33" s="1267"/>
      <c r="W33" s="1267"/>
      <c r="X33" s="1267"/>
      <c r="Y33" s="1267"/>
      <c r="Z33" s="1267"/>
      <c r="AA33" s="1267"/>
      <c r="AB33" s="1267"/>
      <c r="AC33" s="1267"/>
      <c r="AD33" s="1267"/>
      <c r="AE33" s="937"/>
      <c r="AF33" s="321">
        <v>13050</v>
      </c>
      <c r="AG33" s="929">
        <v>13050</v>
      </c>
      <c r="AH33" s="939">
        <f t="shared" si="0"/>
        <v>26100</v>
      </c>
      <c r="AI33" s="940"/>
      <c r="AJ33" s="941"/>
      <c r="AK33" s="524"/>
      <c r="AL33" s="942"/>
      <c r="AM33" s="946"/>
      <c r="AN33" s="944"/>
      <c r="AO33" s="944"/>
      <c r="AP33" s="944"/>
      <c r="AQ33" s="944"/>
      <c r="AR33" s="945"/>
      <c r="AS33" s="1350"/>
      <c r="AT33" s="1314"/>
      <c r="AU33" s="1314"/>
      <c r="AV33" s="1314"/>
      <c r="AW33" s="1314"/>
      <c r="AX33" s="1314"/>
      <c r="AY33" s="1314"/>
      <c r="AZ33" s="1314"/>
      <c r="BA33" s="1314"/>
      <c r="BB33" s="1314"/>
      <c r="BC33" s="1314"/>
      <c r="BD33" s="930"/>
    </row>
    <row r="34" spans="1:2739" ht="25.5" x14ac:dyDescent="0.25">
      <c r="A34" s="1826">
        <v>9</v>
      </c>
      <c r="B34" s="1350" t="s">
        <v>6165</v>
      </c>
      <c r="C34" s="1267" t="s">
        <v>6166</v>
      </c>
      <c r="D34" s="1267" t="s">
        <v>616</v>
      </c>
      <c r="E34" s="1267" t="s">
        <v>6167</v>
      </c>
      <c r="F34" s="510" t="s">
        <v>6168</v>
      </c>
      <c r="G34" s="1263">
        <v>11191</v>
      </c>
      <c r="H34" s="1315" t="s">
        <v>780</v>
      </c>
      <c r="I34" s="510" t="s">
        <v>6183</v>
      </c>
      <c r="J34" s="510" t="s">
        <v>5411</v>
      </c>
      <c r="K34" s="1313">
        <v>41660</v>
      </c>
      <c r="L34" s="929">
        <v>1440</v>
      </c>
      <c r="M34" s="1263">
        <v>11244</v>
      </c>
      <c r="N34" s="1313">
        <v>41660</v>
      </c>
      <c r="O34" s="1313">
        <v>42024</v>
      </c>
      <c r="P34" s="1267" t="s">
        <v>6171</v>
      </c>
      <c r="Q34" s="1267" t="s">
        <v>780</v>
      </c>
      <c r="R34" s="1267" t="s">
        <v>6172</v>
      </c>
      <c r="S34" s="1267"/>
      <c r="T34" s="1267" t="s">
        <v>158</v>
      </c>
      <c r="U34" s="1267"/>
      <c r="V34" s="1267"/>
      <c r="W34" s="1267"/>
      <c r="X34" s="1267"/>
      <c r="Y34" s="1267"/>
      <c r="Z34" s="1267"/>
      <c r="AA34" s="1267"/>
      <c r="AB34" s="1267"/>
      <c r="AC34" s="1267"/>
      <c r="AD34" s="1267"/>
      <c r="AE34" s="937"/>
      <c r="AF34" s="321">
        <v>11520</v>
      </c>
      <c r="AG34" s="929">
        <v>11520</v>
      </c>
      <c r="AH34" s="939">
        <f t="shared" si="0"/>
        <v>23040</v>
      </c>
      <c r="AI34" s="940"/>
      <c r="AJ34" s="941"/>
      <c r="AK34" s="524"/>
      <c r="AL34" s="942"/>
      <c r="AM34" s="946"/>
      <c r="AN34" s="944"/>
      <c r="AO34" s="944"/>
      <c r="AP34" s="944"/>
      <c r="AQ34" s="944"/>
      <c r="AR34" s="945"/>
      <c r="AS34" s="1350"/>
      <c r="AT34" s="1314"/>
      <c r="AU34" s="1314"/>
      <c r="AV34" s="1314"/>
      <c r="AW34" s="1314"/>
      <c r="AX34" s="1314"/>
      <c r="AY34" s="1314"/>
      <c r="AZ34" s="1314"/>
      <c r="BA34" s="1314"/>
      <c r="BB34" s="1314"/>
      <c r="BC34" s="1314"/>
      <c r="BD34" s="930"/>
    </row>
    <row r="35" spans="1:2739" ht="25.5" x14ac:dyDescent="0.25">
      <c r="A35" s="1826">
        <v>10</v>
      </c>
      <c r="B35" s="1350" t="s">
        <v>6165</v>
      </c>
      <c r="C35" s="1267" t="s">
        <v>6166</v>
      </c>
      <c r="D35" s="1267" t="s">
        <v>616</v>
      </c>
      <c r="E35" s="1267" t="s">
        <v>6167</v>
      </c>
      <c r="F35" s="510" t="s">
        <v>6168</v>
      </c>
      <c r="G35" s="1263">
        <v>11191</v>
      </c>
      <c r="H35" s="1315" t="s">
        <v>787</v>
      </c>
      <c r="I35" s="510" t="s">
        <v>6184</v>
      </c>
      <c r="J35" s="510" t="s">
        <v>6185</v>
      </c>
      <c r="K35" s="1313">
        <v>41660</v>
      </c>
      <c r="L35" s="929">
        <v>1390</v>
      </c>
      <c r="M35" s="1263">
        <v>11244</v>
      </c>
      <c r="N35" s="1313">
        <v>41660</v>
      </c>
      <c r="O35" s="1313">
        <v>42024</v>
      </c>
      <c r="P35" s="1267" t="s">
        <v>6171</v>
      </c>
      <c r="Q35" s="1267" t="s">
        <v>787</v>
      </c>
      <c r="R35" s="1267" t="s">
        <v>6172</v>
      </c>
      <c r="S35" s="1267"/>
      <c r="T35" s="1267" t="s">
        <v>158</v>
      </c>
      <c r="U35" s="1267"/>
      <c r="V35" s="1267"/>
      <c r="W35" s="1267"/>
      <c r="X35" s="1267"/>
      <c r="Y35" s="1267"/>
      <c r="Z35" s="1267"/>
      <c r="AA35" s="1267"/>
      <c r="AB35" s="1267"/>
      <c r="AC35" s="1267"/>
      <c r="AD35" s="1267"/>
      <c r="AE35" s="937"/>
      <c r="AF35" s="321">
        <v>12510</v>
      </c>
      <c r="AG35" s="929">
        <v>12510</v>
      </c>
      <c r="AH35" s="939">
        <f t="shared" si="0"/>
        <v>25020</v>
      </c>
      <c r="AI35" s="940"/>
      <c r="AJ35" s="941"/>
      <c r="AK35" s="524"/>
      <c r="AL35" s="942"/>
      <c r="AM35" s="946"/>
      <c r="AN35" s="944"/>
      <c r="AO35" s="944"/>
      <c r="AP35" s="944"/>
      <c r="AQ35" s="944"/>
      <c r="AR35" s="945"/>
      <c r="AS35" s="1350"/>
      <c r="AT35" s="1314"/>
      <c r="AU35" s="1314"/>
      <c r="AV35" s="1314"/>
      <c r="AW35" s="1314"/>
      <c r="AX35" s="1314"/>
      <c r="AY35" s="1314"/>
      <c r="AZ35" s="1314"/>
      <c r="BA35" s="1314"/>
      <c r="BB35" s="1314"/>
      <c r="BC35" s="1314"/>
      <c r="BD35" s="930"/>
    </row>
    <row r="36" spans="1:2739" ht="25.5" x14ac:dyDescent="0.25">
      <c r="A36" s="1826">
        <v>11</v>
      </c>
      <c r="B36" s="1350" t="s">
        <v>6165</v>
      </c>
      <c r="C36" s="1267" t="s">
        <v>6166</v>
      </c>
      <c r="D36" s="1267" t="s">
        <v>616</v>
      </c>
      <c r="E36" s="1267" t="s">
        <v>6167</v>
      </c>
      <c r="F36" s="510" t="s">
        <v>6168</v>
      </c>
      <c r="G36" s="1263">
        <v>11191</v>
      </c>
      <c r="H36" s="1315" t="s">
        <v>792</v>
      </c>
      <c r="I36" s="510" t="s">
        <v>6186</v>
      </c>
      <c r="J36" s="510" t="s">
        <v>6187</v>
      </c>
      <c r="K36" s="1313">
        <v>41660</v>
      </c>
      <c r="L36" s="929">
        <v>1415</v>
      </c>
      <c r="M36" s="1263">
        <v>11244</v>
      </c>
      <c r="N36" s="1313">
        <v>41660</v>
      </c>
      <c r="O36" s="1313">
        <v>42024</v>
      </c>
      <c r="P36" s="1267" t="s">
        <v>6171</v>
      </c>
      <c r="Q36" s="1267" t="s">
        <v>792</v>
      </c>
      <c r="R36" s="1267" t="s">
        <v>6172</v>
      </c>
      <c r="S36" s="1267"/>
      <c r="T36" s="1267" t="s">
        <v>158</v>
      </c>
      <c r="U36" s="1267"/>
      <c r="V36" s="1267"/>
      <c r="W36" s="1267"/>
      <c r="X36" s="1267"/>
      <c r="Y36" s="1267"/>
      <c r="Z36" s="1267"/>
      <c r="AA36" s="1267"/>
      <c r="AB36" s="1267"/>
      <c r="AC36" s="1267"/>
      <c r="AD36" s="1267"/>
      <c r="AE36" s="937"/>
      <c r="AF36" s="321">
        <v>16865</v>
      </c>
      <c r="AG36" s="929">
        <v>16865</v>
      </c>
      <c r="AH36" s="939">
        <f t="shared" si="0"/>
        <v>33730</v>
      </c>
      <c r="AI36" s="940"/>
      <c r="AJ36" s="941"/>
      <c r="AK36" s="524"/>
      <c r="AL36" s="942"/>
      <c r="AM36" s="946"/>
      <c r="AN36" s="944"/>
      <c r="AO36" s="944"/>
      <c r="AP36" s="944"/>
      <c r="AQ36" s="944"/>
      <c r="AR36" s="945"/>
      <c r="AS36" s="1350"/>
      <c r="AT36" s="1314"/>
      <c r="AU36" s="1314"/>
      <c r="AV36" s="1314"/>
      <c r="AW36" s="1314"/>
      <c r="AX36" s="1314"/>
      <c r="AY36" s="1314"/>
      <c r="AZ36" s="1314"/>
      <c r="BA36" s="1314"/>
      <c r="BB36" s="1314"/>
      <c r="BC36" s="1314"/>
      <c r="BD36" s="930"/>
    </row>
    <row r="37" spans="1:2739" ht="25.5" x14ac:dyDescent="0.25">
      <c r="A37" s="1826">
        <v>12</v>
      </c>
      <c r="B37" s="1350" t="s">
        <v>6165</v>
      </c>
      <c r="C37" s="1267" t="s">
        <v>6166</v>
      </c>
      <c r="D37" s="1267" t="s">
        <v>616</v>
      </c>
      <c r="E37" s="1267" t="s">
        <v>6167</v>
      </c>
      <c r="F37" s="510" t="s">
        <v>6168</v>
      </c>
      <c r="G37" s="1263">
        <v>11191</v>
      </c>
      <c r="H37" s="1315" t="s">
        <v>795</v>
      </c>
      <c r="I37" s="510" t="s">
        <v>6188</v>
      </c>
      <c r="J37" s="947" t="s">
        <v>6189</v>
      </c>
      <c r="K37" s="1313">
        <v>41660</v>
      </c>
      <c r="L37" s="929">
        <v>1350</v>
      </c>
      <c r="M37" s="1263">
        <v>11244</v>
      </c>
      <c r="N37" s="1313">
        <v>41660</v>
      </c>
      <c r="O37" s="1313">
        <v>42024</v>
      </c>
      <c r="P37" s="1267" t="s">
        <v>6171</v>
      </c>
      <c r="Q37" s="1267" t="s">
        <v>795</v>
      </c>
      <c r="R37" s="1267" t="s">
        <v>6172</v>
      </c>
      <c r="S37" s="1267"/>
      <c r="T37" s="1267" t="s">
        <v>158</v>
      </c>
      <c r="U37" s="1267"/>
      <c r="V37" s="1267"/>
      <c r="W37" s="1267"/>
      <c r="X37" s="1267"/>
      <c r="Y37" s="1267"/>
      <c r="Z37" s="1267"/>
      <c r="AA37" s="1267"/>
      <c r="AB37" s="1267"/>
      <c r="AC37" s="1267"/>
      <c r="AD37" s="1267"/>
      <c r="AE37" s="937"/>
      <c r="AF37" s="321">
        <v>14865</v>
      </c>
      <c r="AG37" s="929">
        <v>14850</v>
      </c>
      <c r="AH37" s="939">
        <f t="shared" si="0"/>
        <v>29715</v>
      </c>
      <c r="AI37" s="940"/>
      <c r="AJ37" s="941"/>
      <c r="AK37" s="524"/>
      <c r="AL37" s="942"/>
      <c r="AM37" s="946"/>
      <c r="AN37" s="944"/>
      <c r="AO37" s="944"/>
      <c r="AP37" s="944"/>
      <c r="AQ37" s="944"/>
      <c r="AR37" s="945"/>
      <c r="AS37" s="1350"/>
      <c r="AT37" s="1314"/>
      <c r="AU37" s="1314"/>
      <c r="AV37" s="1314"/>
      <c r="AW37" s="1314"/>
      <c r="AX37" s="1314"/>
      <c r="AY37" s="1314"/>
      <c r="AZ37" s="1314"/>
      <c r="BA37" s="1314"/>
      <c r="BB37" s="1314"/>
      <c r="BC37" s="1314"/>
      <c r="BD37" s="930"/>
    </row>
    <row r="38" spans="1:2739" ht="25.5" x14ac:dyDescent="0.25">
      <c r="A38" s="1826">
        <v>13</v>
      </c>
      <c r="B38" s="1350" t="s">
        <v>6165</v>
      </c>
      <c r="C38" s="1267" t="s">
        <v>6166</v>
      </c>
      <c r="D38" s="1267" t="s">
        <v>616</v>
      </c>
      <c r="E38" s="1267" t="s">
        <v>6167</v>
      </c>
      <c r="F38" s="510" t="s">
        <v>6168</v>
      </c>
      <c r="G38" s="1263">
        <v>11191</v>
      </c>
      <c r="H38" s="1315" t="s">
        <v>798</v>
      </c>
      <c r="I38" s="510" t="s">
        <v>6190</v>
      </c>
      <c r="J38" s="510" t="s">
        <v>6191</v>
      </c>
      <c r="K38" s="1313">
        <v>41660</v>
      </c>
      <c r="L38" s="929">
        <v>3000</v>
      </c>
      <c r="M38" s="1263">
        <v>11244</v>
      </c>
      <c r="N38" s="1313">
        <v>41660</v>
      </c>
      <c r="O38" s="1313">
        <v>42024</v>
      </c>
      <c r="P38" s="1267" t="s">
        <v>6171</v>
      </c>
      <c r="Q38" s="1267" t="s">
        <v>798</v>
      </c>
      <c r="R38" s="1267" t="s">
        <v>6172</v>
      </c>
      <c r="S38" s="1267"/>
      <c r="T38" s="1267" t="s">
        <v>208</v>
      </c>
      <c r="U38" s="1267"/>
      <c r="V38" s="1267"/>
      <c r="W38" s="1267"/>
      <c r="X38" s="1267"/>
      <c r="Y38" s="1267"/>
      <c r="Z38" s="1267"/>
      <c r="AA38" s="1267"/>
      <c r="AB38" s="1267"/>
      <c r="AC38" s="1267"/>
      <c r="AD38" s="1267"/>
      <c r="AE38" s="937"/>
      <c r="AF38" s="321">
        <v>27000</v>
      </c>
      <c r="AG38" s="929">
        <v>27000</v>
      </c>
      <c r="AH38" s="939">
        <f t="shared" si="0"/>
        <v>54000</v>
      </c>
      <c r="AI38" s="940"/>
      <c r="AJ38" s="941"/>
      <c r="AK38" s="524"/>
      <c r="AL38" s="942"/>
      <c r="AM38" s="946"/>
      <c r="AN38" s="944"/>
      <c r="AO38" s="944"/>
      <c r="AP38" s="944"/>
      <c r="AQ38" s="944"/>
      <c r="AR38" s="945"/>
      <c r="AS38" s="1350"/>
      <c r="AT38" s="1314"/>
      <c r="AU38" s="1314"/>
      <c r="AV38" s="1314"/>
      <c r="AW38" s="1314"/>
      <c r="AX38" s="1314"/>
      <c r="AY38" s="1314"/>
      <c r="AZ38" s="1314"/>
      <c r="BA38" s="1314"/>
      <c r="BB38" s="1314"/>
      <c r="BC38" s="1314"/>
      <c r="BD38" s="930"/>
    </row>
    <row r="39" spans="1:2739" ht="25.5" x14ac:dyDescent="0.25">
      <c r="A39" s="1826">
        <v>14</v>
      </c>
      <c r="B39" s="1350" t="s">
        <v>6165</v>
      </c>
      <c r="C39" s="1267" t="s">
        <v>6166</v>
      </c>
      <c r="D39" s="1267" t="s">
        <v>616</v>
      </c>
      <c r="E39" s="1267" t="s">
        <v>6167</v>
      </c>
      <c r="F39" s="510" t="s">
        <v>6168</v>
      </c>
      <c r="G39" s="1263">
        <v>11191</v>
      </c>
      <c r="H39" s="1315" t="s">
        <v>804</v>
      </c>
      <c r="I39" s="510" t="s">
        <v>6173</v>
      </c>
      <c r="J39" s="510" t="s">
        <v>6174</v>
      </c>
      <c r="K39" s="1313">
        <v>41660</v>
      </c>
      <c r="L39" s="929">
        <v>3200</v>
      </c>
      <c r="M39" s="1263">
        <v>11247</v>
      </c>
      <c r="N39" s="1313">
        <v>41660</v>
      </c>
      <c r="O39" s="1313">
        <v>42024</v>
      </c>
      <c r="P39" s="1267" t="s">
        <v>6171</v>
      </c>
      <c r="Q39" s="1267" t="s">
        <v>804</v>
      </c>
      <c r="R39" s="1267" t="s">
        <v>6172</v>
      </c>
      <c r="S39" s="1267"/>
      <c r="T39" s="1267" t="s">
        <v>158</v>
      </c>
      <c r="U39" s="1267"/>
      <c r="V39" s="1267"/>
      <c r="W39" s="1267"/>
      <c r="X39" s="1267"/>
      <c r="Y39" s="1267"/>
      <c r="Z39" s="1267"/>
      <c r="AA39" s="1267"/>
      <c r="AB39" s="1267"/>
      <c r="AC39" s="1267"/>
      <c r="AD39" s="1267"/>
      <c r="AE39" s="937"/>
      <c r="AF39" s="321">
        <v>28960</v>
      </c>
      <c r="AG39" s="929">
        <v>28960</v>
      </c>
      <c r="AH39" s="939">
        <f t="shared" si="0"/>
        <v>57920</v>
      </c>
      <c r="AI39" s="940"/>
      <c r="AJ39" s="941"/>
      <c r="AK39" s="524"/>
      <c r="AL39" s="942"/>
      <c r="AM39" s="946"/>
      <c r="AN39" s="944"/>
      <c r="AO39" s="944"/>
      <c r="AP39" s="944"/>
      <c r="AQ39" s="944"/>
      <c r="AR39" s="945"/>
      <c r="AS39" s="1350"/>
      <c r="AT39" s="1314"/>
      <c r="AU39" s="1314"/>
      <c r="AV39" s="1314"/>
      <c r="AW39" s="1314"/>
      <c r="AX39" s="1314"/>
      <c r="AY39" s="1314"/>
      <c r="AZ39" s="1314"/>
      <c r="BA39" s="1314"/>
      <c r="BB39" s="1314"/>
      <c r="BC39" s="1314"/>
      <c r="BD39" s="930"/>
    </row>
    <row r="40" spans="1:2739" ht="25.5" x14ac:dyDescent="0.25">
      <c r="A40" s="1826">
        <v>15</v>
      </c>
      <c r="B40" s="1350" t="s">
        <v>6165</v>
      </c>
      <c r="C40" s="1267" t="s">
        <v>6166</v>
      </c>
      <c r="D40" s="1267" t="s">
        <v>616</v>
      </c>
      <c r="E40" s="1267" t="s">
        <v>6167</v>
      </c>
      <c r="F40" s="510" t="s">
        <v>6168</v>
      </c>
      <c r="G40" s="1263">
        <v>11191</v>
      </c>
      <c r="H40" s="1315" t="s">
        <v>807</v>
      </c>
      <c r="I40" s="510" t="s">
        <v>6173</v>
      </c>
      <c r="J40" s="510" t="s">
        <v>6174</v>
      </c>
      <c r="K40" s="1313">
        <v>41660</v>
      </c>
      <c r="L40" s="929">
        <v>3200</v>
      </c>
      <c r="M40" s="1263">
        <v>11247</v>
      </c>
      <c r="N40" s="1313">
        <v>41660</v>
      </c>
      <c r="O40" s="1313">
        <v>42024</v>
      </c>
      <c r="P40" s="1267" t="s">
        <v>6171</v>
      </c>
      <c r="Q40" s="1267" t="s">
        <v>807</v>
      </c>
      <c r="R40" s="1267" t="s">
        <v>6172</v>
      </c>
      <c r="S40" s="1267"/>
      <c r="T40" s="1267" t="s">
        <v>158</v>
      </c>
      <c r="U40" s="1267"/>
      <c r="V40" s="1267"/>
      <c r="W40" s="1267"/>
      <c r="X40" s="1267"/>
      <c r="Y40" s="1267"/>
      <c r="Z40" s="1267"/>
      <c r="AA40" s="1267"/>
      <c r="AB40" s="1267"/>
      <c r="AC40" s="1267"/>
      <c r="AD40" s="1267"/>
      <c r="AE40" s="937"/>
      <c r="AF40" s="321">
        <v>25600</v>
      </c>
      <c r="AG40" s="929">
        <v>25600</v>
      </c>
      <c r="AH40" s="939">
        <f t="shared" si="0"/>
        <v>51200</v>
      </c>
      <c r="AI40" s="940"/>
      <c r="AJ40" s="941"/>
      <c r="AK40" s="524"/>
      <c r="AL40" s="942"/>
      <c r="AM40" s="946"/>
      <c r="AN40" s="944"/>
      <c r="AO40" s="944"/>
      <c r="AP40" s="944"/>
      <c r="AQ40" s="944"/>
      <c r="AR40" s="945"/>
      <c r="AS40" s="1350"/>
      <c r="AT40" s="1314"/>
      <c r="AU40" s="1314"/>
      <c r="AV40" s="1314"/>
      <c r="AW40" s="1314"/>
      <c r="AX40" s="1314"/>
      <c r="AY40" s="1314"/>
      <c r="AZ40" s="1314"/>
      <c r="BA40" s="1314"/>
      <c r="BB40" s="1314"/>
      <c r="BC40" s="1314"/>
      <c r="BD40" s="930"/>
    </row>
    <row r="41" spans="1:2739" ht="25.5" x14ac:dyDescent="0.25">
      <c r="A41" s="1826">
        <v>16</v>
      </c>
      <c r="B41" s="1350" t="s">
        <v>6165</v>
      </c>
      <c r="C41" s="1267" t="s">
        <v>6166</v>
      </c>
      <c r="D41" s="1267" t="s">
        <v>616</v>
      </c>
      <c r="E41" s="1267" t="s">
        <v>6167</v>
      </c>
      <c r="F41" s="510" t="s">
        <v>6168</v>
      </c>
      <c r="G41" s="1263">
        <v>11191</v>
      </c>
      <c r="H41" s="1315" t="s">
        <v>810</v>
      </c>
      <c r="I41" s="510" t="s">
        <v>6192</v>
      </c>
      <c r="J41" s="510" t="s">
        <v>6193</v>
      </c>
      <c r="K41" s="1313">
        <v>41660</v>
      </c>
      <c r="L41" s="929">
        <v>905</v>
      </c>
      <c r="M41" s="1263">
        <v>11244</v>
      </c>
      <c r="N41" s="1313">
        <v>41660</v>
      </c>
      <c r="O41" s="1313">
        <v>42024</v>
      </c>
      <c r="P41" s="1267" t="s">
        <v>6171</v>
      </c>
      <c r="Q41" s="1267" t="s">
        <v>810</v>
      </c>
      <c r="R41" s="1267" t="s">
        <v>6172</v>
      </c>
      <c r="S41" s="1267"/>
      <c r="T41" s="1267" t="s">
        <v>158</v>
      </c>
      <c r="U41" s="1267"/>
      <c r="V41" s="1267"/>
      <c r="W41" s="1267"/>
      <c r="X41" s="1267"/>
      <c r="Y41" s="1267"/>
      <c r="Z41" s="1267"/>
      <c r="AA41" s="1267"/>
      <c r="AB41" s="1267"/>
      <c r="AC41" s="1267"/>
      <c r="AD41" s="1267"/>
      <c r="AE41" s="937"/>
      <c r="AF41" s="321">
        <v>9100</v>
      </c>
      <c r="AG41" s="929">
        <v>9100</v>
      </c>
      <c r="AH41" s="939">
        <f t="shared" si="0"/>
        <v>18200</v>
      </c>
      <c r="AI41" s="940"/>
      <c r="AJ41" s="941"/>
      <c r="AK41" s="524"/>
      <c r="AL41" s="942"/>
      <c r="AM41" s="946"/>
      <c r="AN41" s="944"/>
      <c r="AO41" s="944"/>
      <c r="AP41" s="944"/>
      <c r="AQ41" s="944"/>
      <c r="AR41" s="945"/>
      <c r="AS41" s="1350"/>
      <c r="AT41" s="1314"/>
      <c r="AU41" s="1314"/>
      <c r="AV41" s="1314"/>
      <c r="AW41" s="1314"/>
      <c r="AX41" s="1314"/>
      <c r="AY41" s="1314"/>
      <c r="AZ41" s="1314"/>
      <c r="BA41" s="1314"/>
      <c r="BB41" s="1314"/>
      <c r="BC41" s="1314"/>
      <c r="BD41" s="930"/>
    </row>
    <row r="42" spans="1:2739" ht="24" customHeight="1" x14ac:dyDescent="0.25">
      <c r="A42" s="1826">
        <v>17</v>
      </c>
      <c r="B42" s="1350" t="s">
        <v>6165</v>
      </c>
      <c r="C42" s="1267" t="s">
        <v>6166</v>
      </c>
      <c r="D42" s="1267" t="s">
        <v>616</v>
      </c>
      <c r="E42" s="1267" t="s">
        <v>6167</v>
      </c>
      <c r="F42" s="510" t="s">
        <v>6168</v>
      </c>
      <c r="G42" s="1263">
        <v>11191</v>
      </c>
      <c r="H42" s="1315" t="s">
        <v>811</v>
      </c>
      <c r="I42" s="510" t="s">
        <v>6194</v>
      </c>
      <c r="J42" s="510" t="s">
        <v>6195</v>
      </c>
      <c r="K42" s="1313">
        <v>41660</v>
      </c>
      <c r="L42" s="929">
        <v>890</v>
      </c>
      <c r="M42" s="1263">
        <v>11244</v>
      </c>
      <c r="N42" s="1313">
        <v>41660</v>
      </c>
      <c r="O42" s="1313">
        <v>42024</v>
      </c>
      <c r="P42" s="1267" t="s">
        <v>6171</v>
      </c>
      <c r="Q42" s="1267" t="s">
        <v>811</v>
      </c>
      <c r="R42" s="1267" t="s">
        <v>6172</v>
      </c>
      <c r="S42" s="1267"/>
      <c r="T42" s="1267" t="s">
        <v>158</v>
      </c>
      <c r="U42" s="1267"/>
      <c r="V42" s="1267"/>
      <c r="W42" s="1267"/>
      <c r="X42" s="1267"/>
      <c r="Y42" s="1267"/>
      <c r="Z42" s="1267"/>
      <c r="AA42" s="1267"/>
      <c r="AB42" s="1267"/>
      <c r="AC42" s="1267"/>
      <c r="AD42" s="1267"/>
      <c r="AE42" s="937"/>
      <c r="AF42" s="321">
        <v>8010</v>
      </c>
      <c r="AG42" s="929">
        <v>8010</v>
      </c>
      <c r="AH42" s="939">
        <f t="shared" si="0"/>
        <v>16020</v>
      </c>
      <c r="AI42" s="940"/>
      <c r="AJ42" s="941"/>
      <c r="AK42" s="524"/>
      <c r="AL42" s="942"/>
      <c r="AM42" s="946"/>
      <c r="AN42" s="944"/>
      <c r="AO42" s="944"/>
      <c r="AP42" s="944"/>
      <c r="AQ42" s="944"/>
      <c r="AR42" s="945"/>
      <c r="AS42" s="1350"/>
      <c r="AT42" s="1314"/>
      <c r="AU42" s="1314"/>
      <c r="AV42" s="1314"/>
      <c r="AW42" s="1314"/>
      <c r="AX42" s="1314"/>
      <c r="AY42" s="1314"/>
      <c r="AZ42" s="1314"/>
      <c r="BA42" s="1314"/>
      <c r="BB42" s="1314"/>
      <c r="BC42" s="1314"/>
      <c r="BD42" s="930"/>
    </row>
    <row r="43" spans="1:2739" ht="25.5" x14ac:dyDescent="0.25">
      <c r="A43" s="1826">
        <v>18</v>
      </c>
      <c r="B43" s="1350" t="s">
        <v>6165</v>
      </c>
      <c r="C43" s="1267" t="s">
        <v>6166</v>
      </c>
      <c r="D43" s="1267" t="s">
        <v>616</v>
      </c>
      <c r="E43" s="1267" t="s">
        <v>6167</v>
      </c>
      <c r="F43" s="510" t="s">
        <v>6168</v>
      </c>
      <c r="G43" s="1263">
        <v>11191</v>
      </c>
      <c r="H43" s="1315" t="s">
        <v>814</v>
      </c>
      <c r="I43" s="510" t="s">
        <v>6190</v>
      </c>
      <c r="J43" s="510" t="s">
        <v>6191</v>
      </c>
      <c r="K43" s="1313">
        <v>41660</v>
      </c>
      <c r="L43" s="929">
        <v>3350</v>
      </c>
      <c r="M43" s="1263">
        <v>11244</v>
      </c>
      <c r="N43" s="1313">
        <v>41660</v>
      </c>
      <c r="O43" s="1313">
        <v>42024</v>
      </c>
      <c r="P43" s="1267" t="s">
        <v>6171</v>
      </c>
      <c r="Q43" s="1267" t="s">
        <v>814</v>
      </c>
      <c r="R43" s="1267" t="s">
        <v>6172</v>
      </c>
      <c r="S43" s="1267"/>
      <c r="T43" s="1267" t="s">
        <v>208</v>
      </c>
      <c r="U43" s="1267"/>
      <c r="V43" s="1267"/>
      <c r="W43" s="1267"/>
      <c r="X43" s="1267"/>
      <c r="Y43" s="1267"/>
      <c r="Z43" s="1267"/>
      <c r="AA43" s="1267"/>
      <c r="AB43" s="1267"/>
      <c r="AC43" s="1267"/>
      <c r="AD43" s="1267"/>
      <c r="AE43" s="937"/>
      <c r="AF43" s="321">
        <v>60150</v>
      </c>
      <c r="AG43" s="929">
        <v>60150</v>
      </c>
      <c r="AH43" s="939">
        <f t="shared" si="0"/>
        <v>120300</v>
      </c>
      <c r="AI43" s="940"/>
      <c r="AJ43" s="941"/>
      <c r="AK43" s="524"/>
      <c r="AL43" s="942"/>
      <c r="AM43" s="946"/>
      <c r="AN43" s="944"/>
      <c r="AO43" s="944"/>
      <c r="AP43" s="944"/>
      <c r="AQ43" s="944"/>
      <c r="AR43" s="945"/>
      <c r="AS43" s="1350"/>
      <c r="AT43" s="1314"/>
      <c r="AU43" s="1314"/>
      <c r="AV43" s="1314"/>
      <c r="AW43" s="1314"/>
      <c r="AX43" s="1314"/>
      <c r="AY43" s="1314"/>
      <c r="AZ43" s="1314"/>
      <c r="BA43" s="1314"/>
      <c r="BB43" s="1314"/>
      <c r="BC43" s="1314"/>
      <c r="BD43" s="930"/>
    </row>
    <row r="44" spans="1:2739" ht="25.5" x14ac:dyDescent="0.25">
      <c r="A44" s="1826">
        <v>19</v>
      </c>
      <c r="B44" s="1350" t="s">
        <v>6165</v>
      </c>
      <c r="C44" s="1267" t="s">
        <v>6166</v>
      </c>
      <c r="D44" s="1267" t="s">
        <v>616</v>
      </c>
      <c r="E44" s="1267" t="s">
        <v>6167</v>
      </c>
      <c r="F44" s="510" t="s">
        <v>6168</v>
      </c>
      <c r="G44" s="1263">
        <v>11191</v>
      </c>
      <c r="H44" s="1315" t="s">
        <v>817</v>
      </c>
      <c r="I44" s="510" t="s">
        <v>6196</v>
      </c>
      <c r="J44" s="510" t="s">
        <v>1406</v>
      </c>
      <c r="K44" s="1313">
        <v>41660</v>
      </c>
      <c r="L44" s="929">
        <v>766</v>
      </c>
      <c r="M44" s="1263">
        <v>11251</v>
      </c>
      <c r="N44" s="1313">
        <v>41660</v>
      </c>
      <c r="O44" s="1313">
        <v>42024</v>
      </c>
      <c r="P44" s="1267" t="s">
        <v>6171</v>
      </c>
      <c r="Q44" s="1267" t="s">
        <v>817</v>
      </c>
      <c r="R44" s="1267" t="s">
        <v>6172</v>
      </c>
      <c r="S44" s="1267"/>
      <c r="T44" s="1267" t="s">
        <v>208</v>
      </c>
      <c r="U44" s="1267"/>
      <c r="V44" s="1267"/>
      <c r="W44" s="1267"/>
      <c r="X44" s="1267"/>
      <c r="Y44" s="1267"/>
      <c r="Z44" s="1267"/>
      <c r="AA44" s="1267"/>
      <c r="AB44" s="1267"/>
      <c r="AC44" s="1267"/>
      <c r="AD44" s="1267"/>
      <c r="AE44" s="937"/>
      <c r="AF44" s="321">
        <v>4830</v>
      </c>
      <c r="AG44" s="929">
        <v>4830</v>
      </c>
      <c r="AH44" s="939">
        <f t="shared" si="0"/>
        <v>9660</v>
      </c>
      <c r="AI44" s="940"/>
      <c r="AJ44" s="941"/>
      <c r="AK44" s="524"/>
      <c r="AL44" s="942"/>
      <c r="AM44" s="946"/>
      <c r="AN44" s="944"/>
      <c r="AO44" s="944"/>
      <c r="AP44" s="944"/>
      <c r="AQ44" s="944"/>
      <c r="AR44" s="945"/>
      <c r="AS44" s="1350"/>
      <c r="AT44" s="1314"/>
      <c r="AU44" s="1314"/>
      <c r="AV44" s="1314"/>
      <c r="AW44" s="1314"/>
      <c r="AX44" s="1314"/>
      <c r="AY44" s="1314"/>
      <c r="AZ44" s="1314"/>
      <c r="BA44" s="1314"/>
      <c r="BB44" s="1314"/>
      <c r="BC44" s="1314"/>
      <c r="BD44" s="930"/>
    </row>
    <row r="45" spans="1:2739" ht="25.5" x14ac:dyDescent="0.25">
      <c r="A45" s="1826">
        <v>20</v>
      </c>
      <c r="B45" s="1350" t="s">
        <v>6197</v>
      </c>
      <c r="C45" s="1267" t="s">
        <v>6198</v>
      </c>
      <c r="D45" s="1267" t="s">
        <v>616</v>
      </c>
      <c r="E45" s="1267" t="s">
        <v>6167</v>
      </c>
      <c r="F45" s="510" t="s">
        <v>6199</v>
      </c>
      <c r="G45" s="1263">
        <v>11211</v>
      </c>
      <c r="H45" s="1315" t="s">
        <v>823</v>
      </c>
      <c r="I45" s="510" t="s">
        <v>6200</v>
      </c>
      <c r="J45" s="510" t="s">
        <v>6201</v>
      </c>
      <c r="K45" s="1313">
        <v>41661</v>
      </c>
      <c r="L45" s="929">
        <v>101000</v>
      </c>
      <c r="M45" s="1263">
        <v>11244</v>
      </c>
      <c r="N45" s="1313">
        <v>41661</v>
      </c>
      <c r="O45" s="1313">
        <v>42025</v>
      </c>
      <c r="P45" s="1267" t="s">
        <v>6171</v>
      </c>
      <c r="Q45" s="1267" t="s">
        <v>823</v>
      </c>
      <c r="R45" s="1267" t="s">
        <v>6172</v>
      </c>
      <c r="S45" s="1267"/>
      <c r="T45" s="1267" t="s">
        <v>408</v>
      </c>
      <c r="U45" s="1267"/>
      <c r="V45" s="1267"/>
      <c r="W45" s="1267"/>
      <c r="X45" s="1267"/>
      <c r="Y45" s="1267"/>
      <c r="Z45" s="1267"/>
      <c r="AA45" s="1267"/>
      <c r="AB45" s="1267"/>
      <c r="AC45" s="1267"/>
      <c r="AD45" s="1267"/>
      <c r="AE45" s="937"/>
      <c r="AF45" s="321"/>
      <c r="AG45" s="929"/>
      <c r="AH45" s="939">
        <f t="shared" si="0"/>
        <v>0</v>
      </c>
      <c r="AI45" s="940"/>
      <c r="AJ45" s="941"/>
      <c r="AK45" s="524"/>
      <c r="AL45" s="942"/>
      <c r="AM45" s="946"/>
      <c r="AN45" s="944"/>
      <c r="AO45" s="944"/>
      <c r="AP45" s="944"/>
      <c r="AQ45" s="944"/>
      <c r="AR45" s="945"/>
      <c r="AS45" s="1350"/>
      <c r="AT45" s="1314"/>
      <c r="AU45" s="1314"/>
      <c r="AV45" s="1314"/>
      <c r="AW45" s="1314"/>
      <c r="AX45" s="1314"/>
      <c r="AY45" s="1314"/>
      <c r="AZ45" s="1314"/>
      <c r="BA45" s="1314"/>
      <c r="BB45" s="1314"/>
      <c r="BC45" s="1314"/>
      <c r="BD45" s="930"/>
    </row>
    <row r="46" spans="1:2739" s="422" customFormat="1" ht="25.5" x14ac:dyDescent="0.25">
      <c r="A46" s="1827">
        <v>21</v>
      </c>
      <c r="B46" s="1276"/>
      <c r="C46" s="1239"/>
      <c r="D46" s="1239" t="s">
        <v>616</v>
      </c>
      <c r="E46" s="1239" t="s">
        <v>6167</v>
      </c>
      <c r="F46" s="1354"/>
      <c r="G46" s="1243"/>
      <c r="H46" s="1246" t="s">
        <v>6202</v>
      </c>
      <c r="I46" s="1354" t="s">
        <v>5055</v>
      </c>
      <c r="J46" s="1354" t="s">
        <v>4325</v>
      </c>
      <c r="K46" s="1244">
        <v>41666</v>
      </c>
      <c r="L46" s="948">
        <v>180096.6</v>
      </c>
      <c r="M46" s="1243">
        <v>11251</v>
      </c>
      <c r="N46" s="1244">
        <v>41666</v>
      </c>
      <c r="O46" s="1244">
        <v>42030</v>
      </c>
      <c r="P46" s="1239" t="s">
        <v>6171</v>
      </c>
      <c r="Q46" s="1239" t="s">
        <v>828</v>
      </c>
      <c r="R46" s="1239" t="s">
        <v>6172</v>
      </c>
      <c r="S46" s="1239"/>
      <c r="T46" s="1239" t="s">
        <v>316</v>
      </c>
      <c r="U46" s="1239"/>
      <c r="V46" s="1239"/>
      <c r="W46" s="1239"/>
      <c r="X46" s="1239"/>
      <c r="Y46" s="1239"/>
      <c r="Z46" s="1239"/>
      <c r="AA46" s="1239"/>
      <c r="AB46" s="1239"/>
      <c r="AC46" s="1239"/>
      <c r="AD46" s="1239"/>
      <c r="AE46" s="1321"/>
      <c r="AF46" s="1285"/>
      <c r="AG46" s="948">
        <v>3300</v>
      </c>
      <c r="AH46" s="949">
        <f t="shared" si="0"/>
        <v>3300</v>
      </c>
      <c r="AI46" s="950" t="s">
        <v>5057</v>
      </c>
      <c r="AJ46" s="1243">
        <v>11152</v>
      </c>
      <c r="AK46" s="1284" t="s">
        <v>6203</v>
      </c>
      <c r="AL46" s="1245">
        <v>11258</v>
      </c>
      <c r="AM46" s="179"/>
      <c r="AN46" s="181"/>
      <c r="AO46" s="181"/>
      <c r="AP46" s="181"/>
      <c r="AQ46" s="181"/>
      <c r="AR46" s="182"/>
      <c r="AS46" s="1276"/>
      <c r="AT46" s="1248"/>
      <c r="AU46" s="1248"/>
      <c r="AV46" s="1248"/>
      <c r="AW46" s="1248"/>
      <c r="AX46" s="1248"/>
      <c r="AY46" s="1248"/>
      <c r="AZ46" s="1248"/>
      <c r="BA46" s="1248"/>
      <c r="BB46" s="1248"/>
      <c r="BC46" s="1248"/>
      <c r="BD46" s="53"/>
    </row>
    <row r="47" spans="1:2739" s="1821" customFormat="1" ht="38.25" x14ac:dyDescent="0.25">
      <c r="A47" s="1826">
        <v>22</v>
      </c>
      <c r="B47" s="1350" t="s">
        <v>6204</v>
      </c>
      <c r="C47" s="1267" t="s">
        <v>6205</v>
      </c>
      <c r="D47" s="1267" t="s">
        <v>616</v>
      </c>
      <c r="E47" s="1267" t="s">
        <v>6167</v>
      </c>
      <c r="F47" s="510" t="s">
        <v>6206</v>
      </c>
      <c r="G47" s="1263">
        <v>11216</v>
      </c>
      <c r="H47" s="1315" t="s">
        <v>831</v>
      </c>
      <c r="I47" s="510" t="s">
        <v>6207</v>
      </c>
      <c r="J47" s="1820" t="s">
        <v>330</v>
      </c>
      <c r="K47" s="1313">
        <v>41666</v>
      </c>
      <c r="L47" s="929">
        <v>10800</v>
      </c>
      <c r="M47" s="1263">
        <v>11253</v>
      </c>
      <c r="N47" s="1313">
        <v>41666</v>
      </c>
      <c r="O47" s="1313">
        <v>42030</v>
      </c>
      <c r="P47" s="1267" t="s">
        <v>6171</v>
      </c>
      <c r="Q47" s="1267" t="s">
        <v>831</v>
      </c>
      <c r="R47" s="1267" t="s">
        <v>6172</v>
      </c>
      <c r="S47" s="1267"/>
      <c r="T47" s="1267" t="s">
        <v>316</v>
      </c>
      <c r="U47" s="1267"/>
      <c r="V47" s="1267"/>
      <c r="W47" s="1267"/>
      <c r="X47" s="1267"/>
      <c r="Y47" s="1267"/>
      <c r="Z47" s="1267"/>
      <c r="AA47" s="1267"/>
      <c r="AB47" s="1267"/>
      <c r="AC47" s="1267"/>
      <c r="AD47" s="1267"/>
      <c r="AE47" s="937"/>
      <c r="AF47" s="321"/>
      <c r="AG47" s="929">
        <v>15870.65</v>
      </c>
      <c r="AH47" s="939">
        <f t="shared" si="0"/>
        <v>15870.65</v>
      </c>
      <c r="AI47" s="951" t="s">
        <v>5057</v>
      </c>
      <c r="AJ47" s="1263">
        <v>11152</v>
      </c>
      <c r="AK47" s="341" t="s">
        <v>6203</v>
      </c>
      <c r="AL47" s="1247">
        <v>11258</v>
      </c>
      <c r="AM47" s="946"/>
      <c r="AN47" s="944"/>
      <c r="AO47" s="944"/>
      <c r="AP47" s="944"/>
      <c r="AQ47" s="944"/>
      <c r="AR47" s="945"/>
      <c r="AS47" s="1350"/>
      <c r="AT47" s="1314"/>
      <c r="AU47" s="1314"/>
      <c r="AV47" s="1314"/>
      <c r="AW47" s="1314"/>
      <c r="AX47" s="1314"/>
      <c r="AY47" s="1314"/>
      <c r="AZ47" s="1314"/>
      <c r="BA47" s="1314"/>
      <c r="BB47" s="1314"/>
      <c r="BC47" s="1314"/>
      <c r="BD47" s="930"/>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c r="EB47" s="422"/>
      <c r="EC47" s="422"/>
      <c r="ED47" s="422"/>
      <c r="EE47" s="422"/>
      <c r="EF47" s="422"/>
      <c r="EG47" s="422"/>
      <c r="EH47" s="422"/>
      <c r="EI47" s="422"/>
      <c r="EJ47" s="422"/>
      <c r="EK47" s="422"/>
      <c r="EL47" s="422"/>
      <c r="EM47" s="422"/>
      <c r="EN47" s="422"/>
      <c r="EO47" s="422"/>
      <c r="EP47" s="422"/>
      <c r="EQ47" s="422"/>
      <c r="ER47" s="422"/>
      <c r="ES47" s="422"/>
      <c r="ET47" s="422"/>
      <c r="EU47" s="422"/>
      <c r="EV47" s="422"/>
      <c r="EW47" s="422"/>
      <c r="EX47" s="422"/>
      <c r="EY47" s="422"/>
      <c r="EZ47" s="422"/>
      <c r="FA47" s="422"/>
      <c r="FB47" s="422"/>
      <c r="FC47" s="422"/>
      <c r="FD47" s="422"/>
      <c r="FE47" s="422"/>
      <c r="FF47" s="422"/>
      <c r="FG47" s="422"/>
      <c r="FH47" s="422"/>
      <c r="FI47" s="422"/>
      <c r="FJ47" s="422"/>
      <c r="FK47" s="422"/>
      <c r="FL47" s="422"/>
      <c r="FM47" s="422"/>
      <c r="FN47" s="422"/>
      <c r="FO47" s="422"/>
      <c r="FP47" s="422"/>
      <c r="FQ47" s="422"/>
      <c r="FR47" s="422"/>
      <c r="FS47" s="422"/>
      <c r="FT47" s="422"/>
      <c r="FU47" s="422"/>
      <c r="FV47" s="422"/>
      <c r="FW47" s="422"/>
      <c r="FX47" s="422"/>
      <c r="FY47" s="422"/>
      <c r="FZ47" s="422"/>
      <c r="GA47" s="422"/>
      <c r="GB47" s="422"/>
      <c r="GC47" s="422"/>
      <c r="GD47" s="422"/>
      <c r="GE47" s="422"/>
      <c r="GF47" s="422"/>
      <c r="GG47" s="422"/>
      <c r="GH47" s="422"/>
      <c r="GI47" s="422"/>
      <c r="GJ47" s="422"/>
      <c r="GK47" s="422"/>
      <c r="GL47" s="422"/>
      <c r="GM47" s="422"/>
      <c r="GN47" s="422"/>
      <c r="GO47" s="422"/>
      <c r="GP47" s="422"/>
      <c r="GQ47" s="422"/>
      <c r="GR47" s="422"/>
      <c r="GS47" s="422"/>
      <c r="GT47" s="422"/>
      <c r="GU47" s="422"/>
      <c r="GV47" s="422"/>
      <c r="GW47" s="422"/>
      <c r="GX47" s="422"/>
      <c r="GY47" s="422"/>
      <c r="GZ47" s="422"/>
      <c r="HA47" s="422"/>
      <c r="HB47" s="422"/>
      <c r="HC47" s="422"/>
      <c r="HD47" s="422"/>
      <c r="HE47" s="422"/>
      <c r="HF47" s="422"/>
      <c r="HG47" s="422"/>
      <c r="HH47" s="422"/>
      <c r="HI47" s="422"/>
      <c r="HJ47" s="422"/>
      <c r="HK47" s="422"/>
      <c r="HL47" s="422"/>
      <c r="HM47" s="422"/>
      <c r="HN47" s="422"/>
      <c r="HO47" s="422"/>
      <c r="HP47" s="422"/>
      <c r="HQ47" s="422"/>
      <c r="HR47" s="422"/>
      <c r="HS47" s="422"/>
      <c r="HT47" s="422"/>
      <c r="HU47" s="422"/>
      <c r="HV47" s="422"/>
      <c r="HW47" s="422"/>
      <c r="HX47" s="422"/>
      <c r="HY47" s="422"/>
      <c r="HZ47" s="422"/>
      <c r="IA47" s="422"/>
      <c r="IB47" s="422"/>
      <c r="IC47" s="422"/>
      <c r="ID47" s="422"/>
      <c r="IE47" s="422"/>
      <c r="IF47" s="422"/>
      <c r="IG47" s="422"/>
      <c r="IH47" s="422"/>
      <c r="II47" s="422"/>
      <c r="IJ47" s="422"/>
      <c r="IK47" s="422"/>
      <c r="IL47" s="422"/>
      <c r="IM47" s="422"/>
      <c r="IN47" s="422"/>
      <c r="IO47" s="422"/>
      <c r="IP47" s="422"/>
      <c r="IQ47" s="422"/>
      <c r="IR47" s="422"/>
      <c r="IS47" s="422"/>
      <c r="IT47" s="422"/>
      <c r="IU47" s="422"/>
      <c r="IV47" s="422"/>
      <c r="IW47" s="422"/>
      <c r="IX47" s="422"/>
      <c r="IY47" s="422"/>
      <c r="IZ47" s="422"/>
      <c r="JA47" s="422"/>
      <c r="JB47" s="422"/>
      <c r="JC47" s="422"/>
      <c r="JD47" s="422"/>
      <c r="JE47" s="422"/>
      <c r="JF47" s="422"/>
      <c r="JG47" s="422"/>
      <c r="JH47" s="422"/>
      <c r="JI47" s="422"/>
      <c r="JJ47" s="422"/>
      <c r="JK47" s="422"/>
      <c r="JL47" s="422"/>
      <c r="JM47" s="422"/>
      <c r="JN47" s="422"/>
      <c r="JO47" s="422"/>
      <c r="JP47" s="422"/>
      <c r="JQ47" s="422"/>
      <c r="JR47" s="422"/>
      <c r="JS47" s="422"/>
      <c r="JT47" s="422"/>
      <c r="JU47" s="422"/>
      <c r="JV47" s="422"/>
      <c r="JW47" s="422"/>
      <c r="JX47" s="422"/>
      <c r="JY47" s="422"/>
      <c r="JZ47" s="422"/>
      <c r="KA47" s="422"/>
      <c r="KB47" s="422"/>
      <c r="KC47" s="422"/>
      <c r="KD47" s="422"/>
      <c r="KE47" s="422"/>
      <c r="KF47" s="422"/>
      <c r="KG47" s="422"/>
      <c r="KH47" s="422"/>
      <c r="KI47" s="422"/>
      <c r="KJ47" s="422"/>
      <c r="KK47" s="422"/>
      <c r="KL47" s="422"/>
      <c r="KM47" s="422"/>
      <c r="KN47" s="422"/>
      <c r="KO47" s="422"/>
      <c r="KP47" s="422"/>
      <c r="KQ47" s="422"/>
      <c r="KR47" s="422"/>
      <c r="KS47" s="422"/>
      <c r="KT47" s="422"/>
      <c r="KU47" s="422"/>
      <c r="KV47" s="422"/>
      <c r="KW47" s="422"/>
      <c r="KX47" s="422"/>
      <c r="KY47" s="422"/>
      <c r="KZ47" s="422"/>
      <c r="LA47" s="422"/>
      <c r="LB47" s="422"/>
      <c r="LC47" s="422"/>
      <c r="LD47" s="422"/>
      <c r="LE47" s="422"/>
      <c r="LF47" s="422"/>
      <c r="LG47" s="422"/>
      <c r="LH47" s="422"/>
      <c r="LI47" s="422"/>
      <c r="LJ47" s="422"/>
      <c r="LK47" s="422"/>
      <c r="LL47" s="422"/>
      <c r="LM47" s="422"/>
      <c r="LN47" s="422"/>
      <c r="LO47" s="422"/>
      <c r="LP47" s="422"/>
      <c r="LQ47" s="422"/>
      <c r="LR47" s="422"/>
      <c r="LS47" s="422"/>
      <c r="LT47" s="422"/>
      <c r="LU47" s="422"/>
      <c r="LV47" s="422"/>
      <c r="LW47" s="422"/>
      <c r="LX47" s="422"/>
      <c r="LY47" s="422"/>
      <c r="LZ47" s="422"/>
      <c r="MA47" s="422"/>
      <c r="MB47" s="422"/>
      <c r="MC47" s="422"/>
      <c r="MD47" s="422"/>
      <c r="ME47" s="422"/>
      <c r="MF47" s="422"/>
      <c r="MG47" s="422"/>
      <c r="MH47" s="422"/>
      <c r="MI47" s="422"/>
      <c r="MJ47" s="422"/>
      <c r="MK47" s="422"/>
      <c r="ML47" s="422"/>
      <c r="MM47" s="422"/>
      <c r="MN47" s="422"/>
      <c r="MO47" s="422"/>
      <c r="MP47" s="422"/>
      <c r="MQ47" s="422"/>
      <c r="MR47" s="422"/>
      <c r="MS47" s="422"/>
      <c r="MT47" s="422"/>
      <c r="MU47" s="422"/>
      <c r="MV47" s="422"/>
      <c r="MW47" s="422"/>
      <c r="MX47" s="422"/>
      <c r="MY47" s="422"/>
      <c r="MZ47" s="422"/>
      <c r="NA47" s="422"/>
      <c r="NB47" s="422"/>
      <c r="NC47" s="422"/>
      <c r="ND47" s="422"/>
      <c r="NE47" s="422"/>
      <c r="NF47" s="422"/>
      <c r="NG47" s="422"/>
      <c r="NH47" s="422"/>
      <c r="NI47" s="422"/>
      <c r="NJ47" s="422"/>
      <c r="NK47" s="422"/>
      <c r="NL47" s="422"/>
      <c r="NM47" s="422"/>
      <c r="NN47" s="422"/>
      <c r="NO47" s="422"/>
      <c r="NP47" s="422"/>
      <c r="NQ47" s="422"/>
      <c r="NR47" s="422"/>
      <c r="NS47" s="422"/>
      <c r="NT47" s="422"/>
      <c r="NU47" s="422"/>
      <c r="NV47" s="422"/>
      <c r="NW47" s="422"/>
      <c r="NX47" s="422"/>
      <c r="NY47" s="422"/>
      <c r="NZ47" s="422"/>
      <c r="OA47" s="422"/>
      <c r="OB47" s="422"/>
      <c r="OC47" s="422"/>
      <c r="OD47" s="422"/>
      <c r="OE47" s="422"/>
      <c r="OF47" s="422"/>
      <c r="OG47" s="422"/>
      <c r="OH47" s="422"/>
      <c r="OI47" s="422"/>
      <c r="OJ47" s="422"/>
      <c r="OK47" s="422"/>
      <c r="OL47" s="422"/>
      <c r="OM47" s="422"/>
      <c r="ON47" s="422"/>
      <c r="OO47" s="422"/>
      <c r="OP47" s="422"/>
      <c r="OQ47" s="422"/>
      <c r="OR47" s="422"/>
      <c r="OS47" s="422"/>
      <c r="OT47" s="422"/>
      <c r="OU47" s="422"/>
      <c r="OV47" s="422"/>
      <c r="OW47" s="422"/>
      <c r="OX47" s="422"/>
      <c r="OY47" s="422"/>
      <c r="OZ47" s="422"/>
      <c r="PA47" s="422"/>
      <c r="PB47" s="422"/>
      <c r="PC47" s="422"/>
      <c r="PD47" s="422"/>
      <c r="PE47" s="422"/>
      <c r="PF47" s="422"/>
      <c r="PG47" s="422"/>
      <c r="PH47" s="422"/>
      <c r="PI47" s="422"/>
      <c r="PJ47" s="422"/>
      <c r="PK47" s="422"/>
      <c r="PL47" s="422"/>
      <c r="PM47" s="422"/>
      <c r="PN47" s="422"/>
      <c r="PO47" s="422"/>
      <c r="PP47" s="422"/>
      <c r="PQ47" s="422"/>
      <c r="PR47" s="422"/>
      <c r="PS47" s="422"/>
      <c r="PT47" s="422"/>
      <c r="PU47" s="422"/>
      <c r="PV47" s="422"/>
      <c r="PW47" s="422"/>
      <c r="PX47" s="422"/>
      <c r="PY47" s="422"/>
      <c r="PZ47" s="422"/>
      <c r="QA47" s="422"/>
      <c r="QB47" s="422"/>
      <c r="QC47" s="422"/>
      <c r="QD47" s="422"/>
      <c r="QE47" s="422"/>
      <c r="QF47" s="422"/>
      <c r="QG47" s="422"/>
      <c r="QH47" s="422"/>
      <c r="QI47" s="422"/>
      <c r="QJ47" s="422"/>
      <c r="QK47" s="422"/>
      <c r="QL47" s="422"/>
      <c r="QM47" s="422"/>
      <c r="QN47" s="422"/>
      <c r="QO47" s="422"/>
      <c r="QP47" s="422"/>
      <c r="QQ47" s="422"/>
      <c r="QR47" s="422"/>
      <c r="QS47" s="422"/>
      <c r="QT47" s="422"/>
      <c r="QU47" s="422"/>
      <c r="QV47" s="422"/>
      <c r="QW47" s="422"/>
      <c r="QX47" s="422"/>
      <c r="QY47" s="422"/>
      <c r="QZ47" s="422"/>
      <c r="RA47" s="422"/>
      <c r="RB47" s="422"/>
      <c r="RC47" s="422"/>
      <c r="RD47" s="422"/>
      <c r="RE47" s="422"/>
      <c r="RF47" s="422"/>
      <c r="RG47" s="422"/>
      <c r="RH47" s="422"/>
      <c r="RI47" s="422"/>
      <c r="RJ47" s="422"/>
      <c r="RK47" s="422"/>
      <c r="RL47" s="422"/>
      <c r="RM47" s="422"/>
      <c r="RN47" s="422"/>
      <c r="RO47" s="422"/>
      <c r="RP47" s="422"/>
      <c r="RQ47" s="422"/>
      <c r="RR47" s="422"/>
      <c r="RS47" s="422"/>
      <c r="RT47" s="422"/>
      <c r="RU47" s="422"/>
      <c r="RV47" s="422"/>
      <c r="RW47" s="422"/>
      <c r="RX47" s="422"/>
      <c r="RY47" s="422"/>
      <c r="RZ47" s="422"/>
      <c r="SA47" s="422"/>
      <c r="SB47" s="422"/>
      <c r="SC47" s="422"/>
      <c r="SD47" s="422"/>
      <c r="SE47" s="422"/>
      <c r="SF47" s="422"/>
      <c r="SG47" s="422"/>
      <c r="SH47" s="422"/>
      <c r="SI47" s="422"/>
      <c r="SJ47" s="422"/>
      <c r="SK47" s="422"/>
      <c r="SL47" s="422"/>
      <c r="SM47" s="422"/>
      <c r="SN47" s="422"/>
      <c r="SO47" s="422"/>
      <c r="SP47" s="422"/>
      <c r="SQ47" s="422"/>
      <c r="SR47" s="422"/>
      <c r="SS47" s="422"/>
      <c r="ST47" s="422"/>
      <c r="SU47" s="422"/>
      <c r="SV47" s="422"/>
      <c r="SW47" s="422"/>
      <c r="SX47" s="422"/>
      <c r="SY47" s="422"/>
      <c r="SZ47" s="422"/>
      <c r="TA47" s="422"/>
      <c r="TB47" s="422"/>
      <c r="TC47" s="422"/>
      <c r="TD47" s="422"/>
      <c r="TE47" s="422"/>
      <c r="TF47" s="422"/>
      <c r="TG47" s="422"/>
      <c r="TH47" s="422"/>
      <c r="TI47" s="422"/>
      <c r="TJ47" s="422"/>
      <c r="TK47" s="422"/>
      <c r="TL47" s="422"/>
      <c r="TM47" s="422"/>
      <c r="TN47" s="422"/>
      <c r="TO47" s="422"/>
      <c r="TP47" s="422"/>
      <c r="TQ47" s="422"/>
      <c r="TR47" s="422"/>
      <c r="TS47" s="422"/>
      <c r="TT47" s="422"/>
      <c r="TU47" s="422"/>
      <c r="TV47" s="422"/>
      <c r="TW47" s="422"/>
      <c r="TX47" s="422"/>
      <c r="TY47" s="422"/>
      <c r="TZ47" s="422"/>
      <c r="UA47" s="422"/>
      <c r="UB47" s="422"/>
      <c r="UC47" s="422"/>
      <c r="UD47" s="422"/>
      <c r="UE47" s="422"/>
      <c r="UF47" s="422"/>
      <c r="UG47" s="422"/>
      <c r="UH47" s="422"/>
      <c r="UI47" s="422"/>
      <c r="UJ47" s="422"/>
      <c r="UK47" s="422"/>
      <c r="UL47" s="422"/>
      <c r="UM47" s="422"/>
      <c r="UN47" s="422"/>
      <c r="UO47" s="422"/>
      <c r="UP47" s="422"/>
      <c r="UQ47" s="422"/>
      <c r="UR47" s="422"/>
      <c r="US47" s="422"/>
      <c r="UT47" s="422"/>
      <c r="UU47" s="422"/>
      <c r="UV47" s="422"/>
      <c r="UW47" s="422"/>
      <c r="UX47" s="422"/>
      <c r="UY47" s="422"/>
      <c r="UZ47" s="422"/>
      <c r="VA47" s="422"/>
      <c r="VB47" s="422"/>
      <c r="VC47" s="422"/>
      <c r="VD47" s="422"/>
      <c r="VE47" s="422"/>
      <c r="VF47" s="422"/>
      <c r="VG47" s="422"/>
      <c r="VH47" s="422"/>
      <c r="VI47" s="422"/>
      <c r="VJ47" s="422"/>
      <c r="VK47" s="422"/>
      <c r="VL47" s="422"/>
      <c r="VM47" s="422"/>
      <c r="VN47" s="422"/>
      <c r="VO47" s="422"/>
      <c r="VP47" s="422"/>
      <c r="VQ47" s="422"/>
      <c r="VR47" s="422"/>
      <c r="VS47" s="422"/>
      <c r="VT47" s="422"/>
      <c r="VU47" s="422"/>
      <c r="VV47" s="422"/>
      <c r="VW47" s="422"/>
      <c r="VX47" s="422"/>
      <c r="VY47" s="422"/>
      <c r="VZ47" s="422"/>
      <c r="WA47" s="422"/>
      <c r="WB47" s="422"/>
      <c r="WC47" s="422"/>
      <c r="WD47" s="422"/>
      <c r="WE47" s="422"/>
      <c r="WF47" s="422"/>
      <c r="WG47" s="422"/>
      <c r="WH47" s="422"/>
      <c r="WI47" s="422"/>
      <c r="WJ47" s="422"/>
      <c r="WK47" s="422"/>
      <c r="WL47" s="422"/>
      <c r="WM47" s="422"/>
      <c r="WN47" s="422"/>
      <c r="WO47" s="422"/>
      <c r="WP47" s="422"/>
      <c r="WQ47" s="422"/>
      <c r="WR47" s="422"/>
      <c r="WS47" s="422"/>
      <c r="WT47" s="422"/>
      <c r="WU47" s="422"/>
      <c r="WV47" s="422"/>
      <c r="WW47" s="422"/>
      <c r="WX47" s="422"/>
      <c r="WY47" s="422"/>
      <c r="WZ47" s="422"/>
      <c r="XA47" s="422"/>
      <c r="XB47" s="422"/>
      <c r="XC47" s="422"/>
      <c r="XD47" s="422"/>
      <c r="XE47" s="422"/>
      <c r="XF47" s="422"/>
      <c r="XG47" s="422"/>
      <c r="XH47" s="422"/>
      <c r="XI47" s="422"/>
      <c r="XJ47" s="422"/>
      <c r="XK47" s="422"/>
      <c r="XL47" s="422"/>
      <c r="XM47" s="422"/>
      <c r="XN47" s="422"/>
      <c r="XO47" s="422"/>
      <c r="XP47" s="422"/>
      <c r="XQ47" s="422"/>
      <c r="XR47" s="422"/>
      <c r="XS47" s="422"/>
      <c r="XT47" s="422"/>
      <c r="XU47" s="422"/>
      <c r="XV47" s="422"/>
      <c r="XW47" s="422"/>
      <c r="XX47" s="422"/>
      <c r="XY47" s="422"/>
      <c r="XZ47" s="422"/>
      <c r="YA47" s="422"/>
      <c r="YB47" s="422"/>
      <c r="YC47" s="422"/>
      <c r="YD47" s="422"/>
      <c r="YE47" s="422"/>
      <c r="YF47" s="422"/>
      <c r="YG47" s="422"/>
      <c r="YH47" s="422"/>
      <c r="YI47" s="422"/>
      <c r="YJ47" s="422"/>
      <c r="YK47" s="422"/>
      <c r="YL47" s="422"/>
      <c r="YM47" s="422"/>
      <c r="YN47" s="422"/>
      <c r="YO47" s="422"/>
      <c r="YP47" s="422"/>
      <c r="YQ47" s="422"/>
      <c r="YR47" s="422"/>
      <c r="YS47" s="422"/>
      <c r="YT47" s="422"/>
      <c r="YU47" s="422"/>
      <c r="YV47" s="422"/>
      <c r="YW47" s="422"/>
      <c r="YX47" s="422"/>
      <c r="YY47" s="422"/>
      <c r="YZ47" s="422"/>
      <c r="ZA47" s="422"/>
      <c r="ZB47" s="422"/>
      <c r="ZC47" s="422"/>
      <c r="ZD47" s="422"/>
      <c r="ZE47" s="422"/>
      <c r="ZF47" s="422"/>
      <c r="ZG47" s="422"/>
      <c r="ZH47" s="422"/>
      <c r="ZI47" s="422"/>
      <c r="ZJ47" s="422"/>
      <c r="ZK47" s="422"/>
      <c r="ZL47" s="422"/>
      <c r="ZM47" s="422"/>
      <c r="ZN47" s="422"/>
      <c r="ZO47" s="422"/>
      <c r="ZP47" s="422"/>
      <c r="ZQ47" s="422"/>
      <c r="ZR47" s="422"/>
      <c r="ZS47" s="422"/>
      <c r="ZT47" s="422"/>
      <c r="ZU47" s="422"/>
      <c r="ZV47" s="422"/>
      <c r="ZW47" s="422"/>
      <c r="ZX47" s="422"/>
      <c r="ZY47" s="422"/>
      <c r="ZZ47" s="422"/>
      <c r="AAA47" s="422"/>
      <c r="AAB47" s="422"/>
      <c r="AAC47" s="422"/>
      <c r="AAD47" s="422"/>
      <c r="AAE47" s="422"/>
      <c r="AAF47" s="422"/>
      <c r="AAG47" s="422"/>
      <c r="AAH47" s="422"/>
      <c r="AAI47" s="422"/>
      <c r="AAJ47" s="422"/>
      <c r="AAK47" s="422"/>
      <c r="AAL47" s="422"/>
      <c r="AAM47" s="422"/>
      <c r="AAN47" s="422"/>
      <c r="AAO47" s="422"/>
      <c r="AAP47" s="422"/>
      <c r="AAQ47" s="422"/>
      <c r="AAR47" s="422"/>
      <c r="AAS47" s="422"/>
      <c r="AAT47" s="422"/>
      <c r="AAU47" s="422"/>
      <c r="AAV47" s="422"/>
      <c r="AAW47" s="422"/>
      <c r="AAX47" s="422"/>
      <c r="AAY47" s="422"/>
      <c r="AAZ47" s="422"/>
      <c r="ABA47" s="422"/>
      <c r="ABB47" s="422"/>
      <c r="ABC47" s="422"/>
      <c r="ABD47" s="422"/>
      <c r="ABE47" s="422"/>
      <c r="ABF47" s="422"/>
      <c r="ABG47" s="422"/>
      <c r="ABH47" s="422"/>
      <c r="ABI47" s="422"/>
      <c r="ABJ47" s="422"/>
      <c r="ABK47" s="422"/>
      <c r="ABL47" s="422"/>
      <c r="ABM47" s="422"/>
      <c r="ABN47" s="422"/>
      <c r="ABO47" s="422"/>
      <c r="ABP47" s="422"/>
      <c r="ABQ47" s="422"/>
      <c r="ABR47" s="422"/>
      <c r="ABS47" s="422"/>
      <c r="ABT47" s="422"/>
      <c r="ABU47" s="422"/>
      <c r="ABV47" s="422"/>
      <c r="ABW47" s="422"/>
      <c r="ABX47" s="422"/>
      <c r="ABY47" s="422"/>
      <c r="ABZ47" s="422"/>
      <c r="ACA47" s="422"/>
      <c r="ACB47" s="422"/>
      <c r="ACC47" s="422"/>
      <c r="ACD47" s="422"/>
      <c r="ACE47" s="422"/>
      <c r="ACF47" s="422"/>
      <c r="ACG47" s="422"/>
      <c r="ACH47" s="422"/>
      <c r="ACI47" s="422"/>
      <c r="ACJ47" s="422"/>
      <c r="ACK47" s="422"/>
      <c r="ACL47" s="422"/>
      <c r="ACM47" s="422"/>
      <c r="ACN47" s="422"/>
      <c r="ACO47" s="422"/>
      <c r="ACP47" s="422"/>
      <c r="ACQ47" s="422"/>
      <c r="ACR47" s="422"/>
      <c r="ACS47" s="422"/>
      <c r="ACT47" s="422"/>
      <c r="ACU47" s="422"/>
      <c r="ACV47" s="422"/>
      <c r="ACW47" s="422"/>
      <c r="ACX47" s="422"/>
      <c r="ACY47" s="422"/>
      <c r="ACZ47" s="422"/>
      <c r="ADA47" s="422"/>
      <c r="ADB47" s="422"/>
      <c r="ADC47" s="422"/>
      <c r="ADD47" s="422"/>
      <c r="ADE47" s="422"/>
      <c r="ADF47" s="422"/>
      <c r="ADG47" s="422"/>
      <c r="ADH47" s="422"/>
      <c r="ADI47" s="422"/>
      <c r="ADJ47" s="422"/>
      <c r="ADK47" s="422"/>
      <c r="ADL47" s="422"/>
      <c r="ADM47" s="422"/>
      <c r="ADN47" s="422"/>
      <c r="ADO47" s="422"/>
      <c r="ADP47" s="422"/>
      <c r="ADQ47" s="422"/>
      <c r="ADR47" s="422"/>
      <c r="ADS47" s="422"/>
      <c r="ADT47" s="422"/>
      <c r="ADU47" s="422"/>
      <c r="ADV47" s="422"/>
      <c r="ADW47" s="422"/>
      <c r="ADX47" s="422"/>
      <c r="ADY47" s="422"/>
      <c r="ADZ47" s="422"/>
      <c r="AEA47" s="422"/>
      <c r="AEB47" s="422"/>
      <c r="AEC47" s="422"/>
      <c r="AED47" s="422"/>
      <c r="AEE47" s="422"/>
      <c r="AEF47" s="422"/>
      <c r="AEG47" s="422"/>
      <c r="AEH47" s="422"/>
      <c r="AEI47" s="422"/>
      <c r="AEJ47" s="422"/>
      <c r="AEK47" s="422"/>
      <c r="AEL47" s="422"/>
      <c r="AEM47" s="422"/>
      <c r="AEN47" s="422"/>
      <c r="AEO47" s="422"/>
      <c r="AEP47" s="422"/>
      <c r="AEQ47" s="422"/>
      <c r="AER47" s="422"/>
      <c r="AES47" s="422"/>
      <c r="AET47" s="422"/>
      <c r="AEU47" s="422"/>
      <c r="AEV47" s="422"/>
      <c r="AEW47" s="422"/>
      <c r="AEX47" s="422"/>
      <c r="AEY47" s="422"/>
      <c r="AEZ47" s="422"/>
      <c r="AFA47" s="422"/>
      <c r="AFB47" s="422"/>
      <c r="AFC47" s="422"/>
      <c r="AFD47" s="422"/>
      <c r="AFE47" s="422"/>
      <c r="AFF47" s="422"/>
      <c r="AFG47" s="422"/>
      <c r="AFH47" s="422"/>
      <c r="AFI47" s="422"/>
      <c r="AFJ47" s="422"/>
      <c r="AFK47" s="422"/>
      <c r="AFL47" s="422"/>
      <c r="AFM47" s="422"/>
      <c r="AFN47" s="422"/>
      <c r="AFO47" s="422"/>
      <c r="AFP47" s="422"/>
      <c r="AFQ47" s="422"/>
      <c r="AFR47" s="422"/>
      <c r="AFS47" s="422"/>
      <c r="AFT47" s="422"/>
      <c r="AFU47" s="422"/>
      <c r="AFV47" s="422"/>
      <c r="AFW47" s="422"/>
      <c r="AFX47" s="422"/>
      <c r="AFY47" s="422"/>
      <c r="AFZ47" s="422"/>
      <c r="AGA47" s="422"/>
      <c r="AGB47" s="422"/>
      <c r="AGC47" s="422"/>
      <c r="AGD47" s="422"/>
      <c r="AGE47" s="422"/>
      <c r="AGF47" s="422"/>
      <c r="AGG47" s="422"/>
      <c r="AGH47" s="422"/>
      <c r="AGI47" s="422"/>
      <c r="AGJ47" s="422"/>
      <c r="AGK47" s="422"/>
      <c r="AGL47" s="422"/>
      <c r="AGM47" s="422"/>
      <c r="AGN47" s="422"/>
      <c r="AGO47" s="422"/>
      <c r="AGP47" s="422"/>
      <c r="AGQ47" s="422"/>
      <c r="AGR47" s="422"/>
      <c r="AGS47" s="422"/>
      <c r="AGT47" s="422"/>
      <c r="AGU47" s="422"/>
      <c r="AGV47" s="422"/>
      <c r="AGW47" s="422"/>
      <c r="AGX47" s="422"/>
      <c r="AGY47" s="422"/>
      <c r="AGZ47" s="422"/>
      <c r="AHA47" s="422"/>
      <c r="AHB47" s="422"/>
      <c r="AHC47" s="422"/>
      <c r="AHD47" s="422"/>
      <c r="AHE47" s="422"/>
      <c r="AHF47" s="422"/>
      <c r="AHG47" s="422"/>
      <c r="AHH47" s="422"/>
      <c r="AHI47" s="422"/>
      <c r="AHJ47" s="422"/>
      <c r="AHK47" s="422"/>
      <c r="AHL47" s="422"/>
      <c r="AHM47" s="422"/>
      <c r="AHN47" s="422"/>
      <c r="AHO47" s="422"/>
      <c r="AHP47" s="422"/>
      <c r="AHQ47" s="422"/>
      <c r="AHR47" s="422"/>
      <c r="AHS47" s="422"/>
      <c r="AHT47" s="422"/>
      <c r="AHU47" s="422"/>
      <c r="AHV47" s="422"/>
      <c r="AHW47" s="422"/>
      <c r="AHX47" s="422"/>
      <c r="AHY47" s="422"/>
      <c r="AHZ47" s="422"/>
      <c r="AIA47" s="422"/>
      <c r="AIB47" s="422"/>
      <c r="AIC47" s="422"/>
      <c r="AID47" s="422"/>
      <c r="AIE47" s="422"/>
      <c r="AIF47" s="422"/>
      <c r="AIG47" s="422"/>
      <c r="AIH47" s="422"/>
      <c r="AII47" s="422"/>
      <c r="AIJ47" s="422"/>
      <c r="AIK47" s="422"/>
      <c r="AIL47" s="422"/>
      <c r="AIM47" s="422"/>
      <c r="AIN47" s="422"/>
      <c r="AIO47" s="422"/>
      <c r="AIP47" s="422"/>
      <c r="AIQ47" s="422"/>
      <c r="AIR47" s="422"/>
      <c r="AIS47" s="422"/>
      <c r="AIT47" s="422"/>
      <c r="AIU47" s="422"/>
      <c r="AIV47" s="422"/>
      <c r="AIW47" s="422"/>
      <c r="AIX47" s="422"/>
      <c r="AIY47" s="422"/>
      <c r="AIZ47" s="422"/>
      <c r="AJA47" s="422"/>
      <c r="AJB47" s="422"/>
      <c r="AJC47" s="422"/>
      <c r="AJD47" s="422"/>
      <c r="AJE47" s="422"/>
      <c r="AJF47" s="422"/>
      <c r="AJG47" s="422"/>
      <c r="AJH47" s="422"/>
      <c r="AJI47" s="422"/>
      <c r="AJJ47" s="422"/>
      <c r="AJK47" s="422"/>
      <c r="AJL47" s="422"/>
      <c r="AJM47" s="422"/>
      <c r="AJN47" s="422"/>
      <c r="AJO47" s="422"/>
      <c r="AJP47" s="422"/>
      <c r="AJQ47" s="422"/>
      <c r="AJR47" s="422"/>
      <c r="AJS47" s="422"/>
      <c r="AJT47" s="422"/>
      <c r="AJU47" s="422"/>
      <c r="AJV47" s="422"/>
      <c r="AJW47" s="422"/>
      <c r="AJX47" s="422"/>
      <c r="AJY47" s="422"/>
      <c r="AJZ47" s="422"/>
      <c r="AKA47" s="422"/>
      <c r="AKB47" s="422"/>
      <c r="AKC47" s="422"/>
      <c r="AKD47" s="422"/>
      <c r="AKE47" s="422"/>
      <c r="AKF47" s="422"/>
      <c r="AKG47" s="422"/>
      <c r="AKH47" s="422"/>
      <c r="AKI47" s="422"/>
      <c r="AKJ47" s="422"/>
      <c r="AKK47" s="422"/>
      <c r="AKL47" s="422"/>
      <c r="AKM47" s="422"/>
      <c r="AKN47" s="422"/>
      <c r="AKO47" s="422"/>
      <c r="AKP47" s="422"/>
      <c r="AKQ47" s="422"/>
      <c r="AKR47" s="422"/>
      <c r="AKS47" s="422"/>
      <c r="AKT47" s="422"/>
      <c r="AKU47" s="422"/>
      <c r="AKV47" s="422"/>
      <c r="AKW47" s="422"/>
      <c r="AKX47" s="422"/>
      <c r="AKY47" s="422"/>
      <c r="AKZ47" s="422"/>
      <c r="ALA47" s="422"/>
      <c r="ALB47" s="422"/>
      <c r="ALC47" s="422"/>
      <c r="ALD47" s="422"/>
      <c r="ALE47" s="422"/>
      <c r="ALF47" s="422"/>
      <c r="ALG47" s="422"/>
      <c r="ALH47" s="422"/>
      <c r="ALI47" s="422"/>
      <c r="ALJ47" s="422"/>
      <c r="ALK47" s="422"/>
      <c r="ALL47" s="422"/>
      <c r="ALM47" s="422"/>
      <c r="ALN47" s="422"/>
      <c r="ALO47" s="422"/>
      <c r="ALP47" s="422"/>
      <c r="ALQ47" s="422"/>
      <c r="ALR47" s="422"/>
      <c r="ALS47" s="422"/>
      <c r="ALT47" s="422"/>
      <c r="ALU47" s="422"/>
      <c r="ALV47" s="422"/>
      <c r="ALW47" s="422"/>
      <c r="ALX47" s="422"/>
      <c r="ALY47" s="422"/>
      <c r="ALZ47" s="422"/>
      <c r="AMA47" s="422"/>
      <c r="AMB47" s="422"/>
      <c r="AMC47" s="422"/>
      <c r="AMD47" s="422"/>
      <c r="AME47" s="422"/>
      <c r="AMF47" s="422"/>
      <c r="AMG47" s="422"/>
      <c r="AMH47" s="422"/>
      <c r="AMI47" s="422"/>
      <c r="AMJ47" s="422"/>
      <c r="AMK47" s="422"/>
      <c r="AML47" s="422"/>
      <c r="AMM47" s="422"/>
      <c r="AMN47" s="422"/>
      <c r="AMO47" s="422"/>
      <c r="AMP47" s="422"/>
      <c r="AMQ47" s="422"/>
      <c r="AMR47" s="422"/>
      <c r="AMS47" s="422"/>
      <c r="AMT47" s="422"/>
      <c r="AMU47" s="422"/>
      <c r="AMV47" s="422"/>
      <c r="AMW47" s="422"/>
      <c r="AMX47" s="422"/>
      <c r="AMY47" s="422"/>
      <c r="AMZ47" s="422"/>
      <c r="ANA47" s="422"/>
      <c r="ANB47" s="422"/>
      <c r="ANC47" s="422"/>
      <c r="AND47" s="422"/>
      <c r="ANE47" s="422"/>
      <c r="ANF47" s="422"/>
      <c r="ANG47" s="422"/>
      <c r="ANH47" s="422"/>
      <c r="ANI47" s="422"/>
      <c r="ANJ47" s="422"/>
      <c r="ANK47" s="422"/>
      <c r="ANL47" s="422"/>
      <c r="ANM47" s="422"/>
      <c r="ANN47" s="422"/>
      <c r="ANO47" s="422"/>
      <c r="ANP47" s="422"/>
      <c r="ANQ47" s="422"/>
      <c r="ANR47" s="422"/>
      <c r="ANS47" s="422"/>
      <c r="ANT47" s="422"/>
      <c r="ANU47" s="422"/>
      <c r="ANV47" s="422"/>
      <c r="ANW47" s="422"/>
      <c r="ANX47" s="422"/>
      <c r="ANY47" s="422"/>
      <c r="ANZ47" s="422"/>
      <c r="AOA47" s="422"/>
      <c r="AOB47" s="422"/>
      <c r="AOC47" s="422"/>
      <c r="AOD47" s="422"/>
      <c r="AOE47" s="422"/>
      <c r="AOF47" s="422"/>
      <c r="AOG47" s="422"/>
      <c r="AOH47" s="422"/>
      <c r="AOI47" s="422"/>
      <c r="AOJ47" s="422"/>
      <c r="AOK47" s="422"/>
      <c r="AOL47" s="422"/>
      <c r="AOM47" s="422"/>
      <c r="AON47" s="422"/>
      <c r="AOO47" s="422"/>
      <c r="AOP47" s="422"/>
      <c r="AOQ47" s="422"/>
      <c r="AOR47" s="422"/>
      <c r="AOS47" s="422"/>
      <c r="AOT47" s="422"/>
      <c r="AOU47" s="422"/>
      <c r="AOV47" s="422"/>
      <c r="AOW47" s="422"/>
      <c r="AOX47" s="422"/>
      <c r="AOY47" s="422"/>
      <c r="AOZ47" s="422"/>
      <c r="APA47" s="422"/>
      <c r="APB47" s="422"/>
      <c r="APC47" s="422"/>
      <c r="APD47" s="422"/>
      <c r="APE47" s="422"/>
      <c r="APF47" s="422"/>
      <c r="APG47" s="422"/>
      <c r="APH47" s="422"/>
      <c r="API47" s="422"/>
      <c r="APJ47" s="422"/>
      <c r="APK47" s="422"/>
      <c r="APL47" s="422"/>
      <c r="APM47" s="422"/>
      <c r="APN47" s="422"/>
      <c r="APO47" s="422"/>
      <c r="APP47" s="422"/>
      <c r="APQ47" s="422"/>
      <c r="APR47" s="422"/>
      <c r="APS47" s="422"/>
      <c r="APT47" s="422"/>
      <c r="APU47" s="422"/>
      <c r="APV47" s="422"/>
      <c r="APW47" s="422"/>
      <c r="APX47" s="422"/>
      <c r="APY47" s="422"/>
      <c r="APZ47" s="422"/>
      <c r="AQA47" s="422"/>
      <c r="AQB47" s="422"/>
      <c r="AQC47" s="422"/>
      <c r="AQD47" s="422"/>
      <c r="AQE47" s="422"/>
      <c r="AQF47" s="422"/>
      <c r="AQG47" s="422"/>
      <c r="AQH47" s="422"/>
      <c r="AQI47" s="422"/>
      <c r="AQJ47" s="422"/>
      <c r="AQK47" s="422"/>
      <c r="AQL47" s="422"/>
      <c r="AQM47" s="422"/>
      <c r="AQN47" s="422"/>
      <c r="AQO47" s="422"/>
      <c r="AQP47" s="422"/>
      <c r="AQQ47" s="422"/>
      <c r="AQR47" s="422"/>
      <c r="AQS47" s="422"/>
      <c r="AQT47" s="422"/>
      <c r="AQU47" s="422"/>
      <c r="AQV47" s="422"/>
      <c r="AQW47" s="422"/>
      <c r="AQX47" s="422"/>
      <c r="AQY47" s="422"/>
      <c r="AQZ47" s="422"/>
      <c r="ARA47" s="422"/>
      <c r="ARB47" s="422"/>
      <c r="ARC47" s="422"/>
      <c r="ARD47" s="422"/>
      <c r="ARE47" s="422"/>
      <c r="ARF47" s="422"/>
      <c r="ARG47" s="422"/>
      <c r="ARH47" s="422"/>
      <c r="ARI47" s="422"/>
      <c r="ARJ47" s="422"/>
      <c r="ARK47" s="422"/>
      <c r="ARL47" s="422"/>
      <c r="ARM47" s="422"/>
      <c r="ARN47" s="422"/>
      <c r="ARO47" s="422"/>
      <c r="ARP47" s="422"/>
      <c r="ARQ47" s="422"/>
      <c r="ARR47" s="422"/>
      <c r="ARS47" s="422"/>
      <c r="ART47" s="422"/>
      <c r="ARU47" s="422"/>
      <c r="ARV47" s="422"/>
      <c r="ARW47" s="422"/>
      <c r="ARX47" s="422"/>
      <c r="ARY47" s="422"/>
      <c r="ARZ47" s="422"/>
      <c r="ASA47" s="422"/>
      <c r="ASB47" s="422"/>
      <c r="ASC47" s="422"/>
      <c r="ASD47" s="422"/>
      <c r="ASE47" s="422"/>
      <c r="ASF47" s="422"/>
      <c r="ASG47" s="422"/>
      <c r="ASH47" s="422"/>
      <c r="ASI47" s="422"/>
      <c r="ASJ47" s="422"/>
      <c r="ASK47" s="422"/>
      <c r="ASL47" s="422"/>
      <c r="ASM47" s="422"/>
      <c r="ASN47" s="422"/>
      <c r="ASO47" s="422"/>
      <c r="ASP47" s="422"/>
      <c r="ASQ47" s="422"/>
      <c r="ASR47" s="422"/>
      <c r="ASS47" s="422"/>
      <c r="AST47" s="422"/>
      <c r="ASU47" s="422"/>
      <c r="ASV47" s="422"/>
      <c r="ASW47" s="422"/>
      <c r="ASX47" s="422"/>
      <c r="ASY47" s="422"/>
      <c r="ASZ47" s="422"/>
      <c r="ATA47" s="422"/>
      <c r="ATB47" s="422"/>
      <c r="ATC47" s="422"/>
      <c r="ATD47" s="422"/>
      <c r="ATE47" s="422"/>
      <c r="ATF47" s="422"/>
      <c r="ATG47" s="422"/>
      <c r="ATH47" s="422"/>
      <c r="ATI47" s="422"/>
      <c r="ATJ47" s="422"/>
      <c r="ATK47" s="422"/>
      <c r="ATL47" s="422"/>
      <c r="ATM47" s="422"/>
      <c r="ATN47" s="422"/>
      <c r="ATO47" s="422"/>
      <c r="ATP47" s="422"/>
      <c r="ATQ47" s="422"/>
      <c r="ATR47" s="422"/>
      <c r="ATS47" s="422"/>
      <c r="ATT47" s="422"/>
      <c r="ATU47" s="422"/>
      <c r="ATV47" s="422"/>
      <c r="ATW47" s="422"/>
      <c r="ATX47" s="422"/>
      <c r="ATY47" s="422"/>
      <c r="ATZ47" s="422"/>
      <c r="AUA47" s="422"/>
      <c r="AUB47" s="422"/>
      <c r="AUC47" s="422"/>
      <c r="AUD47" s="422"/>
      <c r="AUE47" s="422"/>
      <c r="AUF47" s="422"/>
      <c r="AUG47" s="422"/>
      <c r="AUH47" s="422"/>
      <c r="AUI47" s="422"/>
      <c r="AUJ47" s="422"/>
      <c r="AUK47" s="422"/>
      <c r="AUL47" s="422"/>
      <c r="AUM47" s="422"/>
      <c r="AUN47" s="422"/>
      <c r="AUO47" s="422"/>
      <c r="AUP47" s="422"/>
      <c r="AUQ47" s="422"/>
      <c r="AUR47" s="422"/>
      <c r="AUS47" s="422"/>
      <c r="AUT47" s="422"/>
      <c r="AUU47" s="422"/>
      <c r="AUV47" s="422"/>
      <c r="AUW47" s="422"/>
      <c r="AUX47" s="422"/>
      <c r="AUY47" s="422"/>
      <c r="AUZ47" s="422"/>
      <c r="AVA47" s="422"/>
      <c r="AVB47" s="422"/>
      <c r="AVC47" s="422"/>
      <c r="AVD47" s="422"/>
      <c r="AVE47" s="422"/>
      <c r="AVF47" s="422"/>
      <c r="AVG47" s="422"/>
      <c r="AVH47" s="422"/>
      <c r="AVI47" s="422"/>
      <c r="AVJ47" s="422"/>
      <c r="AVK47" s="422"/>
      <c r="AVL47" s="422"/>
      <c r="AVM47" s="422"/>
      <c r="AVN47" s="422"/>
      <c r="AVO47" s="422"/>
      <c r="AVP47" s="422"/>
      <c r="AVQ47" s="422"/>
      <c r="AVR47" s="422"/>
      <c r="AVS47" s="422"/>
      <c r="AVT47" s="422"/>
      <c r="AVU47" s="422"/>
      <c r="AVV47" s="422"/>
      <c r="AVW47" s="422"/>
      <c r="AVX47" s="422"/>
      <c r="AVY47" s="422"/>
      <c r="AVZ47" s="422"/>
      <c r="AWA47" s="422"/>
      <c r="AWB47" s="422"/>
      <c r="AWC47" s="422"/>
      <c r="AWD47" s="422"/>
      <c r="AWE47" s="422"/>
      <c r="AWF47" s="422"/>
      <c r="AWG47" s="422"/>
      <c r="AWH47" s="422"/>
      <c r="AWI47" s="422"/>
      <c r="AWJ47" s="422"/>
      <c r="AWK47" s="422"/>
      <c r="AWL47" s="422"/>
      <c r="AWM47" s="422"/>
      <c r="AWN47" s="422"/>
      <c r="AWO47" s="422"/>
      <c r="AWP47" s="422"/>
      <c r="AWQ47" s="422"/>
      <c r="AWR47" s="422"/>
      <c r="AWS47" s="422"/>
      <c r="AWT47" s="422"/>
      <c r="AWU47" s="422"/>
      <c r="AWV47" s="422"/>
      <c r="AWW47" s="422"/>
      <c r="AWX47" s="422"/>
      <c r="AWY47" s="422"/>
      <c r="AWZ47" s="422"/>
      <c r="AXA47" s="422"/>
      <c r="AXB47" s="422"/>
      <c r="AXC47" s="422"/>
      <c r="AXD47" s="422"/>
      <c r="AXE47" s="422"/>
      <c r="AXF47" s="422"/>
      <c r="AXG47" s="422"/>
      <c r="AXH47" s="422"/>
      <c r="AXI47" s="422"/>
      <c r="AXJ47" s="422"/>
      <c r="AXK47" s="422"/>
      <c r="AXL47" s="422"/>
      <c r="AXM47" s="422"/>
      <c r="AXN47" s="422"/>
      <c r="AXO47" s="422"/>
      <c r="AXP47" s="422"/>
      <c r="AXQ47" s="422"/>
      <c r="AXR47" s="422"/>
      <c r="AXS47" s="422"/>
      <c r="AXT47" s="422"/>
      <c r="AXU47" s="422"/>
      <c r="AXV47" s="422"/>
      <c r="AXW47" s="422"/>
      <c r="AXX47" s="422"/>
      <c r="AXY47" s="422"/>
      <c r="AXZ47" s="422"/>
      <c r="AYA47" s="422"/>
      <c r="AYB47" s="422"/>
      <c r="AYC47" s="422"/>
      <c r="AYD47" s="422"/>
      <c r="AYE47" s="422"/>
      <c r="AYF47" s="422"/>
      <c r="AYG47" s="422"/>
      <c r="AYH47" s="422"/>
      <c r="AYI47" s="422"/>
      <c r="AYJ47" s="422"/>
      <c r="AYK47" s="422"/>
      <c r="AYL47" s="422"/>
      <c r="AYM47" s="422"/>
      <c r="AYN47" s="422"/>
      <c r="AYO47" s="422"/>
      <c r="AYP47" s="422"/>
      <c r="AYQ47" s="422"/>
      <c r="AYR47" s="422"/>
      <c r="AYS47" s="422"/>
      <c r="AYT47" s="422"/>
      <c r="AYU47" s="422"/>
      <c r="AYV47" s="422"/>
      <c r="AYW47" s="422"/>
      <c r="AYX47" s="422"/>
      <c r="AYY47" s="422"/>
      <c r="AYZ47" s="422"/>
      <c r="AZA47" s="422"/>
      <c r="AZB47" s="422"/>
      <c r="AZC47" s="422"/>
      <c r="AZD47" s="422"/>
      <c r="AZE47" s="422"/>
      <c r="AZF47" s="422"/>
      <c r="AZG47" s="422"/>
      <c r="AZH47" s="422"/>
      <c r="AZI47" s="422"/>
      <c r="AZJ47" s="422"/>
      <c r="AZK47" s="422"/>
      <c r="AZL47" s="422"/>
      <c r="AZM47" s="422"/>
      <c r="AZN47" s="422"/>
      <c r="AZO47" s="422"/>
      <c r="AZP47" s="422"/>
      <c r="AZQ47" s="422"/>
      <c r="AZR47" s="422"/>
      <c r="AZS47" s="422"/>
      <c r="AZT47" s="422"/>
      <c r="AZU47" s="422"/>
      <c r="AZV47" s="422"/>
      <c r="AZW47" s="422"/>
      <c r="AZX47" s="422"/>
      <c r="AZY47" s="422"/>
      <c r="AZZ47" s="422"/>
      <c r="BAA47" s="422"/>
      <c r="BAB47" s="422"/>
      <c r="BAC47" s="422"/>
      <c r="BAD47" s="422"/>
      <c r="BAE47" s="422"/>
      <c r="BAF47" s="422"/>
      <c r="BAG47" s="422"/>
      <c r="BAH47" s="422"/>
      <c r="BAI47" s="422"/>
      <c r="BAJ47" s="422"/>
      <c r="BAK47" s="422"/>
      <c r="BAL47" s="422"/>
      <c r="BAM47" s="422"/>
      <c r="BAN47" s="422"/>
      <c r="BAO47" s="422"/>
      <c r="BAP47" s="422"/>
      <c r="BAQ47" s="422"/>
      <c r="BAR47" s="422"/>
      <c r="BAS47" s="422"/>
      <c r="BAT47" s="422"/>
      <c r="BAU47" s="422"/>
      <c r="BAV47" s="422"/>
      <c r="BAW47" s="422"/>
      <c r="BAX47" s="422"/>
      <c r="BAY47" s="422"/>
      <c r="BAZ47" s="422"/>
      <c r="BBA47" s="422"/>
      <c r="BBB47" s="422"/>
      <c r="BBC47" s="422"/>
      <c r="BBD47" s="422"/>
      <c r="BBE47" s="422"/>
      <c r="BBF47" s="422"/>
      <c r="BBG47" s="422"/>
      <c r="BBH47" s="422"/>
      <c r="BBI47" s="422"/>
      <c r="BBJ47" s="422"/>
      <c r="BBK47" s="422"/>
      <c r="BBL47" s="422"/>
      <c r="BBM47" s="422"/>
      <c r="BBN47" s="422"/>
      <c r="BBO47" s="422"/>
      <c r="BBP47" s="422"/>
      <c r="BBQ47" s="422"/>
      <c r="BBR47" s="422"/>
      <c r="BBS47" s="422"/>
      <c r="BBT47" s="422"/>
      <c r="BBU47" s="422"/>
      <c r="BBV47" s="422"/>
      <c r="BBW47" s="422"/>
      <c r="BBX47" s="422"/>
      <c r="BBY47" s="422"/>
      <c r="BBZ47" s="422"/>
      <c r="BCA47" s="422"/>
      <c r="BCB47" s="422"/>
      <c r="BCC47" s="422"/>
      <c r="BCD47" s="422"/>
      <c r="BCE47" s="422"/>
      <c r="BCF47" s="422"/>
      <c r="BCG47" s="422"/>
      <c r="BCH47" s="422"/>
      <c r="BCI47" s="422"/>
      <c r="BCJ47" s="422"/>
      <c r="BCK47" s="422"/>
      <c r="BCL47" s="422"/>
      <c r="BCM47" s="422"/>
      <c r="BCN47" s="422"/>
      <c r="BCO47" s="422"/>
      <c r="BCP47" s="422"/>
      <c r="BCQ47" s="422"/>
      <c r="BCR47" s="422"/>
      <c r="BCS47" s="422"/>
      <c r="BCT47" s="422"/>
      <c r="BCU47" s="422"/>
      <c r="BCV47" s="422"/>
      <c r="BCW47" s="422"/>
      <c r="BCX47" s="422"/>
      <c r="BCY47" s="422"/>
      <c r="BCZ47" s="422"/>
      <c r="BDA47" s="422"/>
      <c r="BDB47" s="422"/>
      <c r="BDC47" s="422"/>
      <c r="BDD47" s="422"/>
      <c r="BDE47" s="422"/>
      <c r="BDF47" s="422"/>
      <c r="BDG47" s="422"/>
      <c r="BDH47" s="422"/>
      <c r="BDI47" s="422"/>
      <c r="BDJ47" s="422"/>
      <c r="BDK47" s="422"/>
      <c r="BDL47" s="422"/>
      <c r="BDM47" s="422"/>
      <c r="BDN47" s="422"/>
      <c r="BDO47" s="422"/>
      <c r="BDP47" s="422"/>
      <c r="BDQ47" s="422"/>
      <c r="BDR47" s="422"/>
      <c r="BDS47" s="422"/>
      <c r="BDT47" s="422"/>
      <c r="BDU47" s="422"/>
      <c r="BDV47" s="422"/>
      <c r="BDW47" s="422"/>
      <c r="BDX47" s="422"/>
      <c r="BDY47" s="422"/>
      <c r="BDZ47" s="422"/>
      <c r="BEA47" s="422"/>
      <c r="BEB47" s="422"/>
      <c r="BEC47" s="422"/>
      <c r="BED47" s="422"/>
      <c r="BEE47" s="422"/>
      <c r="BEF47" s="422"/>
      <c r="BEG47" s="422"/>
      <c r="BEH47" s="422"/>
      <c r="BEI47" s="422"/>
      <c r="BEJ47" s="422"/>
      <c r="BEK47" s="422"/>
      <c r="BEL47" s="422"/>
      <c r="BEM47" s="422"/>
      <c r="BEN47" s="422"/>
      <c r="BEO47" s="422"/>
      <c r="BEP47" s="422"/>
      <c r="BEQ47" s="422"/>
      <c r="BER47" s="422"/>
      <c r="BES47" s="422"/>
      <c r="BET47" s="422"/>
      <c r="BEU47" s="422"/>
      <c r="BEV47" s="422"/>
      <c r="BEW47" s="422"/>
      <c r="BEX47" s="422"/>
      <c r="BEY47" s="422"/>
      <c r="BEZ47" s="422"/>
      <c r="BFA47" s="422"/>
      <c r="BFB47" s="422"/>
      <c r="BFC47" s="422"/>
      <c r="BFD47" s="422"/>
      <c r="BFE47" s="422"/>
      <c r="BFF47" s="422"/>
      <c r="BFG47" s="422"/>
      <c r="BFH47" s="422"/>
      <c r="BFI47" s="422"/>
      <c r="BFJ47" s="422"/>
      <c r="BFK47" s="422"/>
      <c r="BFL47" s="422"/>
      <c r="BFM47" s="422"/>
      <c r="BFN47" s="422"/>
      <c r="BFO47" s="422"/>
      <c r="BFP47" s="422"/>
      <c r="BFQ47" s="422"/>
      <c r="BFR47" s="422"/>
      <c r="BFS47" s="422"/>
      <c r="BFT47" s="422"/>
      <c r="BFU47" s="422"/>
      <c r="BFV47" s="422"/>
      <c r="BFW47" s="422"/>
      <c r="BFX47" s="422"/>
      <c r="BFY47" s="422"/>
      <c r="BFZ47" s="422"/>
      <c r="BGA47" s="422"/>
      <c r="BGB47" s="422"/>
      <c r="BGC47" s="422"/>
      <c r="BGD47" s="422"/>
      <c r="BGE47" s="422"/>
      <c r="BGF47" s="422"/>
      <c r="BGG47" s="422"/>
      <c r="BGH47" s="422"/>
      <c r="BGI47" s="422"/>
      <c r="BGJ47" s="422"/>
      <c r="BGK47" s="422"/>
      <c r="BGL47" s="422"/>
      <c r="BGM47" s="422"/>
      <c r="BGN47" s="422"/>
      <c r="BGO47" s="422"/>
      <c r="BGP47" s="422"/>
      <c r="BGQ47" s="422"/>
      <c r="BGR47" s="422"/>
      <c r="BGS47" s="422"/>
      <c r="BGT47" s="422"/>
      <c r="BGU47" s="422"/>
      <c r="BGV47" s="422"/>
      <c r="BGW47" s="422"/>
      <c r="BGX47" s="422"/>
      <c r="BGY47" s="422"/>
      <c r="BGZ47" s="422"/>
      <c r="BHA47" s="422"/>
      <c r="BHB47" s="422"/>
      <c r="BHC47" s="422"/>
      <c r="BHD47" s="422"/>
      <c r="BHE47" s="422"/>
      <c r="BHF47" s="422"/>
      <c r="BHG47" s="422"/>
      <c r="BHH47" s="422"/>
      <c r="BHI47" s="422"/>
      <c r="BHJ47" s="422"/>
      <c r="BHK47" s="422"/>
      <c r="BHL47" s="422"/>
      <c r="BHM47" s="422"/>
      <c r="BHN47" s="422"/>
      <c r="BHO47" s="422"/>
      <c r="BHP47" s="422"/>
      <c r="BHQ47" s="422"/>
      <c r="BHR47" s="422"/>
      <c r="BHS47" s="422"/>
      <c r="BHT47" s="422"/>
      <c r="BHU47" s="422"/>
      <c r="BHV47" s="422"/>
      <c r="BHW47" s="422"/>
      <c r="BHX47" s="422"/>
      <c r="BHY47" s="422"/>
      <c r="BHZ47" s="422"/>
      <c r="BIA47" s="422"/>
      <c r="BIB47" s="422"/>
      <c r="BIC47" s="422"/>
      <c r="BID47" s="422"/>
      <c r="BIE47" s="422"/>
      <c r="BIF47" s="422"/>
      <c r="BIG47" s="422"/>
      <c r="BIH47" s="422"/>
      <c r="BII47" s="422"/>
      <c r="BIJ47" s="422"/>
      <c r="BIK47" s="422"/>
      <c r="BIL47" s="422"/>
      <c r="BIM47" s="422"/>
      <c r="BIN47" s="422"/>
      <c r="BIO47" s="422"/>
      <c r="BIP47" s="422"/>
      <c r="BIQ47" s="422"/>
      <c r="BIR47" s="422"/>
      <c r="BIS47" s="422"/>
      <c r="BIT47" s="422"/>
      <c r="BIU47" s="422"/>
      <c r="BIV47" s="422"/>
      <c r="BIW47" s="422"/>
      <c r="BIX47" s="422"/>
      <c r="BIY47" s="422"/>
      <c r="BIZ47" s="422"/>
      <c r="BJA47" s="422"/>
      <c r="BJB47" s="422"/>
      <c r="BJC47" s="422"/>
      <c r="BJD47" s="422"/>
      <c r="BJE47" s="422"/>
      <c r="BJF47" s="422"/>
      <c r="BJG47" s="422"/>
      <c r="BJH47" s="422"/>
      <c r="BJI47" s="422"/>
      <c r="BJJ47" s="422"/>
      <c r="BJK47" s="422"/>
      <c r="BJL47" s="422"/>
      <c r="BJM47" s="422"/>
      <c r="BJN47" s="422"/>
      <c r="BJO47" s="422"/>
      <c r="BJP47" s="422"/>
      <c r="BJQ47" s="422"/>
      <c r="BJR47" s="422"/>
      <c r="BJS47" s="422"/>
      <c r="BJT47" s="422"/>
      <c r="BJU47" s="422"/>
      <c r="BJV47" s="422"/>
      <c r="BJW47" s="422"/>
      <c r="BJX47" s="422"/>
      <c r="BJY47" s="422"/>
      <c r="BJZ47" s="422"/>
      <c r="BKA47" s="422"/>
      <c r="BKB47" s="422"/>
      <c r="BKC47" s="422"/>
      <c r="BKD47" s="422"/>
      <c r="BKE47" s="422"/>
      <c r="BKF47" s="422"/>
      <c r="BKG47" s="422"/>
      <c r="BKH47" s="422"/>
      <c r="BKI47" s="422"/>
      <c r="BKJ47" s="422"/>
      <c r="BKK47" s="422"/>
      <c r="BKL47" s="422"/>
      <c r="BKM47" s="422"/>
      <c r="BKN47" s="422"/>
      <c r="BKO47" s="422"/>
      <c r="BKP47" s="422"/>
      <c r="BKQ47" s="422"/>
      <c r="BKR47" s="422"/>
      <c r="BKS47" s="422"/>
      <c r="BKT47" s="422"/>
      <c r="BKU47" s="422"/>
      <c r="BKV47" s="422"/>
      <c r="BKW47" s="422"/>
      <c r="BKX47" s="422"/>
      <c r="BKY47" s="422"/>
      <c r="BKZ47" s="422"/>
      <c r="BLA47" s="422"/>
      <c r="BLB47" s="422"/>
      <c r="BLC47" s="422"/>
      <c r="BLD47" s="422"/>
      <c r="BLE47" s="422"/>
      <c r="BLF47" s="422"/>
      <c r="BLG47" s="422"/>
      <c r="BLH47" s="422"/>
      <c r="BLI47" s="422"/>
      <c r="BLJ47" s="422"/>
      <c r="BLK47" s="422"/>
      <c r="BLL47" s="422"/>
      <c r="BLM47" s="422"/>
      <c r="BLN47" s="422"/>
      <c r="BLO47" s="422"/>
      <c r="BLP47" s="422"/>
      <c r="BLQ47" s="422"/>
      <c r="BLR47" s="422"/>
      <c r="BLS47" s="422"/>
      <c r="BLT47" s="422"/>
      <c r="BLU47" s="422"/>
      <c r="BLV47" s="422"/>
      <c r="BLW47" s="422"/>
      <c r="BLX47" s="422"/>
      <c r="BLY47" s="422"/>
      <c r="BLZ47" s="422"/>
      <c r="BMA47" s="422"/>
      <c r="BMB47" s="422"/>
      <c r="BMC47" s="422"/>
      <c r="BMD47" s="422"/>
      <c r="BME47" s="422"/>
      <c r="BMF47" s="422"/>
      <c r="BMG47" s="422"/>
      <c r="BMH47" s="422"/>
      <c r="BMI47" s="422"/>
      <c r="BMJ47" s="422"/>
      <c r="BMK47" s="422"/>
      <c r="BML47" s="422"/>
      <c r="BMM47" s="422"/>
      <c r="BMN47" s="422"/>
      <c r="BMO47" s="422"/>
      <c r="BMP47" s="422"/>
      <c r="BMQ47" s="422"/>
      <c r="BMR47" s="422"/>
      <c r="BMS47" s="422"/>
      <c r="BMT47" s="422"/>
      <c r="BMU47" s="422"/>
      <c r="BMV47" s="422"/>
      <c r="BMW47" s="422"/>
      <c r="BMX47" s="422"/>
      <c r="BMY47" s="422"/>
      <c r="BMZ47" s="422"/>
      <c r="BNA47" s="422"/>
      <c r="BNB47" s="422"/>
      <c r="BNC47" s="422"/>
      <c r="BND47" s="422"/>
      <c r="BNE47" s="422"/>
      <c r="BNF47" s="422"/>
      <c r="BNG47" s="422"/>
      <c r="BNH47" s="422"/>
      <c r="BNI47" s="422"/>
      <c r="BNJ47" s="422"/>
      <c r="BNK47" s="422"/>
      <c r="BNL47" s="422"/>
      <c r="BNM47" s="422"/>
      <c r="BNN47" s="422"/>
      <c r="BNO47" s="422"/>
      <c r="BNP47" s="422"/>
      <c r="BNQ47" s="422"/>
      <c r="BNR47" s="422"/>
      <c r="BNS47" s="422"/>
      <c r="BNT47" s="422"/>
      <c r="BNU47" s="422"/>
      <c r="BNV47" s="422"/>
      <c r="BNW47" s="422"/>
      <c r="BNX47" s="422"/>
      <c r="BNY47" s="422"/>
      <c r="BNZ47" s="422"/>
      <c r="BOA47" s="422"/>
      <c r="BOB47" s="422"/>
      <c r="BOC47" s="422"/>
      <c r="BOD47" s="422"/>
      <c r="BOE47" s="422"/>
      <c r="BOF47" s="422"/>
      <c r="BOG47" s="422"/>
      <c r="BOH47" s="422"/>
      <c r="BOI47" s="422"/>
      <c r="BOJ47" s="422"/>
      <c r="BOK47" s="422"/>
      <c r="BOL47" s="422"/>
      <c r="BOM47" s="422"/>
      <c r="BON47" s="422"/>
      <c r="BOO47" s="422"/>
      <c r="BOP47" s="422"/>
      <c r="BOQ47" s="422"/>
      <c r="BOR47" s="422"/>
      <c r="BOS47" s="422"/>
      <c r="BOT47" s="422"/>
      <c r="BOU47" s="422"/>
      <c r="BOV47" s="422"/>
      <c r="BOW47" s="422"/>
      <c r="BOX47" s="422"/>
      <c r="BOY47" s="422"/>
      <c r="BOZ47" s="422"/>
      <c r="BPA47" s="422"/>
      <c r="BPB47" s="422"/>
      <c r="BPC47" s="422"/>
      <c r="BPD47" s="422"/>
      <c r="BPE47" s="422"/>
      <c r="BPF47" s="422"/>
      <c r="BPG47" s="422"/>
      <c r="BPH47" s="422"/>
      <c r="BPI47" s="422"/>
      <c r="BPJ47" s="422"/>
      <c r="BPK47" s="422"/>
      <c r="BPL47" s="422"/>
      <c r="BPM47" s="422"/>
      <c r="BPN47" s="422"/>
      <c r="BPO47" s="422"/>
      <c r="BPP47" s="422"/>
      <c r="BPQ47" s="422"/>
      <c r="BPR47" s="422"/>
      <c r="BPS47" s="422"/>
      <c r="BPT47" s="422"/>
      <c r="BPU47" s="422"/>
      <c r="BPV47" s="422"/>
      <c r="BPW47" s="422"/>
      <c r="BPX47" s="422"/>
      <c r="BPY47" s="422"/>
      <c r="BPZ47" s="422"/>
      <c r="BQA47" s="422"/>
      <c r="BQB47" s="422"/>
      <c r="BQC47" s="422"/>
      <c r="BQD47" s="422"/>
      <c r="BQE47" s="422"/>
      <c r="BQF47" s="422"/>
      <c r="BQG47" s="422"/>
      <c r="BQH47" s="422"/>
      <c r="BQI47" s="422"/>
      <c r="BQJ47" s="422"/>
      <c r="BQK47" s="422"/>
      <c r="BQL47" s="422"/>
      <c r="BQM47" s="422"/>
      <c r="BQN47" s="422"/>
      <c r="BQO47" s="422"/>
      <c r="BQP47" s="422"/>
      <c r="BQQ47" s="422"/>
      <c r="BQR47" s="422"/>
      <c r="BQS47" s="422"/>
      <c r="BQT47" s="422"/>
      <c r="BQU47" s="422"/>
      <c r="BQV47" s="422"/>
      <c r="BQW47" s="422"/>
      <c r="BQX47" s="422"/>
      <c r="BQY47" s="422"/>
      <c r="BQZ47" s="422"/>
      <c r="BRA47" s="422"/>
      <c r="BRB47" s="422"/>
      <c r="BRC47" s="422"/>
      <c r="BRD47" s="422"/>
      <c r="BRE47" s="422"/>
      <c r="BRF47" s="422"/>
      <c r="BRG47" s="422"/>
      <c r="BRH47" s="422"/>
      <c r="BRI47" s="422"/>
      <c r="BRJ47" s="422"/>
      <c r="BRK47" s="422"/>
      <c r="BRL47" s="422"/>
      <c r="BRM47" s="422"/>
      <c r="BRN47" s="422"/>
      <c r="BRO47" s="422"/>
      <c r="BRP47" s="422"/>
      <c r="BRQ47" s="422"/>
      <c r="BRR47" s="422"/>
      <c r="BRS47" s="422"/>
      <c r="BRT47" s="422"/>
      <c r="BRU47" s="422"/>
      <c r="BRV47" s="422"/>
      <c r="BRW47" s="422"/>
      <c r="BRX47" s="422"/>
      <c r="BRY47" s="422"/>
      <c r="BRZ47" s="422"/>
      <c r="BSA47" s="422"/>
      <c r="BSB47" s="422"/>
      <c r="BSC47" s="422"/>
      <c r="BSD47" s="422"/>
      <c r="BSE47" s="422"/>
      <c r="BSF47" s="422"/>
      <c r="BSG47" s="422"/>
      <c r="BSH47" s="422"/>
      <c r="BSI47" s="422"/>
      <c r="BSJ47" s="422"/>
      <c r="BSK47" s="422"/>
      <c r="BSL47" s="422"/>
      <c r="BSM47" s="422"/>
      <c r="BSN47" s="422"/>
      <c r="BSO47" s="422"/>
      <c r="BSP47" s="422"/>
      <c r="BSQ47" s="422"/>
      <c r="BSR47" s="422"/>
      <c r="BSS47" s="422"/>
      <c r="BST47" s="422"/>
      <c r="BSU47" s="422"/>
      <c r="BSV47" s="422"/>
      <c r="BSW47" s="422"/>
      <c r="BSX47" s="422"/>
      <c r="BSY47" s="422"/>
      <c r="BSZ47" s="422"/>
      <c r="BTA47" s="422"/>
      <c r="BTB47" s="422"/>
      <c r="BTC47" s="422"/>
      <c r="BTD47" s="422"/>
      <c r="BTE47" s="422"/>
      <c r="BTF47" s="422"/>
      <c r="BTG47" s="422"/>
      <c r="BTH47" s="422"/>
      <c r="BTI47" s="422"/>
      <c r="BTJ47" s="422"/>
      <c r="BTK47" s="422"/>
      <c r="BTL47" s="422"/>
      <c r="BTM47" s="422"/>
      <c r="BTN47" s="422"/>
      <c r="BTO47" s="422"/>
      <c r="BTP47" s="422"/>
      <c r="BTQ47" s="422"/>
      <c r="BTR47" s="422"/>
      <c r="BTS47" s="422"/>
      <c r="BTT47" s="422"/>
      <c r="BTU47" s="422"/>
      <c r="BTV47" s="422"/>
      <c r="BTW47" s="422"/>
      <c r="BTX47" s="422"/>
      <c r="BTY47" s="422"/>
      <c r="BTZ47" s="422"/>
      <c r="BUA47" s="422"/>
      <c r="BUB47" s="422"/>
      <c r="BUC47" s="422"/>
      <c r="BUD47" s="422"/>
      <c r="BUE47" s="422"/>
      <c r="BUF47" s="422"/>
      <c r="BUG47" s="422"/>
      <c r="BUH47" s="422"/>
      <c r="BUI47" s="422"/>
      <c r="BUJ47" s="422"/>
      <c r="BUK47" s="422"/>
      <c r="BUL47" s="422"/>
      <c r="BUM47" s="422"/>
      <c r="BUN47" s="422"/>
      <c r="BUO47" s="422"/>
      <c r="BUP47" s="422"/>
      <c r="BUQ47" s="422"/>
      <c r="BUR47" s="422"/>
      <c r="BUS47" s="422"/>
      <c r="BUT47" s="422"/>
      <c r="BUU47" s="422"/>
      <c r="BUV47" s="422"/>
      <c r="BUW47" s="422"/>
      <c r="BUX47" s="422"/>
      <c r="BUY47" s="422"/>
      <c r="BUZ47" s="422"/>
      <c r="BVA47" s="422"/>
      <c r="BVB47" s="422"/>
      <c r="BVC47" s="422"/>
      <c r="BVD47" s="422"/>
      <c r="BVE47" s="422"/>
      <c r="BVF47" s="422"/>
      <c r="BVG47" s="422"/>
      <c r="BVH47" s="422"/>
      <c r="BVI47" s="422"/>
      <c r="BVJ47" s="422"/>
      <c r="BVK47" s="422"/>
      <c r="BVL47" s="422"/>
      <c r="BVM47" s="422"/>
      <c r="BVN47" s="422"/>
      <c r="BVO47" s="422"/>
      <c r="BVP47" s="422"/>
      <c r="BVQ47" s="422"/>
      <c r="BVR47" s="422"/>
      <c r="BVS47" s="422"/>
      <c r="BVT47" s="422"/>
      <c r="BVU47" s="422"/>
      <c r="BVV47" s="422"/>
      <c r="BVW47" s="422"/>
      <c r="BVX47" s="422"/>
      <c r="BVY47" s="422"/>
      <c r="BVZ47" s="422"/>
      <c r="BWA47" s="422"/>
      <c r="BWB47" s="422"/>
      <c r="BWC47" s="422"/>
      <c r="BWD47" s="422"/>
      <c r="BWE47" s="422"/>
      <c r="BWF47" s="422"/>
      <c r="BWG47" s="422"/>
      <c r="BWH47" s="422"/>
      <c r="BWI47" s="422"/>
      <c r="BWJ47" s="422"/>
      <c r="BWK47" s="422"/>
      <c r="BWL47" s="422"/>
      <c r="BWM47" s="422"/>
      <c r="BWN47" s="422"/>
      <c r="BWO47" s="422"/>
      <c r="BWP47" s="422"/>
      <c r="BWQ47" s="422"/>
      <c r="BWR47" s="422"/>
      <c r="BWS47" s="422"/>
      <c r="BWT47" s="422"/>
      <c r="BWU47" s="422"/>
      <c r="BWV47" s="422"/>
      <c r="BWW47" s="422"/>
      <c r="BWX47" s="422"/>
      <c r="BWY47" s="422"/>
      <c r="BWZ47" s="422"/>
      <c r="BXA47" s="422"/>
      <c r="BXB47" s="422"/>
      <c r="BXC47" s="422"/>
      <c r="BXD47" s="422"/>
      <c r="BXE47" s="422"/>
      <c r="BXF47" s="422"/>
      <c r="BXG47" s="422"/>
      <c r="BXH47" s="422"/>
      <c r="BXI47" s="422"/>
      <c r="BXJ47" s="422"/>
      <c r="BXK47" s="422"/>
      <c r="BXL47" s="422"/>
      <c r="BXM47" s="422"/>
      <c r="BXN47" s="422"/>
      <c r="BXO47" s="422"/>
      <c r="BXP47" s="422"/>
      <c r="BXQ47" s="422"/>
      <c r="BXR47" s="422"/>
      <c r="BXS47" s="422"/>
      <c r="BXT47" s="422"/>
      <c r="BXU47" s="422"/>
      <c r="BXV47" s="422"/>
      <c r="BXW47" s="422"/>
      <c r="BXX47" s="422"/>
      <c r="BXY47" s="422"/>
      <c r="BXZ47" s="422"/>
      <c r="BYA47" s="422"/>
      <c r="BYB47" s="422"/>
      <c r="BYC47" s="422"/>
      <c r="BYD47" s="422"/>
      <c r="BYE47" s="422"/>
      <c r="BYF47" s="422"/>
      <c r="BYG47" s="422"/>
      <c r="BYH47" s="422"/>
      <c r="BYI47" s="422"/>
      <c r="BYJ47" s="422"/>
      <c r="BYK47" s="422"/>
      <c r="BYL47" s="422"/>
      <c r="BYM47" s="422"/>
      <c r="BYN47" s="422"/>
      <c r="BYO47" s="422"/>
      <c r="BYP47" s="422"/>
      <c r="BYQ47" s="422"/>
      <c r="BYR47" s="422"/>
      <c r="BYS47" s="422"/>
      <c r="BYT47" s="422"/>
      <c r="BYU47" s="422"/>
      <c r="BYV47" s="422"/>
      <c r="BYW47" s="422"/>
      <c r="BYX47" s="422"/>
      <c r="BYY47" s="422"/>
      <c r="BYZ47" s="422"/>
      <c r="BZA47" s="422"/>
      <c r="BZB47" s="422"/>
      <c r="BZC47" s="422"/>
      <c r="BZD47" s="422"/>
      <c r="BZE47" s="422"/>
      <c r="BZF47" s="422"/>
      <c r="BZG47" s="422"/>
      <c r="BZH47" s="422"/>
      <c r="BZI47" s="422"/>
      <c r="BZJ47" s="422"/>
      <c r="BZK47" s="422"/>
      <c r="BZL47" s="422"/>
      <c r="BZM47" s="422"/>
      <c r="BZN47" s="422"/>
      <c r="BZO47" s="422"/>
      <c r="BZP47" s="422"/>
      <c r="BZQ47" s="422"/>
      <c r="BZR47" s="422"/>
      <c r="BZS47" s="422"/>
      <c r="BZT47" s="422"/>
      <c r="BZU47" s="422"/>
      <c r="BZV47" s="422"/>
      <c r="BZW47" s="422"/>
      <c r="BZX47" s="422"/>
      <c r="BZY47" s="422"/>
      <c r="BZZ47" s="422"/>
      <c r="CAA47" s="422"/>
      <c r="CAB47" s="422"/>
      <c r="CAC47" s="422"/>
      <c r="CAD47" s="422"/>
      <c r="CAE47" s="422"/>
      <c r="CAF47" s="422"/>
      <c r="CAG47" s="422"/>
      <c r="CAH47" s="422"/>
      <c r="CAI47" s="422"/>
      <c r="CAJ47" s="422"/>
      <c r="CAK47" s="422"/>
      <c r="CAL47" s="422"/>
      <c r="CAM47" s="422"/>
      <c r="CAN47" s="422"/>
      <c r="CAO47" s="422"/>
      <c r="CAP47" s="422"/>
      <c r="CAQ47" s="422"/>
      <c r="CAR47" s="422"/>
      <c r="CAS47" s="422"/>
      <c r="CAT47" s="422"/>
      <c r="CAU47" s="422"/>
      <c r="CAV47" s="422"/>
      <c r="CAW47" s="422"/>
      <c r="CAX47" s="422"/>
      <c r="CAY47" s="422"/>
      <c r="CAZ47" s="422"/>
      <c r="CBA47" s="422"/>
      <c r="CBB47" s="422"/>
      <c r="CBC47" s="422"/>
      <c r="CBD47" s="422"/>
      <c r="CBE47" s="422"/>
      <c r="CBF47" s="422"/>
      <c r="CBG47" s="422"/>
      <c r="CBH47" s="422"/>
      <c r="CBI47" s="422"/>
      <c r="CBJ47" s="422"/>
      <c r="CBK47" s="422"/>
      <c r="CBL47" s="422"/>
      <c r="CBM47" s="422"/>
      <c r="CBN47" s="422"/>
      <c r="CBO47" s="422"/>
      <c r="CBP47" s="422"/>
      <c r="CBQ47" s="422"/>
      <c r="CBR47" s="422"/>
      <c r="CBS47" s="422"/>
      <c r="CBT47" s="422"/>
      <c r="CBU47" s="422"/>
      <c r="CBV47" s="422"/>
      <c r="CBW47" s="422"/>
      <c r="CBX47" s="422"/>
      <c r="CBY47" s="422"/>
      <c r="CBZ47" s="422"/>
      <c r="CCA47" s="422"/>
      <c r="CCB47" s="422"/>
      <c r="CCC47" s="422"/>
      <c r="CCD47" s="422"/>
      <c r="CCE47" s="422"/>
      <c r="CCF47" s="422"/>
      <c r="CCG47" s="422"/>
      <c r="CCH47" s="422"/>
      <c r="CCI47" s="422"/>
      <c r="CCJ47" s="422"/>
      <c r="CCK47" s="422"/>
      <c r="CCL47" s="422"/>
      <c r="CCM47" s="422"/>
      <c r="CCN47" s="422"/>
      <c r="CCO47" s="422"/>
      <c r="CCP47" s="422"/>
      <c r="CCQ47" s="422"/>
      <c r="CCR47" s="422"/>
      <c r="CCS47" s="422"/>
      <c r="CCT47" s="422"/>
      <c r="CCU47" s="422"/>
      <c r="CCV47" s="422"/>
      <c r="CCW47" s="422"/>
      <c r="CCX47" s="422"/>
      <c r="CCY47" s="422"/>
      <c r="CCZ47" s="422"/>
      <c r="CDA47" s="422"/>
      <c r="CDB47" s="422"/>
      <c r="CDC47" s="422"/>
      <c r="CDD47" s="422"/>
      <c r="CDE47" s="422"/>
      <c r="CDF47" s="422"/>
      <c r="CDG47" s="422"/>
      <c r="CDH47" s="422"/>
      <c r="CDI47" s="422"/>
      <c r="CDJ47" s="422"/>
      <c r="CDK47" s="422"/>
      <c r="CDL47" s="422"/>
      <c r="CDM47" s="422"/>
      <c r="CDN47" s="422"/>
      <c r="CDO47" s="422"/>
      <c r="CDP47" s="422"/>
      <c r="CDQ47" s="422"/>
      <c r="CDR47" s="422"/>
      <c r="CDS47" s="422"/>
      <c r="CDT47" s="422"/>
      <c r="CDU47" s="422"/>
      <c r="CDV47" s="422"/>
      <c r="CDW47" s="422"/>
      <c r="CDX47" s="422"/>
      <c r="CDY47" s="422"/>
      <c r="CDZ47" s="422"/>
      <c r="CEA47" s="422"/>
      <c r="CEB47" s="422"/>
      <c r="CEC47" s="422"/>
      <c r="CED47" s="422"/>
      <c r="CEE47" s="422"/>
      <c r="CEF47" s="422"/>
      <c r="CEG47" s="422"/>
      <c r="CEH47" s="422"/>
      <c r="CEI47" s="422"/>
      <c r="CEJ47" s="422"/>
      <c r="CEK47" s="422"/>
      <c r="CEL47" s="422"/>
      <c r="CEM47" s="422"/>
      <c r="CEN47" s="422"/>
      <c r="CEO47" s="422"/>
      <c r="CEP47" s="422"/>
      <c r="CEQ47" s="422"/>
      <c r="CER47" s="422"/>
      <c r="CES47" s="422"/>
      <c r="CET47" s="422"/>
      <c r="CEU47" s="422"/>
      <c r="CEV47" s="422"/>
      <c r="CEW47" s="422"/>
      <c r="CEX47" s="422"/>
      <c r="CEY47" s="422"/>
      <c r="CEZ47" s="422"/>
      <c r="CFA47" s="422"/>
      <c r="CFB47" s="422"/>
      <c r="CFC47" s="422"/>
      <c r="CFD47" s="422"/>
      <c r="CFE47" s="422"/>
      <c r="CFF47" s="422"/>
      <c r="CFG47" s="422"/>
      <c r="CFH47" s="422"/>
      <c r="CFI47" s="422"/>
      <c r="CFJ47" s="422"/>
      <c r="CFK47" s="422"/>
      <c r="CFL47" s="422"/>
      <c r="CFM47" s="422"/>
      <c r="CFN47" s="422"/>
      <c r="CFO47" s="422"/>
      <c r="CFP47" s="422"/>
      <c r="CFQ47" s="422"/>
      <c r="CFR47" s="422"/>
      <c r="CFS47" s="422"/>
      <c r="CFT47" s="422"/>
      <c r="CFU47" s="422"/>
      <c r="CFV47" s="422"/>
      <c r="CFW47" s="422"/>
      <c r="CFX47" s="422"/>
      <c r="CFY47" s="422"/>
      <c r="CFZ47" s="422"/>
      <c r="CGA47" s="422"/>
      <c r="CGB47" s="422"/>
      <c r="CGC47" s="422"/>
      <c r="CGD47" s="422"/>
      <c r="CGE47" s="422"/>
      <c r="CGF47" s="422"/>
      <c r="CGG47" s="422"/>
      <c r="CGH47" s="422"/>
      <c r="CGI47" s="422"/>
      <c r="CGJ47" s="422"/>
      <c r="CGK47" s="422"/>
      <c r="CGL47" s="422"/>
      <c r="CGM47" s="422"/>
      <c r="CGN47" s="422"/>
      <c r="CGO47" s="422"/>
      <c r="CGP47" s="422"/>
      <c r="CGQ47" s="422"/>
      <c r="CGR47" s="422"/>
      <c r="CGS47" s="422"/>
      <c r="CGT47" s="422"/>
      <c r="CGU47" s="422"/>
      <c r="CGV47" s="422"/>
      <c r="CGW47" s="422"/>
      <c r="CGX47" s="422"/>
      <c r="CGY47" s="422"/>
      <c r="CGZ47" s="422"/>
      <c r="CHA47" s="422"/>
      <c r="CHB47" s="422"/>
      <c r="CHC47" s="422"/>
      <c r="CHD47" s="422"/>
      <c r="CHE47" s="422"/>
      <c r="CHF47" s="422"/>
      <c r="CHG47" s="422"/>
      <c r="CHH47" s="422"/>
      <c r="CHI47" s="422"/>
      <c r="CHJ47" s="422"/>
      <c r="CHK47" s="422"/>
      <c r="CHL47" s="422"/>
      <c r="CHM47" s="422"/>
      <c r="CHN47" s="422"/>
      <c r="CHO47" s="422"/>
      <c r="CHP47" s="422"/>
      <c r="CHQ47" s="422"/>
      <c r="CHR47" s="422"/>
      <c r="CHS47" s="422"/>
      <c r="CHT47" s="422"/>
      <c r="CHU47" s="422"/>
      <c r="CHV47" s="422"/>
      <c r="CHW47" s="422"/>
      <c r="CHX47" s="422"/>
      <c r="CHY47" s="422"/>
      <c r="CHZ47" s="422"/>
      <c r="CIA47" s="422"/>
      <c r="CIB47" s="422"/>
      <c r="CIC47" s="422"/>
      <c r="CID47" s="422"/>
      <c r="CIE47" s="422"/>
      <c r="CIF47" s="422"/>
      <c r="CIG47" s="422"/>
      <c r="CIH47" s="422"/>
      <c r="CII47" s="422"/>
      <c r="CIJ47" s="422"/>
      <c r="CIK47" s="422"/>
      <c r="CIL47" s="422"/>
      <c r="CIM47" s="422"/>
      <c r="CIN47" s="422"/>
      <c r="CIO47" s="422"/>
      <c r="CIP47" s="422"/>
      <c r="CIQ47" s="422"/>
      <c r="CIR47" s="422"/>
      <c r="CIS47" s="422"/>
      <c r="CIT47" s="422"/>
      <c r="CIU47" s="422"/>
      <c r="CIV47" s="422"/>
      <c r="CIW47" s="422"/>
      <c r="CIX47" s="422"/>
      <c r="CIY47" s="422"/>
      <c r="CIZ47" s="422"/>
      <c r="CJA47" s="422"/>
      <c r="CJB47" s="422"/>
      <c r="CJC47" s="422"/>
      <c r="CJD47" s="422"/>
      <c r="CJE47" s="422"/>
      <c r="CJF47" s="422"/>
      <c r="CJG47" s="422"/>
      <c r="CJH47" s="422"/>
      <c r="CJI47" s="422"/>
      <c r="CJJ47" s="422"/>
      <c r="CJK47" s="422"/>
      <c r="CJL47" s="422"/>
      <c r="CJM47" s="422"/>
      <c r="CJN47" s="422"/>
      <c r="CJO47" s="422"/>
      <c r="CJP47" s="422"/>
      <c r="CJQ47" s="422"/>
      <c r="CJR47" s="422"/>
      <c r="CJS47" s="422"/>
      <c r="CJT47" s="422"/>
      <c r="CJU47" s="422"/>
      <c r="CJV47" s="422"/>
      <c r="CJW47" s="422"/>
      <c r="CJX47" s="422"/>
      <c r="CJY47" s="422"/>
      <c r="CJZ47" s="422"/>
      <c r="CKA47" s="422"/>
      <c r="CKB47" s="422"/>
      <c r="CKC47" s="422"/>
      <c r="CKD47" s="422"/>
      <c r="CKE47" s="422"/>
      <c r="CKF47" s="422"/>
      <c r="CKG47" s="422"/>
      <c r="CKH47" s="422"/>
      <c r="CKI47" s="422"/>
      <c r="CKJ47" s="422"/>
      <c r="CKK47" s="422"/>
      <c r="CKL47" s="422"/>
      <c r="CKM47" s="422"/>
      <c r="CKN47" s="422"/>
      <c r="CKO47" s="422"/>
      <c r="CKP47" s="422"/>
      <c r="CKQ47" s="422"/>
      <c r="CKR47" s="422"/>
      <c r="CKS47" s="422"/>
      <c r="CKT47" s="422"/>
      <c r="CKU47" s="422"/>
      <c r="CKV47" s="422"/>
      <c r="CKW47" s="422"/>
      <c r="CKX47" s="422"/>
      <c r="CKY47" s="422"/>
      <c r="CKZ47" s="422"/>
      <c r="CLA47" s="422"/>
      <c r="CLB47" s="422"/>
      <c r="CLC47" s="422"/>
      <c r="CLD47" s="422"/>
      <c r="CLE47" s="422"/>
      <c r="CLF47" s="422"/>
      <c r="CLG47" s="422"/>
      <c r="CLH47" s="422"/>
      <c r="CLI47" s="422"/>
      <c r="CLJ47" s="422"/>
      <c r="CLK47" s="422"/>
      <c r="CLL47" s="422"/>
      <c r="CLM47" s="422"/>
      <c r="CLN47" s="422"/>
      <c r="CLO47" s="422"/>
      <c r="CLP47" s="422"/>
      <c r="CLQ47" s="422"/>
      <c r="CLR47" s="422"/>
      <c r="CLS47" s="422"/>
      <c r="CLT47" s="422"/>
      <c r="CLU47" s="422"/>
      <c r="CLV47" s="422"/>
      <c r="CLW47" s="422"/>
      <c r="CLX47" s="422"/>
      <c r="CLY47" s="422"/>
      <c r="CLZ47" s="422"/>
      <c r="CMA47" s="422"/>
      <c r="CMB47" s="422"/>
      <c r="CMC47" s="422"/>
      <c r="CMD47" s="422"/>
      <c r="CME47" s="422"/>
      <c r="CMF47" s="422"/>
      <c r="CMG47" s="422"/>
      <c r="CMH47" s="422"/>
      <c r="CMI47" s="422"/>
      <c r="CMJ47" s="422"/>
      <c r="CMK47" s="422"/>
      <c r="CML47" s="422"/>
      <c r="CMM47" s="422"/>
      <c r="CMN47" s="422"/>
      <c r="CMO47" s="422"/>
      <c r="CMP47" s="422"/>
      <c r="CMQ47" s="422"/>
      <c r="CMR47" s="422"/>
      <c r="CMS47" s="422"/>
      <c r="CMT47" s="422"/>
      <c r="CMU47" s="422"/>
      <c r="CMV47" s="422"/>
      <c r="CMW47" s="422"/>
      <c r="CMX47" s="422"/>
      <c r="CMY47" s="422"/>
      <c r="CMZ47" s="422"/>
      <c r="CNA47" s="422"/>
      <c r="CNB47" s="422"/>
      <c r="CNC47" s="422"/>
      <c r="CND47" s="422"/>
      <c r="CNE47" s="422"/>
      <c r="CNF47" s="422"/>
      <c r="CNG47" s="422"/>
      <c r="CNH47" s="422"/>
      <c r="CNI47" s="422"/>
      <c r="CNJ47" s="422"/>
      <c r="CNK47" s="422"/>
      <c r="CNL47" s="422"/>
      <c r="CNM47" s="422"/>
      <c r="CNN47" s="422"/>
      <c r="CNO47" s="422"/>
      <c r="CNP47" s="422"/>
      <c r="CNQ47" s="422"/>
      <c r="CNR47" s="422"/>
      <c r="CNS47" s="422"/>
      <c r="CNT47" s="422"/>
      <c r="CNU47" s="422"/>
      <c r="CNV47" s="422"/>
      <c r="CNW47" s="422"/>
      <c r="CNX47" s="422"/>
      <c r="CNY47" s="422"/>
      <c r="CNZ47" s="422"/>
      <c r="COA47" s="422"/>
      <c r="COB47" s="422"/>
      <c r="COC47" s="422"/>
      <c r="COD47" s="422"/>
      <c r="COE47" s="422"/>
      <c r="COF47" s="422"/>
      <c r="COG47" s="422"/>
      <c r="COH47" s="422"/>
      <c r="COI47" s="422"/>
      <c r="COJ47" s="422"/>
      <c r="COK47" s="422"/>
      <c r="COL47" s="422"/>
      <c r="COM47" s="422"/>
      <c r="CON47" s="422"/>
      <c r="COO47" s="422"/>
      <c r="COP47" s="422"/>
      <c r="COQ47" s="422"/>
      <c r="COR47" s="422"/>
      <c r="COS47" s="422"/>
      <c r="COT47" s="422"/>
      <c r="COU47" s="422"/>
      <c r="COV47" s="422"/>
      <c r="COW47" s="422"/>
      <c r="COX47" s="422"/>
      <c r="COY47" s="422"/>
      <c r="COZ47" s="422"/>
      <c r="CPA47" s="422"/>
      <c r="CPB47" s="422"/>
      <c r="CPC47" s="422"/>
      <c r="CPD47" s="422"/>
      <c r="CPE47" s="422"/>
      <c r="CPF47" s="422"/>
      <c r="CPG47" s="422"/>
      <c r="CPH47" s="422"/>
      <c r="CPI47" s="422"/>
      <c r="CPJ47" s="422"/>
      <c r="CPK47" s="422"/>
      <c r="CPL47" s="422"/>
      <c r="CPM47" s="422"/>
      <c r="CPN47" s="422"/>
      <c r="CPO47" s="422"/>
      <c r="CPP47" s="422"/>
      <c r="CPQ47" s="422"/>
      <c r="CPR47" s="422"/>
      <c r="CPS47" s="422"/>
      <c r="CPT47" s="422"/>
      <c r="CPU47" s="422"/>
      <c r="CPV47" s="422"/>
      <c r="CPW47" s="422"/>
      <c r="CPX47" s="422"/>
      <c r="CPY47" s="422"/>
      <c r="CPZ47" s="422"/>
      <c r="CQA47" s="422"/>
      <c r="CQB47" s="422"/>
      <c r="CQC47" s="422"/>
      <c r="CQD47" s="422"/>
      <c r="CQE47" s="422"/>
      <c r="CQF47" s="422"/>
      <c r="CQG47" s="422"/>
      <c r="CQH47" s="422"/>
      <c r="CQI47" s="422"/>
      <c r="CQJ47" s="422"/>
      <c r="CQK47" s="422"/>
      <c r="CQL47" s="422"/>
      <c r="CQM47" s="422"/>
      <c r="CQN47" s="422"/>
      <c r="CQO47" s="422"/>
      <c r="CQP47" s="422"/>
      <c r="CQQ47" s="422"/>
      <c r="CQR47" s="422"/>
      <c r="CQS47" s="422"/>
      <c r="CQT47" s="422"/>
      <c r="CQU47" s="422"/>
      <c r="CQV47" s="422"/>
      <c r="CQW47" s="422"/>
      <c r="CQX47" s="422"/>
      <c r="CQY47" s="422"/>
      <c r="CQZ47" s="422"/>
      <c r="CRA47" s="422"/>
      <c r="CRB47" s="422"/>
      <c r="CRC47" s="422"/>
      <c r="CRD47" s="422"/>
      <c r="CRE47" s="422"/>
      <c r="CRF47" s="422"/>
      <c r="CRG47" s="422"/>
      <c r="CRH47" s="422"/>
      <c r="CRI47" s="422"/>
      <c r="CRJ47" s="422"/>
      <c r="CRK47" s="422"/>
      <c r="CRL47" s="422"/>
      <c r="CRM47" s="422"/>
      <c r="CRN47" s="422"/>
      <c r="CRO47" s="422"/>
      <c r="CRP47" s="422"/>
      <c r="CRQ47" s="422"/>
      <c r="CRR47" s="422"/>
      <c r="CRS47" s="422"/>
      <c r="CRT47" s="422"/>
      <c r="CRU47" s="422"/>
      <c r="CRV47" s="422"/>
      <c r="CRW47" s="422"/>
      <c r="CRX47" s="422"/>
      <c r="CRY47" s="422"/>
      <c r="CRZ47" s="422"/>
      <c r="CSA47" s="422"/>
      <c r="CSB47" s="422"/>
      <c r="CSC47" s="422"/>
      <c r="CSD47" s="422"/>
      <c r="CSE47" s="422"/>
      <c r="CSF47" s="422"/>
      <c r="CSG47" s="422"/>
      <c r="CSH47" s="422"/>
      <c r="CSI47" s="422"/>
      <c r="CSJ47" s="422"/>
      <c r="CSK47" s="422"/>
      <c r="CSL47" s="422"/>
      <c r="CSM47" s="422"/>
      <c r="CSN47" s="422"/>
      <c r="CSO47" s="422"/>
      <c r="CSP47" s="422"/>
      <c r="CSQ47" s="422"/>
      <c r="CSR47" s="422"/>
      <c r="CSS47" s="422"/>
      <c r="CST47" s="422"/>
      <c r="CSU47" s="422"/>
      <c r="CSV47" s="422"/>
      <c r="CSW47" s="422"/>
      <c r="CSX47" s="422"/>
      <c r="CSY47" s="422"/>
      <c r="CSZ47" s="422"/>
      <c r="CTA47" s="422"/>
      <c r="CTB47" s="422"/>
      <c r="CTC47" s="422"/>
      <c r="CTD47" s="422"/>
      <c r="CTE47" s="422"/>
      <c r="CTF47" s="422"/>
      <c r="CTG47" s="422"/>
      <c r="CTH47" s="422"/>
      <c r="CTI47" s="422"/>
      <c r="CTJ47" s="422"/>
      <c r="CTK47" s="422"/>
      <c r="CTL47" s="422"/>
      <c r="CTM47" s="422"/>
      <c r="CTN47" s="422"/>
      <c r="CTO47" s="422"/>
      <c r="CTP47" s="422"/>
      <c r="CTQ47" s="422"/>
      <c r="CTR47" s="422"/>
      <c r="CTS47" s="422"/>
      <c r="CTT47" s="422"/>
      <c r="CTU47" s="422"/>
      <c r="CTV47" s="422"/>
      <c r="CTW47" s="422"/>
      <c r="CTX47" s="422"/>
      <c r="CTY47" s="422"/>
      <c r="CTZ47" s="422"/>
      <c r="CUA47" s="422"/>
      <c r="CUB47" s="422"/>
      <c r="CUC47" s="422"/>
      <c r="CUD47" s="422"/>
      <c r="CUE47" s="422"/>
      <c r="CUF47" s="422"/>
      <c r="CUG47" s="422"/>
      <c r="CUH47" s="422"/>
      <c r="CUI47" s="422"/>
      <c r="CUJ47" s="422"/>
      <c r="CUK47" s="422"/>
      <c r="CUL47" s="422"/>
      <c r="CUM47" s="422"/>
      <c r="CUN47" s="422"/>
      <c r="CUO47" s="422"/>
      <c r="CUP47" s="422"/>
      <c r="CUQ47" s="422"/>
      <c r="CUR47" s="422"/>
      <c r="CUS47" s="422"/>
      <c r="CUT47" s="422"/>
      <c r="CUU47" s="422"/>
      <c r="CUV47" s="422"/>
      <c r="CUW47" s="422"/>
      <c r="CUX47" s="422"/>
      <c r="CUY47" s="422"/>
      <c r="CUZ47" s="422"/>
      <c r="CVA47" s="422"/>
      <c r="CVB47" s="422"/>
      <c r="CVC47" s="422"/>
      <c r="CVD47" s="422"/>
      <c r="CVE47" s="422"/>
      <c r="CVF47" s="422"/>
      <c r="CVG47" s="422"/>
      <c r="CVH47" s="422"/>
      <c r="CVI47" s="422"/>
      <c r="CVJ47" s="422"/>
      <c r="CVK47" s="422"/>
      <c r="CVL47" s="422"/>
      <c r="CVM47" s="422"/>
      <c r="CVN47" s="422"/>
      <c r="CVO47" s="422"/>
      <c r="CVP47" s="422"/>
      <c r="CVQ47" s="422"/>
      <c r="CVR47" s="422"/>
      <c r="CVS47" s="422"/>
      <c r="CVT47" s="422"/>
      <c r="CVU47" s="422"/>
      <c r="CVV47" s="422"/>
      <c r="CVW47" s="422"/>
      <c r="CVX47" s="422"/>
      <c r="CVY47" s="422"/>
      <c r="CVZ47" s="422"/>
      <c r="CWA47" s="422"/>
      <c r="CWB47" s="422"/>
      <c r="CWC47" s="422"/>
      <c r="CWD47" s="422"/>
      <c r="CWE47" s="422"/>
      <c r="CWF47" s="422"/>
      <c r="CWG47" s="422"/>
      <c r="CWH47" s="422"/>
      <c r="CWI47" s="422"/>
      <c r="CWJ47" s="422"/>
      <c r="CWK47" s="422"/>
      <c r="CWL47" s="422"/>
      <c r="CWM47" s="422"/>
      <c r="CWN47" s="422"/>
      <c r="CWO47" s="422"/>
      <c r="CWP47" s="422"/>
      <c r="CWQ47" s="422"/>
      <c r="CWR47" s="422"/>
      <c r="CWS47" s="422"/>
      <c r="CWT47" s="422"/>
      <c r="CWU47" s="422"/>
      <c r="CWV47" s="422"/>
      <c r="CWW47" s="422"/>
      <c r="CWX47" s="422"/>
      <c r="CWY47" s="422"/>
      <c r="CWZ47" s="422"/>
      <c r="CXA47" s="422"/>
      <c r="CXB47" s="422"/>
      <c r="CXC47" s="422"/>
      <c r="CXD47" s="422"/>
      <c r="CXE47" s="422"/>
      <c r="CXF47" s="422"/>
      <c r="CXG47" s="422"/>
      <c r="CXH47" s="422"/>
      <c r="CXI47" s="422"/>
      <c r="CXJ47" s="422"/>
      <c r="CXK47" s="422"/>
      <c r="CXL47" s="422"/>
      <c r="CXM47" s="422"/>
      <c r="CXN47" s="422"/>
      <c r="CXO47" s="422"/>
      <c r="CXP47" s="422"/>
      <c r="CXQ47" s="422"/>
      <c r="CXR47" s="422"/>
      <c r="CXS47" s="422"/>
      <c r="CXT47" s="422"/>
      <c r="CXU47" s="422"/>
      <c r="CXV47" s="422"/>
      <c r="CXW47" s="422"/>
      <c r="CXX47" s="422"/>
      <c r="CXY47" s="422"/>
      <c r="CXZ47" s="422"/>
      <c r="CYA47" s="422"/>
      <c r="CYB47" s="422"/>
      <c r="CYC47" s="422"/>
      <c r="CYD47" s="422"/>
      <c r="CYE47" s="422"/>
      <c r="CYF47" s="422"/>
      <c r="CYG47" s="422"/>
      <c r="CYH47" s="422"/>
      <c r="CYI47" s="422"/>
      <c r="CYJ47" s="422"/>
      <c r="CYK47" s="422"/>
      <c r="CYL47" s="422"/>
      <c r="CYM47" s="422"/>
      <c r="CYN47" s="422"/>
      <c r="CYO47" s="422"/>
      <c r="CYP47" s="422"/>
      <c r="CYQ47" s="422"/>
      <c r="CYR47" s="422"/>
      <c r="CYS47" s="422"/>
      <c r="CYT47" s="422"/>
      <c r="CYU47" s="422"/>
      <c r="CYV47" s="422"/>
      <c r="CYW47" s="422"/>
      <c r="CYX47" s="422"/>
      <c r="CYY47" s="422"/>
      <c r="CYZ47" s="422"/>
      <c r="CZA47" s="422"/>
      <c r="CZB47" s="422"/>
      <c r="CZC47" s="422"/>
      <c r="CZD47" s="422"/>
      <c r="CZE47" s="422"/>
      <c r="CZF47" s="422"/>
      <c r="CZG47" s="422"/>
      <c r="CZH47" s="422"/>
      <c r="CZI47" s="422"/>
      <c r="CZJ47" s="422"/>
      <c r="CZK47" s="422"/>
      <c r="CZL47" s="422"/>
      <c r="CZM47" s="422"/>
      <c r="CZN47" s="422"/>
      <c r="CZO47" s="422"/>
      <c r="CZP47" s="422"/>
      <c r="CZQ47" s="422"/>
      <c r="CZR47" s="422"/>
      <c r="CZS47" s="422"/>
      <c r="CZT47" s="422"/>
      <c r="CZU47" s="422"/>
      <c r="CZV47" s="422"/>
      <c r="CZW47" s="422"/>
      <c r="CZX47" s="422"/>
      <c r="CZY47" s="422"/>
      <c r="CZZ47" s="422"/>
      <c r="DAA47" s="422"/>
      <c r="DAB47" s="422"/>
      <c r="DAC47" s="422"/>
      <c r="DAD47" s="422"/>
      <c r="DAE47" s="422"/>
      <c r="DAF47" s="422"/>
      <c r="DAG47" s="422"/>
      <c r="DAH47" s="422"/>
      <c r="DAI47" s="422"/>
    </row>
    <row r="48" spans="1:2739" s="1821" customFormat="1" ht="51" x14ac:dyDescent="0.25">
      <c r="A48" s="1826">
        <v>23</v>
      </c>
      <c r="B48" s="1350" t="s">
        <v>5089</v>
      </c>
      <c r="C48" s="1267" t="s">
        <v>6208</v>
      </c>
      <c r="D48" s="1267" t="s">
        <v>616</v>
      </c>
      <c r="E48" s="1267" t="s">
        <v>6167</v>
      </c>
      <c r="F48" s="510" t="s">
        <v>6209</v>
      </c>
      <c r="G48" s="1263">
        <v>11216</v>
      </c>
      <c r="H48" s="1315" t="s">
        <v>1723</v>
      </c>
      <c r="I48" s="510" t="s">
        <v>6210</v>
      </c>
      <c r="J48" s="510" t="s">
        <v>4274</v>
      </c>
      <c r="K48" s="1313">
        <v>41664</v>
      </c>
      <c r="L48" s="929">
        <v>111300</v>
      </c>
      <c r="M48" s="1263">
        <v>11254</v>
      </c>
      <c r="N48" s="1313">
        <v>41695</v>
      </c>
      <c r="O48" s="1313">
        <v>42059</v>
      </c>
      <c r="P48" s="1267" t="s">
        <v>6171</v>
      </c>
      <c r="Q48" s="1267" t="s">
        <v>1723</v>
      </c>
      <c r="R48" s="1267" t="s">
        <v>6172</v>
      </c>
      <c r="S48" s="1267"/>
      <c r="T48" s="1267" t="s">
        <v>208</v>
      </c>
      <c r="U48" s="1267"/>
      <c r="V48" s="1267"/>
      <c r="W48" s="1267"/>
      <c r="X48" s="1267"/>
      <c r="Y48" s="1267"/>
      <c r="Z48" s="1267"/>
      <c r="AA48" s="1267"/>
      <c r="AB48" s="1267"/>
      <c r="AC48" s="1267"/>
      <c r="AD48" s="1267"/>
      <c r="AE48" s="937"/>
      <c r="AF48" s="321"/>
      <c r="AG48" s="929">
        <v>19931.669999999998</v>
      </c>
      <c r="AH48" s="939">
        <f t="shared" si="0"/>
        <v>19931.669999999998</v>
      </c>
      <c r="AI48" s="951" t="s">
        <v>2727</v>
      </c>
      <c r="AJ48" s="1263">
        <v>11021</v>
      </c>
      <c r="AK48" s="341" t="s">
        <v>6211</v>
      </c>
      <c r="AL48" s="1247"/>
      <c r="AM48" s="946"/>
      <c r="AN48" s="944"/>
      <c r="AO48" s="944"/>
      <c r="AP48" s="944"/>
      <c r="AQ48" s="944"/>
      <c r="AR48" s="945"/>
      <c r="AS48" s="1350"/>
      <c r="AT48" s="1314"/>
      <c r="AU48" s="1314"/>
      <c r="AV48" s="1314"/>
      <c r="AW48" s="1314"/>
      <c r="AX48" s="1314"/>
      <c r="AY48" s="1314"/>
      <c r="AZ48" s="1314"/>
      <c r="BA48" s="1314"/>
      <c r="BB48" s="1314"/>
      <c r="BC48" s="1314"/>
      <c r="BD48" s="930"/>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c r="DA48" s="422"/>
      <c r="DB48" s="422"/>
      <c r="DC48" s="422"/>
      <c r="DD48" s="422"/>
      <c r="DE48" s="422"/>
      <c r="DF48" s="422"/>
      <c r="DG48" s="422"/>
      <c r="DH48" s="422"/>
      <c r="DI48" s="422"/>
      <c r="DJ48" s="422"/>
      <c r="DK48" s="422"/>
      <c r="DL48" s="422"/>
      <c r="DM48" s="422"/>
      <c r="DN48" s="422"/>
      <c r="DO48" s="422"/>
      <c r="DP48" s="422"/>
      <c r="DQ48" s="422"/>
      <c r="DR48" s="422"/>
      <c r="DS48" s="422"/>
      <c r="DT48" s="422"/>
      <c r="DU48" s="422"/>
      <c r="DV48" s="422"/>
      <c r="DW48" s="422"/>
      <c r="DX48" s="422"/>
      <c r="DY48" s="422"/>
      <c r="DZ48" s="422"/>
      <c r="EA48" s="422"/>
      <c r="EB48" s="422"/>
      <c r="EC48" s="422"/>
      <c r="ED48" s="422"/>
      <c r="EE48" s="422"/>
      <c r="EF48" s="422"/>
      <c r="EG48" s="422"/>
      <c r="EH48" s="422"/>
      <c r="EI48" s="422"/>
      <c r="EJ48" s="422"/>
      <c r="EK48" s="422"/>
      <c r="EL48" s="422"/>
      <c r="EM48" s="422"/>
      <c r="EN48" s="422"/>
      <c r="EO48" s="422"/>
      <c r="EP48" s="422"/>
      <c r="EQ48" s="422"/>
      <c r="ER48" s="422"/>
      <c r="ES48" s="422"/>
      <c r="ET48" s="422"/>
      <c r="EU48" s="422"/>
      <c r="EV48" s="422"/>
      <c r="EW48" s="422"/>
      <c r="EX48" s="422"/>
      <c r="EY48" s="422"/>
      <c r="EZ48" s="422"/>
      <c r="FA48" s="422"/>
      <c r="FB48" s="422"/>
      <c r="FC48" s="422"/>
      <c r="FD48" s="422"/>
      <c r="FE48" s="422"/>
      <c r="FF48" s="422"/>
      <c r="FG48" s="422"/>
      <c r="FH48" s="422"/>
      <c r="FI48" s="422"/>
      <c r="FJ48" s="422"/>
      <c r="FK48" s="422"/>
      <c r="FL48" s="422"/>
      <c r="FM48" s="422"/>
      <c r="FN48" s="422"/>
      <c r="FO48" s="422"/>
      <c r="FP48" s="422"/>
      <c r="FQ48" s="422"/>
      <c r="FR48" s="422"/>
      <c r="FS48" s="422"/>
      <c r="FT48" s="422"/>
      <c r="FU48" s="422"/>
      <c r="FV48" s="422"/>
      <c r="FW48" s="422"/>
      <c r="FX48" s="422"/>
      <c r="FY48" s="422"/>
      <c r="FZ48" s="422"/>
      <c r="GA48" s="422"/>
      <c r="GB48" s="422"/>
      <c r="GC48" s="422"/>
      <c r="GD48" s="422"/>
      <c r="GE48" s="422"/>
      <c r="GF48" s="422"/>
      <c r="GG48" s="422"/>
      <c r="GH48" s="422"/>
      <c r="GI48" s="422"/>
      <c r="GJ48" s="422"/>
      <c r="GK48" s="422"/>
      <c r="GL48" s="422"/>
      <c r="GM48" s="422"/>
      <c r="GN48" s="422"/>
      <c r="GO48" s="422"/>
      <c r="GP48" s="422"/>
      <c r="GQ48" s="422"/>
      <c r="GR48" s="422"/>
      <c r="GS48" s="422"/>
      <c r="GT48" s="422"/>
      <c r="GU48" s="422"/>
      <c r="GV48" s="422"/>
      <c r="GW48" s="422"/>
      <c r="GX48" s="422"/>
      <c r="GY48" s="422"/>
      <c r="GZ48" s="422"/>
      <c r="HA48" s="422"/>
      <c r="HB48" s="422"/>
      <c r="HC48" s="422"/>
      <c r="HD48" s="422"/>
      <c r="HE48" s="422"/>
      <c r="HF48" s="422"/>
      <c r="HG48" s="422"/>
      <c r="HH48" s="422"/>
      <c r="HI48" s="422"/>
      <c r="HJ48" s="422"/>
      <c r="HK48" s="422"/>
      <c r="HL48" s="422"/>
      <c r="HM48" s="422"/>
      <c r="HN48" s="422"/>
      <c r="HO48" s="422"/>
      <c r="HP48" s="422"/>
      <c r="HQ48" s="422"/>
      <c r="HR48" s="422"/>
      <c r="HS48" s="422"/>
      <c r="HT48" s="422"/>
      <c r="HU48" s="422"/>
      <c r="HV48" s="422"/>
      <c r="HW48" s="422"/>
      <c r="HX48" s="422"/>
      <c r="HY48" s="422"/>
      <c r="HZ48" s="422"/>
      <c r="IA48" s="422"/>
      <c r="IB48" s="422"/>
      <c r="IC48" s="422"/>
      <c r="ID48" s="422"/>
      <c r="IE48" s="422"/>
      <c r="IF48" s="422"/>
      <c r="IG48" s="422"/>
      <c r="IH48" s="422"/>
      <c r="II48" s="422"/>
      <c r="IJ48" s="422"/>
      <c r="IK48" s="422"/>
      <c r="IL48" s="422"/>
      <c r="IM48" s="422"/>
      <c r="IN48" s="422"/>
      <c r="IO48" s="422"/>
      <c r="IP48" s="422"/>
      <c r="IQ48" s="422"/>
      <c r="IR48" s="422"/>
      <c r="IS48" s="422"/>
      <c r="IT48" s="422"/>
      <c r="IU48" s="422"/>
      <c r="IV48" s="422"/>
      <c r="IW48" s="422"/>
      <c r="IX48" s="422"/>
      <c r="IY48" s="422"/>
      <c r="IZ48" s="422"/>
      <c r="JA48" s="422"/>
      <c r="JB48" s="422"/>
      <c r="JC48" s="422"/>
      <c r="JD48" s="422"/>
      <c r="JE48" s="422"/>
      <c r="JF48" s="422"/>
      <c r="JG48" s="422"/>
      <c r="JH48" s="422"/>
      <c r="JI48" s="422"/>
      <c r="JJ48" s="422"/>
      <c r="JK48" s="422"/>
      <c r="JL48" s="422"/>
      <c r="JM48" s="422"/>
      <c r="JN48" s="422"/>
      <c r="JO48" s="422"/>
      <c r="JP48" s="422"/>
      <c r="JQ48" s="422"/>
      <c r="JR48" s="422"/>
      <c r="JS48" s="422"/>
      <c r="JT48" s="422"/>
      <c r="JU48" s="422"/>
      <c r="JV48" s="422"/>
      <c r="JW48" s="422"/>
      <c r="JX48" s="422"/>
      <c r="JY48" s="422"/>
      <c r="JZ48" s="422"/>
      <c r="KA48" s="422"/>
      <c r="KB48" s="422"/>
      <c r="KC48" s="422"/>
      <c r="KD48" s="422"/>
      <c r="KE48" s="422"/>
      <c r="KF48" s="422"/>
      <c r="KG48" s="422"/>
      <c r="KH48" s="422"/>
      <c r="KI48" s="422"/>
      <c r="KJ48" s="422"/>
      <c r="KK48" s="422"/>
      <c r="KL48" s="422"/>
      <c r="KM48" s="422"/>
      <c r="KN48" s="422"/>
      <c r="KO48" s="422"/>
      <c r="KP48" s="422"/>
      <c r="KQ48" s="422"/>
      <c r="KR48" s="422"/>
      <c r="KS48" s="422"/>
      <c r="KT48" s="422"/>
      <c r="KU48" s="422"/>
      <c r="KV48" s="422"/>
      <c r="KW48" s="422"/>
      <c r="KX48" s="422"/>
      <c r="KY48" s="422"/>
      <c r="KZ48" s="422"/>
      <c r="LA48" s="422"/>
      <c r="LB48" s="422"/>
      <c r="LC48" s="422"/>
      <c r="LD48" s="422"/>
      <c r="LE48" s="422"/>
      <c r="LF48" s="422"/>
      <c r="LG48" s="422"/>
      <c r="LH48" s="422"/>
      <c r="LI48" s="422"/>
      <c r="LJ48" s="422"/>
      <c r="LK48" s="422"/>
      <c r="LL48" s="422"/>
      <c r="LM48" s="422"/>
      <c r="LN48" s="422"/>
      <c r="LO48" s="422"/>
      <c r="LP48" s="422"/>
      <c r="LQ48" s="422"/>
      <c r="LR48" s="422"/>
      <c r="LS48" s="422"/>
      <c r="LT48" s="422"/>
      <c r="LU48" s="422"/>
      <c r="LV48" s="422"/>
      <c r="LW48" s="422"/>
      <c r="LX48" s="422"/>
      <c r="LY48" s="422"/>
      <c r="LZ48" s="422"/>
      <c r="MA48" s="422"/>
      <c r="MB48" s="422"/>
      <c r="MC48" s="422"/>
      <c r="MD48" s="422"/>
      <c r="ME48" s="422"/>
      <c r="MF48" s="422"/>
      <c r="MG48" s="422"/>
      <c r="MH48" s="422"/>
      <c r="MI48" s="422"/>
      <c r="MJ48" s="422"/>
      <c r="MK48" s="422"/>
      <c r="ML48" s="422"/>
      <c r="MM48" s="422"/>
      <c r="MN48" s="422"/>
      <c r="MO48" s="422"/>
      <c r="MP48" s="422"/>
      <c r="MQ48" s="422"/>
      <c r="MR48" s="422"/>
      <c r="MS48" s="422"/>
      <c r="MT48" s="422"/>
      <c r="MU48" s="422"/>
      <c r="MV48" s="422"/>
      <c r="MW48" s="422"/>
      <c r="MX48" s="422"/>
      <c r="MY48" s="422"/>
      <c r="MZ48" s="422"/>
      <c r="NA48" s="422"/>
      <c r="NB48" s="422"/>
      <c r="NC48" s="422"/>
      <c r="ND48" s="422"/>
      <c r="NE48" s="422"/>
      <c r="NF48" s="422"/>
      <c r="NG48" s="422"/>
      <c r="NH48" s="422"/>
      <c r="NI48" s="422"/>
      <c r="NJ48" s="422"/>
      <c r="NK48" s="422"/>
      <c r="NL48" s="422"/>
      <c r="NM48" s="422"/>
      <c r="NN48" s="422"/>
      <c r="NO48" s="422"/>
      <c r="NP48" s="422"/>
      <c r="NQ48" s="422"/>
      <c r="NR48" s="422"/>
      <c r="NS48" s="422"/>
      <c r="NT48" s="422"/>
      <c r="NU48" s="422"/>
      <c r="NV48" s="422"/>
      <c r="NW48" s="422"/>
      <c r="NX48" s="422"/>
      <c r="NY48" s="422"/>
      <c r="NZ48" s="422"/>
      <c r="OA48" s="422"/>
      <c r="OB48" s="422"/>
      <c r="OC48" s="422"/>
      <c r="OD48" s="422"/>
      <c r="OE48" s="422"/>
      <c r="OF48" s="422"/>
      <c r="OG48" s="422"/>
      <c r="OH48" s="422"/>
      <c r="OI48" s="422"/>
      <c r="OJ48" s="422"/>
      <c r="OK48" s="422"/>
      <c r="OL48" s="422"/>
      <c r="OM48" s="422"/>
      <c r="ON48" s="422"/>
      <c r="OO48" s="422"/>
      <c r="OP48" s="422"/>
      <c r="OQ48" s="422"/>
      <c r="OR48" s="422"/>
      <c r="OS48" s="422"/>
      <c r="OT48" s="422"/>
      <c r="OU48" s="422"/>
      <c r="OV48" s="422"/>
      <c r="OW48" s="422"/>
      <c r="OX48" s="422"/>
      <c r="OY48" s="422"/>
      <c r="OZ48" s="422"/>
      <c r="PA48" s="422"/>
      <c r="PB48" s="422"/>
      <c r="PC48" s="422"/>
      <c r="PD48" s="422"/>
      <c r="PE48" s="422"/>
      <c r="PF48" s="422"/>
      <c r="PG48" s="422"/>
      <c r="PH48" s="422"/>
      <c r="PI48" s="422"/>
      <c r="PJ48" s="422"/>
      <c r="PK48" s="422"/>
      <c r="PL48" s="422"/>
      <c r="PM48" s="422"/>
      <c r="PN48" s="422"/>
      <c r="PO48" s="422"/>
      <c r="PP48" s="422"/>
      <c r="PQ48" s="422"/>
      <c r="PR48" s="422"/>
      <c r="PS48" s="422"/>
      <c r="PT48" s="422"/>
      <c r="PU48" s="422"/>
      <c r="PV48" s="422"/>
      <c r="PW48" s="422"/>
      <c r="PX48" s="422"/>
      <c r="PY48" s="422"/>
      <c r="PZ48" s="422"/>
      <c r="QA48" s="422"/>
      <c r="QB48" s="422"/>
      <c r="QC48" s="422"/>
      <c r="QD48" s="422"/>
      <c r="QE48" s="422"/>
      <c r="QF48" s="422"/>
      <c r="QG48" s="422"/>
      <c r="QH48" s="422"/>
      <c r="QI48" s="422"/>
      <c r="QJ48" s="422"/>
      <c r="QK48" s="422"/>
      <c r="QL48" s="422"/>
      <c r="QM48" s="422"/>
      <c r="QN48" s="422"/>
      <c r="QO48" s="422"/>
      <c r="QP48" s="422"/>
      <c r="QQ48" s="422"/>
      <c r="QR48" s="422"/>
      <c r="QS48" s="422"/>
      <c r="QT48" s="422"/>
      <c r="QU48" s="422"/>
      <c r="QV48" s="422"/>
      <c r="QW48" s="422"/>
      <c r="QX48" s="422"/>
      <c r="QY48" s="422"/>
      <c r="QZ48" s="422"/>
      <c r="RA48" s="422"/>
      <c r="RB48" s="422"/>
      <c r="RC48" s="422"/>
      <c r="RD48" s="422"/>
      <c r="RE48" s="422"/>
      <c r="RF48" s="422"/>
      <c r="RG48" s="422"/>
      <c r="RH48" s="422"/>
      <c r="RI48" s="422"/>
      <c r="RJ48" s="422"/>
      <c r="RK48" s="422"/>
      <c r="RL48" s="422"/>
      <c r="RM48" s="422"/>
      <c r="RN48" s="422"/>
      <c r="RO48" s="422"/>
      <c r="RP48" s="422"/>
      <c r="RQ48" s="422"/>
      <c r="RR48" s="422"/>
      <c r="RS48" s="422"/>
      <c r="RT48" s="422"/>
      <c r="RU48" s="422"/>
      <c r="RV48" s="422"/>
      <c r="RW48" s="422"/>
      <c r="RX48" s="422"/>
      <c r="RY48" s="422"/>
      <c r="RZ48" s="422"/>
      <c r="SA48" s="422"/>
      <c r="SB48" s="422"/>
      <c r="SC48" s="422"/>
      <c r="SD48" s="422"/>
      <c r="SE48" s="422"/>
      <c r="SF48" s="422"/>
      <c r="SG48" s="422"/>
      <c r="SH48" s="422"/>
      <c r="SI48" s="422"/>
      <c r="SJ48" s="422"/>
      <c r="SK48" s="422"/>
      <c r="SL48" s="422"/>
      <c r="SM48" s="422"/>
      <c r="SN48" s="422"/>
      <c r="SO48" s="422"/>
      <c r="SP48" s="422"/>
      <c r="SQ48" s="422"/>
      <c r="SR48" s="422"/>
      <c r="SS48" s="422"/>
      <c r="ST48" s="422"/>
      <c r="SU48" s="422"/>
      <c r="SV48" s="422"/>
      <c r="SW48" s="422"/>
      <c r="SX48" s="422"/>
      <c r="SY48" s="422"/>
      <c r="SZ48" s="422"/>
      <c r="TA48" s="422"/>
      <c r="TB48" s="422"/>
      <c r="TC48" s="422"/>
      <c r="TD48" s="422"/>
      <c r="TE48" s="422"/>
      <c r="TF48" s="422"/>
      <c r="TG48" s="422"/>
      <c r="TH48" s="422"/>
      <c r="TI48" s="422"/>
      <c r="TJ48" s="422"/>
      <c r="TK48" s="422"/>
      <c r="TL48" s="422"/>
      <c r="TM48" s="422"/>
      <c r="TN48" s="422"/>
      <c r="TO48" s="422"/>
      <c r="TP48" s="422"/>
      <c r="TQ48" s="422"/>
      <c r="TR48" s="422"/>
      <c r="TS48" s="422"/>
      <c r="TT48" s="422"/>
      <c r="TU48" s="422"/>
      <c r="TV48" s="422"/>
      <c r="TW48" s="422"/>
      <c r="TX48" s="422"/>
      <c r="TY48" s="422"/>
      <c r="TZ48" s="422"/>
      <c r="UA48" s="422"/>
      <c r="UB48" s="422"/>
      <c r="UC48" s="422"/>
      <c r="UD48" s="422"/>
      <c r="UE48" s="422"/>
      <c r="UF48" s="422"/>
      <c r="UG48" s="422"/>
      <c r="UH48" s="422"/>
      <c r="UI48" s="422"/>
      <c r="UJ48" s="422"/>
      <c r="UK48" s="422"/>
      <c r="UL48" s="422"/>
      <c r="UM48" s="422"/>
      <c r="UN48" s="422"/>
      <c r="UO48" s="422"/>
      <c r="UP48" s="422"/>
      <c r="UQ48" s="422"/>
      <c r="UR48" s="422"/>
      <c r="US48" s="422"/>
      <c r="UT48" s="422"/>
      <c r="UU48" s="422"/>
      <c r="UV48" s="422"/>
      <c r="UW48" s="422"/>
      <c r="UX48" s="422"/>
      <c r="UY48" s="422"/>
      <c r="UZ48" s="422"/>
      <c r="VA48" s="422"/>
      <c r="VB48" s="422"/>
      <c r="VC48" s="422"/>
      <c r="VD48" s="422"/>
      <c r="VE48" s="422"/>
      <c r="VF48" s="422"/>
      <c r="VG48" s="422"/>
      <c r="VH48" s="422"/>
      <c r="VI48" s="422"/>
      <c r="VJ48" s="422"/>
      <c r="VK48" s="422"/>
      <c r="VL48" s="422"/>
      <c r="VM48" s="422"/>
      <c r="VN48" s="422"/>
      <c r="VO48" s="422"/>
      <c r="VP48" s="422"/>
      <c r="VQ48" s="422"/>
      <c r="VR48" s="422"/>
      <c r="VS48" s="422"/>
      <c r="VT48" s="422"/>
      <c r="VU48" s="422"/>
      <c r="VV48" s="422"/>
      <c r="VW48" s="422"/>
      <c r="VX48" s="422"/>
      <c r="VY48" s="422"/>
      <c r="VZ48" s="422"/>
      <c r="WA48" s="422"/>
      <c r="WB48" s="422"/>
      <c r="WC48" s="422"/>
      <c r="WD48" s="422"/>
      <c r="WE48" s="422"/>
      <c r="WF48" s="422"/>
      <c r="WG48" s="422"/>
      <c r="WH48" s="422"/>
      <c r="WI48" s="422"/>
      <c r="WJ48" s="422"/>
      <c r="WK48" s="422"/>
      <c r="WL48" s="422"/>
      <c r="WM48" s="422"/>
      <c r="WN48" s="422"/>
      <c r="WO48" s="422"/>
      <c r="WP48" s="422"/>
      <c r="WQ48" s="422"/>
      <c r="WR48" s="422"/>
      <c r="WS48" s="422"/>
      <c r="WT48" s="422"/>
      <c r="WU48" s="422"/>
      <c r="WV48" s="422"/>
      <c r="WW48" s="422"/>
      <c r="WX48" s="422"/>
      <c r="WY48" s="422"/>
      <c r="WZ48" s="422"/>
      <c r="XA48" s="422"/>
      <c r="XB48" s="422"/>
      <c r="XC48" s="422"/>
      <c r="XD48" s="422"/>
      <c r="XE48" s="422"/>
      <c r="XF48" s="422"/>
      <c r="XG48" s="422"/>
      <c r="XH48" s="422"/>
      <c r="XI48" s="422"/>
      <c r="XJ48" s="422"/>
      <c r="XK48" s="422"/>
      <c r="XL48" s="422"/>
      <c r="XM48" s="422"/>
      <c r="XN48" s="422"/>
      <c r="XO48" s="422"/>
      <c r="XP48" s="422"/>
      <c r="XQ48" s="422"/>
      <c r="XR48" s="422"/>
      <c r="XS48" s="422"/>
      <c r="XT48" s="422"/>
      <c r="XU48" s="422"/>
      <c r="XV48" s="422"/>
      <c r="XW48" s="422"/>
      <c r="XX48" s="422"/>
      <c r="XY48" s="422"/>
      <c r="XZ48" s="422"/>
      <c r="YA48" s="422"/>
      <c r="YB48" s="422"/>
      <c r="YC48" s="422"/>
      <c r="YD48" s="422"/>
      <c r="YE48" s="422"/>
      <c r="YF48" s="422"/>
      <c r="YG48" s="422"/>
      <c r="YH48" s="422"/>
      <c r="YI48" s="422"/>
      <c r="YJ48" s="422"/>
      <c r="YK48" s="422"/>
      <c r="YL48" s="422"/>
      <c r="YM48" s="422"/>
      <c r="YN48" s="422"/>
      <c r="YO48" s="422"/>
      <c r="YP48" s="422"/>
      <c r="YQ48" s="422"/>
      <c r="YR48" s="422"/>
      <c r="YS48" s="422"/>
      <c r="YT48" s="422"/>
      <c r="YU48" s="422"/>
      <c r="YV48" s="422"/>
      <c r="YW48" s="422"/>
      <c r="YX48" s="422"/>
      <c r="YY48" s="422"/>
      <c r="YZ48" s="422"/>
      <c r="ZA48" s="422"/>
      <c r="ZB48" s="422"/>
      <c r="ZC48" s="422"/>
      <c r="ZD48" s="422"/>
      <c r="ZE48" s="422"/>
      <c r="ZF48" s="422"/>
      <c r="ZG48" s="422"/>
      <c r="ZH48" s="422"/>
      <c r="ZI48" s="422"/>
      <c r="ZJ48" s="422"/>
      <c r="ZK48" s="422"/>
      <c r="ZL48" s="422"/>
      <c r="ZM48" s="422"/>
      <c r="ZN48" s="422"/>
      <c r="ZO48" s="422"/>
      <c r="ZP48" s="422"/>
      <c r="ZQ48" s="422"/>
      <c r="ZR48" s="422"/>
      <c r="ZS48" s="422"/>
      <c r="ZT48" s="422"/>
      <c r="ZU48" s="422"/>
      <c r="ZV48" s="422"/>
      <c r="ZW48" s="422"/>
      <c r="ZX48" s="422"/>
      <c r="ZY48" s="422"/>
      <c r="ZZ48" s="422"/>
      <c r="AAA48" s="422"/>
      <c r="AAB48" s="422"/>
      <c r="AAC48" s="422"/>
      <c r="AAD48" s="422"/>
      <c r="AAE48" s="422"/>
      <c r="AAF48" s="422"/>
      <c r="AAG48" s="422"/>
      <c r="AAH48" s="422"/>
      <c r="AAI48" s="422"/>
      <c r="AAJ48" s="422"/>
      <c r="AAK48" s="422"/>
      <c r="AAL48" s="422"/>
      <c r="AAM48" s="422"/>
      <c r="AAN48" s="422"/>
      <c r="AAO48" s="422"/>
      <c r="AAP48" s="422"/>
      <c r="AAQ48" s="422"/>
      <c r="AAR48" s="422"/>
      <c r="AAS48" s="422"/>
      <c r="AAT48" s="422"/>
      <c r="AAU48" s="422"/>
      <c r="AAV48" s="422"/>
      <c r="AAW48" s="422"/>
      <c r="AAX48" s="422"/>
      <c r="AAY48" s="422"/>
      <c r="AAZ48" s="422"/>
      <c r="ABA48" s="422"/>
      <c r="ABB48" s="422"/>
      <c r="ABC48" s="422"/>
      <c r="ABD48" s="422"/>
      <c r="ABE48" s="422"/>
      <c r="ABF48" s="422"/>
      <c r="ABG48" s="422"/>
      <c r="ABH48" s="422"/>
      <c r="ABI48" s="422"/>
      <c r="ABJ48" s="422"/>
      <c r="ABK48" s="422"/>
      <c r="ABL48" s="422"/>
      <c r="ABM48" s="422"/>
      <c r="ABN48" s="422"/>
      <c r="ABO48" s="422"/>
      <c r="ABP48" s="422"/>
      <c r="ABQ48" s="422"/>
      <c r="ABR48" s="422"/>
      <c r="ABS48" s="422"/>
      <c r="ABT48" s="422"/>
      <c r="ABU48" s="422"/>
      <c r="ABV48" s="422"/>
      <c r="ABW48" s="422"/>
      <c r="ABX48" s="422"/>
      <c r="ABY48" s="422"/>
      <c r="ABZ48" s="422"/>
      <c r="ACA48" s="422"/>
      <c r="ACB48" s="422"/>
      <c r="ACC48" s="422"/>
      <c r="ACD48" s="422"/>
      <c r="ACE48" s="422"/>
      <c r="ACF48" s="422"/>
      <c r="ACG48" s="422"/>
      <c r="ACH48" s="422"/>
      <c r="ACI48" s="422"/>
      <c r="ACJ48" s="422"/>
      <c r="ACK48" s="422"/>
      <c r="ACL48" s="422"/>
      <c r="ACM48" s="422"/>
      <c r="ACN48" s="422"/>
      <c r="ACO48" s="422"/>
      <c r="ACP48" s="422"/>
      <c r="ACQ48" s="422"/>
      <c r="ACR48" s="422"/>
      <c r="ACS48" s="422"/>
      <c r="ACT48" s="422"/>
      <c r="ACU48" s="422"/>
      <c r="ACV48" s="422"/>
      <c r="ACW48" s="422"/>
      <c r="ACX48" s="422"/>
      <c r="ACY48" s="422"/>
      <c r="ACZ48" s="422"/>
      <c r="ADA48" s="422"/>
      <c r="ADB48" s="422"/>
      <c r="ADC48" s="422"/>
      <c r="ADD48" s="422"/>
      <c r="ADE48" s="422"/>
      <c r="ADF48" s="422"/>
      <c r="ADG48" s="422"/>
      <c r="ADH48" s="422"/>
      <c r="ADI48" s="422"/>
      <c r="ADJ48" s="422"/>
      <c r="ADK48" s="422"/>
      <c r="ADL48" s="422"/>
      <c r="ADM48" s="422"/>
      <c r="ADN48" s="422"/>
      <c r="ADO48" s="422"/>
      <c r="ADP48" s="422"/>
      <c r="ADQ48" s="422"/>
      <c r="ADR48" s="422"/>
      <c r="ADS48" s="422"/>
      <c r="ADT48" s="422"/>
      <c r="ADU48" s="422"/>
      <c r="ADV48" s="422"/>
      <c r="ADW48" s="422"/>
      <c r="ADX48" s="422"/>
      <c r="ADY48" s="422"/>
      <c r="ADZ48" s="422"/>
      <c r="AEA48" s="422"/>
      <c r="AEB48" s="422"/>
      <c r="AEC48" s="422"/>
      <c r="AED48" s="422"/>
      <c r="AEE48" s="422"/>
      <c r="AEF48" s="422"/>
      <c r="AEG48" s="422"/>
      <c r="AEH48" s="422"/>
      <c r="AEI48" s="422"/>
      <c r="AEJ48" s="422"/>
      <c r="AEK48" s="422"/>
      <c r="AEL48" s="422"/>
      <c r="AEM48" s="422"/>
      <c r="AEN48" s="422"/>
      <c r="AEO48" s="422"/>
      <c r="AEP48" s="422"/>
      <c r="AEQ48" s="422"/>
      <c r="AER48" s="422"/>
      <c r="AES48" s="422"/>
      <c r="AET48" s="422"/>
      <c r="AEU48" s="422"/>
      <c r="AEV48" s="422"/>
      <c r="AEW48" s="422"/>
      <c r="AEX48" s="422"/>
      <c r="AEY48" s="422"/>
      <c r="AEZ48" s="422"/>
      <c r="AFA48" s="422"/>
      <c r="AFB48" s="422"/>
      <c r="AFC48" s="422"/>
      <c r="AFD48" s="422"/>
      <c r="AFE48" s="422"/>
      <c r="AFF48" s="422"/>
      <c r="AFG48" s="422"/>
      <c r="AFH48" s="422"/>
      <c r="AFI48" s="422"/>
      <c r="AFJ48" s="422"/>
      <c r="AFK48" s="422"/>
      <c r="AFL48" s="422"/>
      <c r="AFM48" s="422"/>
      <c r="AFN48" s="422"/>
      <c r="AFO48" s="422"/>
      <c r="AFP48" s="422"/>
      <c r="AFQ48" s="422"/>
      <c r="AFR48" s="422"/>
      <c r="AFS48" s="422"/>
      <c r="AFT48" s="422"/>
      <c r="AFU48" s="422"/>
      <c r="AFV48" s="422"/>
      <c r="AFW48" s="422"/>
      <c r="AFX48" s="422"/>
      <c r="AFY48" s="422"/>
      <c r="AFZ48" s="422"/>
      <c r="AGA48" s="422"/>
      <c r="AGB48" s="422"/>
      <c r="AGC48" s="422"/>
      <c r="AGD48" s="422"/>
      <c r="AGE48" s="422"/>
      <c r="AGF48" s="422"/>
      <c r="AGG48" s="422"/>
      <c r="AGH48" s="422"/>
      <c r="AGI48" s="422"/>
      <c r="AGJ48" s="422"/>
      <c r="AGK48" s="422"/>
      <c r="AGL48" s="422"/>
      <c r="AGM48" s="422"/>
      <c r="AGN48" s="422"/>
      <c r="AGO48" s="422"/>
      <c r="AGP48" s="422"/>
      <c r="AGQ48" s="422"/>
      <c r="AGR48" s="422"/>
      <c r="AGS48" s="422"/>
      <c r="AGT48" s="422"/>
      <c r="AGU48" s="422"/>
      <c r="AGV48" s="422"/>
      <c r="AGW48" s="422"/>
      <c r="AGX48" s="422"/>
      <c r="AGY48" s="422"/>
      <c r="AGZ48" s="422"/>
      <c r="AHA48" s="422"/>
      <c r="AHB48" s="422"/>
      <c r="AHC48" s="422"/>
      <c r="AHD48" s="422"/>
      <c r="AHE48" s="422"/>
      <c r="AHF48" s="422"/>
      <c r="AHG48" s="422"/>
      <c r="AHH48" s="422"/>
      <c r="AHI48" s="422"/>
      <c r="AHJ48" s="422"/>
      <c r="AHK48" s="422"/>
      <c r="AHL48" s="422"/>
      <c r="AHM48" s="422"/>
      <c r="AHN48" s="422"/>
      <c r="AHO48" s="422"/>
      <c r="AHP48" s="422"/>
      <c r="AHQ48" s="422"/>
      <c r="AHR48" s="422"/>
      <c r="AHS48" s="422"/>
      <c r="AHT48" s="422"/>
      <c r="AHU48" s="422"/>
      <c r="AHV48" s="422"/>
      <c r="AHW48" s="422"/>
      <c r="AHX48" s="422"/>
      <c r="AHY48" s="422"/>
      <c r="AHZ48" s="422"/>
      <c r="AIA48" s="422"/>
      <c r="AIB48" s="422"/>
      <c r="AIC48" s="422"/>
      <c r="AID48" s="422"/>
      <c r="AIE48" s="422"/>
      <c r="AIF48" s="422"/>
      <c r="AIG48" s="422"/>
      <c r="AIH48" s="422"/>
      <c r="AII48" s="422"/>
      <c r="AIJ48" s="422"/>
      <c r="AIK48" s="422"/>
      <c r="AIL48" s="422"/>
      <c r="AIM48" s="422"/>
      <c r="AIN48" s="422"/>
      <c r="AIO48" s="422"/>
      <c r="AIP48" s="422"/>
      <c r="AIQ48" s="422"/>
      <c r="AIR48" s="422"/>
      <c r="AIS48" s="422"/>
      <c r="AIT48" s="422"/>
      <c r="AIU48" s="422"/>
      <c r="AIV48" s="422"/>
      <c r="AIW48" s="422"/>
      <c r="AIX48" s="422"/>
      <c r="AIY48" s="422"/>
      <c r="AIZ48" s="422"/>
      <c r="AJA48" s="422"/>
      <c r="AJB48" s="422"/>
      <c r="AJC48" s="422"/>
      <c r="AJD48" s="422"/>
      <c r="AJE48" s="422"/>
      <c r="AJF48" s="422"/>
      <c r="AJG48" s="422"/>
      <c r="AJH48" s="422"/>
      <c r="AJI48" s="422"/>
      <c r="AJJ48" s="422"/>
      <c r="AJK48" s="422"/>
      <c r="AJL48" s="422"/>
      <c r="AJM48" s="422"/>
      <c r="AJN48" s="422"/>
      <c r="AJO48" s="422"/>
      <c r="AJP48" s="422"/>
      <c r="AJQ48" s="422"/>
      <c r="AJR48" s="422"/>
      <c r="AJS48" s="422"/>
      <c r="AJT48" s="422"/>
      <c r="AJU48" s="422"/>
      <c r="AJV48" s="422"/>
      <c r="AJW48" s="422"/>
      <c r="AJX48" s="422"/>
      <c r="AJY48" s="422"/>
      <c r="AJZ48" s="422"/>
      <c r="AKA48" s="422"/>
      <c r="AKB48" s="422"/>
      <c r="AKC48" s="422"/>
      <c r="AKD48" s="422"/>
      <c r="AKE48" s="422"/>
      <c r="AKF48" s="422"/>
      <c r="AKG48" s="422"/>
      <c r="AKH48" s="422"/>
      <c r="AKI48" s="422"/>
      <c r="AKJ48" s="422"/>
      <c r="AKK48" s="422"/>
      <c r="AKL48" s="422"/>
      <c r="AKM48" s="422"/>
      <c r="AKN48" s="422"/>
      <c r="AKO48" s="422"/>
      <c r="AKP48" s="422"/>
      <c r="AKQ48" s="422"/>
      <c r="AKR48" s="422"/>
      <c r="AKS48" s="422"/>
      <c r="AKT48" s="422"/>
      <c r="AKU48" s="422"/>
      <c r="AKV48" s="422"/>
      <c r="AKW48" s="422"/>
      <c r="AKX48" s="422"/>
      <c r="AKY48" s="422"/>
      <c r="AKZ48" s="422"/>
      <c r="ALA48" s="422"/>
      <c r="ALB48" s="422"/>
      <c r="ALC48" s="422"/>
      <c r="ALD48" s="422"/>
      <c r="ALE48" s="422"/>
      <c r="ALF48" s="422"/>
      <c r="ALG48" s="422"/>
      <c r="ALH48" s="422"/>
      <c r="ALI48" s="422"/>
      <c r="ALJ48" s="422"/>
      <c r="ALK48" s="422"/>
      <c r="ALL48" s="422"/>
      <c r="ALM48" s="422"/>
      <c r="ALN48" s="422"/>
      <c r="ALO48" s="422"/>
      <c r="ALP48" s="422"/>
      <c r="ALQ48" s="422"/>
      <c r="ALR48" s="422"/>
      <c r="ALS48" s="422"/>
      <c r="ALT48" s="422"/>
      <c r="ALU48" s="422"/>
      <c r="ALV48" s="422"/>
      <c r="ALW48" s="422"/>
      <c r="ALX48" s="422"/>
      <c r="ALY48" s="422"/>
      <c r="ALZ48" s="422"/>
      <c r="AMA48" s="422"/>
      <c r="AMB48" s="422"/>
      <c r="AMC48" s="422"/>
      <c r="AMD48" s="422"/>
      <c r="AME48" s="422"/>
      <c r="AMF48" s="422"/>
      <c r="AMG48" s="422"/>
      <c r="AMH48" s="422"/>
      <c r="AMI48" s="422"/>
      <c r="AMJ48" s="422"/>
      <c r="AMK48" s="422"/>
      <c r="AML48" s="422"/>
      <c r="AMM48" s="422"/>
      <c r="AMN48" s="422"/>
      <c r="AMO48" s="422"/>
      <c r="AMP48" s="422"/>
      <c r="AMQ48" s="422"/>
      <c r="AMR48" s="422"/>
      <c r="AMS48" s="422"/>
      <c r="AMT48" s="422"/>
      <c r="AMU48" s="422"/>
      <c r="AMV48" s="422"/>
      <c r="AMW48" s="422"/>
      <c r="AMX48" s="422"/>
      <c r="AMY48" s="422"/>
      <c r="AMZ48" s="422"/>
      <c r="ANA48" s="422"/>
      <c r="ANB48" s="422"/>
      <c r="ANC48" s="422"/>
      <c r="AND48" s="422"/>
      <c r="ANE48" s="422"/>
      <c r="ANF48" s="422"/>
      <c r="ANG48" s="422"/>
      <c r="ANH48" s="422"/>
      <c r="ANI48" s="422"/>
      <c r="ANJ48" s="422"/>
      <c r="ANK48" s="422"/>
      <c r="ANL48" s="422"/>
      <c r="ANM48" s="422"/>
      <c r="ANN48" s="422"/>
      <c r="ANO48" s="422"/>
      <c r="ANP48" s="422"/>
      <c r="ANQ48" s="422"/>
      <c r="ANR48" s="422"/>
      <c r="ANS48" s="422"/>
      <c r="ANT48" s="422"/>
      <c r="ANU48" s="422"/>
      <c r="ANV48" s="422"/>
      <c r="ANW48" s="422"/>
      <c r="ANX48" s="422"/>
      <c r="ANY48" s="422"/>
      <c r="ANZ48" s="422"/>
      <c r="AOA48" s="422"/>
      <c r="AOB48" s="422"/>
      <c r="AOC48" s="422"/>
      <c r="AOD48" s="422"/>
      <c r="AOE48" s="422"/>
      <c r="AOF48" s="422"/>
      <c r="AOG48" s="422"/>
      <c r="AOH48" s="422"/>
      <c r="AOI48" s="422"/>
      <c r="AOJ48" s="422"/>
      <c r="AOK48" s="422"/>
      <c r="AOL48" s="422"/>
      <c r="AOM48" s="422"/>
      <c r="AON48" s="422"/>
      <c r="AOO48" s="422"/>
      <c r="AOP48" s="422"/>
      <c r="AOQ48" s="422"/>
      <c r="AOR48" s="422"/>
      <c r="AOS48" s="422"/>
      <c r="AOT48" s="422"/>
      <c r="AOU48" s="422"/>
      <c r="AOV48" s="422"/>
      <c r="AOW48" s="422"/>
      <c r="AOX48" s="422"/>
      <c r="AOY48" s="422"/>
      <c r="AOZ48" s="422"/>
      <c r="APA48" s="422"/>
      <c r="APB48" s="422"/>
      <c r="APC48" s="422"/>
      <c r="APD48" s="422"/>
      <c r="APE48" s="422"/>
      <c r="APF48" s="422"/>
      <c r="APG48" s="422"/>
      <c r="APH48" s="422"/>
      <c r="API48" s="422"/>
      <c r="APJ48" s="422"/>
      <c r="APK48" s="422"/>
      <c r="APL48" s="422"/>
      <c r="APM48" s="422"/>
      <c r="APN48" s="422"/>
      <c r="APO48" s="422"/>
      <c r="APP48" s="422"/>
      <c r="APQ48" s="422"/>
      <c r="APR48" s="422"/>
      <c r="APS48" s="422"/>
      <c r="APT48" s="422"/>
      <c r="APU48" s="422"/>
      <c r="APV48" s="422"/>
      <c r="APW48" s="422"/>
      <c r="APX48" s="422"/>
      <c r="APY48" s="422"/>
      <c r="APZ48" s="422"/>
      <c r="AQA48" s="422"/>
      <c r="AQB48" s="422"/>
      <c r="AQC48" s="422"/>
      <c r="AQD48" s="422"/>
      <c r="AQE48" s="422"/>
      <c r="AQF48" s="422"/>
      <c r="AQG48" s="422"/>
      <c r="AQH48" s="422"/>
      <c r="AQI48" s="422"/>
      <c r="AQJ48" s="422"/>
      <c r="AQK48" s="422"/>
      <c r="AQL48" s="422"/>
      <c r="AQM48" s="422"/>
      <c r="AQN48" s="422"/>
      <c r="AQO48" s="422"/>
      <c r="AQP48" s="422"/>
      <c r="AQQ48" s="422"/>
      <c r="AQR48" s="422"/>
      <c r="AQS48" s="422"/>
      <c r="AQT48" s="422"/>
      <c r="AQU48" s="422"/>
      <c r="AQV48" s="422"/>
      <c r="AQW48" s="422"/>
      <c r="AQX48" s="422"/>
      <c r="AQY48" s="422"/>
      <c r="AQZ48" s="422"/>
      <c r="ARA48" s="422"/>
      <c r="ARB48" s="422"/>
      <c r="ARC48" s="422"/>
      <c r="ARD48" s="422"/>
      <c r="ARE48" s="422"/>
      <c r="ARF48" s="422"/>
      <c r="ARG48" s="422"/>
      <c r="ARH48" s="422"/>
      <c r="ARI48" s="422"/>
      <c r="ARJ48" s="422"/>
      <c r="ARK48" s="422"/>
      <c r="ARL48" s="422"/>
      <c r="ARM48" s="422"/>
      <c r="ARN48" s="422"/>
      <c r="ARO48" s="422"/>
      <c r="ARP48" s="422"/>
      <c r="ARQ48" s="422"/>
      <c r="ARR48" s="422"/>
      <c r="ARS48" s="422"/>
      <c r="ART48" s="422"/>
      <c r="ARU48" s="422"/>
      <c r="ARV48" s="422"/>
      <c r="ARW48" s="422"/>
      <c r="ARX48" s="422"/>
      <c r="ARY48" s="422"/>
      <c r="ARZ48" s="422"/>
      <c r="ASA48" s="422"/>
      <c r="ASB48" s="422"/>
      <c r="ASC48" s="422"/>
      <c r="ASD48" s="422"/>
      <c r="ASE48" s="422"/>
      <c r="ASF48" s="422"/>
      <c r="ASG48" s="422"/>
      <c r="ASH48" s="422"/>
      <c r="ASI48" s="422"/>
      <c r="ASJ48" s="422"/>
      <c r="ASK48" s="422"/>
      <c r="ASL48" s="422"/>
      <c r="ASM48" s="422"/>
      <c r="ASN48" s="422"/>
      <c r="ASO48" s="422"/>
      <c r="ASP48" s="422"/>
      <c r="ASQ48" s="422"/>
      <c r="ASR48" s="422"/>
      <c r="ASS48" s="422"/>
      <c r="AST48" s="422"/>
      <c r="ASU48" s="422"/>
      <c r="ASV48" s="422"/>
      <c r="ASW48" s="422"/>
      <c r="ASX48" s="422"/>
      <c r="ASY48" s="422"/>
      <c r="ASZ48" s="422"/>
      <c r="ATA48" s="422"/>
      <c r="ATB48" s="422"/>
      <c r="ATC48" s="422"/>
      <c r="ATD48" s="422"/>
      <c r="ATE48" s="422"/>
      <c r="ATF48" s="422"/>
      <c r="ATG48" s="422"/>
      <c r="ATH48" s="422"/>
      <c r="ATI48" s="422"/>
      <c r="ATJ48" s="422"/>
      <c r="ATK48" s="422"/>
      <c r="ATL48" s="422"/>
      <c r="ATM48" s="422"/>
      <c r="ATN48" s="422"/>
      <c r="ATO48" s="422"/>
      <c r="ATP48" s="422"/>
      <c r="ATQ48" s="422"/>
      <c r="ATR48" s="422"/>
      <c r="ATS48" s="422"/>
      <c r="ATT48" s="422"/>
      <c r="ATU48" s="422"/>
      <c r="ATV48" s="422"/>
      <c r="ATW48" s="422"/>
      <c r="ATX48" s="422"/>
      <c r="ATY48" s="422"/>
      <c r="ATZ48" s="422"/>
      <c r="AUA48" s="422"/>
      <c r="AUB48" s="422"/>
      <c r="AUC48" s="422"/>
      <c r="AUD48" s="422"/>
      <c r="AUE48" s="422"/>
      <c r="AUF48" s="422"/>
      <c r="AUG48" s="422"/>
      <c r="AUH48" s="422"/>
      <c r="AUI48" s="422"/>
      <c r="AUJ48" s="422"/>
      <c r="AUK48" s="422"/>
      <c r="AUL48" s="422"/>
      <c r="AUM48" s="422"/>
      <c r="AUN48" s="422"/>
      <c r="AUO48" s="422"/>
      <c r="AUP48" s="422"/>
      <c r="AUQ48" s="422"/>
      <c r="AUR48" s="422"/>
      <c r="AUS48" s="422"/>
      <c r="AUT48" s="422"/>
      <c r="AUU48" s="422"/>
      <c r="AUV48" s="422"/>
      <c r="AUW48" s="422"/>
      <c r="AUX48" s="422"/>
      <c r="AUY48" s="422"/>
      <c r="AUZ48" s="422"/>
      <c r="AVA48" s="422"/>
      <c r="AVB48" s="422"/>
      <c r="AVC48" s="422"/>
      <c r="AVD48" s="422"/>
      <c r="AVE48" s="422"/>
      <c r="AVF48" s="422"/>
      <c r="AVG48" s="422"/>
      <c r="AVH48" s="422"/>
      <c r="AVI48" s="422"/>
      <c r="AVJ48" s="422"/>
      <c r="AVK48" s="422"/>
      <c r="AVL48" s="422"/>
      <c r="AVM48" s="422"/>
      <c r="AVN48" s="422"/>
      <c r="AVO48" s="422"/>
      <c r="AVP48" s="422"/>
      <c r="AVQ48" s="422"/>
      <c r="AVR48" s="422"/>
      <c r="AVS48" s="422"/>
      <c r="AVT48" s="422"/>
      <c r="AVU48" s="422"/>
      <c r="AVV48" s="422"/>
      <c r="AVW48" s="422"/>
      <c r="AVX48" s="422"/>
      <c r="AVY48" s="422"/>
      <c r="AVZ48" s="422"/>
      <c r="AWA48" s="422"/>
      <c r="AWB48" s="422"/>
      <c r="AWC48" s="422"/>
      <c r="AWD48" s="422"/>
      <c r="AWE48" s="422"/>
      <c r="AWF48" s="422"/>
      <c r="AWG48" s="422"/>
      <c r="AWH48" s="422"/>
      <c r="AWI48" s="422"/>
      <c r="AWJ48" s="422"/>
      <c r="AWK48" s="422"/>
      <c r="AWL48" s="422"/>
      <c r="AWM48" s="422"/>
      <c r="AWN48" s="422"/>
      <c r="AWO48" s="422"/>
      <c r="AWP48" s="422"/>
      <c r="AWQ48" s="422"/>
      <c r="AWR48" s="422"/>
      <c r="AWS48" s="422"/>
      <c r="AWT48" s="422"/>
      <c r="AWU48" s="422"/>
      <c r="AWV48" s="422"/>
      <c r="AWW48" s="422"/>
      <c r="AWX48" s="422"/>
      <c r="AWY48" s="422"/>
      <c r="AWZ48" s="422"/>
      <c r="AXA48" s="422"/>
      <c r="AXB48" s="422"/>
      <c r="AXC48" s="422"/>
      <c r="AXD48" s="422"/>
      <c r="AXE48" s="422"/>
      <c r="AXF48" s="422"/>
      <c r="AXG48" s="422"/>
      <c r="AXH48" s="422"/>
      <c r="AXI48" s="422"/>
      <c r="AXJ48" s="422"/>
      <c r="AXK48" s="422"/>
      <c r="AXL48" s="422"/>
      <c r="AXM48" s="422"/>
      <c r="AXN48" s="422"/>
      <c r="AXO48" s="422"/>
      <c r="AXP48" s="422"/>
      <c r="AXQ48" s="422"/>
      <c r="AXR48" s="422"/>
      <c r="AXS48" s="422"/>
      <c r="AXT48" s="422"/>
      <c r="AXU48" s="422"/>
      <c r="AXV48" s="422"/>
      <c r="AXW48" s="422"/>
      <c r="AXX48" s="422"/>
      <c r="AXY48" s="422"/>
      <c r="AXZ48" s="422"/>
      <c r="AYA48" s="422"/>
      <c r="AYB48" s="422"/>
      <c r="AYC48" s="422"/>
      <c r="AYD48" s="422"/>
      <c r="AYE48" s="422"/>
      <c r="AYF48" s="422"/>
      <c r="AYG48" s="422"/>
      <c r="AYH48" s="422"/>
      <c r="AYI48" s="422"/>
      <c r="AYJ48" s="422"/>
      <c r="AYK48" s="422"/>
      <c r="AYL48" s="422"/>
      <c r="AYM48" s="422"/>
      <c r="AYN48" s="422"/>
      <c r="AYO48" s="422"/>
      <c r="AYP48" s="422"/>
      <c r="AYQ48" s="422"/>
      <c r="AYR48" s="422"/>
      <c r="AYS48" s="422"/>
      <c r="AYT48" s="422"/>
      <c r="AYU48" s="422"/>
      <c r="AYV48" s="422"/>
      <c r="AYW48" s="422"/>
      <c r="AYX48" s="422"/>
      <c r="AYY48" s="422"/>
      <c r="AYZ48" s="422"/>
      <c r="AZA48" s="422"/>
      <c r="AZB48" s="422"/>
      <c r="AZC48" s="422"/>
      <c r="AZD48" s="422"/>
      <c r="AZE48" s="422"/>
      <c r="AZF48" s="422"/>
      <c r="AZG48" s="422"/>
      <c r="AZH48" s="422"/>
      <c r="AZI48" s="422"/>
      <c r="AZJ48" s="422"/>
      <c r="AZK48" s="422"/>
      <c r="AZL48" s="422"/>
      <c r="AZM48" s="422"/>
      <c r="AZN48" s="422"/>
      <c r="AZO48" s="422"/>
      <c r="AZP48" s="422"/>
      <c r="AZQ48" s="422"/>
      <c r="AZR48" s="422"/>
      <c r="AZS48" s="422"/>
      <c r="AZT48" s="422"/>
      <c r="AZU48" s="422"/>
      <c r="AZV48" s="422"/>
      <c r="AZW48" s="422"/>
      <c r="AZX48" s="422"/>
      <c r="AZY48" s="422"/>
      <c r="AZZ48" s="422"/>
      <c r="BAA48" s="422"/>
      <c r="BAB48" s="422"/>
      <c r="BAC48" s="422"/>
      <c r="BAD48" s="422"/>
      <c r="BAE48" s="422"/>
      <c r="BAF48" s="422"/>
      <c r="BAG48" s="422"/>
      <c r="BAH48" s="422"/>
      <c r="BAI48" s="422"/>
      <c r="BAJ48" s="422"/>
      <c r="BAK48" s="422"/>
      <c r="BAL48" s="422"/>
      <c r="BAM48" s="422"/>
      <c r="BAN48" s="422"/>
      <c r="BAO48" s="422"/>
      <c r="BAP48" s="422"/>
      <c r="BAQ48" s="422"/>
      <c r="BAR48" s="422"/>
      <c r="BAS48" s="422"/>
      <c r="BAT48" s="422"/>
      <c r="BAU48" s="422"/>
      <c r="BAV48" s="422"/>
      <c r="BAW48" s="422"/>
      <c r="BAX48" s="422"/>
      <c r="BAY48" s="422"/>
      <c r="BAZ48" s="422"/>
      <c r="BBA48" s="422"/>
      <c r="BBB48" s="422"/>
      <c r="BBC48" s="422"/>
      <c r="BBD48" s="422"/>
      <c r="BBE48" s="422"/>
      <c r="BBF48" s="422"/>
      <c r="BBG48" s="422"/>
      <c r="BBH48" s="422"/>
      <c r="BBI48" s="422"/>
      <c r="BBJ48" s="422"/>
      <c r="BBK48" s="422"/>
      <c r="BBL48" s="422"/>
      <c r="BBM48" s="422"/>
      <c r="BBN48" s="422"/>
      <c r="BBO48" s="422"/>
      <c r="BBP48" s="422"/>
      <c r="BBQ48" s="422"/>
      <c r="BBR48" s="422"/>
      <c r="BBS48" s="422"/>
      <c r="BBT48" s="422"/>
      <c r="BBU48" s="422"/>
      <c r="BBV48" s="422"/>
      <c r="BBW48" s="422"/>
      <c r="BBX48" s="422"/>
      <c r="BBY48" s="422"/>
      <c r="BBZ48" s="422"/>
      <c r="BCA48" s="422"/>
      <c r="BCB48" s="422"/>
      <c r="BCC48" s="422"/>
      <c r="BCD48" s="422"/>
      <c r="BCE48" s="422"/>
      <c r="BCF48" s="422"/>
      <c r="BCG48" s="422"/>
      <c r="BCH48" s="422"/>
      <c r="BCI48" s="422"/>
      <c r="BCJ48" s="422"/>
      <c r="BCK48" s="422"/>
      <c r="BCL48" s="422"/>
      <c r="BCM48" s="422"/>
      <c r="BCN48" s="422"/>
      <c r="BCO48" s="422"/>
      <c r="BCP48" s="422"/>
      <c r="BCQ48" s="422"/>
      <c r="BCR48" s="422"/>
      <c r="BCS48" s="422"/>
      <c r="BCT48" s="422"/>
      <c r="BCU48" s="422"/>
      <c r="BCV48" s="422"/>
      <c r="BCW48" s="422"/>
      <c r="BCX48" s="422"/>
      <c r="BCY48" s="422"/>
      <c r="BCZ48" s="422"/>
      <c r="BDA48" s="422"/>
      <c r="BDB48" s="422"/>
      <c r="BDC48" s="422"/>
      <c r="BDD48" s="422"/>
      <c r="BDE48" s="422"/>
      <c r="BDF48" s="422"/>
      <c r="BDG48" s="422"/>
      <c r="BDH48" s="422"/>
      <c r="BDI48" s="422"/>
      <c r="BDJ48" s="422"/>
      <c r="BDK48" s="422"/>
      <c r="BDL48" s="422"/>
      <c r="BDM48" s="422"/>
      <c r="BDN48" s="422"/>
      <c r="BDO48" s="422"/>
      <c r="BDP48" s="422"/>
      <c r="BDQ48" s="422"/>
      <c r="BDR48" s="422"/>
      <c r="BDS48" s="422"/>
      <c r="BDT48" s="422"/>
      <c r="BDU48" s="422"/>
      <c r="BDV48" s="422"/>
      <c r="BDW48" s="422"/>
      <c r="BDX48" s="422"/>
      <c r="BDY48" s="422"/>
      <c r="BDZ48" s="422"/>
      <c r="BEA48" s="422"/>
      <c r="BEB48" s="422"/>
      <c r="BEC48" s="422"/>
      <c r="BED48" s="422"/>
      <c r="BEE48" s="422"/>
      <c r="BEF48" s="422"/>
      <c r="BEG48" s="422"/>
      <c r="BEH48" s="422"/>
      <c r="BEI48" s="422"/>
      <c r="BEJ48" s="422"/>
      <c r="BEK48" s="422"/>
      <c r="BEL48" s="422"/>
      <c r="BEM48" s="422"/>
      <c r="BEN48" s="422"/>
      <c r="BEO48" s="422"/>
      <c r="BEP48" s="422"/>
      <c r="BEQ48" s="422"/>
      <c r="BER48" s="422"/>
      <c r="BES48" s="422"/>
      <c r="BET48" s="422"/>
      <c r="BEU48" s="422"/>
      <c r="BEV48" s="422"/>
      <c r="BEW48" s="422"/>
      <c r="BEX48" s="422"/>
      <c r="BEY48" s="422"/>
      <c r="BEZ48" s="422"/>
      <c r="BFA48" s="422"/>
      <c r="BFB48" s="422"/>
      <c r="BFC48" s="422"/>
      <c r="BFD48" s="422"/>
      <c r="BFE48" s="422"/>
      <c r="BFF48" s="422"/>
      <c r="BFG48" s="422"/>
      <c r="BFH48" s="422"/>
      <c r="BFI48" s="422"/>
      <c r="BFJ48" s="422"/>
      <c r="BFK48" s="422"/>
      <c r="BFL48" s="422"/>
      <c r="BFM48" s="422"/>
      <c r="BFN48" s="422"/>
      <c r="BFO48" s="422"/>
      <c r="BFP48" s="422"/>
      <c r="BFQ48" s="422"/>
      <c r="BFR48" s="422"/>
      <c r="BFS48" s="422"/>
      <c r="BFT48" s="422"/>
      <c r="BFU48" s="422"/>
      <c r="BFV48" s="422"/>
      <c r="BFW48" s="422"/>
      <c r="BFX48" s="422"/>
      <c r="BFY48" s="422"/>
      <c r="BFZ48" s="422"/>
      <c r="BGA48" s="422"/>
      <c r="BGB48" s="422"/>
      <c r="BGC48" s="422"/>
      <c r="BGD48" s="422"/>
      <c r="BGE48" s="422"/>
      <c r="BGF48" s="422"/>
      <c r="BGG48" s="422"/>
      <c r="BGH48" s="422"/>
      <c r="BGI48" s="422"/>
      <c r="BGJ48" s="422"/>
      <c r="BGK48" s="422"/>
      <c r="BGL48" s="422"/>
      <c r="BGM48" s="422"/>
      <c r="BGN48" s="422"/>
      <c r="BGO48" s="422"/>
      <c r="BGP48" s="422"/>
      <c r="BGQ48" s="422"/>
      <c r="BGR48" s="422"/>
      <c r="BGS48" s="422"/>
      <c r="BGT48" s="422"/>
      <c r="BGU48" s="422"/>
      <c r="BGV48" s="422"/>
      <c r="BGW48" s="422"/>
      <c r="BGX48" s="422"/>
      <c r="BGY48" s="422"/>
      <c r="BGZ48" s="422"/>
      <c r="BHA48" s="422"/>
      <c r="BHB48" s="422"/>
      <c r="BHC48" s="422"/>
      <c r="BHD48" s="422"/>
      <c r="BHE48" s="422"/>
      <c r="BHF48" s="422"/>
      <c r="BHG48" s="422"/>
      <c r="BHH48" s="422"/>
      <c r="BHI48" s="422"/>
      <c r="BHJ48" s="422"/>
      <c r="BHK48" s="422"/>
      <c r="BHL48" s="422"/>
      <c r="BHM48" s="422"/>
      <c r="BHN48" s="422"/>
      <c r="BHO48" s="422"/>
      <c r="BHP48" s="422"/>
      <c r="BHQ48" s="422"/>
      <c r="BHR48" s="422"/>
      <c r="BHS48" s="422"/>
      <c r="BHT48" s="422"/>
      <c r="BHU48" s="422"/>
      <c r="BHV48" s="422"/>
      <c r="BHW48" s="422"/>
      <c r="BHX48" s="422"/>
      <c r="BHY48" s="422"/>
      <c r="BHZ48" s="422"/>
      <c r="BIA48" s="422"/>
      <c r="BIB48" s="422"/>
      <c r="BIC48" s="422"/>
      <c r="BID48" s="422"/>
      <c r="BIE48" s="422"/>
      <c r="BIF48" s="422"/>
      <c r="BIG48" s="422"/>
      <c r="BIH48" s="422"/>
      <c r="BII48" s="422"/>
      <c r="BIJ48" s="422"/>
      <c r="BIK48" s="422"/>
      <c r="BIL48" s="422"/>
      <c r="BIM48" s="422"/>
      <c r="BIN48" s="422"/>
      <c r="BIO48" s="422"/>
      <c r="BIP48" s="422"/>
      <c r="BIQ48" s="422"/>
      <c r="BIR48" s="422"/>
      <c r="BIS48" s="422"/>
      <c r="BIT48" s="422"/>
      <c r="BIU48" s="422"/>
      <c r="BIV48" s="422"/>
      <c r="BIW48" s="422"/>
      <c r="BIX48" s="422"/>
      <c r="BIY48" s="422"/>
      <c r="BIZ48" s="422"/>
      <c r="BJA48" s="422"/>
      <c r="BJB48" s="422"/>
      <c r="BJC48" s="422"/>
      <c r="BJD48" s="422"/>
      <c r="BJE48" s="422"/>
      <c r="BJF48" s="422"/>
      <c r="BJG48" s="422"/>
      <c r="BJH48" s="422"/>
      <c r="BJI48" s="422"/>
      <c r="BJJ48" s="422"/>
      <c r="BJK48" s="422"/>
      <c r="BJL48" s="422"/>
      <c r="BJM48" s="422"/>
      <c r="BJN48" s="422"/>
      <c r="BJO48" s="422"/>
      <c r="BJP48" s="422"/>
      <c r="BJQ48" s="422"/>
      <c r="BJR48" s="422"/>
      <c r="BJS48" s="422"/>
      <c r="BJT48" s="422"/>
      <c r="BJU48" s="422"/>
      <c r="BJV48" s="422"/>
      <c r="BJW48" s="422"/>
      <c r="BJX48" s="422"/>
      <c r="BJY48" s="422"/>
      <c r="BJZ48" s="422"/>
      <c r="BKA48" s="422"/>
      <c r="BKB48" s="422"/>
      <c r="BKC48" s="422"/>
      <c r="BKD48" s="422"/>
      <c r="BKE48" s="422"/>
      <c r="BKF48" s="422"/>
      <c r="BKG48" s="422"/>
      <c r="BKH48" s="422"/>
      <c r="BKI48" s="422"/>
      <c r="BKJ48" s="422"/>
      <c r="BKK48" s="422"/>
      <c r="BKL48" s="422"/>
      <c r="BKM48" s="422"/>
      <c r="BKN48" s="422"/>
      <c r="BKO48" s="422"/>
      <c r="BKP48" s="422"/>
      <c r="BKQ48" s="422"/>
      <c r="BKR48" s="422"/>
      <c r="BKS48" s="422"/>
      <c r="BKT48" s="422"/>
      <c r="BKU48" s="422"/>
      <c r="BKV48" s="422"/>
      <c r="BKW48" s="422"/>
      <c r="BKX48" s="422"/>
      <c r="BKY48" s="422"/>
      <c r="BKZ48" s="422"/>
      <c r="BLA48" s="422"/>
      <c r="BLB48" s="422"/>
      <c r="BLC48" s="422"/>
      <c r="BLD48" s="422"/>
      <c r="BLE48" s="422"/>
      <c r="BLF48" s="422"/>
      <c r="BLG48" s="422"/>
      <c r="BLH48" s="422"/>
      <c r="BLI48" s="422"/>
      <c r="BLJ48" s="422"/>
      <c r="BLK48" s="422"/>
      <c r="BLL48" s="422"/>
      <c r="BLM48" s="422"/>
      <c r="BLN48" s="422"/>
      <c r="BLO48" s="422"/>
      <c r="BLP48" s="422"/>
      <c r="BLQ48" s="422"/>
      <c r="BLR48" s="422"/>
      <c r="BLS48" s="422"/>
      <c r="BLT48" s="422"/>
      <c r="BLU48" s="422"/>
      <c r="BLV48" s="422"/>
      <c r="BLW48" s="422"/>
      <c r="BLX48" s="422"/>
      <c r="BLY48" s="422"/>
      <c r="BLZ48" s="422"/>
      <c r="BMA48" s="422"/>
      <c r="BMB48" s="422"/>
      <c r="BMC48" s="422"/>
      <c r="BMD48" s="422"/>
      <c r="BME48" s="422"/>
      <c r="BMF48" s="422"/>
      <c r="BMG48" s="422"/>
      <c r="BMH48" s="422"/>
      <c r="BMI48" s="422"/>
      <c r="BMJ48" s="422"/>
      <c r="BMK48" s="422"/>
      <c r="BML48" s="422"/>
      <c r="BMM48" s="422"/>
      <c r="BMN48" s="422"/>
      <c r="BMO48" s="422"/>
      <c r="BMP48" s="422"/>
      <c r="BMQ48" s="422"/>
      <c r="BMR48" s="422"/>
      <c r="BMS48" s="422"/>
      <c r="BMT48" s="422"/>
      <c r="BMU48" s="422"/>
      <c r="BMV48" s="422"/>
      <c r="BMW48" s="422"/>
      <c r="BMX48" s="422"/>
      <c r="BMY48" s="422"/>
      <c r="BMZ48" s="422"/>
      <c r="BNA48" s="422"/>
      <c r="BNB48" s="422"/>
      <c r="BNC48" s="422"/>
      <c r="BND48" s="422"/>
      <c r="BNE48" s="422"/>
      <c r="BNF48" s="422"/>
      <c r="BNG48" s="422"/>
      <c r="BNH48" s="422"/>
      <c r="BNI48" s="422"/>
      <c r="BNJ48" s="422"/>
      <c r="BNK48" s="422"/>
      <c r="BNL48" s="422"/>
      <c r="BNM48" s="422"/>
      <c r="BNN48" s="422"/>
      <c r="BNO48" s="422"/>
      <c r="BNP48" s="422"/>
      <c r="BNQ48" s="422"/>
      <c r="BNR48" s="422"/>
      <c r="BNS48" s="422"/>
      <c r="BNT48" s="422"/>
      <c r="BNU48" s="422"/>
      <c r="BNV48" s="422"/>
      <c r="BNW48" s="422"/>
      <c r="BNX48" s="422"/>
      <c r="BNY48" s="422"/>
      <c r="BNZ48" s="422"/>
      <c r="BOA48" s="422"/>
      <c r="BOB48" s="422"/>
      <c r="BOC48" s="422"/>
      <c r="BOD48" s="422"/>
      <c r="BOE48" s="422"/>
      <c r="BOF48" s="422"/>
      <c r="BOG48" s="422"/>
      <c r="BOH48" s="422"/>
      <c r="BOI48" s="422"/>
      <c r="BOJ48" s="422"/>
      <c r="BOK48" s="422"/>
      <c r="BOL48" s="422"/>
      <c r="BOM48" s="422"/>
      <c r="BON48" s="422"/>
      <c r="BOO48" s="422"/>
      <c r="BOP48" s="422"/>
      <c r="BOQ48" s="422"/>
      <c r="BOR48" s="422"/>
      <c r="BOS48" s="422"/>
      <c r="BOT48" s="422"/>
      <c r="BOU48" s="422"/>
      <c r="BOV48" s="422"/>
      <c r="BOW48" s="422"/>
      <c r="BOX48" s="422"/>
      <c r="BOY48" s="422"/>
      <c r="BOZ48" s="422"/>
      <c r="BPA48" s="422"/>
      <c r="BPB48" s="422"/>
      <c r="BPC48" s="422"/>
      <c r="BPD48" s="422"/>
      <c r="BPE48" s="422"/>
      <c r="BPF48" s="422"/>
      <c r="BPG48" s="422"/>
      <c r="BPH48" s="422"/>
      <c r="BPI48" s="422"/>
      <c r="BPJ48" s="422"/>
      <c r="BPK48" s="422"/>
      <c r="BPL48" s="422"/>
      <c r="BPM48" s="422"/>
      <c r="BPN48" s="422"/>
      <c r="BPO48" s="422"/>
      <c r="BPP48" s="422"/>
      <c r="BPQ48" s="422"/>
      <c r="BPR48" s="422"/>
      <c r="BPS48" s="422"/>
      <c r="BPT48" s="422"/>
      <c r="BPU48" s="422"/>
      <c r="BPV48" s="422"/>
      <c r="BPW48" s="422"/>
      <c r="BPX48" s="422"/>
      <c r="BPY48" s="422"/>
      <c r="BPZ48" s="422"/>
      <c r="BQA48" s="422"/>
      <c r="BQB48" s="422"/>
      <c r="BQC48" s="422"/>
      <c r="BQD48" s="422"/>
      <c r="BQE48" s="422"/>
      <c r="BQF48" s="422"/>
      <c r="BQG48" s="422"/>
      <c r="BQH48" s="422"/>
      <c r="BQI48" s="422"/>
      <c r="BQJ48" s="422"/>
      <c r="BQK48" s="422"/>
      <c r="BQL48" s="422"/>
      <c r="BQM48" s="422"/>
      <c r="BQN48" s="422"/>
      <c r="BQO48" s="422"/>
      <c r="BQP48" s="422"/>
      <c r="BQQ48" s="422"/>
      <c r="BQR48" s="422"/>
      <c r="BQS48" s="422"/>
      <c r="BQT48" s="422"/>
      <c r="BQU48" s="422"/>
      <c r="BQV48" s="422"/>
      <c r="BQW48" s="422"/>
      <c r="BQX48" s="422"/>
      <c r="BQY48" s="422"/>
      <c r="BQZ48" s="422"/>
      <c r="BRA48" s="422"/>
      <c r="BRB48" s="422"/>
      <c r="BRC48" s="422"/>
      <c r="BRD48" s="422"/>
      <c r="BRE48" s="422"/>
      <c r="BRF48" s="422"/>
      <c r="BRG48" s="422"/>
      <c r="BRH48" s="422"/>
      <c r="BRI48" s="422"/>
      <c r="BRJ48" s="422"/>
      <c r="BRK48" s="422"/>
      <c r="BRL48" s="422"/>
      <c r="BRM48" s="422"/>
      <c r="BRN48" s="422"/>
      <c r="BRO48" s="422"/>
      <c r="BRP48" s="422"/>
      <c r="BRQ48" s="422"/>
      <c r="BRR48" s="422"/>
      <c r="BRS48" s="422"/>
      <c r="BRT48" s="422"/>
      <c r="BRU48" s="422"/>
      <c r="BRV48" s="422"/>
      <c r="BRW48" s="422"/>
      <c r="BRX48" s="422"/>
      <c r="BRY48" s="422"/>
      <c r="BRZ48" s="422"/>
      <c r="BSA48" s="422"/>
      <c r="BSB48" s="422"/>
      <c r="BSC48" s="422"/>
      <c r="BSD48" s="422"/>
      <c r="BSE48" s="422"/>
      <c r="BSF48" s="422"/>
      <c r="BSG48" s="422"/>
      <c r="BSH48" s="422"/>
      <c r="BSI48" s="422"/>
      <c r="BSJ48" s="422"/>
      <c r="BSK48" s="422"/>
      <c r="BSL48" s="422"/>
      <c r="BSM48" s="422"/>
      <c r="BSN48" s="422"/>
      <c r="BSO48" s="422"/>
      <c r="BSP48" s="422"/>
      <c r="BSQ48" s="422"/>
      <c r="BSR48" s="422"/>
      <c r="BSS48" s="422"/>
      <c r="BST48" s="422"/>
      <c r="BSU48" s="422"/>
      <c r="BSV48" s="422"/>
      <c r="BSW48" s="422"/>
      <c r="BSX48" s="422"/>
      <c r="BSY48" s="422"/>
      <c r="BSZ48" s="422"/>
      <c r="BTA48" s="422"/>
      <c r="BTB48" s="422"/>
      <c r="BTC48" s="422"/>
      <c r="BTD48" s="422"/>
      <c r="BTE48" s="422"/>
      <c r="BTF48" s="422"/>
      <c r="BTG48" s="422"/>
      <c r="BTH48" s="422"/>
      <c r="BTI48" s="422"/>
      <c r="BTJ48" s="422"/>
      <c r="BTK48" s="422"/>
      <c r="BTL48" s="422"/>
      <c r="BTM48" s="422"/>
      <c r="BTN48" s="422"/>
      <c r="BTO48" s="422"/>
      <c r="BTP48" s="422"/>
      <c r="BTQ48" s="422"/>
      <c r="BTR48" s="422"/>
      <c r="BTS48" s="422"/>
      <c r="BTT48" s="422"/>
      <c r="BTU48" s="422"/>
      <c r="BTV48" s="422"/>
      <c r="BTW48" s="422"/>
      <c r="BTX48" s="422"/>
      <c r="BTY48" s="422"/>
      <c r="BTZ48" s="422"/>
      <c r="BUA48" s="422"/>
      <c r="BUB48" s="422"/>
      <c r="BUC48" s="422"/>
      <c r="BUD48" s="422"/>
      <c r="BUE48" s="422"/>
      <c r="BUF48" s="422"/>
      <c r="BUG48" s="422"/>
      <c r="BUH48" s="422"/>
      <c r="BUI48" s="422"/>
      <c r="BUJ48" s="422"/>
      <c r="BUK48" s="422"/>
      <c r="BUL48" s="422"/>
      <c r="BUM48" s="422"/>
      <c r="BUN48" s="422"/>
      <c r="BUO48" s="422"/>
      <c r="BUP48" s="422"/>
      <c r="BUQ48" s="422"/>
      <c r="BUR48" s="422"/>
      <c r="BUS48" s="422"/>
      <c r="BUT48" s="422"/>
      <c r="BUU48" s="422"/>
      <c r="BUV48" s="422"/>
      <c r="BUW48" s="422"/>
      <c r="BUX48" s="422"/>
      <c r="BUY48" s="422"/>
      <c r="BUZ48" s="422"/>
      <c r="BVA48" s="422"/>
      <c r="BVB48" s="422"/>
      <c r="BVC48" s="422"/>
      <c r="BVD48" s="422"/>
      <c r="BVE48" s="422"/>
      <c r="BVF48" s="422"/>
      <c r="BVG48" s="422"/>
      <c r="BVH48" s="422"/>
      <c r="BVI48" s="422"/>
      <c r="BVJ48" s="422"/>
      <c r="BVK48" s="422"/>
      <c r="BVL48" s="422"/>
      <c r="BVM48" s="422"/>
      <c r="BVN48" s="422"/>
      <c r="BVO48" s="422"/>
      <c r="BVP48" s="422"/>
      <c r="BVQ48" s="422"/>
      <c r="BVR48" s="422"/>
      <c r="BVS48" s="422"/>
      <c r="BVT48" s="422"/>
      <c r="BVU48" s="422"/>
      <c r="BVV48" s="422"/>
      <c r="BVW48" s="422"/>
      <c r="BVX48" s="422"/>
      <c r="BVY48" s="422"/>
      <c r="BVZ48" s="422"/>
      <c r="BWA48" s="422"/>
      <c r="BWB48" s="422"/>
      <c r="BWC48" s="422"/>
      <c r="BWD48" s="422"/>
      <c r="BWE48" s="422"/>
      <c r="BWF48" s="422"/>
      <c r="BWG48" s="422"/>
      <c r="BWH48" s="422"/>
      <c r="BWI48" s="422"/>
      <c r="BWJ48" s="422"/>
      <c r="BWK48" s="422"/>
      <c r="BWL48" s="422"/>
      <c r="BWM48" s="422"/>
      <c r="BWN48" s="422"/>
      <c r="BWO48" s="422"/>
      <c r="BWP48" s="422"/>
      <c r="BWQ48" s="422"/>
      <c r="BWR48" s="422"/>
      <c r="BWS48" s="422"/>
      <c r="BWT48" s="422"/>
      <c r="BWU48" s="422"/>
      <c r="BWV48" s="422"/>
      <c r="BWW48" s="422"/>
      <c r="BWX48" s="422"/>
      <c r="BWY48" s="422"/>
      <c r="BWZ48" s="422"/>
      <c r="BXA48" s="422"/>
      <c r="BXB48" s="422"/>
      <c r="BXC48" s="422"/>
      <c r="BXD48" s="422"/>
      <c r="BXE48" s="422"/>
      <c r="BXF48" s="422"/>
      <c r="BXG48" s="422"/>
      <c r="BXH48" s="422"/>
      <c r="BXI48" s="422"/>
      <c r="BXJ48" s="422"/>
      <c r="BXK48" s="422"/>
      <c r="BXL48" s="422"/>
      <c r="BXM48" s="422"/>
      <c r="BXN48" s="422"/>
      <c r="BXO48" s="422"/>
      <c r="BXP48" s="422"/>
      <c r="BXQ48" s="422"/>
      <c r="BXR48" s="422"/>
      <c r="BXS48" s="422"/>
      <c r="BXT48" s="422"/>
      <c r="BXU48" s="422"/>
      <c r="BXV48" s="422"/>
      <c r="BXW48" s="422"/>
      <c r="BXX48" s="422"/>
      <c r="BXY48" s="422"/>
      <c r="BXZ48" s="422"/>
      <c r="BYA48" s="422"/>
      <c r="BYB48" s="422"/>
      <c r="BYC48" s="422"/>
      <c r="BYD48" s="422"/>
      <c r="BYE48" s="422"/>
      <c r="BYF48" s="422"/>
      <c r="BYG48" s="422"/>
      <c r="BYH48" s="422"/>
      <c r="BYI48" s="422"/>
      <c r="BYJ48" s="422"/>
      <c r="BYK48" s="422"/>
      <c r="BYL48" s="422"/>
      <c r="BYM48" s="422"/>
      <c r="BYN48" s="422"/>
      <c r="BYO48" s="422"/>
      <c r="BYP48" s="422"/>
      <c r="BYQ48" s="422"/>
      <c r="BYR48" s="422"/>
      <c r="BYS48" s="422"/>
      <c r="BYT48" s="422"/>
      <c r="BYU48" s="422"/>
      <c r="BYV48" s="422"/>
      <c r="BYW48" s="422"/>
      <c r="BYX48" s="422"/>
      <c r="BYY48" s="422"/>
      <c r="BYZ48" s="422"/>
      <c r="BZA48" s="422"/>
      <c r="BZB48" s="422"/>
      <c r="BZC48" s="422"/>
      <c r="BZD48" s="422"/>
      <c r="BZE48" s="422"/>
      <c r="BZF48" s="422"/>
      <c r="BZG48" s="422"/>
      <c r="BZH48" s="422"/>
      <c r="BZI48" s="422"/>
      <c r="BZJ48" s="422"/>
      <c r="BZK48" s="422"/>
      <c r="BZL48" s="422"/>
      <c r="BZM48" s="422"/>
      <c r="BZN48" s="422"/>
      <c r="BZO48" s="422"/>
      <c r="BZP48" s="422"/>
      <c r="BZQ48" s="422"/>
      <c r="BZR48" s="422"/>
      <c r="BZS48" s="422"/>
      <c r="BZT48" s="422"/>
      <c r="BZU48" s="422"/>
      <c r="BZV48" s="422"/>
      <c r="BZW48" s="422"/>
      <c r="BZX48" s="422"/>
      <c r="BZY48" s="422"/>
      <c r="BZZ48" s="422"/>
      <c r="CAA48" s="422"/>
      <c r="CAB48" s="422"/>
      <c r="CAC48" s="422"/>
      <c r="CAD48" s="422"/>
      <c r="CAE48" s="422"/>
      <c r="CAF48" s="422"/>
      <c r="CAG48" s="422"/>
      <c r="CAH48" s="422"/>
      <c r="CAI48" s="422"/>
      <c r="CAJ48" s="422"/>
      <c r="CAK48" s="422"/>
      <c r="CAL48" s="422"/>
      <c r="CAM48" s="422"/>
      <c r="CAN48" s="422"/>
      <c r="CAO48" s="422"/>
      <c r="CAP48" s="422"/>
      <c r="CAQ48" s="422"/>
      <c r="CAR48" s="422"/>
      <c r="CAS48" s="422"/>
      <c r="CAT48" s="422"/>
      <c r="CAU48" s="422"/>
      <c r="CAV48" s="422"/>
      <c r="CAW48" s="422"/>
      <c r="CAX48" s="422"/>
      <c r="CAY48" s="422"/>
      <c r="CAZ48" s="422"/>
      <c r="CBA48" s="422"/>
      <c r="CBB48" s="422"/>
      <c r="CBC48" s="422"/>
      <c r="CBD48" s="422"/>
      <c r="CBE48" s="422"/>
      <c r="CBF48" s="422"/>
      <c r="CBG48" s="422"/>
      <c r="CBH48" s="422"/>
      <c r="CBI48" s="422"/>
      <c r="CBJ48" s="422"/>
      <c r="CBK48" s="422"/>
      <c r="CBL48" s="422"/>
      <c r="CBM48" s="422"/>
      <c r="CBN48" s="422"/>
      <c r="CBO48" s="422"/>
      <c r="CBP48" s="422"/>
      <c r="CBQ48" s="422"/>
      <c r="CBR48" s="422"/>
      <c r="CBS48" s="422"/>
      <c r="CBT48" s="422"/>
      <c r="CBU48" s="422"/>
      <c r="CBV48" s="422"/>
      <c r="CBW48" s="422"/>
      <c r="CBX48" s="422"/>
      <c r="CBY48" s="422"/>
      <c r="CBZ48" s="422"/>
      <c r="CCA48" s="422"/>
      <c r="CCB48" s="422"/>
      <c r="CCC48" s="422"/>
      <c r="CCD48" s="422"/>
      <c r="CCE48" s="422"/>
      <c r="CCF48" s="422"/>
      <c r="CCG48" s="422"/>
      <c r="CCH48" s="422"/>
      <c r="CCI48" s="422"/>
      <c r="CCJ48" s="422"/>
      <c r="CCK48" s="422"/>
      <c r="CCL48" s="422"/>
      <c r="CCM48" s="422"/>
      <c r="CCN48" s="422"/>
      <c r="CCO48" s="422"/>
      <c r="CCP48" s="422"/>
      <c r="CCQ48" s="422"/>
      <c r="CCR48" s="422"/>
      <c r="CCS48" s="422"/>
      <c r="CCT48" s="422"/>
      <c r="CCU48" s="422"/>
      <c r="CCV48" s="422"/>
      <c r="CCW48" s="422"/>
      <c r="CCX48" s="422"/>
      <c r="CCY48" s="422"/>
      <c r="CCZ48" s="422"/>
      <c r="CDA48" s="422"/>
      <c r="CDB48" s="422"/>
      <c r="CDC48" s="422"/>
      <c r="CDD48" s="422"/>
      <c r="CDE48" s="422"/>
      <c r="CDF48" s="422"/>
      <c r="CDG48" s="422"/>
      <c r="CDH48" s="422"/>
      <c r="CDI48" s="422"/>
      <c r="CDJ48" s="422"/>
      <c r="CDK48" s="422"/>
      <c r="CDL48" s="422"/>
      <c r="CDM48" s="422"/>
      <c r="CDN48" s="422"/>
      <c r="CDO48" s="422"/>
      <c r="CDP48" s="422"/>
      <c r="CDQ48" s="422"/>
      <c r="CDR48" s="422"/>
      <c r="CDS48" s="422"/>
      <c r="CDT48" s="422"/>
      <c r="CDU48" s="422"/>
      <c r="CDV48" s="422"/>
      <c r="CDW48" s="422"/>
      <c r="CDX48" s="422"/>
      <c r="CDY48" s="422"/>
      <c r="CDZ48" s="422"/>
      <c r="CEA48" s="422"/>
      <c r="CEB48" s="422"/>
      <c r="CEC48" s="422"/>
      <c r="CED48" s="422"/>
      <c r="CEE48" s="422"/>
      <c r="CEF48" s="422"/>
      <c r="CEG48" s="422"/>
      <c r="CEH48" s="422"/>
      <c r="CEI48" s="422"/>
      <c r="CEJ48" s="422"/>
      <c r="CEK48" s="422"/>
      <c r="CEL48" s="422"/>
      <c r="CEM48" s="422"/>
      <c r="CEN48" s="422"/>
      <c r="CEO48" s="422"/>
      <c r="CEP48" s="422"/>
      <c r="CEQ48" s="422"/>
      <c r="CER48" s="422"/>
      <c r="CES48" s="422"/>
      <c r="CET48" s="422"/>
      <c r="CEU48" s="422"/>
      <c r="CEV48" s="422"/>
      <c r="CEW48" s="422"/>
      <c r="CEX48" s="422"/>
      <c r="CEY48" s="422"/>
      <c r="CEZ48" s="422"/>
      <c r="CFA48" s="422"/>
      <c r="CFB48" s="422"/>
      <c r="CFC48" s="422"/>
      <c r="CFD48" s="422"/>
      <c r="CFE48" s="422"/>
      <c r="CFF48" s="422"/>
      <c r="CFG48" s="422"/>
      <c r="CFH48" s="422"/>
      <c r="CFI48" s="422"/>
      <c r="CFJ48" s="422"/>
      <c r="CFK48" s="422"/>
      <c r="CFL48" s="422"/>
      <c r="CFM48" s="422"/>
      <c r="CFN48" s="422"/>
      <c r="CFO48" s="422"/>
      <c r="CFP48" s="422"/>
      <c r="CFQ48" s="422"/>
      <c r="CFR48" s="422"/>
      <c r="CFS48" s="422"/>
      <c r="CFT48" s="422"/>
      <c r="CFU48" s="422"/>
      <c r="CFV48" s="422"/>
      <c r="CFW48" s="422"/>
      <c r="CFX48" s="422"/>
      <c r="CFY48" s="422"/>
      <c r="CFZ48" s="422"/>
      <c r="CGA48" s="422"/>
      <c r="CGB48" s="422"/>
      <c r="CGC48" s="422"/>
      <c r="CGD48" s="422"/>
      <c r="CGE48" s="422"/>
      <c r="CGF48" s="422"/>
      <c r="CGG48" s="422"/>
      <c r="CGH48" s="422"/>
      <c r="CGI48" s="422"/>
      <c r="CGJ48" s="422"/>
      <c r="CGK48" s="422"/>
      <c r="CGL48" s="422"/>
      <c r="CGM48" s="422"/>
      <c r="CGN48" s="422"/>
      <c r="CGO48" s="422"/>
      <c r="CGP48" s="422"/>
      <c r="CGQ48" s="422"/>
      <c r="CGR48" s="422"/>
      <c r="CGS48" s="422"/>
      <c r="CGT48" s="422"/>
      <c r="CGU48" s="422"/>
      <c r="CGV48" s="422"/>
      <c r="CGW48" s="422"/>
      <c r="CGX48" s="422"/>
      <c r="CGY48" s="422"/>
      <c r="CGZ48" s="422"/>
      <c r="CHA48" s="422"/>
      <c r="CHB48" s="422"/>
      <c r="CHC48" s="422"/>
      <c r="CHD48" s="422"/>
      <c r="CHE48" s="422"/>
      <c r="CHF48" s="422"/>
      <c r="CHG48" s="422"/>
      <c r="CHH48" s="422"/>
      <c r="CHI48" s="422"/>
      <c r="CHJ48" s="422"/>
      <c r="CHK48" s="422"/>
      <c r="CHL48" s="422"/>
      <c r="CHM48" s="422"/>
      <c r="CHN48" s="422"/>
      <c r="CHO48" s="422"/>
      <c r="CHP48" s="422"/>
      <c r="CHQ48" s="422"/>
      <c r="CHR48" s="422"/>
      <c r="CHS48" s="422"/>
      <c r="CHT48" s="422"/>
      <c r="CHU48" s="422"/>
      <c r="CHV48" s="422"/>
      <c r="CHW48" s="422"/>
      <c r="CHX48" s="422"/>
      <c r="CHY48" s="422"/>
      <c r="CHZ48" s="422"/>
      <c r="CIA48" s="422"/>
      <c r="CIB48" s="422"/>
      <c r="CIC48" s="422"/>
      <c r="CID48" s="422"/>
      <c r="CIE48" s="422"/>
      <c r="CIF48" s="422"/>
      <c r="CIG48" s="422"/>
      <c r="CIH48" s="422"/>
      <c r="CII48" s="422"/>
      <c r="CIJ48" s="422"/>
      <c r="CIK48" s="422"/>
      <c r="CIL48" s="422"/>
      <c r="CIM48" s="422"/>
      <c r="CIN48" s="422"/>
      <c r="CIO48" s="422"/>
      <c r="CIP48" s="422"/>
      <c r="CIQ48" s="422"/>
      <c r="CIR48" s="422"/>
      <c r="CIS48" s="422"/>
      <c r="CIT48" s="422"/>
      <c r="CIU48" s="422"/>
      <c r="CIV48" s="422"/>
      <c r="CIW48" s="422"/>
      <c r="CIX48" s="422"/>
      <c r="CIY48" s="422"/>
      <c r="CIZ48" s="422"/>
      <c r="CJA48" s="422"/>
      <c r="CJB48" s="422"/>
      <c r="CJC48" s="422"/>
      <c r="CJD48" s="422"/>
      <c r="CJE48" s="422"/>
      <c r="CJF48" s="422"/>
      <c r="CJG48" s="422"/>
      <c r="CJH48" s="422"/>
      <c r="CJI48" s="422"/>
      <c r="CJJ48" s="422"/>
      <c r="CJK48" s="422"/>
      <c r="CJL48" s="422"/>
      <c r="CJM48" s="422"/>
      <c r="CJN48" s="422"/>
      <c r="CJO48" s="422"/>
      <c r="CJP48" s="422"/>
      <c r="CJQ48" s="422"/>
      <c r="CJR48" s="422"/>
      <c r="CJS48" s="422"/>
      <c r="CJT48" s="422"/>
      <c r="CJU48" s="422"/>
      <c r="CJV48" s="422"/>
      <c r="CJW48" s="422"/>
      <c r="CJX48" s="422"/>
      <c r="CJY48" s="422"/>
      <c r="CJZ48" s="422"/>
      <c r="CKA48" s="422"/>
      <c r="CKB48" s="422"/>
      <c r="CKC48" s="422"/>
      <c r="CKD48" s="422"/>
      <c r="CKE48" s="422"/>
      <c r="CKF48" s="422"/>
      <c r="CKG48" s="422"/>
      <c r="CKH48" s="422"/>
      <c r="CKI48" s="422"/>
      <c r="CKJ48" s="422"/>
      <c r="CKK48" s="422"/>
      <c r="CKL48" s="422"/>
      <c r="CKM48" s="422"/>
      <c r="CKN48" s="422"/>
      <c r="CKO48" s="422"/>
      <c r="CKP48" s="422"/>
      <c r="CKQ48" s="422"/>
      <c r="CKR48" s="422"/>
      <c r="CKS48" s="422"/>
      <c r="CKT48" s="422"/>
      <c r="CKU48" s="422"/>
      <c r="CKV48" s="422"/>
      <c r="CKW48" s="422"/>
      <c r="CKX48" s="422"/>
      <c r="CKY48" s="422"/>
      <c r="CKZ48" s="422"/>
      <c r="CLA48" s="422"/>
      <c r="CLB48" s="422"/>
      <c r="CLC48" s="422"/>
      <c r="CLD48" s="422"/>
      <c r="CLE48" s="422"/>
      <c r="CLF48" s="422"/>
      <c r="CLG48" s="422"/>
      <c r="CLH48" s="422"/>
      <c r="CLI48" s="422"/>
      <c r="CLJ48" s="422"/>
      <c r="CLK48" s="422"/>
      <c r="CLL48" s="422"/>
      <c r="CLM48" s="422"/>
      <c r="CLN48" s="422"/>
      <c r="CLO48" s="422"/>
      <c r="CLP48" s="422"/>
      <c r="CLQ48" s="422"/>
      <c r="CLR48" s="422"/>
      <c r="CLS48" s="422"/>
      <c r="CLT48" s="422"/>
      <c r="CLU48" s="422"/>
      <c r="CLV48" s="422"/>
      <c r="CLW48" s="422"/>
      <c r="CLX48" s="422"/>
      <c r="CLY48" s="422"/>
      <c r="CLZ48" s="422"/>
      <c r="CMA48" s="422"/>
      <c r="CMB48" s="422"/>
      <c r="CMC48" s="422"/>
      <c r="CMD48" s="422"/>
      <c r="CME48" s="422"/>
      <c r="CMF48" s="422"/>
      <c r="CMG48" s="422"/>
      <c r="CMH48" s="422"/>
      <c r="CMI48" s="422"/>
      <c r="CMJ48" s="422"/>
      <c r="CMK48" s="422"/>
      <c r="CML48" s="422"/>
      <c r="CMM48" s="422"/>
      <c r="CMN48" s="422"/>
      <c r="CMO48" s="422"/>
      <c r="CMP48" s="422"/>
      <c r="CMQ48" s="422"/>
      <c r="CMR48" s="422"/>
      <c r="CMS48" s="422"/>
      <c r="CMT48" s="422"/>
      <c r="CMU48" s="422"/>
      <c r="CMV48" s="422"/>
      <c r="CMW48" s="422"/>
      <c r="CMX48" s="422"/>
      <c r="CMY48" s="422"/>
      <c r="CMZ48" s="422"/>
      <c r="CNA48" s="422"/>
      <c r="CNB48" s="422"/>
      <c r="CNC48" s="422"/>
      <c r="CND48" s="422"/>
      <c r="CNE48" s="422"/>
      <c r="CNF48" s="422"/>
      <c r="CNG48" s="422"/>
      <c r="CNH48" s="422"/>
      <c r="CNI48" s="422"/>
      <c r="CNJ48" s="422"/>
      <c r="CNK48" s="422"/>
      <c r="CNL48" s="422"/>
      <c r="CNM48" s="422"/>
      <c r="CNN48" s="422"/>
      <c r="CNO48" s="422"/>
      <c r="CNP48" s="422"/>
      <c r="CNQ48" s="422"/>
      <c r="CNR48" s="422"/>
      <c r="CNS48" s="422"/>
      <c r="CNT48" s="422"/>
      <c r="CNU48" s="422"/>
      <c r="CNV48" s="422"/>
      <c r="CNW48" s="422"/>
      <c r="CNX48" s="422"/>
      <c r="CNY48" s="422"/>
      <c r="CNZ48" s="422"/>
      <c r="COA48" s="422"/>
      <c r="COB48" s="422"/>
      <c r="COC48" s="422"/>
      <c r="COD48" s="422"/>
      <c r="COE48" s="422"/>
      <c r="COF48" s="422"/>
      <c r="COG48" s="422"/>
      <c r="COH48" s="422"/>
      <c r="COI48" s="422"/>
      <c r="COJ48" s="422"/>
      <c r="COK48" s="422"/>
      <c r="COL48" s="422"/>
      <c r="COM48" s="422"/>
      <c r="CON48" s="422"/>
      <c r="COO48" s="422"/>
      <c r="COP48" s="422"/>
      <c r="COQ48" s="422"/>
      <c r="COR48" s="422"/>
      <c r="COS48" s="422"/>
      <c r="COT48" s="422"/>
      <c r="COU48" s="422"/>
      <c r="COV48" s="422"/>
      <c r="COW48" s="422"/>
      <c r="COX48" s="422"/>
      <c r="COY48" s="422"/>
      <c r="COZ48" s="422"/>
      <c r="CPA48" s="422"/>
      <c r="CPB48" s="422"/>
      <c r="CPC48" s="422"/>
      <c r="CPD48" s="422"/>
      <c r="CPE48" s="422"/>
      <c r="CPF48" s="422"/>
      <c r="CPG48" s="422"/>
      <c r="CPH48" s="422"/>
      <c r="CPI48" s="422"/>
      <c r="CPJ48" s="422"/>
      <c r="CPK48" s="422"/>
      <c r="CPL48" s="422"/>
      <c r="CPM48" s="422"/>
      <c r="CPN48" s="422"/>
      <c r="CPO48" s="422"/>
      <c r="CPP48" s="422"/>
      <c r="CPQ48" s="422"/>
      <c r="CPR48" s="422"/>
      <c r="CPS48" s="422"/>
      <c r="CPT48" s="422"/>
      <c r="CPU48" s="422"/>
      <c r="CPV48" s="422"/>
      <c r="CPW48" s="422"/>
      <c r="CPX48" s="422"/>
      <c r="CPY48" s="422"/>
      <c r="CPZ48" s="422"/>
      <c r="CQA48" s="422"/>
      <c r="CQB48" s="422"/>
      <c r="CQC48" s="422"/>
      <c r="CQD48" s="422"/>
      <c r="CQE48" s="422"/>
      <c r="CQF48" s="422"/>
      <c r="CQG48" s="422"/>
      <c r="CQH48" s="422"/>
      <c r="CQI48" s="422"/>
      <c r="CQJ48" s="422"/>
      <c r="CQK48" s="422"/>
      <c r="CQL48" s="422"/>
      <c r="CQM48" s="422"/>
      <c r="CQN48" s="422"/>
      <c r="CQO48" s="422"/>
      <c r="CQP48" s="422"/>
      <c r="CQQ48" s="422"/>
      <c r="CQR48" s="422"/>
      <c r="CQS48" s="422"/>
      <c r="CQT48" s="422"/>
      <c r="CQU48" s="422"/>
      <c r="CQV48" s="422"/>
      <c r="CQW48" s="422"/>
      <c r="CQX48" s="422"/>
      <c r="CQY48" s="422"/>
      <c r="CQZ48" s="422"/>
      <c r="CRA48" s="422"/>
      <c r="CRB48" s="422"/>
      <c r="CRC48" s="422"/>
      <c r="CRD48" s="422"/>
      <c r="CRE48" s="422"/>
      <c r="CRF48" s="422"/>
      <c r="CRG48" s="422"/>
      <c r="CRH48" s="422"/>
      <c r="CRI48" s="422"/>
      <c r="CRJ48" s="422"/>
      <c r="CRK48" s="422"/>
      <c r="CRL48" s="422"/>
      <c r="CRM48" s="422"/>
      <c r="CRN48" s="422"/>
      <c r="CRO48" s="422"/>
      <c r="CRP48" s="422"/>
      <c r="CRQ48" s="422"/>
      <c r="CRR48" s="422"/>
      <c r="CRS48" s="422"/>
      <c r="CRT48" s="422"/>
      <c r="CRU48" s="422"/>
      <c r="CRV48" s="422"/>
      <c r="CRW48" s="422"/>
      <c r="CRX48" s="422"/>
      <c r="CRY48" s="422"/>
      <c r="CRZ48" s="422"/>
      <c r="CSA48" s="422"/>
      <c r="CSB48" s="422"/>
      <c r="CSC48" s="422"/>
      <c r="CSD48" s="422"/>
      <c r="CSE48" s="422"/>
      <c r="CSF48" s="422"/>
      <c r="CSG48" s="422"/>
      <c r="CSH48" s="422"/>
      <c r="CSI48" s="422"/>
      <c r="CSJ48" s="422"/>
      <c r="CSK48" s="422"/>
      <c r="CSL48" s="422"/>
      <c r="CSM48" s="422"/>
      <c r="CSN48" s="422"/>
      <c r="CSO48" s="422"/>
      <c r="CSP48" s="422"/>
      <c r="CSQ48" s="422"/>
      <c r="CSR48" s="422"/>
      <c r="CSS48" s="422"/>
      <c r="CST48" s="422"/>
      <c r="CSU48" s="422"/>
      <c r="CSV48" s="422"/>
      <c r="CSW48" s="422"/>
      <c r="CSX48" s="422"/>
      <c r="CSY48" s="422"/>
      <c r="CSZ48" s="422"/>
      <c r="CTA48" s="422"/>
      <c r="CTB48" s="422"/>
      <c r="CTC48" s="422"/>
      <c r="CTD48" s="422"/>
      <c r="CTE48" s="422"/>
      <c r="CTF48" s="422"/>
      <c r="CTG48" s="422"/>
      <c r="CTH48" s="422"/>
      <c r="CTI48" s="422"/>
      <c r="CTJ48" s="422"/>
      <c r="CTK48" s="422"/>
      <c r="CTL48" s="422"/>
      <c r="CTM48" s="422"/>
      <c r="CTN48" s="422"/>
      <c r="CTO48" s="422"/>
      <c r="CTP48" s="422"/>
      <c r="CTQ48" s="422"/>
      <c r="CTR48" s="422"/>
      <c r="CTS48" s="422"/>
      <c r="CTT48" s="422"/>
      <c r="CTU48" s="422"/>
      <c r="CTV48" s="422"/>
      <c r="CTW48" s="422"/>
      <c r="CTX48" s="422"/>
      <c r="CTY48" s="422"/>
      <c r="CTZ48" s="422"/>
      <c r="CUA48" s="422"/>
      <c r="CUB48" s="422"/>
      <c r="CUC48" s="422"/>
      <c r="CUD48" s="422"/>
      <c r="CUE48" s="422"/>
      <c r="CUF48" s="422"/>
      <c r="CUG48" s="422"/>
      <c r="CUH48" s="422"/>
      <c r="CUI48" s="422"/>
      <c r="CUJ48" s="422"/>
      <c r="CUK48" s="422"/>
      <c r="CUL48" s="422"/>
      <c r="CUM48" s="422"/>
      <c r="CUN48" s="422"/>
      <c r="CUO48" s="422"/>
      <c r="CUP48" s="422"/>
      <c r="CUQ48" s="422"/>
      <c r="CUR48" s="422"/>
      <c r="CUS48" s="422"/>
      <c r="CUT48" s="422"/>
      <c r="CUU48" s="422"/>
      <c r="CUV48" s="422"/>
      <c r="CUW48" s="422"/>
      <c r="CUX48" s="422"/>
      <c r="CUY48" s="422"/>
      <c r="CUZ48" s="422"/>
      <c r="CVA48" s="422"/>
      <c r="CVB48" s="422"/>
      <c r="CVC48" s="422"/>
      <c r="CVD48" s="422"/>
      <c r="CVE48" s="422"/>
      <c r="CVF48" s="422"/>
      <c r="CVG48" s="422"/>
      <c r="CVH48" s="422"/>
      <c r="CVI48" s="422"/>
      <c r="CVJ48" s="422"/>
      <c r="CVK48" s="422"/>
      <c r="CVL48" s="422"/>
      <c r="CVM48" s="422"/>
      <c r="CVN48" s="422"/>
      <c r="CVO48" s="422"/>
      <c r="CVP48" s="422"/>
      <c r="CVQ48" s="422"/>
      <c r="CVR48" s="422"/>
      <c r="CVS48" s="422"/>
      <c r="CVT48" s="422"/>
      <c r="CVU48" s="422"/>
      <c r="CVV48" s="422"/>
      <c r="CVW48" s="422"/>
      <c r="CVX48" s="422"/>
      <c r="CVY48" s="422"/>
      <c r="CVZ48" s="422"/>
      <c r="CWA48" s="422"/>
      <c r="CWB48" s="422"/>
      <c r="CWC48" s="422"/>
      <c r="CWD48" s="422"/>
      <c r="CWE48" s="422"/>
      <c r="CWF48" s="422"/>
      <c r="CWG48" s="422"/>
      <c r="CWH48" s="422"/>
      <c r="CWI48" s="422"/>
      <c r="CWJ48" s="422"/>
      <c r="CWK48" s="422"/>
      <c r="CWL48" s="422"/>
      <c r="CWM48" s="422"/>
      <c r="CWN48" s="422"/>
      <c r="CWO48" s="422"/>
      <c r="CWP48" s="422"/>
      <c r="CWQ48" s="422"/>
      <c r="CWR48" s="422"/>
      <c r="CWS48" s="422"/>
      <c r="CWT48" s="422"/>
      <c r="CWU48" s="422"/>
      <c r="CWV48" s="422"/>
      <c r="CWW48" s="422"/>
      <c r="CWX48" s="422"/>
      <c r="CWY48" s="422"/>
      <c r="CWZ48" s="422"/>
      <c r="CXA48" s="422"/>
      <c r="CXB48" s="422"/>
      <c r="CXC48" s="422"/>
      <c r="CXD48" s="422"/>
      <c r="CXE48" s="422"/>
      <c r="CXF48" s="422"/>
      <c r="CXG48" s="422"/>
      <c r="CXH48" s="422"/>
      <c r="CXI48" s="422"/>
      <c r="CXJ48" s="422"/>
      <c r="CXK48" s="422"/>
      <c r="CXL48" s="422"/>
      <c r="CXM48" s="422"/>
      <c r="CXN48" s="422"/>
      <c r="CXO48" s="422"/>
      <c r="CXP48" s="422"/>
      <c r="CXQ48" s="422"/>
      <c r="CXR48" s="422"/>
      <c r="CXS48" s="422"/>
      <c r="CXT48" s="422"/>
      <c r="CXU48" s="422"/>
      <c r="CXV48" s="422"/>
      <c r="CXW48" s="422"/>
      <c r="CXX48" s="422"/>
      <c r="CXY48" s="422"/>
      <c r="CXZ48" s="422"/>
      <c r="CYA48" s="422"/>
      <c r="CYB48" s="422"/>
      <c r="CYC48" s="422"/>
      <c r="CYD48" s="422"/>
      <c r="CYE48" s="422"/>
      <c r="CYF48" s="422"/>
      <c r="CYG48" s="422"/>
      <c r="CYH48" s="422"/>
      <c r="CYI48" s="422"/>
      <c r="CYJ48" s="422"/>
      <c r="CYK48" s="422"/>
      <c r="CYL48" s="422"/>
      <c r="CYM48" s="422"/>
      <c r="CYN48" s="422"/>
      <c r="CYO48" s="422"/>
      <c r="CYP48" s="422"/>
      <c r="CYQ48" s="422"/>
      <c r="CYR48" s="422"/>
      <c r="CYS48" s="422"/>
      <c r="CYT48" s="422"/>
      <c r="CYU48" s="422"/>
      <c r="CYV48" s="422"/>
      <c r="CYW48" s="422"/>
      <c r="CYX48" s="422"/>
      <c r="CYY48" s="422"/>
      <c r="CYZ48" s="422"/>
      <c r="CZA48" s="422"/>
      <c r="CZB48" s="422"/>
      <c r="CZC48" s="422"/>
      <c r="CZD48" s="422"/>
      <c r="CZE48" s="422"/>
      <c r="CZF48" s="422"/>
      <c r="CZG48" s="422"/>
      <c r="CZH48" s="422"/>
      <c r="CZI48" s="422"/>
      <c r="CZJ48" s="422"/>
      <c r="CZK48" s="422"/>
      <c r="CZL48" s="422"/>
      <c r="CZM48" s="422"/>
      <c r="CZN48" s="422"/>
      <c r="CZO48" s="422"/>
      <c r="CZP48" s="422"/>
      <c r="CZQ48" s="422"/>
      <c r="CZR48" s="422"/>
      <c r="CZS48" s="422"/>
      <c r="CZT48" s="422"/>
      <c r="CZU48" s="422"/>
      <c r="CZV48" s="422"/>
      <c r="CZW48" s="422"/>
      <c r="CZX48" s="422"/>
      <c r="CZY48" s="422"/>
      <c r="CZZ48" s="422"/>
      <c r="DAA48" s="422"/>
      <c r="DAB48" s="422"/>
      <c r="DAC48" s="422"/>
      <c r="DAD48" s="422"/>
      <c r="DAE48" s="422"/>
      <c r="DAF48" s="422"/>
      <c r="DAG48" s="422"/>
      <c r="DAH48" s="422"/>
      <c r="DAI48" s="422"/>
    </row>
    <row r="49" spans="1:2739" s="1821" customFormat="1" ht="76.5" x14ac:dyDescent="0.25">
      <c r="A49" s="1826">
        <v>24</v>
      </c>
      <c r="B49" s="1350" t="s">
        <v>6212</v>
      </c>
      <c r="C49" s="1267" t="s">
        <v>6213</v>
      </c>
      <c r="D49" s="1267" t="s">
        <v>616</v>
      </c>
      <c r="E49" s="1267" t="s">
        <v>6167</v>
      </c>
      <c r="F49" s="510" t="s">
        <v>6214</v>
      </c>
      <c r="G49" s="1263">
        <v>11216</v>
      </c>
      <c r="H49" s="1315" t="s">
        <v>1728</v>
      </c>
      <c r="I49" s="510" t="s">
        <v>6215</v>
      </c>
      <c r="J49" s="510" t="s">
        <v>6216</v>
      </c>
      <c r="K49" s="1313">
        <v>41695</v>
      </c>
      <c r="L49" s="929">
        <v>70000</v>
      </c>
      <c r="M49" s="1263">
        <v>11256</v>
      </c>
      <c r="N49" s="1313">
        <v>41695</v>
      </c>
      <c r="O49" s="1313">
        <v>42059</v>
      </c>
      <c r="P49" s="1267" t="s">
        <v>6171</v>
      </c>
      <c r="Q49" s="1267" t="s">
        <v>1728</v>
      </c>
      <c r="R49" s="1267" t="s">
        <v>6172</v>
      </c>
      <c r="S49" s="1267"/>
      <c r="T49" s="1267" t="s">
        <v>208</v>
      </c>
      <c r="U49" s="1267"/>
      <c r="V49" s="1267"/>
      <c r="W49" s="1267"/>
      <c r="X49" s="1267"/>
      <c r="Y49" s="1267"/>
      <c r="Z49" s="1267"/>
      <c r="AA49" s="1267"/>
      <c r="AB49" s="1267"/>
      <c r="AC49" s="1267"/>
      <c r="AD49" s="1267"/>
      <c r="AE49" s="937"/>
      <c r="AF49" s="321"/>
      <c r="AG49" s="929">
        <v>2500</v>
      </c>
      <c r="AH49" s="939">
        <f t="shared" si="0"/>
        <v>2500</v>
      </c>
      <c r="AI49" s="951" t="s">
        <v>6217</v>
      </c>
      <c r="AJ49" s="1263">
        <v>11208</v>
      </c>
      <c r="AK49" s="341" t="s">
        <v>6218</v>
      </c>
      <c r="AL49" s="1247">
        <v>11253</v>
      </c>
      <c r="AM49" s="946"/>
      <c r="AN49" s="944"/>
      <c r="AO49" s="944"/>
      <c r="AP49" s="944"/>
      <c r="AQ49" s="944"/>
      <c r="AR49" s="945"/>
      <c r="AS49" s="1350"/>
      <c r="AT49" s="1314"/>
      <c r="AU49" s="1314"/>
      <c r="AV49" s="1314"/>
      <c r="AW49" s="1314"/>
      <c r="AX49" s="1314"/>
      <c r="AY49" s="1314"/>
      <c r="AZ49" s="1314"/>
      <c r="BA49" s="1314"/>
      <c r="BB49" s="1314"/>
      <c r="BC49" s="1314"/>
      <c r="BD49" s="930"/>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c r="EB49" s="422"/>
      <c r="EC49" s="422"/>
      <c r="ED49" s="422"/>
      <c r="EE49" s="422"/>
      <c r="EF49" s="422"/>
      <c r="EG49" s="422"/>
      <c r="EH49" s="422"/>
      <c r="EI49" s="422"/>
      <c r="EJ49" s="422"/>
      <c r="EK49" s="422"/>
      <c r="EL49" s="422"/>
      <c r="EM49" s="422"/>
      <c r="EN49" s="422"/>
      <c r="EO49" s="422"/>
      <c r="EP49" s="422"/>
      <c r="EQ49" s="422"/>
      <c r="ER49" s="422"/>
      <c r="ES49" s="422"/>
      <c r="ET49" s="422"/>
      <c r="EU49" s="422"/>
      <c r="EV49" s="422"/>
      <c r="EW49" s="422"/>
      <c r="EX49" s="422"/>
      <c r="EY49" s="422"/>
      <c r="EZ49" s="422"/>
      <c r="FA49" s="422"/>
      <c r="FB49" s="422"/>
      <c r="FC49" s="422"/>
      <c r="FD49" s="422"/>
      <c r="FE49" s="422"/>
      <c r="FF49" s="422"/>
      <c r="FG49" s="422"/>
      <c r="FH49" s="422"/>
      <c r="FI49" s="422"/>
      <c r="FJ49" s="422"/>
      <c r="FK49" s="422"/>
      <c r="FL49" s="422"/>
      <c r="FM49" s="422"/>
      <c r="FN49" s="422"/>
      <c r="FO49" s="422"/>
      <c r="FP49" s="422"/>
      <c r="FQ49" s="422"/>
      <c r="FR49" s="422"/>
      <c r="FS49" s="422"/>
      <c r="FT49" s="422"/>
      <c r="FU49" s="422"/>
      <c r="FV49" s="422"/>
      <c r="FW49" s="422"/>
      <c r="FX49" s="422"/>
      <c r="FY49" s="422"/>
      <c r="FZ49" s="422"/>
      <c r="GA49" s="422"/>
      <c r="GB49" s="422"/>
      <c r="GC49" s="422"/>
      <c r="GD49" s="422"/>
      <c r="GE49" s="422"/>
      <c r="GF49" s="422"/>
      <c r="GG49" s="422"/>
      <c r="GH49" s="422"/>
      <c r="GI49" s="422"/>
      <c r="GJ49" s="422"/>
      <c r="GK49" s="422"/>
      <c r="GL49" s="422"/>
      <c r="GM49" s="422"/>
      <c r="GN49" s="422"/>
      <c r="GO49" s="422"/>
      <c r="GP49" s="422"/>
      <c r="GQ49" s="422"/>
      <c r="GR49" s="422"/>
      <c r="GS49" s="422"/>
      <c r="GT49" s="422"/>
      <c r="GU49" s="422"/>
      <c r="GV49" s="422"/>
      <c r="GW49" s="422"/>
      <c r="GX49" s="422"/>
      <c r="GY49" s="422"/>
      <c r="GZ49" s="422"/>
      <c r="HA49" s="422"/>
      <c r="HB49" s="422"/>
      <c r="HC49" s="422"/>
      <c r="HD49" s="422"/>
      <c r="HE49" s="422"/>
      <c r="HF49" s="422"/>
      <c r="HG49" s="422"/>
      <c r="HH49" s="422"/>
      <c r="HI49" s="422"/>
      <c r="HJ49" s="422"/>
      <c r="HK49" s="422"/>
      <c r="HL49" s="422"/>
      <c r="HM49" s="422"/>
      <c r="HN49" s="422"/>
      <c r="HO49" s="422"/>
      <c r="HP49" s="422"/>
      <c r="HQ49" s="422"/>
      <c r="HR49" s="422"/>
      <c r="HS49" s="422"/>
      <c r="HT49" s="422"/>
      <c r="HU49" s="422"/>
      <c r="HV49" s="422"/>
      <c r="HW49" s="422"/>
      <c r="HX49" s="422"/>
      <c r="HY49" s="422"/>
      <c r="HZ49" s="422"/>
      <c r="IA49" s="422"/>
      <c r="IB49" s="422"/>
      <c r="IC49" s="422"/>
      <c r="ID49" s="422"/>
      <c r="IE49" s="422"/>
      <c r="IF49" s="422"/>
      <c r="IG49" s="422"/>
      <c r="IH49" s="422"/>
      <c r="II49" s="422"/>
      <c r="IJ49" s="422"/>
      <c r="IK49" s="422"/>
      <c r="IL49" s="422"/>
      <c r="IM49" s="422"/>
      <c r="IN49" s="422"/>
      <c r="IO49" s="422"/>
      <c r="IP49" s="422"/>
      <c r="IQ49" s="422"/>
      <c r="IR49" s="422"/>
      <c r="IS49" s="422"/>
      <c r="IT49" s="422"/>
      <c r="IU49" s="422"/>
      <c r="IV49" s="422"/>
      <c r="IW49" s="422"/>
      <c r="IX49" s="422"/>
      <c r="IY49" s="422"/>
      <c r="IZ49" s="422"/>
      <c r="JA49" s="422"/>
      <c r="JB49" s="422"/>
      <c r="JC49" s="422"/>
      <c r="JD49" s="422"/>
      <c r="JE49" s="422"/>
      <c r="JF49" s="422"/>
      <c r="JG49" s="422"/>
      <c r="JH49" s="422"/>
      <c r="JI49" s="422"/>
      <c r="JJ49" s="422"/>
      <c r="JK49" s="422"/>
      <c r="JL49" s="422"/>
      <c r="JM49" s="422"/>
      <c r="JN49" s="422"/>
      <c r="JO49" s="422"/>
      <c r="JP49" s="422"/>
      <c r="JQ49" s="422"/>
      <c r="JR49" s="422"/>
      <c r="JS49" s="422"/>
      <c r="JT49" s="422"/>
      <c r="JU49" s="422"/>
      <c r="JV49" s="422"/>
      <c r="JW49" s="422"/>
      <c r="JX49" s="422"/>
      <c r="JY49" s="422"/>
      <c r="JZ49" s="422"/>
      <c r="KA49" s="422"/>
      <c r="KB49" s="422"/>
      <c r="KC49" s="422"/>
      <c r="KD49" s="422"/>
      <c r="KE49" s="422"/>
      <c r="KF49" s="422"/>
      <c r="KG49" s="422"/>
      <c r="KH49" s="422"/>
      <c r="KI49" s="422"/>
      <c r="KJ49" s="422"/>
      <c r="KK49" s="422"/>
      <c r="KL49" s="422"/>
      <c r="KM49" s="422"/>
      <c r="KN49" s="422"/>
      <c r="KO49" s="422"/>
      <c r="KP49" s="422"/>
      <c r="KQ49" s="422"/>
      <c r="KR49" s="422"/>
      <c r="KS49" s="422"/>
      <c r="KT49" s="422"/>
      <c r="KU49" s="422"/>
      <c r="KV49" s="422"/>
      <c r="KW49" s="422"/>
      <c r="KX49" s="422"/>
      <c r="KY49" s="422"/>
      <c r="KZ49" s="422"/>
      <c r="LA49" s="422"/>
      <c r="LB49" s="422"/>
      <c r="LC49" s="422"/>
      <c r="LD49" s="422"/>
      <c r="LE49" s="422"/>
      <c r="LF49" s="422"/>
      <c r="LG49" s="422"/>
      <c r="LH49" s="422"/>
      <c r="LI49" s="422"/>
      <c r="LJ49" s="422"/>
      <c r="LK49" s="422"/>
      <c r="LL49" s="422"/>
      <c r="LM49" s="422"/>
      <c r="LN49" s="422"/>
      <c r="LO49" s="422"/>
      <c r="LP49" s="422"/>
      <c r="LQ49" s="422"/>
      <c r="LR49" s="422"/>
      <c r="LS49" s="422"/>
      <c r="LT49" s="422"/>
      <c r="LU49" s="422"/>
      <c r="LV49" s="422"/>
      <c r="LW49" s="422"/>
      <c r="LX49" s="422"/>
      <c r="LY49" s="422"/>
      <c r="LZ49" s="422"/>
      <c r="MA49" s="422"/>
      <c r="MB49" s="422"/>
      <c r="MC49" s="422"/>
      <c r="MD49" s="422"/>
      <c r="ME49" s="422"/>
      <c r="MF49" s="422"/>
      <c r="MG49" s="422"/>
      <c r="MH49" s="422"/>
      <c r="MI49" s="422"/>
      <c r="MJ49" s="422"/>
      <c r="MK49" s="422"/>
      <c r="ML49" s="422"/>
      <c r="MM49" s="422"/>
      <c r="MN49" s="422"/>
      <c r="MO49" s="422"/>
      <c r="MP49" s="422"/>
      <c r="MQ49" s="422"/>
      <c r="MR49" s="422"/>
      <c r="MS49" s="422"/>
      <c r="MT49" s="422"/>
      <c r="MU49" s="422"/>
      <c r="MV49" s="422"/>
      <c r="MW49" s="422"/>
      <c r="MX49" s="422"/>
      <c r="MY49" s="422"/>
      <c r="MZ49" s="422"/>
      <c r="NA49" s="422"/>
      <c r="NB49" s="422"/>
      <c r="NC49" s="422"/>
      <c r="ND49" s="422"/>
      <c r="NE49" s="422"/>
      <c r="NF49" s="422"/>
      <c r="NG49" s="422"/>
      <c r="NH49" s="422"/>
      <c r="NI49" s="422"/>
      <c r="NJ49" s="422"/>
      <c r="NK49" s="422"/>
      <c r="NL49" s="422"/>
      <c r="NM49" s="422"/>
      <c r="NN49" s="422"/>
      <c r="NO49" s="422"/>
      <c r="NP49" s="422"/>
      <c r="NQ49" s="422"/>
      <c r="NR49" s="422"/>
      <c r="NS49" s="422"/>
      <c r="NT49" s="422"/>
      <c r="NU49" s="422"/>
      <c r="NV49" s="422"/>
      <c r="NW49" s="422"/>
      <c r="NX49" s="422"/>
      <c r="NY49" s="422"/>
      <c r="NZ49" s="422"/>
      <c r="OA49" s="422"/>
      <c r="OB49" s="422"/>
      <c r="OC49" s="422"/>
      <c r="OD49" s="422"/>
      <c r="OE49" s="422"/>
      <c r="OF49" s="422"/>
      <c r="OG49" s="422"/>
      <c r="OH49" s="422"/>
      <c r="OI49" s="422"/>
      <c r="OJ49" s="422"/>
      <c r="OK49" s="422"/>
      <c r="OL49" s="422"/>
      <c r="OM49" s="422"/>
      <c r="ON49" s="422"/>
      <c r="OO49" s="422"/>
      <c r="OP49" s="422"/>
      <c r="OQ49" s="422"/>
      <c r="OR49" s="422"/>
      <c r="OS49" s="422"/>
      <c r="OT49" s="422"/>
      <c r="OU49" s="422"/>
      <c r="OV49" s="422"/>
      <c r="OW49" s="422"/>
      <c r="OX49" s="422"/>
      <c r="OY49" s="422"/>
      <c r="OZ49" s="422"/>
      <c r="PA49" s="422"/>
      <c r="PB49" s="422"/>
      <c r="PC49" s="422"/>
      <c r="PD49" s="422"/>
      <c r="PE49" s="422"/>
      <c r="PF49" s="422"/>
      <c r="PG49" s="422"/>
      <c r="PH49" s="422"/>
      <c r="PI49" s="422"/>
      <c r="PJ49" s="422"/>
      <c r="PK49" s="422"/>
      <c r="PL49" s="422"/>
      <c r="PM49" s="422"/>
      <c r="PN49" s="422"/>
      <c r="PO49" s="422"/>
      <c r="PP49" s="422"/>
      <c r="PQ49" s="422"/>
      <c r="PR49" s="422"/>
      <c r="PS49" s="422"/>
      <c r="PT49" s="422"/>
      <c r="PU49" s="422"/>
      <c r="PV49" s="422"/>
      <c r="PW49" s="422"/>
      <c r="PX49" s="422"/>
      <c r="PY49" s="422"/>
      <c r="PZ49" s="422"/>
      <c r="QA49" s="422"/>
      <c r="QB49" s="422"/>
      <c r="QC49" s="422"/>
      <c r="QD49" s="422"/>
      <c r="QE49" s="422"/>
      <c r="QF49" s="422"/>
      <c r="QG49" s="422"/>
      <c r="QH49" s="422"/>
      <c r="QI49" s="422"/>
      <c r="QJ49" s="422"/>
      <c r="QK49" s="422"/>
      <c r="QL49" s="422"/>
      <c r="QM49" s="422"/>
      <c r="QN49" s="422"/>
      <c r="QO49" s="422"/>
      <c r="QP49" s="422"/>
      <c r="QQ49" s="422"/>
      <c r="QR49" s="422"/>
      <c r="QS49" s="422"/>
      <c r="QT49" s="422"/>
      <c r="QU49" s="422"/>
      <c r="QV49" s="422"/>
      <c r="QW49" s="422"/>
      <c r="QX49" s="422"/>
      <c r="QY49" s="422"/>
      <c r="QZ49" s="422"/>
      <c r="RA49" s="422"/>
      <c r="RB49" s="422"/>
      <c r="RC49" s="422"/>
      <c r="RD49" s="422"/>
      <c r="RE49" s="422"/>
      <c r="RF49" s="422"/>
      <c r="RG49" s="422"/>
      <c r="RH49" s="422"/>
      <c r="RI49" s="422"/>
      <c r="RJ49" s="422"/>
      <c r="RK49" s="422"/>
      <c r="RL49" s="422"/>
      <c r="RM49" s="422"/>
      <c r="RN49" s="422"/>
      <c r="RO49" s="422"/>
      <c r="RP49" s="422"/>
      <c r="RQ49" s="422"/>
      <c r="RR49" s="422"/>
      <c r="RS49" s="422"/>
      <c r="RT49" s="422"/>
      <c r="RU49" s="422"/>
      <c r="RV49" s="422"/>
      <c r="RW49" s="422"/>
      <c r="RX49" s="422"/>
      <c r="RY49" s="422"/>
      <c r="RZ49" s="422"/>
      <c r="SA49" s="422"/>
      <c r="SB49" s="422"/>
      <c r="SC49" s="422"/>
      <c r="SD49" s="422"/>
      <c r="SE49" s="422"/>
      <c r="SF49" s="422"/>
      <c r="SG49" s="422"/>
      <c r="SH49" s="422"/>
      <c r="SI49" s="422"/>
      <c r="SJ49" s="422"/>
      <c r="SK49" s="422"/>
      <c r="SL49" s="422"/>
      <c r="SM49" s="422"/>
      <c r="SN49" s="422"/>
      <c r="SO49" s="422"/>
      <c r="SP49" s="422"/>
      <c r="SQ49" s="422"/>
      <c r="SR49" s="422"/>
      <c r="SS49" s="422"/>
      <c r="ST49" s="422"/>
      <c r="SU49" s="422"/>
      <c r="SV49" s="422"/>
      <c r="SW49" s="422"/>
      <c r="SX49" s="422"/>
      <c r="SY49" s="422"/>
      <c r="SZ49" s="422"/>
      <c r="TA49" s="422"/>
      <c r="TB49" s="422"/>
      <c r="TC49" s="422"/>
      <c r="TD49" s="422"/>
      <c r="TE49" s="422"/>
      <c r="TF49" s="422"/>
      <c r="TG49" s="422"/>
      <c r="TH49" s="422"/>
      <c r="TI49" s="422"/>
      <c r="TJ49" s="422"/>
      <c r="TK49" s="422"/>
      <c r="TL49" s="422"/>
      <c r="TM49" s="422"/>
      <c r="TN49" s="422"/>
      <c r="TO49" s="422"/>
      <c r="TP49" s="422"/>
      <c r="TQ49" s="422"/>
      <c r="TR49" s="422"/>
      <c r="TS49" s="422"/>
      <c r="TT49" s="422"/>
      <c r="TU49" s="422"/>
      <c r="TV49" s="422"/>
      <c r="TW49" s="422"/>
      <c r="TX49" s="422"/>
      <c r="TY49" s="422"/>
      <c r="TZ49" s="422"/>
      <c r="UA49" s="422"/>
      <c r="UB49" s="422"/>
      <c r="UC49" s="422"/>
      <c r="UD49" s="422"/>
      <c r="UE49" s="422"/>
      <c r="UF49" s="422"/>
      <c r="UG49" s="422"/>
      <c r="UH49" s="422"/>
      <c r="UI49" s="422"/>
      <c r="UJ49" s="422"/>
      <c r="UK49" s="422"/>
      <c r="UL49" s="422"/>
      <c r="UM49" s="422"/>
      <c r="UN49" s="422"/>
      <c r="UO49" s="422"/>
      <c r="UP49" s="422"/>
      <c r="UQ49" s="422"/>
      <c r="UR49" s="422"/>
      <c r="US49" s="422"/>
      <c r="UT49" s="422"/>
      <c r="UU49" s="422"/>
      <c r="UV49" s="422"/>
      <c r="UW49" s="422"/>
      <c r="UX49" s="422"/>
      <c r="UY49" s="422"/>
      <c r="UZ49" s="422"/>
      <c r="VA49" s="422"/>
      <c r="VB49" s="422"/>
      <c r="VC49" s="422"/>
      <c r="VD49" s="422"/>
      <c r="VE49" s="422"/>
      <c r="VF49" s="422"/>
      <c r="VG49" s="422"/>
      <c r="VH49" s="422"/>
      <c r="VI49" s="422"/>
      <c r="VJ49" s="422"/>
      <c r="VK49" s="422"/>
      <c r="VL49" s="422"/>
      <c r="VM49" s="422"/>
      <c r="VN49" s="422"/>
      <c r="VO49" s="422"/>
      <c r="VP49" s="422"/>
      <c r="VQ49" s="422"/>
      <c r="VR49" s="422"/>
      <c r="VS49" s="422"/>
      <c r="VT49" s="422"/>
      <c r="VU49" s="422"/>
      <c r="VV49" s="422"/>
      <c r="VW49" s="422"/>
      <c r="VX49" s="422"/>
      <c r="VY49" s="422"/>
      <c r="VZ49" s="422"/>
      <c r="WA49" s="422"/>
      <c r="WB49" s="422"/>
      <c r="WC49" s="422"/>
      <c r="WD49" s="422"/>
      <c r="WE49" s="422"/>
      <c r="WF49" s="422"/>
      <c r="WG49" s="422"/>
      <c r="WH49" s="422"/>
      <c r="WI49" s="422"/>
      <c r="WJ49" s="422"/>
      <c r="WK49" s="422"/>
      <c r="WL49" s="422"/>
      <c r="WM49" s="422"/>
      <c r="WN49" s="422"/>
      <c r="WO49" s="422"/>
      <c r="WP49" s="422"/>
      <c r="WQ49" s="422"/>
      <c r="WR49" s="422"/>
      <c r="WS49" s="422"/>
      <c r="WT49" s="422"/>
      <c r="WU49" s="422"/>
      <c r="WV49" s="422"/>
      <c r="WW49" s="422"/>
      <c r="WX49" s="422"/>
      <c r="WY49" s="422"/>
      <c r="WZ49" s="422"/>
      <c r="XA49" s="422"/>
      <c r="XB49" s="422"/>
      <c r="XC49" s="422"/>
      <c r="XD49" s="422"/>
      <c r="XE49" s="422"/>
      <c r="XF49" s="422"/>
      <c r="XG49" s="422"/>
      <c r="XH49" s="422"/>
      <c r="XI49" s="422"/>
      <c r="XJ49" s="422"/>
      <c r="XK49" s="422"/>
      <c r="XL49" s="422"/>
      <c r="XM49" s="422"/>
      <c r="XN49" s="422"/>
      <c r="XO49" s="422"/>
      <c r="XP49" s="422"/>
      <c r="XQ49" s="422"/>
      <c r="XR49" s="422"/>
      <c r="XS49" s="422"/>
      <c r="XT49" s="422"/>
      <c r="XU49" s="422"/>
      <c r="XV49" s="422"/>
      <c r="XW49" s="422"/>
      <c r="XX49" s="422"/>
      <c r="XY49" s="422"/>
      <c r="XZ49" s="422"/>
      <c r="YA49" s="422"/>
      <c r="YB49" s="422"/>
      <c r="YC49" s="422"/>
      <c r="YD49" s="422"/>
      <c r="YE49" s="422"/>
      <c r="YF49" s="422"/>
      <c r="YG49" s="422"/>
      <c r="YH49" s="422"/>
      <c r="YI49" s="422"/>
      <c r="YJ49" s="422"/>
      <c r="YK49" s="422"/>
      <c r="YL49" s="422"/>
      <c r="YM49" s="422"/>
      <c r="YN49" s="422"/>
      <c r="YO49" s="422"/>
      <c r="YP49" s="422"/>
      <c r="YQ49" s="422"/>
      <c r="YR49" s="422"/>
      <c r="YS49" s="422"/>
      <c r="YT49" s="422"/>
      <c r="YU49" s="422"/>
      <c r="YV49" s="422"/>
      <c r="YW49" s="422"/>
      <c r="YX49" s="422"/>
      <c r="YY49" s="422"/>
      <c r="YZ49" s="422"/>
      <c r="ZA49" s="422"/>
      <c r="ZB49" s="422"/>
      <c r="ZC49" s="422"/>
      <c r="ZD49" s="422"/>
      <c r="ZE49" s="422"/>
      <c r="ZF49" s="422"/>
      <c r="ZG49" s="422"/>
      <c r="ZH49" s="422"/>
      <c r="ZI49" s="422"/>
      <c r="ZJ49" s="422"/>
      <c r="ZK49" s="422"/>
      <c r="ZL49" s="422"/>
      <c r="ZM49" s="422"/>
      <c r="ZN49" s="422"/>
      <c r="ZO49" s="422"/>
      <c r="ZP49" s="422"/>
      <c r="ZQ49" s="422"/>
      <c r="ZR49" s="422"/>
      <c r="ZS49" s="422"/>
      <c r="ZT49" s="422"/>
      <c r="ZU49" s="422"/>
      <c r="ZV49" s="422"/>
      <c r="ZW49" s="422"/>
      <c r="ZX49" s="422"/>
      <c r="ZY49" s="422"/>
      <c r="ZZ49" s="422"/>
      <c r="AAA49" s="422"/>
      <c r="AAB49" s="422"/>
      <c r="AAC49" s="422"/>
      <c r="AAD49" s="422"/>
      <c r="AAE49" s="422"/>
      <c r="AAF49" s="422"/>
      <c r="AAG49" s="422"/>
      <c r="AAH49" s="422"/>
      <c r="AAI49" s="422"/>
      <c r="AAJ49" s="422"/>
      <c r="AAK49" s="422"/>
      <c r="AAL49" s="422"/>
      <c r="AAM49" s="422"/>
      <c r="AAN49" s="422"/>
      <c r="AAO49" s="422"/>
      <c r="AAP49" s="422"/>
      <c r="AAQ49" s="422"/>
      <c r="AAR49" s="422"/>
      <c r="AAS49" s="422"/>
      <c r="AAT49" s="422"/>
      <c r="AAU49" s="422"/>
      <c r="AAV49" s="422"/>
      <c r="AAW49" s="422"/>
      <c r="AAX49" s="422"/>
      <c r="AAY49" s="422"/>
      <c r="AAZ49" s="422"/>
      <c r="ABA49" s="422"/>
      <c r="ABB49" s="422"/>
      <c r="ABC49" s="422"/>
      <c r="ABD49" s="422"/>
      <c r="ABE49" s="422"/>
      <c r="ABF49" s="422"/>
      <c r="ABG49" s="422"/>
      <c r="ABH49" s="422"/>
      <c r="ABI49" s="422"/>
      <c r="ABJ49" s="422"/>
      <c r="ABK49" s="422"/>
      <c r="ABL49" s="422"/>
      <c r="ABM49" s="422"/>
      <c r="ABN49" s="422"/>
      <c r="ABO49" s="422"/>
      <c r="ABP49" s="422"/>
      <c r="ABQ49" s="422"/>
      <c r="ABR49" s="422"/>
      <c r="ABS49" s="422"/>
      <c r="ABT49" s="422"/>
      <c r="ABU49" s="422"/>
      <c r="ABV49" s="422"/>
      <c r="ABW49" s="422"/>
      <c r="ABX49" s="422"/>
      <c r="ABY49" s="422"/>
      <c r="ABZ49" s="422"/>
      <c r="ACA49" s="422"/>
      <c r="ACB49" s="422"/>
      <c r="ACC49" s="422"/>
      <c r="ACD49" s="422"/>
      <c r="ACE49" s="422"/>
      <c r="ACF49" s="422"/>
      <c r="ACG49" s="422"/>
      <c r="ACH49" s="422"/>
      <c r="ACI49" s="422"/>
      <c r="ACJ49" s="422"/>
      <c r="ACK49" s="422"/>
      <c r="ACL49" s="422"/>
      <c r="ACM49" s="422"/>
      <c r="ACN49" s="422"/>
      <c r="ACO49" s="422"/>
      <c r="ACP49" s="422"/>
      <c r="ACQ49" s="422"/>
      <c r="ACR49" s="422"/>
      <c r="ACS49" s="422"/>
      <c r="ACT49" s="422"/>
      <c r="ACU49" s="422"/>
      <c r="ACV49" s="422"/>
      <c r="ACW49" s="422"/>
      <c r="ACX49" s="422"/>
      <c r="ACY49" s="422"/>
      <c r="ACZ49" s="422"/>
      <c r="ADA49" s="422"/>
      <c r="ADB49" s="422"/>
      <c r="ADC49" s="422"/>
      <c r="ADD49" s="422"/>
      <c r="ADE49" s="422"/>
      <c r="ADF49" s="422"/>
      <c r="ADG49" s="422"/>
      <c r="ADH49" s="422"/>
      <c r="ADI49" s="422"/>
      <c r="ADJ49" s="422"/>
      <c r="ADK49" s="422"/>
      <c r="ADL49" s="422"/>
      <c r="ADM49" s="422"/>
      <c r="ADN49" s="422"/>
      <c r="ADO49" s="422"/>
      <c r="ADP49" s="422"/>
      <c r="ADQ49" s="422"/>
      <c r="ADR49" s="422"/>
      <c r="ADS49" s="422"/>
      <c r="ADT49" s="422"/>
      <c r="ADU49" s="422"/>
      <c r="ADV49" s="422"/>
      <c r="ADW49" s="422"/>
      <c r="ADX49" s="422"/>
      <c r="ADY49" s="422"/>
      <c r="ADZ49" s="422"/>
      <c r="AEA49" s="422"/>
      <c r="AEB49" s="422"/>
      <c r="AEC49" s="422"/>
      <c r="AED49" s="422"/>
      <c r="AEE49" s="422"/>
      <c r="AEF49" s="422"/>
      <c r="AEG49" s="422"/>
      <c r="AEH49" s="422"/>
      <c r="AEI49" s="422"/>
      <c r="AEJ49" s="422"/>
      <c r="AEK49" s="422"/>
      <c r="AEL49" s="422"/>
      <c r="AEM49" s="422"/>
      <c r="AEN49" s="422"/>
      <c r="AEO49" s="422"/>
      <c r="AEP49" s="422"/>
      <c r="AEQ49" s="422"/>
      <c r="AER49" s="422"/>
      <c r="AES49" s="422"/>
      <c r="AET49" s="422"/>
      <c r="AEU49" s="422"/>
      <c r="AEV49" s="422"/>
      <c r="AEW49" s="422"/>
      <c r="AEX49" s="422"/>
      <c r="AEY49" s="422"/>
      <c r="AEZ49" s="422"/>
      <c r="AFA49" s="422"/>
      <c r="AFB49" s="422"/>
      <c r="AFC49" s="422"/>
      <c r="AFD49" s="422"/>
      <c r="AFE49" s="422"/>
      <c r="AFF49" s="422"/>
      <c r="AFG49" s="422"/>
      <c r="AFH49" s="422"/>
      <c r="AFI49" s="422"/>
      <c r="AFJ49" s="422"/>
      <c r="AFK49" s="422"/>
      <c r="AFL49" s="422"/>
      <c r="AFM49" s="422"/>
      <c r="AFN49" s="422"/>
      <c r="AFO49" s="422"/>
      <c r="AFP49" s="422"/>
      <c r="AFQ49" s="422"/>
      <c r="AFR49" s="422"/>
      <c r="AFS49" s="422"/>
      <c r="AFT49" s="422"/>
      <c r="AFU49" s="422"/>
      <c r="AFV49" s="422"/>
      <c r="AFW49" s="422"/>
      <c r="AFX49" s="422"/>
      <c r="AFY49" s="422"/>
      <c r="AFZ49" s="422"/>
      <c r="AGA49" s="422"/>
      <c r="AGB49" s="422"/>
      <c r="AGC49" s="422"/>
      <c r="AGD49" s="422"/>
      <c r="AGE49" s="422"/>
      <c r="AGF49" s="422"/>
      <c r="AGG49" s="422"/>
      <c r="AGH49" s="422"/>
      <c r="AGI49" s="422"/>
      <c r="AGJ49" s="422"/>
      <c r="AGK49" s="422"/>
      <c r="AGL49" s="422"/>
      <c r="AGM49" s="422"/>
      <c r="AGN49" s="422"/>
      <c r="AGO49" s="422"/>
      <c r="AGP49" s="422"/>
      <c r="AGQ49" s="422"/>
      <c r="AGR49" s="422"/>
      <c r="AGS49" s="422"/>
      <c r="AGT49" s="422"/>
      <c r="AGU49" s="422"/>
      <c r="AGV49" s="422"/>
      <c r="AGW49" s="422"/>
      <c r="AGX49" s="422"/>
      <c r="AGY49" s="422"/>
      <c r="AGZ49" s="422"/>
      <c r="AHA49" s="422"/>
      <c r="AHB49" s="422"/>
      <c r="AHC49" s="422"/>
      <c r="AHD49" s="422"/>
      <c r="AHE49" s="422"/>
      <c r="AHF49" s="422"/>
      <c r="AHG49" s="422"/>
      <c r="AHH49" s="422"/>
      <c r="AHI49" s="422"/>
      <c r="AHJ49" s="422"/>
      <c r="AHK49" s="422"/>
      <c r="AHL49" s="422"/>
      <c r="AHM49" s="422"/>
      <c r="AHN49" s="422"/>
      <c r="AHO49" s="422"/>
      <c r="AHP49" s="422"/>
      <c r="AHQ49" s="422"/>
      <c r="AHR49" s="422"/>
      <c r="AHS49" s="422"/>
      <c r="AHT49" s="422"/>
      <c r="AHU49" s="422"/>
      <c r="AHV49" s="422"/>
      <c r="AHW49" s="422"/>
      <c r="AHX49" s="422"/>
      <c r="AHY49" s="422"/>
      <c r="AHZ49" s="422"/>
      <c r="AIA49" s="422"/>
      <c r="AIB49" s="422"/>
      <c r="AIC49" s="422"/>
      <c r="AID49" s="422"/>
      <c r="AIE49" s="422"/>
      <c r="AIF49" s="422"/>
      <c r="AIG49" s="422"/>
      <c r="AIH49" s="422"/>
      <c r="AII49" s="422"/>
      <c r="AIJ49" s="422"/>
      <c r="AIK49" s="422"/>
      <c r="AIL49" s="422"/>
      <c r="AIM49" s="422"/>
      <c r="AIN49" s="422"/>
      <c r="AIO49" s="422"/>
      <c r="AIP49" s="422"/>
      <c r="AIQ49" s="422"/>
      <c r="AIR49" s="422"/>
      <c r="AIS49" s="422"/>
      <c r="AIT49" s="422"/>
      <c r="AIU49" s="422"/>
      <c r="AIV49" s="422"/>
      <c r="AIW49" s="422"/>
      <c r="AIX49" s="422"/>
      <c r="AIY49" s="422"/>
      <c r="AIZ49" s="422"/>
      <c r="AJA49" s="422"/>
      <c r="AJB49" s="422"/>
      <c r="AJC49" s="422"/>
      <c r="AJD49" s="422"/>
      <c r="AJE49" s="422"/>
      <c r="AJF49" s="422"/>
      <c r="AJG49" s="422"/>
      <c r="AJH49" s="422"/>
      <c r="AJI49" s="422"/>
      <c r="AJJ49" s="422"/>
      <c r="AJK49" s="422"/>
      <c r="AJL49" s="422"/>
      <c r="AJM49" s="422"/>
      <c r="AJN49" s="422"/>
      <c r="AJO49" s="422"/>
      <c r="AJP49" s="422"/>
      <c r="AJQ49" s="422"/>
      <c r="AJR49" s="422"/>
      <c r="AJS49" s="422"/>
      <c r="AJT49" s="422"/>
      <c r="AJU49" s="422"/>
      <c r="AJV49" s="422"/>
      <c r="AJW49" s="422"/>
      <c r="AJX49" s="422"/>
      <c r="AJY49" s="422"/>
      <c r="AJZ49" s="422"/>
      <c r="AKA49" s="422"/>
      <c r="AKB49" s="422"/>
      <c r="AKC49" s="422"/>
      <c r="AKD49" s="422"/>
      <c r="AKE49" s="422"/>
      <c r="AKF49" s="422"/>
      <c r="AKG49" s="422"/>
      <c r="AKH49" s="422"/>
      <c r="AKI49" s="422"/>
      <c r="AKJ49" s="422"/>
      <c r="AKK49" s="422"/>
      <c r="AKL49" s="422"/>
      <c r="AKM49" s="422"/>
      <c r="AKN49" s="422"/>
      <c r="AKO49" s="422"/>
      <c r="AKP49" s="422"/>
      <c r="AKQ49" s="422"/>
      <c r="AKR49" s="422"/>
      <c r="AKS49" s="422"/>
      <c r="AKT49" s="422"/>
      <c r="AKU49" s="422"/>
      <c r="AKV49" s="422"/>
      <c r="AKW49" s="422"/>
      <c r="AKX49" s="422"/>
      <c r="AKY49" s="422"/>
      <c r="AKZ49" s="422"/>
      <c r="ALA49" s="422"/>
      <c r="ALB49" s="422"/>
      <c r="ALC49" s="422"/>
      <c r="ALD49" s="422"/>
      <c r="ALE49" s="422"/>
      <c r="ALF49" s="422"/>
      <c r="ALG49" s="422"/>
      <c r="ALH49" s="422"/>
      <c r="ALI49" s="422"/>
      <c r="ALJ49" s="422"/>
      <c r="ALK49" s="422"/>
      <c r="ALL49" s="422"/>
      <c r="ALM49" s="422"/>
      <c r="ALN49" s="422"/>
      <c r="ALO49" s="422"/>
      <c r="ALP49" s="422"/>
      <c r="ALQ49" s="422"/>
      <c r="ALR49" s="422"/>
      <c r="ALS49" s="422"/>
      <c r="ALT49" s="422"/>
      <c r="ALU49" s="422"/>
      <c r="ALV49" s="422"/>
      <c r="ALW49" s="422"/>
      <c r="ALX49" s="422"/>
      <c r="ALY49" s="422"/>
      <c r="ALZ49" s="422"/>
      <c r="AMA49" s="422"/>
      <c r="AMB49" s="422"/>
      <c r="AMC49" s="422"/>
      <c r="AMD49" s="422"/>
      <c r="AME49" s="422"/>
      <c r="AMF49" s="422"/>
      <c r="AMG49" s="422"/>
      <c r="AMH49" s="422"/>
      <c r="AMI49" s="422"/>
      <c r="AMJ49" s="422"/>
      <c r="AMK49" s="422"/>
      <c r="AML49" s="422"/>
      <c r="AMM49" s="422"/>
      <c r="AMN49" s="422"/>
      <c r="AMO49" s="422"/>
      <c r="AMP49" s="422"/>
      <c r="AMQ49" s="422"/>
      <c r="AMR49" s="422"/>
      <c r="AMS49" s="422"/>
      <c r="AMT49" s="422"/>
      <c r="AMU49" s="422"/>
      <c r="AMV49" s="422"/>
      <c r="AMW49" s="422"/>
      <c r="AMX49" s="422"/>
      <c r="AMY49" s="422"/>
      <c r="AMZ49" s="422"/>
      <c r="ANA49" s="422"/>
      <c r="ANB49" s="422"/>
      <c r="ANC49" s="422"/>
      <c r="AND49" s="422"/>
      <c r="ANE49" s="422"/>
      <c r="ANF49" s="422"/>
      <c r="ANG49" s="422"/>
      <c r="ANH49" s="422"/>
      <c r="ANI49" s="422"/>
      <c r="ANJ49" s="422"/>
      <c r="ANK49" s="422"/>
      <c r="ANL49" s="422"/>
      <c r="ANM49" s="422"/>
      <c r="ANN49" s="422"/>
      <c r="ANO49" s="422"/>
      <c r="ANP49" s="422"/>
      <c r="ANQ49" s="422"/>
      <c r="ANR49" s="422"/>
      <c r="ANS49" s="422"/>
      <c r="ANT49" s="422"/>
      <c r="ANU49" s="422"/>
      <c r="ANV49" s="422"/>
      <c r="ANW49" s="422"/>
      <c r="ANX49" s="422"/>
      <c r="ANY49" s="422"/>
      <c r="ANZ49" s="422"/>
      <c r="AOA49" s="422"/>
      <c r="AOB49" s="422"/>
      <c r="AOC49" s="422"/>
      <c r="AOD49" s="422"/>
      <c r="AOE49" s="422"/>
      <c r="AOF49" s="422"/>
      <c r="AOG49" s="422"/>
      <c r="AOH49" s="422"/>
      <c r="AOI49" s="422"/>
      <c r="AOJ49" s="422"/>
      <c r="AOK49" s="422"/>
      <c r="AOL49" s="422"/>
      <c r="AOM49" s="422"/>
      <c r="AON49" s="422"/>
      <c r="AOO49" s="422"/>
      <c r="AOP49" s="422"/>
      <c r="AOQ49" s="422"/>
      <c r="AOR49" s="422"/>
      <c r="AOS49" s="422"/>
      <c r="AOT49" s="422"/>
      <c r="AOU49" s="422"/>
      <c r="AOV49" s="422"/>
      <c r="AOW49" s="422"/>
      <c r="AOX49" s="422"/>
      <c r="AOY49" s="422"/>
      <c r="AOZ49" s="422"/>
      <c r="APA49" s="422"/>
      <c r="APB49" s="422"/>
      <c r="APC49" s="422"/>
      <c r="APD49" s="422"/>
      <c r="APE49" s="422"/>
      <c r="APF49" s="422"/>
      <c r="APG49" s="422"/>
      <c r="APH49" s="422"/>
      <c r="API49" s="422"/>
      <c r="APJ49" s="422"/>
      <c r="APK49" s="422"/>
      <c r="APL49" s="422"/>
      <c r="APM49" s="422"/>
      <c r="APN49" s="422"/>
      <c r="APO49" s="422"/>
      <c r="APP49" s="422"/>
      <c r="APQ49" s="422"/>
      <c r="APR49" s="422"/>
      <c r="APS49" s="422"/>
      <c r="APT49" s="422"/>
      <c r="APU49" s="422"/>
      <c r="APV49" s="422"/>
      <c r="APW49" s="422"/>
      <c r="APX49" s="422"/>
      <c r="APY49" s="422"/>
      <c r="APZ49" s="422"/>
      <c r="AQA49" s="422"/>
      <c r="AQB49" s="422"/>
      <c r="AQC49" s="422"/>
      <c r="AQD49" s="422"/>
      <c r="AQE49" s="422"/>
      <c r="AQF49" s="422"/>
      <c r="AQG49" s="422"/>
      <c r="AQH49" s="422"/>
      <c r="AQI49" s="422"/>
      <c r="AQJ49" s="422"/>
      <c r="AQK49" s="422"/>
      <c r="AQL49" s="422"/>
      <c r="AQM49" s="422"/>
      <c r="AQN49" s="422"/>
      <c r="AQO49" s="422"/>
      <c r="AQP49" s="422"/>
      <c r="AQQ49" s="422"/>
      <c r="AQR49" s="422"/>
      <c r="AQS49" s="422"/>
      <c r="AQT49" s="422"/>
      <c r="AQU49" s="422"/>
      <c r="AQV49" s="422"/>
      <c r="AQW49" s="422"/>
      <c r="AQX49" s="422"/>
      <c r="AQY49" s="422"/>
      <c r="AQZ49" s="422"/>
      <c r="ARA49" s="422"/>
      <c r="ARB49" s="422"/>
      <c r="ARC49" s="422"/>
      <c r="ARD49" s="422"/>
      <c r="ARE49" s="422"/>
      <c r="ARF49" s="422"/>
      <c r="ARG49" s="422"/>
      <c r="ARH49" s="422"/>
      <c r="ARI49" s="422"/>
      <c r="ARJ49" s="422"/>
      <c r="ARK49" s="422"/>
      <c r="ARL49" s="422"/>
      <c r="ARM49" s="422"/>
      <c r="ARN49" s="422"/>
      <c r="ARO49" s="422"/>
      <c r="ARP49" s="422"/>
      <c r="ARQ49" s="422"/>
      <c r="ARR49" s="422"/>
      <c r="ARS49" s="422"/>
      <c r="ART49" s="422"/>
      <c r="ARU49" s="422"/>
      <c r="ARV49" s="422"/>
      <c r="ARW49" s="422"/>
      <c r="ARX49" s="422"/>
      <c r="ARY49" s="422"/>
      <c r="ARZ49" s="422"/>
      <c r="ASA49" s="422"/>
      <c r="ASB49" s="422"/>
      <c r="ASC49" s="422"/>
      <c r="ASD49" s="422"/>
      <c r="ASE49" s="422"/>
      <c r="ASF49" s="422"/>
      <c r="ASG49" s="422"/>
      <c r="ASH49" s="422"/>
      <c r="ASI49" s="422"/>
      <c r="ASJ49" s="422"/>
      <c r="ASK49" s="422"/>
      <c r="ASL49" s="422"/>
      <c r="ASM49" s="422"/>
      <c r="ASN49" s="422"/>
      <c r="ASO49" s="422"/>
      <c r="ASP49" s="422"/>
      <c r="ASQ49" s="422"/>
      <c r="ASR49" s="422"/>
      <c r="ASS49" s="422"/>
      <c r="AST49" s="422"/>
      <c r="ASU49" s="422"/>
      <c r="ASV49" s="422"/>
      <c r="ASW49" s="422"/>
      <c r="ASX49" s="422"/>
      <c r="ASY49" s="422"/>
      <c r="ASZ49" s="422"/>
      <c r="ATA49" s="422"/>
      <c r="ATB49" s="422"/>
      <c r="ATC49" s="422"/>
      <c r="ATD49" s="422"/>
      <c r="ATE49" s="422"/>
      <c r="ATF49" s="422"/>
      <c r="ATG49" s="422"/>
      <c r="ATH49" s="422"/>
      <c r="ATI49" s="422"/>
      <c r="ATJ49" s="422"/>
      <c r="ATK49" s="422"/>
      <c r="ATL49" s="422"/>
      <c r="ATM49" s="422"/>
      <c r="ATN49" s="422"/>
      <c r="ATO49" s="422"/>
      <c r="ATP49" s="422"/>
      <c r="ATQ49" s="422"/>
      <c r="ATR49" s="422"/>
      <c r="ATS49" s="422"/>
      <c r="ATT49" s="422"/>
      <c r="ATU49" s="422"/>
      <c r="ATV49" s="422"/>
      <c r="ATW49" s="422"/>
      <c r="ATX49" s="422"/>
      <c r="ATY49" s="422"/>
      <c r="ATZ49" s="422"/>
      <c r="AUA49" s="422"/>
      <c r="AUB49" s="422"/>
      <c r="AUC49" s="422"/>
      <c r="AUD49" s="422"/>
      <c r="AUE49" s="422"/>
      <c r="AUF49" s="422"/>
      <c r="AUG49" s="422"/>
      <c r="AUH49" s="422"/>
      <c r="AUI49" s="422"/>
      <c r="AUJ49" s="422"/>
      <c r="AUK49" s="422"/>
      <c r="AUL49" s="422"/>
      <c r="AUM49" s="422"/>
      <c r="AUN49" s="422"/>
      <c r="AUO49" s="422"/>
      <c r="AUP49" s="422"/>
      <c r="AUQ49" s="422"/>
      <c r="AUR49" s="422"/>
      <c r="AUS49" s="422"/>
      <c r="AUT49" s="422"/>
      <c r="AUU49" s="422"/>
      <c r="AUV49" s="422"/>
      <c r="AUW49" s="422"/>
      <c r="AUX49" s="422"/>
      <c r="AUY49" s="422"/>
      <c r="AUZ49" s="422"/>
      <c r="AVA49" s="422"/>
      <c r="AVB49" s="422"/>
      <c r="AVC49" s="422"/>
      <c r="AVD49" s="422"/>
      <c r="AVE49" s="422"/>
      <c r="AVF49" s="422"/>
      <c r="AVG49" s="422"/>
      <c r="AVH49" s="422"/>
      <c r="AVI49" s="422"/>
      <c r="AVJ49" s="422"/>
      <c r="AVK49" s="422"/>
      <c r="AVL49" s="422"/>
      <c r="AVM49" s="422"/>
      <c r="AVN49" s="422"/>
      <c r="AVO49" s="422"/>
      <c r="AVP49" s="422"/>
      <c r="AVQ49" s="422"/>
      <c r="AVR49" s="422"/>
      <c r="AVS49" s="422"/>
      <c r="AVT49" s="422"/>
      <c r="AVU49" s="422"/>
      <c r="AVV49" s="422"/>
      <c r="AVW49" s="422"/>
      <c r="AVX49" s="422"/>
      <c r="AVY49" s="422"/>
      <c r="AVZ49" s="422"/>
      <c r="AWA49" s="422"/>
      <c r="AWB49" s="422"/>
      <c r="AWC49" s="422"/>
      <c r="AWD49" s="422"/>
      <c r="AWE49" s="422"/>
      <c r="AWF49" s="422"/>
      <c r="AWG49" s="422"/>
      <c r="AWH49" s="422"/>
      <c r="AWI49" s="422"/>
      <c r="AWJ49" s="422"/>
      <c r="AWK49" s="422"/>
      <c r="AWL49" s="422"/>
      <c r="AWM49" s="422"/>
      <c r="AWN49" s="422"/>
      <c r="AWO49" s="422"/>
      <c r="AWP49" s="422"/>
      <c r="AWQ49" s="422"/>
      <c r="AWR49" s="422"/>
      <c r="AWS49" s="422"/>
      <c r="AWT49" s="422"/>
      <c r="AWU49" s="422"/>
      <c r="AWV49" s="422"/>
      <c r="AWW49" s="422"/>
      <c r="AWX49" s="422"/>
      <c r="AWY49" s="422"/>
      <c r="AWZ49" s="422"/>
      <c r="AXA49" s="422"/>
      <c r="AXB49" s="422"/>
      <c r="AXC49" s="422"/>
      <c r="AXD49" s="422"/>
      <c r="AXE49" s="422"/>
      <c r="AXF49" s="422"/>
      <c r="AXG49" s="422"/>
      <c r="AXH49" s="422"/>
      <c r="AXI49" s="422"/>
      <c r="AXJ49" s="422"/>
      <c r="AXK49" s="422"/>
      <c r="AXL49" s="422"/>
      <c r="AXM49" s="422"/>
      <c r="AXN49" s="422"/>
      <c r="AXO49" s="422"/>
      <c r="AXP49" s="422"/>
      <c r="AXQ49" s="422"/>
      <c r="AXR49" s="422"/>
      <c r="AXS49" s="422"/>
      <c r="AXT49" s="422"/>
      <c r="AXU49" s="422"/>
      <c r="AXV49" s="422"/>
      <c r="AXW49" s="422"/>
      <c r="AXX49" s="422"/>
      <c r="AXY49" s="422"/>
      <c r="AXZ49" s="422"/>
      <c r="AYA49" s="422"/>
      <c r="AYB49" s="422"/>
      <c r="AYC49" s="422"/>
      <c r="AYD49" s="422"/>
      <c r="AYE49" s="422"/>
      <c r="AYF49" s="422"/>
      <c r="AYG49" s="422"/>
      <c r="AYH49" s="422"/>
      <c r="AYI49" s="422"/>
      <c r="AYJ49" s="422"/>
      <c r="AYK49" s="422"/>
      <c r="AYL49" s="422"/>
      <c r="AYM49" s="422"/>
      <c r="AYN49" s="422"/>
      <c r="AYO49" s="422"/>
      <c r="AYP49" s="422"/>
      <c r="AYQ49" s="422"/>
      <c r="AYR49" s="422"/>
      <c r="AYS49" s="422"/>
      <c r="AYT49" s="422"/>
      <c r="AYU49" s="422"/>
      <c r="AYV49" s="422"/>
      <c r="AYW49" s="422"/>
      <c r="AYX49" s="422"/>
      <c r="AYY49" s="422"/>
      <c r="AYZ49" s="422"/>
      <c r="AZA49" s="422"/>
      <c r="AZB49" s="422"/>
      <c r="AZC49" s="422"/>
      <c r="AZD49" s="422"/>
      <c r="AZE49" s="422"/>
      <c r="AZF49" s="422"/>
      <c r="AZG49" s="422"/>
      <c r="AZH49" s="422"/>
      <c r="AZI49" s="422"/>
      <c r="AZJ49" s="422"/>
      <c r="AZK49" s="422"/>
      <c r="AZL49" s="422"/>
      <c r="AZM49" s="422"/>
      <c r="AZN49" s="422"/>
      <c r="AZO49" s="422"/>
      <c r="AZP49" s="422"/>
      <c r="AZQ49" s="422"/>
      <c r="AZR49" s="422"/>
      <c r="AZS49" s="422"/>
      <c r="AZT49" s="422"/>
      <c r="AZU49" s="422"/>
      <c r="AZV49" s="422"/>
      <c r="AZW49" s="422"/>
      <c r="AZX49" s="422"/>
      <c r="AZY49" s="422"/>
      <c r="AZZ49" s="422"/>
      <c r="BAA49" s="422"/>
      <c r="BAB49" s="422"/>
      <c r="BAC49" s="422"/>
      <c r="BAD49" s="422"/>
      <c r="BAE49" s="422"/>
      <c r="BAF49" s="422"/>
      <c r="BAG49" s="422"/>
      <c r="BAH49" s="422"/>
      <c r="BAI49" s="422"/>
      <c r="BAJ49" s="422"/>
      <c r="BAK49" s="422"/>
      <c r="BAL49" s="422"/>
      <c r="BAM49" s="422"/>
      <c r="BAN49" s="422"/>
      <c r="BAO49" s="422"/>
      <c r="BAP49" s="422"/>
      <c r="BAQ49" s="422"/>
      <c r="BAR49" s="422"/>
      <c r="BAS49" s="422"/>
      <c r="BAT49" s="422"/>
      <c r="BAU49" s="422"/>
      <c r="BAV49" s="422"/>
      <c r="BAW49" s="422"/>
      <c r="BAX49" s="422"/>
      <c r="BAY49" s="422"/>
      <c r="BAZ49" s="422"/>
      <c r="BBA49" s="422"/>
      <c r="BBB49" s="422"/>
      <c r="BBC49" s="422"/>
      <c r="BBD49" s="422"/>
      <c r="BBE49" s="422"/>
      <c r="BBF49" s="422"/>
      <c r="BBG49" s="422"/>
      <c r="BBH49" s="422"/>
      <c r="BBI49" s="422"/>
      <c r="BBJ49" s="422"/>
      <c r="BBK49" s="422"/>
      <c r="BBL49" s="422"/>
      <c r="BBM49" s="422"/>
      <c r="BBN49" s="422"/>
      <c r="BBO49" s="422"/>
      <c r="BBP49" s="422"/>
      <c r="BBQ49" s="422"/>
      <c r="BBR49" s="422"/>
      <c r="BBS49" s="422"/>
      <c r="BBT49" s="422"/>
      <c r="BBU49" s="422"/>
      <c r="BBV49" s="422"/>
      <c r="BBW49" s="422"/>
      <c r="BBX49" s="422"/>
      <c r="BBY49" s="422"/>
      <c r="BBZ49" s="422"/>
      <c r="BCA49" s="422"/>
      <c r="BCB49" s="422"/>
      <c r="BCC49" s="422"/>
      <c r="BCD49" s="422"/>
      <c r="BCE49" s="422"/>
      <c r="BCF49" s="422"/>
      <c r="BCG49" s="422"/>
      <c r="BCH49" s="422"/>
      <c r="BCI49" s="422"/>
      <c r="BCJ49" s="422"/>
      <c r="BCK49" s="422"/>
      <c r="BCL49" s="422"/>
      <c r="BCM49" s="422"/>
      <c r="BCN49" s="422"/>
      <c r="BCO49" s="422"/>
      <c r="BCP49" s="422"/>
      <c r="BCQ49" s="422"/>
      <c r="BCR49" s="422"/>
      <c r="BCS49" s="422"/>
      <c r="BCT49" s="422"/>
      <c r="BCU49" s="422"/>
      <c r="BCV49" s="422"/>
      <c r="BCW49" s="422"/>
      <c r="BCX49" s="422"/>
      <c r="BCY49" s="422"/>
      <c r="BCZ49" s="422"/>
      <c r="BDA49" s="422"/>
      <c r="BDB49" s="422"/>
      <c r="BDC49" s="422"/>
      <c r="BDD49" s="422"/>
      <c r="BDE49" s="422"/>
      <c r="BDF49" s="422"/>
      <c r="BDG49" s="422"/>
      <c r="BDH49" s="422"/>
      <c r="BDI49" s="422"/>
      <c r="BDJ49" s="422"/>
      <c r="BDK49" s="422"/>
      <c r="BDL49" s="422"/>
      <c r="BDM49" s="422"/>
      <c r="BDN49" s="422"/>
      <c r="BDO49" s="422"/>
      <c r="BDP49" s="422"/>
      <c r="BDQ49" s="422"/>
      <c r="BDR49" s="422"/>
      <c r="BDS49" s="422"/>
      <c r="BDT49" s="422"/>
      <c r="BDU49" s="422"/>
      <c r="BDV49" s="422"/>
      <c r="BDW49" s="422"/>
      <c r="BDX49" s="422"/>
      <c r="BDY49" s="422"/>
      <c r="BDZ49" s="422"/>
      <c r="BEA49" s="422"/>
      <c r="BEB49" s="422"/>
      <c r="BEC49" s="422"/>
      <c r="BED49" s="422"/>
      <c r="BEE49" s="422"/>
      <c r="BEF49" s="422"/>
      <c r="BEG49" s="422"/>
      <c r="BEH49" s="422"/>
      <c r="BEI49" s="422"/>
      <c r="BEJ49" s="422"/>
      <c r="BEK49" s="422"/>
      <c r="BEL49" s="422"/>
      <c r="BEM49" s="422"/>
      <c r="BEN49" s="422"/>
      <c r="BEO49" s="422"/>
      <c r="BEP49" s="422"/>
      <c r="BEQ49" s="422"/>
      <c r="BER49" s="422"/>
      <c r="BES49" s="422"/>
      <c r="BET49" s="422"/>
      <c r="BEU49" s="422"/>
      <c r="BEV49" s="422"/>
      <c r="BEW49" s="422"/>
      <c r="BEX49" s="422"/>
      <c r="BEY49" s="422"/>
      <c r="BEZ49" s="422"/>
      <c r="BFA49" s="422"/>
      <c r="BFB49" s="422"/>
      <c r="BFC49" s="422"/>
      <c r="BFD49" s="422"/>
      <c r="BFE49" s="422"/>
      <c r="BFF49" s="422"/>
      <c r="BFG49" s="422"/>
      <c r="BFH49" s="422"/>
      <c r="BFI49" s="422"/>
      <c r="BFJ49" s="422"/>
      <c r="BFK49" s="422"/>
      <c r="BFL49" s="422"/>
      <c r="BFM49" s="422"/>
      <c r="BFN49" s="422"/>
      <c r="BFO49" s="422"/>
      <c r="BFP49" s="422"/>
      <c r="BFQ49" s="422"/>
      <c r="BFR49" s="422"/>
      <c r="BFS49" s="422"/>
      <c r="BFT49" s="422"/>
      <c r="BFU49" s="422"/>
      <c r="BFV49" s="422"/>
      <c r="BFW49" s="422"/>
      <c r="BFX49" s="422"/>
      <c r="BFY49" s="422"/>
      <c r="BFZ49" s="422"/>
      <c r="BGA49" s="422"/>
      <c r="BGB49" s="422"/>
      <c r="BGC49" s="422"/>
      <c r="BGD49" s="422"/>
      <c r="BGE49" s="422"/>
      <c r="BGF49" s="422"/>
      <c r="BGG49" s="422"/>
      <c r="BGH49" s="422"/>
      <c r="BGI49" s="422"/>
      <c r="BGJ49" s="422"/>
      <c r="BGK49" s="422"/>
      <c r="BGL49" s="422"/>
      <c r="BGM49" s="422"/>
      <c r="BGN49" s="422"/>
      <c r="BGO49" s="422"/>
      <c r="BGP49" s="422"/>
      <c r="BGQ49" s="422"/>
      <c r="BGR49" s="422"/>
      <c r="BGS49" s="422"/>
      <c r="BGT49" s="422"/>
      <c r="BGU49" s="422"/>
      <c r="BGV49" s="422"/>
      <c r="BGW49" s="422"/>
      <c r="BGX49" s="422"/>
      <c r="BGY49" s="422"/>
      <c r="BGZ49" s="422"/>
      <c r="BHA49" s="422"/>
      <c r="BHB49" s="422"/>
      <c r="BHC49" s="422"/>
      <c r="BHD49" s="422"/>
      <c r="BHE49" s="422"/>
      <c r="BHF49" s="422"/>
      <c r="BHG49" s="422"/>
      <c r="BHH49" s="422"/>
      <c r="BHI49" s="422"/>
      <c r="BHJ49" s="422"/>
      <c r="BHK49" s="422"/>
      <c r="BHL49" s="422"/>
      <c r="BHM49" s="422"/>
      <c r="BHN49" s="422"/>
      <c r="BHO49" s="422"/>
      <c r="BHP49" s="422"/>
      <c r="BHQ49" s="422"/>
      <c r="BHR49" s="422"/>
      <c r="BHS49" s="422"/>
      <c r="BHT49" s="422"/>
      <c r="BHU49" s="422"/>
      <c r="BHV49" s="422"/>
      <c r="BHW49" s="422"/>
      <c r="BHX49" s="422"/>
      <c r="BHY49" s="422"/>
      <c r="BHZ49" s="422"/>
      <c r="BIA49" s="422"/>
      <c r="BIB49" s="422"/>
      <c r="BIC49" s="422"/>
      <c r="BID49" s="422"/>
      <c r="BIE49" s="422"/>
      <c r="BIF49" s="422"/>
      <c r="BIG49" s="422"/>
      <c r="BIH49" s="422"/>
      <c r="BII49" s="422"/>
      <c r="BIJ49" s="422"/>
      <c r="BIK49" s="422"/>
      <c r="BIL49" s="422"/>
      <c r="BIM49" s="422"/>
      <c r="BIN49" s="422"/>
      <c r="BIO49" s="422"/>
      <c r="BIP49" s="422"/>
      <c r="BIQ49" s="422"/>
      <c r="BIR49" s="422"/>
      <c r="BIS49" s="422"/>
      <c r="BIT49" s="422"/>
      <c r="BIU49" s="422"/>
      <c r="BIV49" s="422"/>
      <c r="BIW49" s="422"/>
      <c r="BIX49" s="422"/>
      <c r="BIY49" s="422"/>
      <c r="BIZ49" s="422"/>
      <c r="BJA49" s="422"/>
      <c r="BJB49" s="422"/>
      <c r="BJC49" s="422"/>
      <c r="BJD49" s="422"/>
      <c r="BJE49" s="422"/>
      <c r="BJF49" s="422"/>
      <c r="BJG49" s="422"/>
      <c r="BJH49" s="422"/>
      <c r="BJI49" s="422"/>
      <c r="BJJ49" s="422"/>
      <c r="BJK49" s="422"/>
      <c r="BJL49" s="422"/>
      <c r="BJM49" s="422"/>
      <c r="BJN49" s="422"/>
      <c r="BJO49" s="422"/>
      <c r="BJP49" s="422"/>
      <c r="BJQ49" s="422"/>
      <c r="BJR49" s="422"/>
      <c r="BJS49" s="422"/>
      <c r="BJT49" s="422"/>
      <c r="BJU49" s="422"/>
      <c r="BJV49" s="422"/>
      <c r="BJW49" s="422"/>
      <c r="BJX49" s="422"/>
      <c r="BJY49" s="422"/>
      <c r="BJZ49" s="422"/>
      <c r="BKA49" s="422"/>
      <c r="BKB49" s="422"/>
      <c r="BKC49" s="422"/>
      <c r="BKD49" s="422"/>
      <c r="BKE49" s="422"/>
      <c r="BKF49" s="422"/>
      <c r="BKG49" s="422"/>
      <c r="BKH49" s="422"/>
      <c r="BKI49" s="422"/>
      <c r="BKJ49" s="422"/>
      <c r="BKK49" s="422"/>
      <c r="BKL49" s="422"/>
      <c r="BKM49" s="422"/>
      <c r="BKN49" s="422"/>
      <c r="BKO49" s="422"/>
      <c r="BKP49" s="422"/>
      <c r="BKQ49" s="422"/>
      <c r="BKR49" s="422"/>
      <c r="BKS49" s="422"/>
      <c r="BKT49" s="422"/>
      <c r="BKU49" s="422"/>
      <c r="BKV49" s="422"/>
      <c r="BKW49" s="422"/>
      <c r="BKX49" s="422"/>
      <c r="BKY49" s="422"/>
      <c r="BKZ49" s="422"/>
      <c r="BLA49" s="422"/>
      <c r="BLB49" s="422"/>
      <c r="BLC49" s="422"/>
      <c r="BLD49" s="422"/>
      <c r="BLE49" s="422"/>
      <c r="BLF49" s="422"/>
      <c r="BLG49" s="422"/>
      <c r="BLH49" s="422"/>
      <c r="BLI49" s="422"/>
      <c r="BLJ49" s="422"/>
      <c r="BLK49" s="422"/>
      <c r="BLL49" s="422"/>
      <c r="BLM49" s="422"/>
      <c r="BLN49" s="422"/>
      <c r="BLO49" s="422"/>
      <c r="BLP49" s="422"/>
      <c r="BLQ49" s="422"/>
      <c r="BLR49" s="422"/>
      <c r="BLS49" s="422"/>
      <c r="BLT49" s="422"/>
      <c r="BLU49" s="422"/>
      <c r="BLV49" s="422"/>
      <c r="BLW49" s="422"/>
      <c r="BLX49" s="422"/>
      <c r="BLY49" s="422"/>
      <c r="BLZ49" s="422"/>
      <c r="BMA49" s="422"/>
      <c r="BMB49" s="422"/>
      <c r="BMC49" s="422"/>
      <c r="BMD49" s="422"/>
      <c r="BME49" s="422"/>
      <c r="BMF49" s="422"/>
      <c r="BMG49" s="422"/>
      <c r="BMH49" s="422"/>
      <c r="BMI49" s="422"/>
      <c r="BMJ49" s="422"/>
      <c r="BMK49" s="422"/>
      <c r="BML49" s="422"/>
      <c r="BMM49" s="422"/>
      <c r="BMN49" s="422"/>
      <c r="BMO49" s="422"/>
      <c r="BMP49" s="422"/>
      <c r="BMQ49" s="422"/>
      <c r="BMR49" s="422"/>
      <c r="BMS49" s="422"/>
      <c r="BMT49" s="422"/>
      <c r="BMU49" s="422"/>
      <c r="BMV49" s="422"/>
      <c r="BMW49" s="422"/>
      <c r="BMX49" s="422"/>
      <c r="BMY49" s="422"/>
      <c r="BMZ49" s="422"/>
      <c r="BNA49" s="422"/>
      <c r="BNB49" s="422"/>
      <c r="BNC49" s="422"/>
      <c r="BND49" s="422"/>
      <c r="BNE49" s="422"/>
      <c r="BNF49" s="422"/>
      <c r="BNG49" s="422"/>
      <c r="BNH49" s="422"/>
      <c r="BNI49" s="422"/>
      <c r="BNJ49" s="422"/>
      <c r="BNK49" s="422"/>
      <c r="BNL49" s="422"/>
      <c r="BNM49" s="422"/>
      <c r="BNN49" s="422"/>
      <c r="BNO49" s="422"/>
      <c r="BNP49" s="422"/>
      <c r="BNQ49" s="422"/>
      <c r="BNR49" s="422"/>
      <c r="BNS49" s="422"/>
      <c r="BNT49" s="422"/>
      <c r="BNU49" s="422"/>
      <c r="BNV49" s="422"/>
      <c r="BNW49" s="422"/>
      <c r="BNX49" s="422"/>
      <c r="BNY49" s="422"/>
      <c r="BNZ49" s="422"/>
      <c r="BOA49" s="422"/>
      <c r="BOB49" s="422"/>
      <c r="BOC49" s="422"/>
      <c r="BOD49" s="422"/>
      <c r="BOE49" s="422"/>
      <c r="BOF49" s="422"/>
      <c r="BOG49" s="422"/>
      <c r="BOH49" s="422"/>
      <c r="BOI49" s="422"/>
      <c r="BOJ49" s="422"/>
      <c r="BOK49" s="422"/>
      <c r="BOL49" s="422"/>
      <c r="BOM49" s="422"/>
      <c r="BON49" s="422"/>
      <c r="BOO49" s="422"/>
      <c r="BOP49" s="422"/>
      <c r="BOQ49" s="422"/>
      <c r="BOR49" s="422"/>
      <c r="BOS49" s="422"/>
      <c r="BOT49" s="422"/>
      <c r="BOU49" s="422"/>
      <c r="BOV49" s="422"/>
      <c r="BOW49" s="422"/>
      <c r="BOX49" s="422"/>
      <c r="BOY49" s="422"/>
      <c r="BOZ49" s="422"/>
      <c r="BPA49" s="422"/>
      <c r="BPB49" s="422"/>
      <c r="BPC49" s="422"/>
      <c r="BPD49" s="422"/>
      <c r="BPE49" s="422"/>
      <c r="BPF49" s="422"/>
      <c r="BPG49" s="422"/>
      <c r="BPH49" s="422"/>
      <c r="BPI49" s="422"/>
      <c r="BPJ49" s="422"/>
      <c r="BPK49" s="422"/>
      <c r="BPL49" s="422"/>
      <c r="BPM49" s="422"/>
      <c r="BPN49" s="422"/>
      <c r="BPO49" s="422"/>
      <c r="BPP49" s="422"/>
      <c r="BPQ49" s="422"/>
      <c r="BPR49" s="422"/>
      <c r="BPS49" s="422"/>
      <c r="BPT49" s="422"/>
      <c r="BPU49" s="422"/>
      <c r="BPV49" s="422"/>
      <c r="BPW49" s="422"/>
      <c r="BPX49" s="422"/>
      <c r="BPY49" s="422"/>
      <c r="BPZ49" s="422"/>
      <c r="BQA49" s="422"/>
      <c r="BQB49" s="422"/>
      <c r="BQC49" s="422"/>
      <c r="BQD49" s="422"/>
      <c r="BQE49" s="422"/>
      <c r="BQF49" s="422"/>
      <c r="BQG49" s="422"/>
      <c r="BQH49" s="422"/>
      <c r="BQI49" s="422"/>
      <c r="BQJ49" s="422"/>
      <c r="BQK49" s="422"/>
      <c r="BQL49" s="422"/>
      <c r="BQM49" s="422"/>
      <c r="BQN49" s="422"/>
      <c r="BQO49" s="422"/>
      <c r="BQP49" s="422"/>
      <c r="BQQ49" s="422"/>
      <c r="BQR49" s="422"/>
      <c r="BQS49" s="422"/>
      <c r="BQT49" s="422"/>
      <c r="BQU49" s="422"/>
      <c r="BQV49" s="422"/>
      <c r="BQW49" s="422"/>
      <c r="BQX49" s="422"/>
      <c r="BQY49" s="422"/>
      <c r="BQZ49" s="422"/>
      <c r="BRA49" s="422"/>
      <c r="BRB49" s="422"/>
      <c r="BRC49" s="422"/>
      <c r="BRD49" s="422"/>
      <c r="BRE49" s="422"/>
      <c r="BRF49" s="422"/>
      <c r="BRG49" s="422"/>
      <c r="BRH49" s="422"/>
      <c r="BRI49" s="422"/>
      <c r="BRJ49" s="422"/>
      <c r="BRK49" s="422"/>
      <c r="BRL49" s="422"/>
      <c r="BRM49" s="422"/>
      <c r="BRN49" s="422"/>
      <c r="BRO49" s="422"/>
      <c r="BRP49" s="422"/>
      <c r="BRQ49" s="422"/>
      <c r="BRR49" s="422"/>
      <c r="BRS49" s="422"/>
      <c r="BRT49" s="422"/>
      <c r="BRU49" s="422"/>
      <c r="BRV49" s="422"/>
      <c r="BRW49" s="422"/>
      <c r="BRX49" s="422"/>
      <c r="BRY49" s="422"/>
      <c r="BRZ49" s="422"/>
      <c r="BSA49" s="422"/>
      <c r="BSB49" s="422"/>
      <c r="BSC49" s="422"/>
      <c r="BSD49" s="422"/>
      <c r="BSE49" s="422"/>
      <c r="BSF49" s="422"/>
      <c r="BSG49" s="422"/>
      <c r="BSH49" s="422"/>
      <c r="BSI49" s="422"/>
      <c r="BSJ49" s="422"/>
      <c r="BSK49" s="422"/>
      <c r="BSL49" s="422"/>
      <c r="BSM49" s="422"/>
      <c r="BSN49" s="422"/>
      <c r="BSO49" s="422"/>
      <c r="BSP49" s="422"/>
      <c r="BSQ49" s="422"/>
      <c r="BSR49" s="422"/>
      <c r="BSS49" s="422"/>
      <c r="BST49" s="422"/>
      <c r="BSU49" s="422"/>
      <c r="BSV49" s="422"/>
      <c r="BSW49" s="422"/>
      <c r="BSX49" s="422"/>
      <c r="BSY49" s="422"/>
      <c r="BSZ49" s="422"/>
      <c r="BTA49" s="422"/>
      <c r="BTB49" s="422"/>
      <c r="BTC49" s="422"/>
      <c r="BTD49" s="422"/>
      <c r="BTE49" s="422"/>
      <c r="BTF49" s="422"/>
      <c r="BTG49" s="422"/>
      <c r="BTH49" s="422"/>
      <c r="BTI49" s="422"/>
      <c r="BTJ49" s="422"/>
      <c r="BTK49" s="422"/>
      <c r="BTL49" s="422"/>
      <c r="BTM49" s="422"/>
      <c r="BTN49" s="422"/>
      <c r="BTO49" s="422"/>
      <c r="BTP49" s="422"/>
      <c r="BTQ49" s="422"/>
      <c r="BTR49" s="422"/>
      <c r="BTS49" s="422"/>
      <c r="BTT49" s="422"/>
      <c r="BTU49" s="422"/>
      <c r="BTV49" s="422"/>
      <c r="BTW49" s="422"/>
      <c r="BTX49" s="422"/>
      <c r="BTY49" s="422"/>
      <c r="BTZ49" s="422"/>
      <c r="BUA49" s="422"/>
      <c r="BUB49" s="422"/>
      <c r="BUC49" s="422"/>
      <c r="BUD49" s="422"/>
      <c r="BUE49" s="422"/>
      <c r="BUF49" s="422"/>
      <c r="BUG49" s="422"/>
      <c r="BUH49" s="422"/>
      <c r="BUI49" s="422"/>
      <c r="BUJ49" s="422"/>
      <c r="BUK49" s="422"/>
      <c r="BUL49" s="422"/>
      <c r="BUM49" s="422"/>
      <c r="BUN49" s="422"/>
      <c r="BUO49" s="422"/>
      <c r="BUP49" s="422"/>
      <c r="BUQ49" s="422"/>
      <c r="BUR49" s="422"/>
      <c r="BUS49" s="422"/>
      <c r="BUT49" s="422"/>
      <c r="BUU49" s="422"/>
      <c r="BUV49" s="422"/>
      <c r="BUW49" s="422"/>
      <c r="BUX49" s="422"/>
      <c r="BUY49" s="422"/>
      <c r="BUZ49" s="422"/>
      <c r="BVA49" s="422"/>
      <c r="BVB49" s="422"/>
      <c r="BVC49" s="422"/>
      <c r="BVD49" s="422"/>
      <c r="BVE49" s="422"/>
      <c r="BVF49" s="422"/>
      <c r="BVG49" s="422"/>
      <c r="BVH49" s="422"/>
      <c r="BVI49" s="422"/>
      <c r="BVJ49" s="422"/>
      <c r="BVK49" s="422"/>
      <c r="BVL49" s="422"/>
      <c r="BVM49" s="422"/>
      <c r="BVN49" s="422"/>
      <c r="BVO49" s="422"/>
      <c r="BVP49" s="422"/>
      <c r="BVQ49" s="422"/>
      <c r="BVR49" s="422"/>
      <c r="BVS49" s="422"/>
      <c r="BVT49" s="422"/>
      <c r="BVU49" s="422"/>
      <c r="BVV49" s="422"/>
      <c r="BVW49" s="422"/>
      <c r="BVX49" s="422"/>
      <c r="BVY49" s="422"/>
      <c r="BVZ49" s="422"/>
      <c r="BWA49" s="422"/>
      <c r="BWB49" s="422"/>
      <c r="BWC49" s="422"/>
      <c r="BWD49" s="422"/>
      <c r="BWE49" s="422"/>
      <c r="BWF49" s="422"/>
      <c r="BWG49" s="422"/>
      <c r="BWH49" s="422"/>
      <c r="BWI49" s="422"/>
      <c r="BWJ49" s="422"/>
      <c r="BWK49" s="422"/>
      <c r="BWL49" s="422"/>
      <c r="BWM49" s="422"/>
      <c r="BWN49" s="422"/>
      <c r="BWO49" s="422"/>
      <c r="BWP49" s="422"/>
      <c r="BWQ49" s="422"/>
      <c r="BWR49" s="422"/>
      <c r="BWS49" s="422"/>
      <c r="BWT49" s="422"/>
      <c r="BWU49" s="422"/>
      <c r="BWV49" s="422"/>
      <c r="BWW49" s="422"/>
      <c r="BWX49" s="422"/>
      <c r="BWY49" s="422"/>
      <c r="BWZ49" s="422"/>
      <c r="BXA49" s="422"/>
      <c r="BXB49" s="422"/>
      <c r="BXC49" s="422"/>
      <c r="BXD49" s="422"/>
      <c r="BXE49" s="422"/>
      <c r="BXF49" s="422"/>
      <c r="BXG49" s="422"/>
      <c r="BXH49" s="422"/>
      <c r="BXI49" s="422"/>
      <c r="BXJ49" s="422"/>
      <c r="BXK49" s="422"/>
      <c r="BXL49" s="422"/>
      <c r="BXM49" s="422"/>
      <c r="BXN49" s="422"/>
      <c r="BXO49" s="422"/>
      <c r="BXP49" s="422"/>
      <c r="BXQ49" s="422"/>
      <c r="BXR49" s="422"/>
      <c r="BXS49" s="422"/>
      <c r="BXT49" s="422"/>
      <c r="BXU49" s="422"/>
      <c r="BXV49" s="422"/>
      <c r="BXW49" s="422"/>
      <c r="BXX49" s="422"/>
      <c r="BXY49" s="422"/>
      <c r="BXZ49" s="422"/>
      <c r="BYA49" s="422"/>
      <c r="BYB49" s="422"/>
      <c r="BYC49" s="422"/>
      <c r="BYD49" s="422"/>
      <c r="BYE49" s="422"/>
      <c r="BYF49" s="422"/>
      <c r="BYG49" s="422"/>
      <c r="BYH49" s="422"/>
      <c r="BYI49" s="422"/>
      <c r="BYJ49" s="422"/>
      <c r="BYK49" s="422"/>
      <c r="BYL49" s="422"/>
      <c r="BYM49" s="422"/>
      <c r="BYN49" s="422"/>
      <c r="BYO49" s="422"/>
      <c r="BYP49" s="422"/>
      <c r="BYQ49" s="422"/>
      <c r="BYR49" s="422"/>
      <c r="BYS49" s="422"/>
      <c r="BYT49" s="422"/>
      <c r="BYU49" s="422"/>
      <c r="BYV49" s="422"/>
      <c r="BYW49" s="422"/>
      <c r="BYX49" s="422"/>
      <c r="BYY49" s="422"/>
      <c r="BYZ49" s="422"/>
      <c r="BZA49" s="422"/>
      <c r="BZB49" s="422"/>
      <c r="BZC49" s="422"/>
      <c r="BZD49" s="422"/>
      <c r="BZE49" s="422"/>
      <c r="BZF49" s="422"/>
      <c r="BZG49" s="422"/>
      <c r="BZH49" s="422"/>
      <c r="BZI49" s="422"/>
      <c r="BZJ49" s="422"/>
      <c r="BZK49" s="422"/>
      <c r="BZL49" s="422"/>
      <c r="BZM49" s="422"/>
      <c r="BZN49" s="422"/>
      <c r="BZO49" s="422"/>
      <c r="BZP49" s="422"/>
      <c r="BZQ49" s="422"/>
      <c r="BZR49" s="422"/>
      <c r="BZS49" s="422"/>
      <c r="BZT49" s="422"/>
      <c r="BZU49" s="422"/>
      <c r="BZV49" s="422"/>
      <c r="BZW49" s="422"/>
      <c r="BZX49" s="422"/>
      <c r="BZY49" s="422"/>
      <c r="BZZ49" s="422"/>
      <c r="CAA49" s="422"/>
      <c r="CAB49" s="422"/>
      <c r="CAC49" s="422"/>
      <c r="CAD49" s="422"/>
      <c r="CAE49" s="422"/>
      <c r="CAF49" s="422"/>
      <c r="CAG49" s="422"/>
      <c r="CAH49" s="422"/>
      <c r="CAI49" s="422"/>
      <c r="CAJ49" s="422"/>
      <c r="CAK49" s="422"/>
      <c r="CAL49" s="422"/>
      <c r="CAM49" s="422"/>
      <c r="CAN49" s="422"/>
      <c r="CAO49" s="422"/>
      <c r="CAP49" s="422"/>
      <c r="CAQ49" s="422"/>
      <c r="CAR49" s="422"/>
      <c r="CAS49" s="422"/>
      <c r="CAT49" s="422"/>
      <c r="CAU49" s="422"/>
      <c r="CAV49" s="422"/>
      <c r="CAW49" s="422"/>
      <c r="CAX49" s="422"/>
      <c r="CAY49" s="422"/>
      <c r="CAZ49" s="422"/>
      <c r="CBA49" s="422"/>
      <c r="CBB49" s="422"/>
      <c r="CBC49" s="422"/>
      <c r="CBD49" s="422"/>
      <c r="CBE49" s="422"/>
      <c r="CBF49" s="422"/>
      <c r="CBG49" s="422"/>
      <c r="CBH49" s="422"/>
      <c r="CBI49" s="422"/>
      <c r="CBJ49" s="422"/>
      <c r="CBK49" s="422"/>
      <c r="CBL49" s="422"/>
      <c r="CBM49" s="422"/>
      <c r="CBN49" s="422"/>
      <c r="CBO49" s="422"/>
      <c r="CBP49" s="422"/>
      <c r="CBQ49" s="422"/>
      <c r="CBR49" s="422"/>
      <c r="CBS49" s="422"/>
      <c r="CBT49" s="422"/>
      <c r="CBU49" s="422"/>
      <c r="CBV49" s="422"/>
      <c r="CBW49" s="422"/>
      <c r="CBX49" s="422"/>
      <c r="CBY49" s="422"/>
      <c r="CBZ49" s="422"/>
      <c r="CCA49" s="422"/>
      <c r="CCB49" s="422"/>
      <c r="CCC49" s="422"/>
      <c r="CCD49" s="422"/>
      <c r="CCE49" s="422"/>
      <c r="CCF49" s="422"/>
      <c r="CCG49" s="422"/>
      <c r="CCH49" s="422"/>
      <c r="CCI49" s="422"/>
      <c r="CCJ49" s="422"/>
      <c r="CCK49" s="422"/>
      <c r="CCL49" s="422"/>
      <c r="CCM49" s="422"/>
      <c r="CCN49" s="422"/>
      <c r="CCO49" s="422"/>
      <c r="CCP49" s="422"/>
      <c r="CCQ49" s="422"/>
      <c r="CCR49" s="422"/>
      <c r="CCS49" s="422"/>
      <c r="CCT49" s="422"/>
      <c r="CCU49" s="422"/>
      <c r="CCV49" s="422"/>
      <c r="CCW49" s="422"/>
      <c r="CCX49" s="422"/>
      <c r="CCY49" s="422"/>
      <c r="CCZ49" s="422"/>
      <c r="CDA49" s="422"/>
      <c r="CDB49" s="422"/>
      <c r="CDC49" s="422"/>
      <c r="CDD49" s="422"/>
      <c r="CDE49" s="422"/>
      <c r="CDF49" s="422"/>
      <c r="CDG49" s="422"/>
      <c r="CDH49" s="422"/>
      <c r="CDI49" s="422"/>
      <c r="CDJ49" s="422"/>
      <c r="CDK49" s="422"/>
      <c r="CDL49" s="422"/>
      <c r="CDM49" s="422"/>
      <c r="CDN49" s="422"/>
      <c r="CDO49" s="422"/>
      <c r="CDP49" s="422"/>
      <c r="CDQ49" s="422"/>
      <c r="CDR49" s="422"/>
      <c r="CDS49" s="422"/>
      <c r="CDT49" s="422"/>
      <c r="CDU49" s="422"/>
      <c r="CDV49" s="422"/>
      <c r="CDW49" s="422"/>
      <c r="CDX49" s="422"/>
      <c r="CDY49" s="422"/>
      <c r="CDZ49" s="422"/>
      <c r="CEA49" s="422"/>
      <c r="CEB49" s="422"/>
      <c r="CEC49" s="422"/>
      <c r="CED49" s="422"/>
      <c r="CEE49" s="422"/>
      <c r="CEF49" s="422"/>
      <c r="CEG49" s="422"/>
      <c r="CEH49" s="422"/>
      <c r="CEI49" s="422"/>
      <c r="CEJ49" s="422"/>
      <c r="CEK49" s="422"/>
      <c r="CEL49" s="422"/>
      <c r="CEM49" s="422"/>
      <c r="CEN49" s="422"/>
      <c r="CEO49" s="422"/>
      <c r="CEP49" s="422"/>
      <c r="CEQ49" s="422"/>
      <c r="CER49" s="422"/>
      <c r="CES49" s="422"/>
      <c r="CET49" s="422"/>
      <c r="CEU49" s="422"/>
      <c r="CEV49" s="422"/>
      <c r="CEW49" s="422"/>
      <c r="CEX49" s="422"/>
      <c r="CEY49" s="422"/>
      <c r="CEZ49" s="422"/>
      <c r="CFA49" s="422"/>
      <c r="CFB49" s="422"/>
      <c r="CFC49" s="422"/>
      <c r="CFD49" s="422"/>
      <c r="CFE49" s="422"/>
      <c r="CFF49" s="422"/>
      <c r="CFG49" s="422"/>
      <c r="CFH49" s="422"/>
      <c r="CFI49" s="422"/>
      <c r="CFJ49" s="422"/>
      <c r="CFK49" s="422"/>
      <c r="CFL49" s="422"/>
      <c r="CFM49" s="422"/>
      <c r="CFN49" s="422"/>
      <c r="CFO49" s="422"/>
      <c r="CFP49" s="422"/>
      <c r="CFQ49" s="422"/>
      <c r="CFR49" s="422"/>
      <c r="CFS49" s="422"/>
      <c r="CFT49" s="422"/>
      <c r="CFU49" s="422"/>
      <c r="CFV49" s="422"/>
      <c r="CFW49" s="422"/>
      <c r="CFX49" s="422"/>
      <c r="CFY49" s="422"/>
      <c r="CFZ49" s="422"/>
      <c r="CGA49" s="422"/>
      <c r="CGB49" s="422"/>
      <c r="CGC49" s="422"/>
      <c r="CGD49" s="422"/>
      <c r="CGE49" s="422"/>
      <c r="CGF49" s="422"/>
      <c r="CGG49" s="422"/>
      <c r="CGH49" s="422"/>
      <c r="CGI49" s="422"/>
      <c r="CGJ49" s="422"/>
      <c r="CGK49" s="422"/>
      <c r="CGL49" s="422"/>
      <c r="CGM49" s="422"/>
      <c r="CGN49" s="422"/>
      <c r="CGO49" s="422"/>
      <c r="CGP49" s="422"/>
      <c r="CGQ49" s="422"/>
      <c r="CGR49" s="422"/>
      <c r="CGS49" s="422"/>
      <c r="CGT49" s="422"/>
      <c r="CGU49" s="422"/>
      <c r="CGV49" s="422"/>
      <c r="CGW49" s="422"/>
      <c r="CGX49" s="422"/>
      <c r="CGY49" s="422"/>
      <c r="CGZ49" s="422"/>
      <c r="CHA49" s="422"/>
      <c r="CHB49" s="422"/>
      <c r="CHC49" s="422"/>
      <c r="CHD49" s="422"/>
      <c r="CHE49" s="422"/>
      <c r="CHF49" s="422"/>
      <c r="CHG49" s="422"/>
      <c r="CHH49" s="422"/>
      <c r="CHI49" s="422"/>
      <c r="CHJ49" s="422"/>
      <c r="CHK49" s="422"/>
      <c r="CHL49" s="422"/>
      <c r="CHM49" s="422"/>
      <c r="CHN49" s="422"/>
      <c r="CHO49" s="422"/>
      <c r="CHP49" s="422"/>
      <c r="CHQ49" s="422"/>
      <c r="CHR49" s="422"/>
      <c r="CHS49" s="422"/>
      <c r="CHT49" s="422"/>
      <c r="CHU49" s="422"/>
      <c r="CHV49" s="422"/>
      <c r="CHW49" s="422"/>
      <c r="CHX49" s="422"/>
      <c r="CHY49" s="422"/>
      <c r="CHZ49" s="422"/>
      <c r="CIA49" s="422"/>
      <c r="CIB49" s="422"/>
      <c r="CIC49" s="422"/>
      <c r="CID49" s="422"/>
      <c r="CIE49" s="422"/>
      <c r="CIF49" s="422"/>
      <c r="CIG49" s="422"/>
      <c r="CIH49" s="422"/>
      <c r="CII49" s="422"/>
      <c r="CIJ49" s="422"/>
      <c r="CIK49" s="422"/>
      <c r="CIL49" s="422"/>
      <c r="CIM49" s="422"/>
      <c r="CIN49" s="422"/>
      <c r="CIO49" s="422"/>
      <c r="CIP49" s="422"/>
      <c r="CIQ49" s="422"/>
      <c r="CIR49" s="422"/>
      <c r="CIS49" s="422"/>
      <c r="CIT49" s="422"/>
      <c r="CIU49" s="422"/>
      <c r="CIV49" s="422"/>
      <c r="CIW49" s="422"/>
      <c r="CIX49" s="422"/>
      <c r="CIY49" s="422"/>
      <c r="CIZ49" s="422"/>
      <c r="CJA49" s="422"/>
      <c r="CJB49" s="422"/>
      <c r="CJC49" s="422"/>
      <c r="CJD49" s="422"/>
      <c r="CJE49" s="422"/>
      <c r="CJF49" s="422"/>
      <c r="CJG49" s="422"/>
      <c r="CJH49" s="422"/>
      <c r="CJI49" s="422"/>
      <c r="CJJ49" s="422"/>
      <c r="CJK49" s="422"/>
      <c r="CJL49" s="422"/>
      <c r="CJM49" s="422"/>
      <c r="CJN49" s="422"/>
      <c r="CJO49" s="422"/>
      <c r="CJP49" s="422"/>
      <c r="CJQ49" s="422"/>
      <c r="CJR49" s="422"/>
      <c r="CJS49" s="422"/>
      <c r="CJT49" s="422"/>
      <c r="CJU49" s="422"/>
      <c r="CJV49" s="422"/>
      <c r="CJW49" s="422"/>
      <c r="CJX49" s="422"/>
      <c r="CJY49" s="422"/>
      <c r="CJZ49" s="422"/>
      <c r="CKA49" s="422"/>
      <c r="CKB49" s="422"/>
      <c r="CKC49" s="422"/>
      <c r="CKD49" s="422"/>
      <c r="CKE49" s="422"/>
      <c r="CKF49" s="422"/>
      <c r="CKG49" s="422"/>
      <c r="CKH49" s="422"/>
      <c r="CKI49" s="422"/>
      <c r="CKJ49" s="422"/>
      <c r="CKK49" s="422"/>
      <c r="CKL49" s="422"/>
      <c r="CKM49" s="422"/>
      <c r="CKN49" s="422"/>
      <c r="CKO49" s="422"/>
      <c r="CKP49" s="422"/>
      <c r="CKQ49" s="422"/>
      <c r="CKR49" s="422"/>
      <c r="CKS49" s="422"/>
      <c r="CKT49" s="422"/>
      <c r="CKU49" s="422"/>
      <c r="CKV49" s="422"/>
      <c r="CKW49" s="422"/>
      <c r="CKX49" s="422"/>
      <c r="CKY49" s="422"/>
      <c r="CKZ49" s="422"/>
      <c r="CLA49" s="422"/>
      <c r="CLB49" s="422"/>
      <c r="CLC49" s="422"/>
      <c r="CLD49" s="422"/>
      <c r="CLE49" s="422"/>
      <c r="CLF49" s="422"/>
      <c r="CLG49" s="422"/>
      <c r="CLH49" s="422"/>
      <c r="CLI49" s="422"/>
      <c r="CLJ49" s="422"/>
      <c r="CLK49" s="422"/>
      <c r="CLL49" s="422"/>
      <c r="CLM49" s="422"/>
      <c r="CLN49" s="422"/>
      <c r="CLO49" s="422"/>
      <c r="CLP49" s="422"/>
      <c r="CLQ49" s="422"/>
      <c r="CLR49" s="422"/>
      <c r="CLS49" s="422"/>
      <c r="CLT49" s="422"/>
      <c r="CLU49" s="422"/>
      <c r="CLV49" s="422"/>
      <c r="CLW49" s="422"/>
      <c r="CLX49" s="422"/>
      <c r="CLY49" s="422"/>
      <c r="CLZ49" s="422"/>
      <c r="CMA49" s="422"/>
      <c r="CMB49" s="422"/>
      <c r="CMC49" s="422"/>
      <c r="CMD49" s="422"/>
      <c r="CME49" s="422"/>
      <c r="CMF49" s="422"/>
      <c r="CMG49" s="422"/>
      <c r="CMH49" s="422"/>
      <c r="CMI49" s="422"/>
      <c r="CMJ49" s="422"/>
      <c r="CMK49" s="422"/>
      <c r="CML49" s="422"/>
      <c r="CMM49" s="422"/>
      <c r="CMN49" s="422"/>
      <c r="CMO49" s="422"/>
      <c r="CMP49" s="422"/>
      <c r="CMQ49" s="422"/>
      <c r="CMR49" s="422"/>
      <c r="CMS49" s="422"/>
      <c r="CMT49" s="422"/>
      <c r="CMU49" s="422"/>
      <c r="CMV49" s="422"/>
      <c r="CMW49" s="422"/>
      <c r="CMX49" s="422"/>
      <c r="CMY49" s="422"/>
      <c r="CMZ49" s="422"/>
      <c r="CNA49" s="422"/>
      <c r="CNB49" s="422"/>
      <c r="CNC49" s="422"/>
      <c r="CND49" s="422"/>
      <c r="CNE49" s="422"/>
      <c r="CNF49" s="422"/>
      <c r="CNG49" s="422"/>
      <c r="CNH49" s="422"/>
      <c r="CNI49" s="422"/>
      <c r="CNJ49" s="422"/>
      <c r="CNK49" s="422"/>
      <c r="CNL49" s="422"/>
      <c r="CNM49" s="422"/>
      <c r="CNN49" s="422"/>
      <c r="CNO49" s="422"/>
      <c r="CNP49" s="422"/>
      <c r="CNQ49" s="422"/>
      <c r="CNR49" s="422"/>
      <c r="CNS49" s="422"/>
      <c r="CNT49" s="422"/>
      <c r="CNU49" s="422"/>
      <c r="CNV49" s="422"/>
      <c r="CNW49" s="422"/>
      <c r="CNX49" s="422"/>
      <c r="CNY49" s="422"/>
      <c r="CNZ49" s="422"/>
      <c r="COA49" s="422"/>
      <c r="COB49" s="422"/>
      <c r="COC49" s="422"/>
      <c r="COD49" s="422"/>
      <c r="COE49" s="422"/>
      <c r="COF49" s="422"/>
      <c r="COG49" s="422"/>
      <c r="COH49" s="422"/>
      <c r="COI49" s="422"/>
      <c r="COJ49" s="422"/>
      <c r="COK49" s="422"/>
      <c r="COL49" s="422"/>
      <c r="COM49" s="422"/>
      <c r="CON49" s="422"/>
      <c r="COO49" s="422"/>
      <c r="COP49" s="422"/>
      <c r="COQ49" s="422"/>
      <c r="COR49" s="422"/>
      <c r="COS49" s="422"/>
      <c r="COT49" s="422"/>
      <c r="COU49" s="422"/>
      <c r="COV49" s="422"/>
      <c r="COW49" s="422"/>
      <c r="COX49" s="422"/>
      <c r="COY49" s="422"/>
      <c r="COZ49" s="422"/>
      <c r="CPA49" s="422"/>
      <c r="CPB49" s="422"/>
      <c r="CPC49" s="422"/>
      <c r="CPD49" s="422"/>
      <c r="CPE49" s="422"/>
      <c r="CPF49" s="422"/>
      <c r="CPG49" s="422"/>
      <c r="CPH49" s="422"/>
      <c r="CPI49" s="422"/>
      <c r="CPJ49" s="422"/>
      <c r="CPK49" s="422"/>
      <c r="CPL49" s="422"/>
      <c r="CPM49" s="422"/>
      <c r="CPN49" s="422"/>
      <c r="CPO49" s="422"/>
      <c r="CPP49" s="422"/>
      <c r="CPQ49" s="422"/>
      <c r="CPR49" s="422"/>
      <c r="CPS49" s="422"/>
      <c r="CPT49" s="422"/>
      <c r="CPU49" s="422"/>
      <c r="CPV49" s="422"/>
      <c r="CPW49" s="422"/>
      <c r="CPX49" s="422"/>
      <c r="CPY49" s="422"/>
      <c r="CPZ49" s="422"/>
      <c r="CQA49" s="422"/>
      <c r="CQB49" s="422"/>
      <c r="CQC49" s="422"/>
      <c r="CQD49" s="422"/>
      <c r="CQE49" s="422"/>
      <c r="CQF49" s="422"/>
      <c r="CQG49" s="422"/>
      <c r="CQH49" s="422"/>
      <c r="CQI49" s="422"/>
      <c r="CQJ49" s="422"/>
      <c r="CQK49" s="422"/>
      <c r="CQL49" s="422"/>
      <c r="CQM49" s="422"/>
      <c r="CQN49" s="422"/>
      <c r="CQO49" s="422"/>
      <c r="CQP49" s="422"/>
      <c r="CQQ49" s="422"/>
      <c r="CQR49" s="422"/>
      <c r="CQS49" s="422"/>
      <c r="CQT49" s="422"/>
      <c r="CQU49" s="422"/>
      <c r="CQV49" s="422"/>
      <c r="CQW49" s="422"/>
      <c r="CQX49" s="422"/>
      <c r="CQY49" s="422"/>
      <c r="CQZ49" s="422"/>
      <c r="CRA49" s="422"/>
      <c r="CRB49" s="422"/>
      <c r="CRC49" s="422"/>
      <c r="CRD49" s="422"/>
      <c r="CRE49" s="422"/>
      <c r="CRF49" s="422"/>
      <c r="CRG49" s="422"/>
      <c r="CRH49" s="422"/>
      <c r="CRI49" s="422"/>
      <c r="CRJ49" s="422"/>
      <c r="CRK49" s="422"/>
      <c r="CRL49" s="422"/>
      <c r="CRM49" s="422"/>
      <c r="CRN49" s="422"/>
      <c r="CRO49" s="422"/>
      <c r="CRP49" s="422"/>
      <c r="CRQ49" s="422"/>
      <c r="CRR49" s="422"/>
      <c r="CRS49" s="422"/>
      <c r="CRT49" s="422"/>
      <c r="CRU49" s="422"/>
      <c r="CRV49" s="422"/>
      <c r="CRW49" s="422"/>
      <c r="CRX49" s="422"/>
      <c r="CRY49" s="422"/>
      <c r="CRZ49" s="422"/>
      <c r="CSA49" s="422"/>
      <c r="CSB49" s="422"/>
      <c r="CSC49" s="422"/>
      <c r="CSD49" s="422"/>
      <c r="CSE49" s="422"/>
      <c r="CSF49" s="422"/>
      <c r="CSG49" s="422"/>
      <c r="CSH49" s="422"/>
      <c r="CSI49" s="422"/>
      <c r="CSJ49" s="422"/>
      <c r="CSK49" s="422"/>
      <c r="CSL49" s="422"/>
      <c r="CSM49" s="422"/>
      <c r="CSN49" s="422"/>
      <c r="CSO49" s="422"/>
      <c r="CSP49" s="422"/>
      <c r="CSQ49" s="422"/>
      <c r="CSR49" s="422"/>
      <c r="CSS49" s="422"/>
      <c r="CST49" s="422"/>
      <c r="CSU49" s="422"/>
      <c r="CSV49" s="422"/>
      <c r="CSW49" s="422"/>
      <c r="CSX49" s="422"/>
      <c r="CSY49" s="422"/>
      <c r="CSZ49" s="422"/>
      <c r="CTA49" s="422"/>
      <c r="CTB49" s="422"/>
      <c r="CTC49" s="422"/>
      <c r="CTD49" s="422"/>
      <c r="CTE49" s="422"/>
      <c r="CTF49" s="422"/>
      <c r="CTG49" s="422"/>
      <c r="CTH49" s="422"/>
      <c r="CTI49" s="422"/>
      <c r="CTJ49" s="422"/>
      <c r="CTK49" s="422"/>
      <c r="CTL49" s="422"/>
      <c r="CTM49" s="422"/>
      <c r="CTN49" s="422"/>
      <c r="CTO49" s="422"/>
      <c r="CTP49" s="422"/>
      <c r="CTQ49" s="422"/>
      <c r="CTR49" s="422"/>
      <c r="CTS49" s="422"/>
      <c r="CTT49" s="422"/>
      <c r="CTU49" s="422"/>
      <c r="CTV49" s="422"/>
      <c r="CTW49" s="422"/>
      <c r="CTX49" s="422"/>
      <c r="CTY49" s="422"/>
      <c r="CTZ49" s="422"/>
      <c r="CUA49" s="422"/>
      <c r="CUB49" s="422"/>
      <c r="CUC49" s="422"/>
      <c r="CUD49" s="422"/>
      <c r="CUE49" s="422"/>
      <c r="CUF49" s="422"/>
      <c r="CUG49" s="422"/>
      <c r="CUH49" s="422"/>
      <c r="CUI49" s="422"/>
      <c r="CUJ49" s="422"/>
      <c r="CUK49" s="422"/>
      <c r="CUL49" s="422"/>
      <c r="CUM49" s="422"/>
      <c r="CUN49" s="422"/>
      <c r="CUO49" s="422"/>
      <c r="CUP49" s="422"/>
      <c r="CUQ49" s="422"/>
      <c r="CUR49" s="422"/>
      <c r="CUS49" s="422"/>
      <c r="CUT49" s="422"/>
      <c r="CUU49" s="422"/>
      <c r="CUV49" s="422"/>
      <c r="CUW49" s="422"/>
      <c r="CUX49" s="422"/>
      <c r="CUY49" s="422"/>
      <c r="CUZ49" s="422"/>
      <c r="CVA49" s="422"/>
      <c r="CVB49" s="422"/>
      <c r="CVC49" s="422"/>
      <c r="CVD49" s="422"/>
      <c r="CVE49" s="422"/>
      <c r="CVF49" s="422"/>
      <c r="CVG49" s="422"/>
      <c r="CVH49" s="422"/>
      <c r="CVI49" s="422"/>
      <c r="CVJ49" s="422"/>
      <c r="CVK49" s="422"/>
      <c r="CVL49" s="422"/>
      <c r="CVM49" s="422"/>
      <c r="CVN49" s="422"/>
      <c r="CVO49" s="422"/>
      <c r="CVP49" s="422"/>
      <c r="CVQ49" s="422"/>
      <c r="CVR49" s="422"/>
      <c r="CVS49" s="422"/>
      <c r="CVT49" s="422"/>
      <c r="CVU49" s="422"/>
      <c r="CVV49" s="422"/>
      <c r="CVW49" s="422"/>
      <c r="CVX49" s="422"/>
      <c r="CVY49" s="422"/>
      <c r="CVZ49" s="422"/>
      <c r="CWA49" s="422"/>
      <c r="CWB49" s="422"/>
      <c r="CWC49" s="422"/>
      <c r="CWD49" s="422"/>
      <c r="CWE49" s="422"/>
      <c r="CWF49" s="422"/>
      <c r="CWG49" s="422"/>
      <c r="CWH49" s="422"/>
      <c r="CWI49" s="422"/>
      <c r="CWJ49" s="422"/>
      <c r="CWK49" s="422"/>
      <c r="CWL49" s="422"/>
      <c r="CWM49" s="422"/>
      <c r="CWN49" s="422"/>
      <c r="CWO49" s="422"/>
      <c r="CWP49" s="422"/>
      <c r="CWQ49" s="422"/>
      <c r="CWR49" s="422"/>
      <c r="CWS49" s="422"/>
      <c r="CWT49" s="422"/>
      <c r="CWU49" s="422"/>
      <c r="CWV49" s="422"/>
      <c r="CWW49" s="422"/>
      <c r="CWX49" s="422"/>
      <c r="CWY49" s="422"/>
      <c r="CWZ49" s="422"/>
      <c r="CXA49" s="422"/>
      <c r="CXB49" s="422"/>
      <c r="CXC49" s="422"/>
      <c r="CXD49" s="422"/>
      <c r="CXE49" s="422"/>
      <c r="CXF49" s="422"/>
      <c r="CXG49" s="422"/>
      <c r="CXH49" s="422"/>
      <c r="CXI49" s="422"/>
      <c r="CXJ49" s="422"/>
      <c r="CXK49" s="422"/>
      <c r="CXL49" s="422"/>
      <c r="CXM49" s="422"/>
      <c r="CXN49" s="422"/>
      <c r="CXO49" s="422"/>
      <c r="CXP49" s="422"/>
      <c r="CXQ49" s="422"/>
      <c r="CXR49" s="422"/>
      <c r="CXS49" s="422"/>
      <c r="CXT49" s="422"/>
      <c r="CXU49" s="422"/>
      <c r="CXV49" s="422"/>
      <c r="CXW49" s="422"/>
      <c r="CXX49" s="422"/>
      <c r="CXY49" s="422"/>
      <c r="CXZ49" s="422"/>
      <c r="CYA49" s="422"/>
      <c r="CYB49" s="422"/>
      <c r="CYC49" s="422"/>
      <c r="CYD49" s="422"/>
      <c r="CYE49" s="422"/>
      <c r="CYF49" s="422"/>
      <c r="CYG49" s="422"/>
      <c r="CYH49" s="422"/>
      <c r="CYI49" s="422"/>
      <c r="CYJ49" s="422"/>
      <c r="CYK49" s="422"/>
      <c r="CYL49" s="422"/>
      <c r="CYM49" s="422"/>
      <c r="CYN49" s="422"/>
      <c r="CYO49" s="422"/>
      <c r="CYP49" s="422"/>
      <c r="CYQ49" s="422"/>
      <c r="CYR49" s="422"/>
      <c r="CYS49" s="422"/>
      <c r="CYT49" s="422"/>
      <c r="CYU49" s="422"/>
      <c r="CYV49" s="422"/>
      <c r="CYW49" s="422"/>
      <c r="CYX49" s="422"/>
      <c r="CYY49" s="422"/>
      <c r="CYZ49" s="422"/>
      <c r="CZA49" s="422"/>
      <c r="CZB49" s="422"/>
      <c r="CZC49" s="422"/>
      <c r="CZD49" s="422"/>
      <c r="CZE49" s="422"/>
      <c r="CZF49" s="422"/>
      <c r="CZG49" s="422"/>
      <c r="CZH49" s="422"/>
      <c r="CZI49" s="422"/>
      <c r="CZJ49" s="422"/>
      <c r="CZK49" s="422"/>
      <c r="CZL49" s="422"/>
      <c r="CZM49" s="422"/>
      <c r="CZN49" s="422"/>
      <c r="CZO49" s="422"/>
      <c r="CZP49" s="422"/>
      <c r="CZQ49" s="422"/>
      <c r="CZR49" s="422"/>
      <c r="CZS49" s="422"/>
      <c r="CZT49" s="422"/>
      <c r="CZU49" s="422"/>
      <c r="CZV49" s="422"/>
      <c r="CZW49" s="422"/>
      <c r="CZX49" s="422"/>
      <c r="CZY49" s="422"/>
      <c r="CZZ49" s="422"/>
      <c r="DAA49" s="422"/>
      <c r="DAB49" s="422"/>
      <c r="DAC49" s="422"/>
      <c r="DAD49" s="422"/>
      <c r="DAE49" s="422"/>
      <c r="DAF49" s="422"/>
      <c r="DAG49" s="422"/>
      <c r="DAH49" s="422"/>
      <c r="DAI49" s="422"/>
    </row>
    <row r="50" spans="1:2739" ht="25.5" x14ac:dyDescent="0.25">
      <c r="A50" s="1826">
        <v>25</v>
      </c>
      <c r="B50" s="1350" t="s">
        <v>6219</v>
      </c>
      <c r="C50" s="1267" t="s">
        <v>6220</v>
      </c>
      <c r="D50" s="1267" t="s">
        <v>616</v>
      </c>
      <c r="E50" s="1267" t="s">
        <v>6167</v>
      </c>
      <c r="F50" s="510" t="s">
        <v>6221</v>
      </c>
      <c r="G50" s="1263">
        <v>11244</v>
      </c>
      <c r="H50" s="1315" t="s">
        <v>1759</v>
      </c>
      <c r="I50" s="510" t="s">
        <v>6207</v>
      </c>
      <c r="J50" s="510" t="s">
        <v>330</v>
      </c>
      <c r="K50" s="1313">
        <v>41719</v>
      </c>
      <c r="L50" s="929">
        <v>19.8</v>
      </c>
      <c r="M50" s="1263">
        <v>11287</v>
      </c>
      <c r="N50" s="1313">
        <v>41719</v>
      </c>
      <c r="O50" s="1313">
        <v>42083</v>
      </c>
      <c r="P50" s="1267" t="s">
        <v>4721</v>
      </c>
      <c r="Q50" s="1267" t="s">
        <v>1759</v>
      </c>
      <c r="R50" s="1267" t="s">
        <v>6172</v>
      </c>
      <c r="S50" s="1267"/>
      <c r="T50" s="1267" t="s">
        <v>6222</v>
      </c>
      <c r="U50" s="1267"/>
      <c r="V50" s="1267"/>
      <c r="W50" s="1267"/>
      <c r="X50" s="1267"/>
      <c r="Y50" s="1267"/>
      <c r="Z50" s="1267"/>
      <c r="AA50" s="1267"/>
      <c r="AB50" s="1267"/>
      <c r="AC50" s="1267"/>
      <c r="AD50" s="1267"/>
      <c r="AE50" s="937"/>
      <c r="AF50" s="321"/>
      <c r="AG50" s="929">
        <v>8584.66</v>
      </c>
      <c r="AH50" s="939">
        <f t="shared" si="0"/>
        <v>8584.66</v>
      </c>
      <c r="AI50" s="940"/>
      <c r="AJ50" s="941"/>
      <c r="AK50" s="524"/>
      <c r="AL50" s="942"/>
      <c r="AM50" s="946"/>
      <c r="AN50" s="944"/>
      <c r="AO50" s="944"/>
      <c r="AP50" s="944"/>
      <c r="AQ50" s="944"/>
      <c r="AR50" s="945"/>
      <c r="AS50" s="1350"/>
      <c r="AT50" s="1314"/>
      <c r="AU50" s="1314"/>
      <c r="AV50" s="1314"/>
      <c r="AW50" s="1314"/>
      <c r="AX50" s="1314"/>
      <c r="AY50" s="1314"/>
      <c r="AZ50" s="1314"/>
      <c r="BA50" s="1314"/>
      <c r="BB50" s="1314"/>
      <c r="BC50" s="1314"/>
      <c r="BD50" s="930"/>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c r="EB50" s="422"/>
      <c r="EC50" s="422"/>
      <c r="ED50" s="422"/>
      <c r="EE50" s="422"/>
      <c r="EF50" s="422"/>
      <c r="EG50" s="422"/>
      <c r="EH50" s="422"/>
      <c r="EI50" s="422"/>
      <c r="EJ50" s="422"/>
      <c r="EK50" s="422"/>
      <c r="EL50" s="422"/>
      <c r="EM50" s="422"/>
      <c r="EN50" s="422"/>
      <c r="EO50" s="422"/>
      <c r="EP50" s="422"/>
      <c r="EQ50" s="422"/>
      <c r="ER50" s="422"/>
      <c r="ES50" s="422"/>
      <c r="ET50" s="422"/>
      <c r="EU50" s="422"/>
      <c r="EV50" s="422"/>
      <c r="EW50" s="422"/>
      <c r="EX50" s="422"/>
      <c r="EY50" s="422"/>
      <c r="EZ50" s="422"/>
      <c r="FA50" s="422"/>
      <c r="FB50" s="422"/>
      <c r="FC50" s="422"/>
      <c r="FD50" s="422"/>
      <c r="FE50" s="422"/>
      <c r="FF50" s="422"/>
      <c r="FG50" s="422"/>
    </row>
    <row r="51" spans="1:2739" ht="38.25" x14ac:dyDescent="0.25">
      <c r="A51" s="1826">
        <v>26</v>
      </c>
      <c r="B51" s="1350" t="s">
        <v>6223</v>
      </c>
      <c r="C51" s="1267" t="s">
        <v>6224</v>
      </c>
      <c r="D51" s="1267" t="s">
        <v>616</v>
      </c>
      <c r="E51" s="1267" t="s">
        <v>6167</v>
      </c>
      <c r="F51" s="510" t="s">
        <v>6225</v>
      </c>
      <c r="G51" s="1263">
        <v>11232</v>
      </c>
      <c r="H51" s="1315" t="s">
        <v>1797</v>
      </c>
      <c r="I51" s="510" t="s">
        <v>6226</v>
      </c>
      <c r="J51" s="510" t="s">
        <v>455</v>
      </c>
      <c r="K51" s="1313">
        <v>41719</v>
      </c>
      <c r="L51" s="929">
        <v>155.5</v>
      </c>
      <c r="M51" s="1263">
        <v>11289</v>
      </c>
      <c r="N51" s="1313">
        <v>41719</v>
      </c>
      <c r="O51" s="1313">
        <v>42083</v>
      </c>
      <c r="P51" s="1267" t="s">
        <v>4721</v>
      </c>
      <c r="Q51" s="1267" t="s">
        <v>1797</v>
      </c>
      <c r="R51" s="1267" t="s">
        <v>6172</v>
      </c>
      <c r="S51" s="1267"/>
      <c r="T51" s="1267" t="s">
        <v>208</v>
      </c>
      <c r="U51" s="1267"/>
      <c r="V51" s="1267"/>
      <c r="W51" s="1267"/>
      <c r="X51" s="1267"/>
      <c r="Y51" s="1267"/>
      <c r="Z51" s="1267"/>
      <c r="AA51" s="1267"/>
      <c r="AB51" s="1267"/>
      <c r="AC51" s="1267"/>
      <c r="AD51" s="1267"/>
      <c r="AE51" s="937"/>
      <c r="AF51" s="321"/>
      <c r="AG51" s="929">
        <v>15348</v>
      </c>
      <c r="AH51" s="939">
        <f t="shared" si="0"/>
        <v>15348</v>
      </c>
      <c r="AI51" s="940"/>
      <c r="AJ51" s="941"/>
      <c r="AK51" s="524"/>
      <c r="AL51" s="942"/>
      <c r="AM51" s="946"/>
      <c r="AN51" s="944"/>
      <c r="AO51" s="944"/>
      <c r="AP51" s="944"/>
      <c r="AQ51" s="944"/>
      <c r="AR51" s="945"/>
      <c r="AS51" s="1350"/>
      <c r="AT51" s="1314"/>
      <c r="AU51" s="1314"/>
      <c r="AV51" s="1314"/>
      <c r="AW51" s="1314"/>
      <c r="AX51" s="1314"/>
      <c r="AY51" s="1314"/>
      <c r="AZ51" s="1314"/>
      <c r="BA51" s="1314"/>
      <c r="BB51" s="1314"/>
      <c r="BC51" s="1314"/>
      <c r="BD51" s="930"/>
    </row>
    <row r="52" spans="1:2739" ht="51" customHeight="1" x14ac:dyDescent="0.25">
      <c r="A52" s="1826">
        <v>27</v>
      </c>
      <c r="B52" s="1350" t="s">
        <v>6223</v>
      </c>
      <c r="C52" s="1267" t="s">
        <v>6224</v>
      </c>
      <c r="D52" s="1267" t="s">
        <v>616</v>
      </c>
      <c r="E52" s="1267" t="s">
        <v>6167</v>
      </c>
      <c r="F52" s="510" t="s">
        <v>6227</v>
      </c>
      <c r="G52" s="1263">
        <v>11232</v>
      </c>
      <c r="H52" s="1315" t="s">
        <v>1811</v>
      </c>
      <c r="I52" s="510" t="s">
        <v>2113</v>
      </c>
      <c r="J52" s="510" t="s">
        <v>6228</v>
      </c>
      <c r="K52" s="1313">
        <v>41719</v>
      </c>
      <c r="L52" s="929">
        <v>1936</v>
      </c>
      <c r="M52" s="1263">
        <v>11289</v>
      </c>
      <c r="N52" s="1313">
        <v>41719</v>
      </c>
      <c r="O52" s="1313">
        <v>42083</v>
      </c>
      <c r="P52" s="1267" t="s">
        <v>4721</v>
      </c>
      <c r="Q52" s="1267" t="s">
        <v>1811</v>
      </c>
      <c r="R52" s="1267" t="s">
        <v>6172</v>
      </c>
      <c r="S52" s="1267"/>
      <c r="T52" s="1267" t="s">
        <v>208</v>
      </c>
      <c r="U52" s="1267"/>
      <c r="V52" s="1267"/>
      <c r="W52" s="1267"/>
      <c r="X52" s="1267"/>
      <c r="Y52" s="1267"/>
      <c r="Z52" s="1267"/>
      <c r="AA52" s="1267"/>
      <c r="AB52" s="1267"/>
      <c r="AC52" s="1267"/>
      <c r="AD52" s="1267"/>
      <c r="AE52" s="937"/>
      <c r="AF52" s="321"/>
      <c r="AG52" s="929">
        <v>12346.16</v>
      </c>
      <c r="AH52" s="939">
        <f t="shared" si="0"/>
        <v>12346.16</v>
      </c>
      <c r="AI52" s="940"/>
      <c r="AJ52" s="941"/>
      <c r="AK52" s="524"/>
      <c r="AL52" s="942"/>
      <c r="AM52" s="946"/>
      <c r="AN52" s="944"/>
      <c r="AO52" s="944"/>
      <c r="AP52" s="944"/>
      <c r="AQ52" s="944"/>
      <c r="AR52" s="945"/>
      <c r="AS52" s="1350"/>
      <c r="AT52" s="1314"/>
      <c r="AU52" s="1314"/>
      <c r="AV52" s="1314"/>
      <c r="AW52" s="1314"/>
      <c r="AX52" s="1314"/>
      <c r="AY52" s="1314"/>
      <c r="AZ52" s="1314"/>
      <c r="BA52" s="1314"/>
      <c r="BB52" s="1314"/>
      <c r="BC52" s="1314"/>
      <c r="BD52" s="930"/>
    </row>
    <row r="53" spans="1:2739" ht="25.5" x14ac:dyDescent="0.25">
      <c r="A53" s="1826">
        <v>28</v>
      </c>
      <c r="B53" s="1350" t="s">
        <v>6229</v>
      </c>
      <c r="C53" s="1267" t="s">
        <v>6230</v>
      </c>
      <c r="D53" s="1267" t="s">
        <v>616</v>
      </c>
      <c r="E53" s="1267" t="s">
        <v>6167</v>
      </c>
      <c r="F53" s="510" t="s">
        <v>6231</v>
      </c>
      <c r="G53" s="1263">
        <v>11289</v>
      </c>
      <c r="H53" s="1315" t="s">
        <v>1839</v>
      </c>
      <c r="I53" s="510" t="s">
        <v>1867</v>
      </c>
      <c r="J53" s="510" t="s">
        <v>1868</v>
      </c>
      <c r="K53" s="1313">
        <v>41719</v>
      </c>
      <c r="L53" s="929">
        <v>1960</v>
      </c>
      <c r="M53" s="1263">
        <v>11289</v>
      </c>
      <c r="N53" s="1313">
        <v>41719</v>
      </c>
      <c r="O53" s="1313">
        <v>42083</v>
      </c>
      <c r="P53" s="1267" t="s">
        <v>4721</v>
      </c>
      <c r="Q53" s="1267" t="s">
        <v>5307</v>
      </c>
      <c r="R53" s="1267" t="s">
        <v>6172</v>
      </c>
      <c r="S53" s="1267"/>
      <c r="T53" s="1267" t="s">
        <v>208</v>
      </c>
      <c r="U53" s="1267"/>
      <c r="V53" s="1267"/>
      <c r="W53" s="1267"/>
      <c r="X53" s="1267"/>
      <c r="Y53" s="1267"/>
      <c r="Z53" s="1267"/>
      <c r="AA53" s="1267"/>
      <c r="AB53" s="1267"/>
      <c r="AC53" s="1267"/>
      <c r="AD53" s="1267"/>
      <c r="AE53" s="937"/>
      <c r="AF53" s="321"/>
      <c r="AG53" s="929">
        <v>20585.25</v>
      </c>
      <c r="AH53" s="939">
        <f t="shared" si="0"/>
        <v>20585.25</v>
      </c>
      <c r="AI53" s="940"/>
      <c r="AJ53" s="941"/>
      <c r="AK53" s="524"/>
      <c r="AL53" s="942"/>
      <c r="AM53" s="946"/>
      <c r="AN53" s="944"/>
      <c r="AO53" s="944"/>
      <c r="AP53" s="944"/>
      <c r="AQ53" s="944"/>
      <c r="AR53" s="945"/>
      <c r="AS53" s="1350"/>
      <c r="AT53" s="1314"/>
      <c r="AU53" s="1314"/>
      <c r="AV53" s="1314"/>
      <c r="AW53" s="1314"/>
      <c r="AX53" s="1314"/>
      <c r="AY53" s="1314"/>
      <c r="AZ53" s="1314"/>
      <c r="BA53" s="1314"/>
      <c r="BB53" s="1314"/>
      <c r="BC53" s="1314"/>
      <c r="BD53" s="930"/>
    </row>
    <row r="54" spans="1:2739" ht="25.5" x14ac:dyDescent="0.25">
      <c r="A54" s="1826">
        <v>29</v>
      </c>
      <c r="B54" s="1350" t="s">
        <v>6232</v>
      </c>
      <c r="C54" s="1267" t="s">
        <v>6233</v>
      </c>
      <c r="D54" s="1267" t="s">
        <v>616</v>
      </c>
      <c r="E54" s="1267" t="s">
        <v>6167</v>
      </c>
      <c r="F54" s="510" t="s">
        <v>6234</v>
      </c>
      <c r="G54" s="1263">
        <v>11244</v>
      </c>
      <c r="H54" s="1315" t="s">
        <v>1856</v>
      </c>
      <c r="I54" s="510" t="s">
        <v>2104</v>
      </c>
      <c r="J54" s="510" t="s">
        <v>452</v>
      </c>
      <c r="K54" s="1313">
        <v>41719</v>
      </c>
      <c r="L54" s="929">
        <v>20490.93</v>
      </c>
      <c r="M54" s="1263">
        <v>11289</v>
      </c>
      <c r="N54" s="1313">
        <v>41719</v>
      </c>
      <c r="O54" s="1313">
        <v>42083</v>
      </c>
      <c r="P54" s="1267" t="s">
        <v>4721</v>
      </c>
      <c r="Q54" s="1267" t="s">
        <v>1856</v>
      </c>
      <c r="R54" s="1267" t="s">
        <v>6172</v>
      </c>
      <c r="S54" s="1267"/>
      <c r="T54" s="1267" t="s">
        <v>208</v>
      </c>
      <c r="U54" s="1267"/>
      <c r="V54" s="1267"/>
      <c r="W54" s="1267"/>
      <c r="X54" s="1267"/>
      <c r="Y54" s="1267"/>
      <c r="Z54" s="1267"/>
      <c r="AA54" s="1267"/>
      <c r="AB54" s="1267"/>
      <c r="AC54" s="1267"/>
      <c r="AD54" s="1267"/>
      <c r="AE54" s="937"/>
      <c r="AF54" s="321"/>
      <c r="AG54" s="929">
        <v>2488.1999999999998</v>
      </c>
      <c r="AH54" s="939">
        <f t="shared" si="0"/>
        <v>2488.1999999999998</v>
      </c>
      <c r="AI54" s="940"/>
      <c r="AJ54" s="941"/>
      <c r="AK54" s="524"/>
      <c r="AL54" s="942"/>
      <c r="AM54" s="946"/>
      <c r="AN54" s="944"/>
      <c r="AO54" s="944"/>
      <c r="AP54" s="944"/>
      <c r="AQ54" s="944"/>
      <c r="AR54" s="945"/>
      <c r="AS54" s="1350"/>
      <c r="AT54" s="1314"/>
      <c r="AU54" s="1314"/>
      <c r="AV54" s="1314"/>
      <c r="AW54" s="1314"/>
      <c r="AX54" s="1314"/>
      <c r="AY54" s="1314"/>
      <c r="AZ54" s="1314"/>
      <c r="BA54" s="1314"/>
      <c r="BB54" s="1314"/>
      <c r="BC54" s="1314"/>
      <c r="BD54" s="930"/>
    </row>
    <row r="55" spans="1:2739" ht="38.25" x14ac:dyDescent="0.25">
      <c r="A55" s="1826">
        <v>30</v>
      </c>
      <c r="B55" s="1350" t="s">
        <v>2200</v>
      </c>
      <c r="C55" s="1267" t="s">
        <v>6235</v>
      </c>
      <c r="D55" s="1267" t="s">
        <v>616</v>
      </c>
      <c r="E55" s="1267" t="s">
        <v>6167</v>
      </c>
      <c r="F55" s="510" t="s">
        <v>6236</v>
      </c>
      <c r="G55" s="1263">
        <v>11287</v>
      </c>
      <c r="H55" s="1315" t="s">
        <v>2007</v>
      </c>
      <c r="I55" s="510" t="s">
        <v>6237</v>
      </c>
      <c r="J55" s="510" t="s">
        <v>779</v>
      </c>
      <c r="K55" s="1313">
        <v>41772</v>
      </c>
      <c r="L55" s="929">
        <v>62719</v>
      </c>
      <c r="M55" s="1263">
        <v>11320</v>
      </c>
      <c r="N55" s="1313">
        <v>41772</v>
      </c>
      <c r="O55" s="1313">
        <v>42136</v>
      </c>
      <c r="P55" s="1267" t="s">
        <v>6238</v>
      </c>
      <c r="Q55" s="1267" t="s">
        <v>2007</v>
      </c>
      <c r="R55" s="1267" t="s">
        <v>6172</v>
      </c>
      <c r="S55" s="1267"/>
      <c r="T55" s="1267" t="s">
        <v>208</v>
      </c>
      <c r="U55" s="1267"/>
      <c r="V55" s="1267"/>
      <c r="W55" s="1267"/>
      <c r="X55" s="1267"/>
      <c r="Y55" s="1267"/>
      <c r="Z55" s="1267"/>
      <c r="AA55" s="1267"/>
      <c r="AB55" s="1267"/>
      <c r="AC55" s="1267"/>
      <c r="AD55" s="1267"/>
      <c r="AE55" s="937"/>
      <c r="AF55" s="321"/>
      <c r="AG55" s="929">
        <v>5531.46</v>
      </c>
      <c r="AH55" s="939">
        <f t="shared" si="0"/>
        <v>5531.46</v>
      </c>
      <c r="AI55" s="940"/>
      <c r="AJ55" s="941"/>
      <c r="AK55" s="524"/>
      <c r="AL55" s="942"/>
      <c r="AM55" s="946"/>
      <c r="AN55" s="944"/>
      <c r="AO55" s="944"/>
      <c r="AP55" s="944"/>
      <c r="AQ55" s="944"/>
      <c r="AR55" s="945"/>
      <c r="AS55" s="1350"/>
      <c r="AT55" s="1314"/>
      <c r="AU55" s="1314"/>
      <c r="AV55" s="1314"/>
      <c r="AW55" s="1314"/>
      <c r="AX55" s="1314"/>
      <c r="AY55" s="1314"/>
      <c r="AZ55" s="1314"/>
      <c r="BA55" s="1314"/>
      <c r="BB55" s="1314"/>
      <c r="BC55" s="1314"/>
      <c r="BD55" s="930"/>
    </row>
    <row r="56" spans="1:2739" ht="25.5" x14ac:dyDescent="0.25">
      <c r="A56" s="1826">
        <v>31</v>
      </c>
      <c r="B56" s="1350" t="s">
        <v>2189</v>
      </c>
      <c r="C56" s="1267" t="s">
        <v>6239</v>
      </c>
      <c r="D56" s="1267" t="s">
        <v>616</v>
      </c>
      <c r="E56" s="1267" t="s">
        <v>6167</v>
      </c>
      <c r="F56" s="510" t="s">
        <v>6240</v>
      </c>
      <c r="G56" s="1263">
        <v>11287</v>
      </c>
      <c r="H56" s="1315" t="s">
        <v>2034</v>
      </c>
      <c r="I56" s="510" t="s">
        <v>6241</v>
      </c>
      <c r="J56" s="510" t="s">
        <v>225</v>
      </c>
      <c r="K56" s="1313">
        <v>41772</v>
      </c>
      <c r="L56" s="929">
        <v>34224.800000000003</v>
      </c>
      <c r="M56" s="1263">
        <v>11320</v>
      </c>
      <c r="N56" s="1313">
        <v>41772</v>
      </c>
      <c r="O56" s="1313">
        <v>42136</v>
      </c>
      <c r="P56" s="1267" t="s">
        <v>6238</v>
      </c>
      <c r="Q56" s="1267" t="s">
        <v>2034</v>
      </c>
      <c r="R56" s="1267" t="s">
        <v>6172</v>
      </c>
      <c r="S56" s="1267"/>
      <c r="T56" s="1267" t="s">
        <v>208</v>
      </c>
      <c r="U56" s="1267"/>
      <c r="V56" s="1267"/>
      <c r="W56" s="1267"/>
      <c r="X56" s="1267"/>
      <c r="Y56" s="1267"/>
      <c r="Z56" s="1267"/>
      <c r="AA56" s="1267"/>
      <c r="AB56" s="1267"/>
      <c r="AC56" s="1267"/>
      <c r="AD56" s="1267"/>
      <c r="AE56" s="937"/>
      <c r="AF56" s="321"/>
      <c r="AG56" s="929">
        <v>9943.2999999999993</v>
      </c>
      <c r="AH56" s="939">
        <f t="shared" si="0"/>
        <v>9943.2999999999993</v>
      </c>
      <c r="AI56" s="940"/>
      <c r="AJ56" s="941"/>
      <c r="AK56" s="524"/>
      <c r="AL56" s="942"/>
      <c r="AM56" s="946"/>
      <c r="AN56" s="944"/>
      <c r="AO56" s="944"/>
      <c r="AP56" s="944"/>
      <c r="AQ56" s="944"/>
      <c r="AR56" s="945"/>
      <c r="AS56" s="1350"/>
      <c r="AT56" s="1314"/>
      <c r="AU56" s="1314"/>
      <c r="AV56" s="1314"/>
      <c r="AW56" s="1314"/>
      <c r="AX56" s="1314"/>
      <c r="AY56" s="1314"/>
      <c r="AZ56" s="1314"/>
      <c r="BA56" s="1314"/>
      <c r="BB56" s="1314"/>
      <c r="BC56" s="1314"/>
      <c r="BD56" s="930"/>
    </row>
    <row r="57" spans="1:2739" ht="38.25" x14ac:dyDescent="0.25">
      <c r="A57" s="1826">
        <v>32</v>
      </c>
      <c r="B57" s="1350" t="s">
        <v>2230</v>
      </c>
      <c r="C57" s="1267" t="s">
        <v>6242</v>
      </c>
      <c r="D57" s="1267" t="s">
        <v>616</v>
      </c>
      <c r="E57" s="1267" t="s">
        <v>6167</v>
      </c>
      <c r="F57" s="510" t="s">
        <v>6243</v>
      </c>
      <c r="G57" s="1263">
        <v>11320</v>
      </c>
      <c r="H57" s="1315" t="s">
        <v>2060</v>
      </c>
      <c r="I57" s="510" t="s">
        <v>6244</v>
      </c>
      <c r="J57" s="510" t="s">
        <v>343</v>
      </c>
      <c r="K57" s="1313">
        <v>41772</v>
      </c>
      <c r="L57" s="929">
        <v>16863</v>
      </c>
      <c r="M57" s="1263">
        <v>11320</v>
      </c>
      <c r="N57" s="1313">
        <v>41772</v>
      </c>
      <c r="O57" s="1313">
        <v>41771</v>
      </c>
      <c r="P57" s="1267" t="s">
        <v>6238</v>
      </c>
      <c r="Q57" s="1267" t="s">
        <v>2060</v>
      </c>
      <c r="R57" s="1267" t="s">
        <v>6172</v>
      </c>
      <c r="S57" s="1267"/>
      <c r="T57" s="1267" t="s">
        <v>208</v>
      </c>
      <c r="U57" s="1267"/>
      <c r="V57" s="1267"/>
      <c r="W57" s="1267"/>
      <c r="X57" s="1267"/>
      <c r="Y57" s="1267"/>
      <c r="Z57" s="1267"/>
      <c r="AA57" s="1267"/>
      <c r="AB57" s="1267"/>
      <c r="AC57" s="1267"/>
      <c r="AD57" s="1267"/>
      <c r="AE57" s="937"/>
      <c r="AF57" s="321"/>
      <c r="AG57" s="929">
        <v>5373.05</v>
      </c>
      <c r="AH57" s="939">
        <f t="shared" si="0"/>
        <v>5373.05</v>
      </c>
      <c r="AI57" s="940"/>
      <c r="AJ57" s="941"/>
      <c r="AK57" s="524"/>
      <c r="AL57" s="942"/>
      <c r="AM57" s="946"/>
      <c r="AN57" s="944"/>
      <c r="AO57" s="944"/>
      <c r="AP57" s="944"/>
      <c r="AQ57" s="944"/>
      <c r="AR57" s="945"/>
      <c r="AS57" s="1350"/>
      <c r="AT57" s="1314"/>
      <c r="AU57" s="1314"/>
      <c r="AV57" s="1314"/>
      <c r="AW57" s="1314"/>
      <c r="AX57" s="1314"/>
      <c r="AY57" s="1314"/>
      <c r="AZ57" s="1314"/>
      <c r="BA57" s="1314"/>
      <c r="BB57" s="1314"/>
      <c r="BC57" s="1314"/>
      <c r="BD57" s="930"/>
    </row>
    <row r="58" spans="1:2739" ht="57" customHeight="1" x14ac:dyDescent="0.25">
      <c r="A58" s="1826">
        <v>33</v>
      </c>
      <c r="B58" s="1350" t="s">
        <v>2337</v>
      </c>
      <c r="C58" s="1267" t="s">
        <v>6245</v>
      </c>
      <c r="D58" s="1267" t="s">
        <v>616</v>
      </c>
      <c r="E58" s="1267" t="s">
        <v>6167</v>
      </c>
      <c r="F58" s="510" t="s">
        <v>6246</v>
      </c>
      <c r="G58" s="1263">
        <v>11343</v>
      </c>
      <c r="H58" s="1315" t="s">
        <v>2112</v>
      </c>
      <c r="I58" s="510" t="s">
        <v>6247</v>
      </c>
      <c r="J58" s="510" t="s">
        <v>4259</v>
      </c>
      <c r="K58" s="1313">
        <v>41817</v>
      </c>
      <c r="L58" s="929">
        <v>77990.5</v>
      </c>
      <c r="M58" s="1263">
        <v>11343</v>
      </c>
      <c r="N58" s="1313">
        <v>41817</v>
      </c>
      <c r="O58" s="1313">
        <v>41816</v>
      </c>
      <c r="P58" s="1267" t="s">
        <v>6238</v>
      </c>
      <c r="Q58" s="1267" t="s">
        <v>2112</v>
      </c>
      <c r="R58" s="1267" t="s">
        <v>6172</v>
      </c>
      <c r="S58" s="1267"/>
      <c r="T58" s="1267" t="s">
        <v>208</v>
      </c>
      <c r="U58" s="1267"/>
      <c r="V58" s="1267"/>
      <c r="W58" s="1267"/>
      <c r="X58" s="1267"/>
      <c r="Y58" s="1267"/>
      <c r="Z58" s="1267"/>
      <c r="AA58" s="1267"/>
      <c r="AB58" s="1267"/>
      <c r="AC58" s="1267"/>
      <c r="AD58" s="1267"/>
      <c r="AE58" s="937"/>
      <c r="AF58" s="321"/>
      <c r="AG58" s="929">
        <v>2500</v>
      </c>
      <c r="AH58" s="939">
        <f t="shared" si="0"/>
        <v>2500</v>
      </c>
      <c r="AI58" s="940"/>
      <c r="AJ58" s="941"/>
      <c r="AK58" s="524"/>
      <c r="AL58" s="942"/>
      <c r="AM58" s="946"/>
      <c r="AN58" s="944"/>
      <c r="AO58" s="944"/>
      <c r="AP58" s="944"/>
      <c r="AQ58" s="944"/>
      <c r="AR58" s="945"/>
      <c r="AS58" s="1350"/>
      <c r="AT58" s="1314"/>
      <c r="AU58" s="1314"/>
      <c r="AV58" s="1314"/>
      <c r="AW58" s="1314"/>
      <c r="AX58" s="1314"/>
      <c r="AY58" s="1314"/>
      <c r="AZ58" s="1314"/>
      <c r="BA58" s="1314"/>
      <c r="BB58" s="1314"/>
      <c r="BC58" s="1314"/>
      <c r="BD58" s="930"/>
    </row>
    <row r="59" spans="1:2739" ht="37.5" customHeight="1" x14ac:dyDescent="0.25">
      <c r="A59" s="1826">
        <v>34</v>
      </c>
      <c r="B59" s="1350" t="s">
        <v>2337</v>
      </c>
      <c r="C59" s="1267" t="s">
        <v>6245</v>
      </c>
      <c r="D59" s="1267" t="s">
        <v>616</v>
      </c>
      <c r="E59" s="1267" t="s">
        <v>6167</v>
      </c>
      <c r="F59" s="510" t="s">
        <v>6248</v>
      </c>
      <c r="G59" s="1263">
        <v>11319</v>
      </c>
      <c r="H59" s="1315" t="s">
        <v>2116</v>
      </c>
      <c r="I59" s="510" t="s">
        <v>6249</v>
      </c>
      <c r="J59" s="510" t="s">
        <v>380</v>
      </c>
      <c r="K59" s="1313">
        <v>41815</v>
      </c>
      <c r="L59" s="929">
        <v>48000</v>
      </c>
      <c r="M59" s="1263">
        <v>11343</v>
      </c>
      <c r="N59" s="1313">
        <v>41816</v>
      </c>
      <c r="O59" s="1313">
        <v>42180</v>
      </c>
      <c r="P59" s="1267" t="s">
        <v>6238</v>
      </c>
      <c r="Q59" s="1267" t="s">
        <v>2119</v>
      </c>
      <c r="R59" s="1267" t="s">
        <v>6172</v>
      </c>
      <c r="S59" s="1267"/>
      <c r="T59" s="1267" t="s">
        <v>208</v>
      </c>
      <c r="U59" s="1267"/>
      <c r="V59" s="1267"/>
      <c r="W59" s="1267"/>
      <c r="X59" s="1267"/>
      <c r="Y59" s="1267"/>
      <c r="Z59" s="1267"/>
      <c r="AA59" s="1267"/>
      <c r="AB59" s="1267"/>
      <c r="AC59" s="1267"/>
      <c r="AD59" s="1267"/>
      <c r="AE59" s="937"/>
      <c r="AF59" s="321"/>
      <c r="AG59" s="929">
        <v>2004</v>
      </c>
      <c r="AH59" s="939">
        <f t="shared" si="0"/>
        <v>2004</v>
      </c>
      <c r="AI59" s="940"/>
      <c r="AJ59" s="941"/>
      <c r="AK59" s="524"/>
      <c r="AL59" s="942"/>
      <c r="AM59" s="946"/>
      <c r="AN59" s="944"/>
      <c r="AO59" s="944"/>
      <c r="AP59" s="944"/>
      <c r="AQ59" s="944"/>
      <c r="AR59" s="945"/>
      <c r="AS59" s="1350"/>
      <c r="AT59" s="1314"/>
      <c r="AU59" s="1314"/>
      <c r="AV59" s="1314"/>
      <c r="AW59" s="1314"/>
      <c r="AX59" s="1314"/>
      <c r="AY59" s="1314"/>
      <c r="AZ59" s="1314"/>
      <c r="BA59" s="1314"/>
      <c r="BB59" s="1314"/>
      <c r="BC59" s="1314"/>
      <c r="BD59" s="930"/>
    </row>
    <row r="60" spans="1:2739" ht="26.25" customHeight="1" x14ac:dyDescent="0.25">
      <c r="A60" s="1826">
        <v>35</v>
      </c>
      <c r="B60" s="1557" t="s">
        <v>6250</v>
      </c>
      <c r="C60" s="1267" t="s">
        <v>6251</v>
      </c>
      <c r="D60" s="1267" t="s">
        <v>616</v>
      </c>
      <c r="E60" s="1267" t="s">
        <v>6167</v>
      </c>
      <c r="F60" s="630" t="s">
        <v>6252</v>
      </c>
      <c r="G60" s="1318">
        <v>11030</v>
      </c>
      <c r="H60" s="1550" t="s">
        <v>6253</v>
      </c>
      <c r="I60" s="510" t="s">
        <v>6254</v>
      </c>
      <c r="J60" s="510" t="s">
        <v>5273</v>
      </c>
      <c r="K60" s="1313">
        <v>41811</v>
      </c>
      <c r="L60" s="952">
        <v>287712</v>
      </c>
      <c r="M60" s="1318">
        <v>11106</v>
      </c>
      <c r="N60" s="1558">
        <v>41446</v>
      </c>
      <c r="O60" s="1558">
        <v>42006</v>
      </c>
      <c r="P60" s="1267" t="s">
        <v>6238</v>
      </c>
      <c r="Q60" s="1267" t="s">
        <v>6253</v>
      </c>
      <c r="R60" s="1267" t="s">
        <v>6172</v>
      </c>
      <c r="S60" s="1267"/>
      <c r="T60" s="1267" t="s">
        <v>208</v>
      </c>
      <c r="U60" s="1267"/>
      <c r="V60" s="1267"/>
      <c r="W60" s="1267"/>
      <c r="X60" s="1267"/>
      <c r="Y60" s="1267"/>
      <c r="Z60" s="1267"/>
      <c r="AA60" s="1267"/>
      <c r="AB60" s="1267"/>
      <c r="AC60" s="1267"/>
      <c r="AD60" s="1267"/>
      <c r="AE60" s="937"/>
      <c r="AF60" s="321"/>
      <c r="AG60" s="929">
        <v>48600.43</v>
      </c>
      <c r="AH60" s="939">
        <f t="shared" si="0"/>
        <v>48600.43</v>
      </c>
      <c r="AI60" s="940"/>
      <c r="AJ60" s="941"/>
      <c r="AK60" s="524"/>
      <c r="AL60" s="942"/>
      <c r="AM60" s="946"/>
      <c r="AN60" s="944"/>
      <c r="AO60" s="944"/>
      <c r="AP60" s="944"/>
      <c r="AQ60" s="944"/>
      <c r="AR60" s="945"/>
      <c r="AS60" s="1350"/>
      <c r="AT60" s="1314"/>
      <c r="AU60" s="1314"/>
      <c r="AV60" s="1314"/>
      <c r="AW60" s="1314"/>
      <c r="AX60" s="1314"/>
      <c r="AY60" s="1314"/>
      <c r="AZ60" s="1314"/>
      <c r="BA60" s="1314"/>
      <c r="BB60" s="1314"/>
      <c r="BC60" s="1314"/>
      <c r="BD60" s="930"/>
    </row>
    <row r="61" spans="1:2739" ht="36.75" customHeight="1" x14ac:dyDescent="0.25">
      <c r="A61" s="1826">
        <v>36</v>
      </c>
      <c r="B61" s="1557" t="s">
        <v>6255</v>
      </c>
      <c r="C61" s="1267" t="s">
        <v>6256</v>
      </c>
      <c r="D61" s="1267" t="s">
        <v>616</v>
      </c>
      <c r="E61" s="1267" t="s">
        <v>6167</v>
      </c>
      <c r="F61" s="510" t="s">
        <v>6257</v>
      </c>
      <c r="G61" s="1263">
        <v>11030</v>
      </c>
      <c r="H61" s="1315" t="s">
        <v>6258</v>
      </c>
      <c r="I61" s="510" t="s">
        <v>6259</v>
      </c>
      <c r="J61" s="510" t="s">
        <v>5630</v>
      </c>
      <c r="K61" s="1313">
        <v>42223</v>
      </c>
      <c r="L61" s="929">
        <v>255080</v>
      </c>
      <c r="M61" s="1263">
        <v>11126</v>
      </c>
      <c r="N61" s="1313">
        <v>42223</v>
      </c>
      <c r="O61" s="1313">
        <v>42370</v>
      </c>
      <c r="P61" s="1267">
        <v>1</v>
      </c>
      <c r="Q61" s="1267" t="s">
        <v>6258</v>
      </c>
      <c r="R61" s="1267" t="s">
        <v>6172</v>
      </c>
      <c r="S61" s="1267"/>
      <c r="T61" s="1267" t="s">
        <v>208</v>
      </c>
      <c r="U61" s="1267"/>
      <c r="V61" s="1267"/>
      <c r="W61" s="1267"/>
      <c r="X61" s="1267"/>
      <c r="Y61" s="1267"/>
      <c r="Z61" s="1267"/>
      <c r="AA61" s="1267"/>
      <c r="AB61" s="1267"/>
      <c r="AC61" s="1267"/>
      <c r="AD61" s="1267"/>
      <c r="AE61" s="937"/>
      <c r="AF61" s="321"/>
      <c r="AG61" s="929">
        <v>90376.3</v>
      </c>
      <c r="AH61" s="939">
        <f t="shared" si="0"/>
        <v>90376.3</v>
      </c>
      <c r="AI61" s="940"/>
      <c r="AJ61" s="941"/>
      <c r="AK61" s="524"/>
      <c r="AL61" s="942"/>
      <c r="AM61" s="946"/>
      <c r="AN61" s="944"/>
      <c r="AO61" s="944"/>
      <c r="AP61" s="944"/>
      <c r="AQ61" s="944"/>
      <c r="AR61" s="945"/>
      <c r="AS61" s="1350"/>
      <c r="AT61" s="1314"/>
      <c r="AU61" s="1314"/>
      <c r="AV61" s="1314"/>
      <c r="AW61" s="1314"/>
      <c r="AX61" s="1314"/>
      <c r="AY61" s="1314"/>
      <c r="AZ61" s="1314"/>
      <c r="BA61" s="1314"/>
      <c r="BB61" s="1314"/>
      <c r="BC61" s="1314"/>
      <c r="BD61" s="930"/>
    </row>
    <row r="62" spans="1:2739" ht="30.75" customHeight="1" x14ac:dyDescent="0.25">
      <c r="A62" s="1826">
        <v>37</v>
      </c>
      <c r="B62" s="1350" t="s">
        <v>6260</v>
      </c>
      <c r="C62" s="1267" t="s">
        <v>6261</v>
      </c>
      <c r="D62" s="1267" t="s">
        <v>616</v>
      </c>
      <c r="E62" s="1267" t="s">
        <v>6167</v>
      </c>
      <c r="F62" s="510" t="s">
        <v>6262</v>
      </c>
      <c r="G62" s="1263">
        <v>11124</v>
      </c>
      <c r="H62" s="1315" t="s">
        <v>6263</v>
      </c>
      <c r="I62" s="510" t="s">
        <v>6264</v>
      </c>
      <c r="J62" s="510" t="s">
        <v>5311</v>
      </c>
      <c r="K62" s="1313">
        <v>41534</v>
      </c>
      <c r="L62" s="929">
        <v>1518000</v>
      </c>
      <c r="M62" s="1263">
        <v>11144</v>
      </c>
      <c r="N62" s="1313">
        <v>41534</v>
      </c>
      <c r="O62" s="1313">
        <v>41898</v>
      </c>
      <c r="P62" s="1267" t="s">
        <v>6238</v>
      </c>
      <c r="Q62" s="1267" t="s">
        <v>6263</v>
      </c>
      <c r="R62" s="1267" t="s">
        <v>6172</v>
      </c>
      <c r="S62" s="1267"/>
      <c r="T62" s="1267" t="s">
        <v>208</v>
      </c>
      <c r="U62" s="1267"/>
      <c r="V62" s="1267"/>
      <c r="W62" s="1267"/>
      <c r="X62" s="1267"/>
      <c r="Y62" s="1267"/>
      <c r="Z62" s="1267"/>
      <c r="AA62" s="1267"/>
      <c r="AB62" s="1267"/>
      <c r="AC62" s="1267"/>
      <c r="AD62" s="1267"/>
      <c r="AE62" s="937"/>
      <c r="AF62" s="321"/>
      <c r="AG62" s="929">
        <v>820177.96</v>
      </c>
      <c r="AH62" s="939">
        <f t="shared" si="0"/>
        <v>820177.96</v>
      </c>
      <c r="AI62" s="940"/>
      <c r="AJ62" s="941"/>
      <c r="AK62" s="524"/>
      <c r="AL62" s="942"/>
      <c r="AM62" s="946"/>
      <c r="AN62" s="944"/>
      <c r="AO62" s="944"/>
      <c r="AP62" s="944"/>
      <c r="AQ62" s="944"/>
      <c r="AR62" s="945"/>
      <c r="AS62" s="1350"/>
      <c r="AT62" s="1314"/>
      <c r="AU62" s="1314"/>
      <c r="AV62" s="1314"/>
      <c r="AW62" s="1314"/>
      <c r="AX62" s="1314"/>
      <c r="AY62" s="1314"/>
      <c r="AZ62" s="1314"/>
      <c r="BA62" s="1314"/>
      <c r="BB62" s="1314"/>
      <c r="BC62" s="1314"/>
      <c r="BD62" s="930"/>
    </row>
    <row r="63" spans="1:2739" ht="32.25" customHeight="1" x14ac:dyDescent="0.25">
      <c r="A63" s="1826">
        <v>38</v>
      </c>
      <c r="B63" s="1350" t="s">
        <v>6265</v>
      </c>
      <c r="C63" s="1267" t="s">
        <v>6266</v>
      </c>
      <c r="D63" s="1267" t="s">
        <v>616</v>
      </c>
      <c r="E63" s="1267" t="s">
        <v>6167</v>
      </c>
      <c r="F63" s="510" t="s">
        <v>6168</v>
      </c>
      <c r="G63" s="1263">
        <v>10981</v>
      </c>
      <c r="H63" s="953" t="s">
        <v>6267</v>
      </c>
      <c r="I63" s="954" t="s">
        <v>6268</v>
      </c>
      <c r="J63" s="955" t="s">
        <v>6269</v>
      </c>
      <c r="K63" s="1313">
        <v>41194</v>
      </c>
      <c r="L63" s="929">
        <v>21600</v>
      </c>
      <c r="M63" s="1263">
        <v>10918</v>
      </c>
      <c r="N63" s="1313">
        <v>41559</v>
      </c>
      <c r="O63" s="1313">
        <v>41923</v>
      </c>
      <c r="P63" s="1267" t="s">
        <v>4721</v>
      </c>
      <c r="Q63" s="1267" t="s">
        <v>6267</v>
      </c>
      <c r="R63" s="1267" t="s">
        <v>6172</v>
      </c>
      <c r="S63" s="1267"/>
      <c r="T63" s="1267" t="s">
        <v>158</v>
      </c>
      <c r="U63" s="1267"/>
      <c r="V63" s="1267"/>
      <c r="W63" s="1267"/>
      <c r="X63" s="1267"/>
      <c r="Y63" s="1267"/>
      <c r="Z63" s="1267"/>
      <c r="AA63" s="1267"/>
      <c r="AB63" s="1267"/>
      <c r="AC63" s="1267"/>
      <c r="AD63" s="1267"/>
      <c r="AE63" s="937"/>
      <c r="AF63" s="321"/>
      <c r="AG63" s="929">
        <v>29743.48</v>
      </c>
      <c r="AH63" s="939">
        <f t="shared" si="0"/>
        <v>29743.48</v>
      </c>
      <c r="AI63" s="940"/>
      <c r="AJ63" s="941"/>
      <c r="AK63" s="524"/>
      <c r="AL63" s="942"/>
      <c r="AM63" s="946"/>
      <c r="AN63" s="944"/>
      <c r="AO63" s="944"/>
      <c r="AP63" s="944"/>
      <c r="AQ63" s="944"/>
      <c r="AR63" s="945"/>
      <c r="AS63" s="1350"/>
      <c r="AT63" s="1314"/>
      <c r="AU63" s="1314"/>
      <c r="AV63" s="1314"/>
      <c r="AW63" s="1314"/>
      <c r="AX63" s="1314"/>
      <c r="AY63" s="1314"/>
      <c r="AZ63" s="1314"/>
      <c r="BA63" s="1314"/>
      <c r="BB63" s="1314"/>
      <c r="BC63" s="1314"/>
      <c r="BD63" s="930"/>
    </row>
    <row r="64" spans="1:2739" ht="31.5" customHeight="1" x14ac:dyDescent="0.25">
      <c r="A64" s="1826">
        <v>39</v>
      </c>
      <c r="B64" s="1350" t="s">
        <v>6265</v>
      </c>
      <c r="C64" s="1267" t="s">
        <v>6266</v>
      </c>
      <c r="D64" s="1267" t="s">
        <v>616</v>
      </c>
      <c r="E64" s="1267" t="s">
        <v>6167</v>
      </c>
      <c r="F64" s="510" t="s">
        <v>6168</v>
      </c>
      <c r="G64" s="1263">
        <v>10981</v>
      </c>
      <c r="H64" s="953" t="s">
        <v>6270</v>
      </c>
      <c r="I64" s="954" t="s">
        <v>1764</v>
      </c>
      <c r="J64" s="955" t="s">
        <v>6271</v>
      </c>
      <c r="K64" s="1313">
        <v>41194</v>
      </c>
      <c r="L64" s="929">
        <v>35400</v>
      </c>
      <c r="M64" s="1263">
        <v>10918</v>
      </c>
      <c r="N64" s="1313">
        <v>41559</v>
      </c>
      <c r="O64" s="1313">
        <v>41923</v>
      </c>
      <c r="P64" s="1267" t="s">
        <v>4721</v>
      </c>
      <c r="Q64" s="1267" t="s">
        <v>6270</v>
      </c>
      <c r="R64" s="1267" t="s">
        <v>6172</v>
      </c>
      <c r="S64" s="1267"/>
      <c r="T64" s="1267" t="s">
        <v>158</v>
      </c>
      <c r="U64" s="1267"/>
      <c r="V64" s="1267"/>
      <c r="W64" s="1267"/>
      <c r="X64" s="1267"/>
      <c r="Y64" s="1267"/>
      <c r="Z64" s="1267"/>
      <c r="AA64" s="1267"/>
      <c r="AB64" s="1267"/>
      <c r="AC64" s="1267"/>
      <c r="AD64" s="1267"/>
      <c r="AE64" s="937"/>
      <c r="AF64" s="321"/>
      <c r="AG64" s="929">
        <v>28533.33</v>
      </c>
      <c r="AH64" s="939">
        <f t="shared" si="0"/>
        <v>28533.33</v>
      </c>
      <c r="AI64" s="940"/>
      <c r="AJ64" s="941"/>
      <c r="AK64" s="524"/>
      <c r="AL64" s="942"/>
      <c r="AM64" s="946"/>
      <c r="AN64" s="944"/>
      <c r="AO64" s="944"/>
      <c r="AP64" s="944"/>
      <c r="AQ64" s="944"/>
      <c r="AR64" s="945"/>
      <c r="AS64" s="1350"/>
      <c r="AT64" s="1314"/>
      <c r="AU64" s="1314"/>
      <c r="AV64" s="1314"/>
      <c r="AW64" s="1314"/>
      <c r="AX64" s="1314"/>
      <c r="AY64" s="1314"/>
      <c r="AZ64" s="1314"/>
      <c r="BA64" s="1314"/>
      <c r="BB64" s="1314"/>
      <c r="BC64" s="1314"/>
      <c r="BD64" s="930"/>
    </row>
    <row r="65" spans="1:56" ht="25.5" x14ac:dyDescent="0.25">
      <c r="A65" s="1826">
        <v>40</v>
      </c>
      <c r="B65" s="1350" t="s">
        <v>6265</v>
      </c>
      <c r="C65" s="1267" t="s">
        <v>6266</v>
      </c>
      <c r="D65" s="1267" t="s">
        <v>616</v>
      </c>
      <c r="E65" s="1267" t="s">
        <v>6167</v>
      </c>
      <c r="F65" s="510" t="s">
        <v>6168</v>
      </c>
      <c r="G65" s="1263">
        <v>10918</v>
      </c>
      <c r="H65" s="953" t="s">
        <v>6272</v>
      </c>
      <c r="I65" s="954" t="s">
        <v>6273</v>
      </c>
      <c r="J65" s="955" t="s">
        <v>6274</v>
      </c>
      <c r="K65" s="1313">
        <v>41194</v>
      </c>
      <c r="L65" s="929">
        <v>9000</v>
      </c>
      <c r="M65" s="1263">
        <v>10918</v>
      </c>
      <c r="N65" s="1313">
        <v>41559</v>
      </c>
      <c r="O65" s="1313">
        <v>41923</v>
      </c>
      <c r="P65" s="1267" t="s">
        <v>4721</v>
      </c>
      <c r="Q65" s="1267" t="s">
        <v>6272</v>
      </c>
      <c r="R65" s="1267" t="s">
        <v>6172</v>
      </c>
      <c r="S65" s="1267"/>
      <c r="T65" s="1267" t="s">
        <v>158</v>
      </c>
      <c r="U65" s="1267"/>
      <c r="V65" s="1267"/>
      <c r="W65" s="1267"/>
      <c r="X65" s="1267"/>
      <c r="Y65" s="1267"/>
      <c r="Z65" s="1267"/>
      <c r="AA65" s="1267"/>
      <c r="AB65" s="1267"/>
      <c r="AC65" s="1267"/>
      <c r="AD65" s="1267"/>
      <c r="AE65" s="937"/>
      <c r="AF65" s="321"/>
      <c r="AG65" s="929">
        <v>11526.35</v>
      </c>
      <c r="AH65" s="939">
        <f t="shared" si="0"/>
        <v>11526.35</v>
      </c>
      <c r="AI65" s="940"/>
      <c r="AJ65" s="941"/>
      <c r="AK65" s="524"/>
      <c r="AL65" s="942"/>
      <c r="AM65" s="946"/>
      <c r="AN65" s="944"/>
      <c r="AO65" s="944"/>
      <c r="AP65" s="944"/>
      <c r="AQ65" s="944"/>
      <c r="AR65" s="945"/>
      <c r="AS65" s="1350"/>
      <c r="AT65" s="1314"/>
      <c r="AU65" s="1314"/>
      <c r="AV65" s="1314"/>
      <c r="AW65" s="1314"/>
      <c r="AX65" s="1314"/>
      <c r="AY65" s="1314"/>
      <c r="AZ65" s="1314"/>
      <c r="BA65" s="1314"/>
      <c r="BB65" s="1314"/>
      <c r="BC65" s="1314"/>
      <c r="BD65" s="930"/>
    </row>
    <row r="66" spans="1:56" ht="25.5" x14ac:dyDescent="0.25">
      <c r="A66" s="1826">
        <v>41</v>
      </c>
      <c r="B66" s="1350" t="s">
        <v>6275</v>
      </c>
      <c r="C66" s="1267" t="s">
        <v>6276</v>
      </c>
      <c r="D66" s="1267" t="s">
        <v>616</v>
      </c>
      <c r="E66" s="1267" t="s">
        <v>6167</v>
      </c>
      <c r="F66" s="956" t="s">
        <v>4507</v>
      </c>
      <c r="G66" s="1305">
        <v>10918</v>
      </c>
      <c r="H66" s="957" t="s">
        <v>4734</v>
      </c>
      <c r="I66" s="39" t="s">
        <v>6277</v>
      </c>
      <c r="J66" s="955" t="s">
        <v>4368</v>
      </c>
      <c r="K66" s="1558">
        <v>41564</v>
      </c>
      <c r="L66" s="929">
        <v>38500</v>
      </c>
      <c r="M66" s="1263">
        <v>11225</v>
      </c>
      <c r="N66" s="1558">
        <v>41564</v>
      </c>
      <c r="O66" s="1558">
        <v>42371</v>
      </c>
      <c r="P66" s="1267" t="s">
        <v>4721</v>
      </c>
      <c r="Q66" s="1267" t="s">
        <v>4734</v>
      </c>
      <c r="R66" s="1267" t="s">
        <v>6172</v>
      </c>
      <c r="S66" s="1267"/>
      <c r="T66" s="1267" t="s">
        <v>208</v>
      </c>
      <c r="U66" s="1267" t="s">
        <v>1224</v>
      </c>
      <c r="V66" s="1267" t="s">
        <v>6278</v>
      </c>
      <c r="W66" s="1263">
        <v>11288</v>
      </c>
      <c r="X66" s="1267" t="s">
        <v>6279</v>
      </c>
      <c r="Y66" s="1267"/>
      <c r="Z66" s="1313">
        <v>42095</v>
      </c>
      <c r="AA66" s="1267"/>
      <c r="AB66" s="1267"/>
      <c r="AC66" s="1267"/>
      <c r="AD66" s="1267"/>
      <c r="AE66" s="937"/>
      <c r="AF66" s="321"/>
      <c r="AG66" s="929">
        <v>11214</v>
      </c>
      <c r="AH66" s="939">
        <f t="shared" si="0"/>
        <v>11214</v>
      </c>
      <c r="AI66" s="940"/>
      <c r="AJ66" s="941"/>
      <c r="AK66" s="524"/>
      <c r="AL66" s="942"/>
      <c r="AM66" s="946"/>
      <c r="AN66" s="944"/>
      <c r="AO66" s="944"/>
      <c r="AP66" s="944"/>
      <c r="AQ66" s="944"/>
      <c r="AR66" s="945"/>
      <c r="AS66" s="1350"/>
      <c r="AT66" s="1314"/>
      <c r="AU66" s="1314"/>
      <c r="AV66" s="1314"/>
      <c r="AW66" s="1314"/>
      <c r="AX66" s="1314"/>
      <c r="AY66" s="1314"/>
      <c r="AZ66" s="1314"/>
      <c r="BA66" s="1314"/>
      <c r="BB66" s="1314"/>
      <c r="BC66" s="1314"/>
      <c r="BD66" s="930"/>
    </row>
    <row r="67" spans="1:56" s="1747" customFormat="1" ht="34.5" customHeight="1" x14ac:dyDescent="0.25">
      <c r="A67" s="1826">
        <v>42</v>
      </c>
      <c r="B67" s="1350" t="s">
        <v>2139</v>
      </c>
      <c r="C67" s="1267" t="s">
        <v>6280</v>
      </c>
      <c r="D67" s="1267" t="s">
        <v>616</v>
      </c>
      <c r="E67" s="1267" t="s">
        <v>6167</v>
      </c>
      <c r="F67" s="630" t="s">
        <v>6281</v>
      </c>
      <c r="G67" s="540">
        <v>11353</v>
      </c>
      <c r="H67" s="958" t="s">
        <v>2133</v>
      </c>
      <c r="I67" s="39" t="s">
        <v>6277</v>
      </c>
      <c r="J67" s="955" t="s">
        <v>4368</v>
      </c>
      <c r="K67" s="1558">
        <v>41831</v>
      </c>
      <c r="L67" s="929">
        <v>48874</v>
      </c>
      <c r="M67" s="1263">
        <v>11348</v>
      </c>
      <c r="N67" s="1558">
        <v>41831</v>
      </c>
      <c r="O67" s="1558">
        <v>42195</v>
      </c>
      <c r="P67" s="1267" t="s">
        <v>6238</v>
      </c>
      <c r="Q67" s="1267" t="s">
        <v>2536</v>
      </c>
      <c r="R67" s="1267" t="s">
        <v>6172</v>
      </c>
      <c r="S67" s="1267"/>
      <c r="T67" s="1267" t="s">
        <v>208</v>
      </c>
      <c r="U67" s="1267"/>
      <c r="V67" s="1267"/>
      <c r="W67" s="1267"/>
      <c r="X67" s="1267"/>
      <c r="Y67" s="1267"/>
      <c r="Z67" s="1267"/>
      <c r="AA67" s="1267"/>
      <c r="AB67" s="1267"/>
      <c r="AC67" s="1267"/>
      <c r="AD67" s="1267"/>
      <c r="AE67" s="937"/>
      <c r="AF67" s="321"/>
      <c r="AG67" s="929">
        <v>18485.900000000001</v>
      </c>
      <c r="AH67" s="939">
        <f t="shared" si="0"/>
        <v>18485.900000000001</v>
      </c>
      <c r="AI67" s="1267" t="s">
        <v>4030</v>
      </c>
      <c r="AJ67" s="1263">
        <v>10637</v>
      </c>
      <c r="AK67" s="1267" t="s">
        <v>6203</v>
      </c>
      <c r="AL67" s="1263">
        <v>10712</v>
      </c>
      <c r="AM67" s="946"/>
      <c r="AN67" s="944"/>
      <c r="AO67" s="944"/>
      <c r="AP67" s="944"/>
      <c r="AQ67" s="944"/>
      <c r="AR67" s="945"/>
      <c r="AS67" s="1350"/>
      <c r="AT67" s="1314"/>
      <c r="AU67" s="1314"/>
      <c r="AV67" s="1314"/>
      <c r="AW67" s="1314"/>
      <c r="AX67" s="1314"/>
      <c r="AY67" s="1314"/>
      <c r="AZ67" s="1314"/>
      <c r="BA67" s="1314"/>
      <c r="BB67" s="1314"/>
      <c r="BC67" s="1314"/>
      <c r="BD67" s="930"/>
    </row>
    <row r="68" spans="1:56" ht="53.25" customHeight="1" x14ac:dyDescent="0.25">
      <c r="A68" s="1826">
        <v>43</v>
      </c>
      <c r="B68" s="1350" t="s">
        <v>6282</v>
      </c>
      <c r="C68" s="1267" t="s">
        <v>6283</v>
      </c>
      <c r="D68" s="1267" t="s">
        <v>616</v>
      </c>
      <c r="E68" s="1267" t="s">
        <v>6167</v>
      </c>
      <c r="F68" s="630" t="s">
        <v>6284</v>
      </c>
      <c r="G68" s="540">
        <v>10742</v>
      </c>
      <c r="H68" s="958" t="s">
        <v>5575</v>
      </c>
      <c r="I68" s="39" t="s">
        <v>6285</v>
      </c>
      <c r="J68" s="955" t="s">
        <v>6101</v>
      </c>
      <c r="K68" s="1558">
        <v>40940</v>
      </c>
      <c r="L68" s="929">
        <v>121500</v>
      </c>
      <c r="M68" s="1263">
        <v>10742</v>
      </c>
      <c r="N68" s="1558">
        <v>40940</v>
      </c>
      <c r="O68" s="1558">
        <v>42037</v>
      </c>
      <c r="P68" s="1267" t="s">
        <v>6238</v>
      </c>
      <c r="Q68" s="1267" t="s">
        <v>5575</v>
      </c>
      <c r="R68" s="1267" t="s">
        <v>6172</v>
      </c>
      <c r="S68" s="1267"/>
      <c r="T68" s="1267" t="s">
        <v>208</v>
      </c>
      <c r="U68" s="1267" t="s">
        <v>1226</v>
      </c>
      <c r="V68" s="1267" t="s">
        <v>6278</v>
      </c>
      <c r="W68" s="540">
        <v>11256</v>
      </c>
      <c r="X68" s="1267" t="s">
        <v>6279</v>
      </c>
      <c r="Y68" s="1267"/>
      <c r="Z68" s="1313">
        <v>42037</v>
      </c>
      <c r="AA68" s="1267"/>
      <c r="AB68" s="1267"/>
      <c r="AC68" s="1267"/>
      <c r="AD68" s="1267"/>
      <c r="AE68" s="937"/>
      <c r="AF68" s="321"/>
      <c r="AG68" s="929">
        <v>5540</v>
      </c>
      <c r="AH68" s="939">
        <f t="shared" si="0"/>
        <v>5540</v>
      </c>
      <c r="AI68" s="1267" t="s">
        <v>4025</v>
      </c>
      <c r="AJ68" s="1263">
        <v>10696</v>
      </c>
      <c r="AK68" s="1267" t="s">
        <v>3714</v>
      </c>
      <c r="AL68" s="1263">
        <v>10730</v>
      </c>
      <c r="AM68" s="946"/>
      <c r="AN68" s="944"/>
      <c r="AO68" s="944"/>
      <c r="AP68" s="944"/>
      <c r="AQ68" s="944"/>
      <c r="AR68" s="945"/>
      <c r="AS68" s="1350"/>
      <c r="AT68" s="1314"/>
      <c r="AU68" s="1314"/>
      <c r="AV68" s="1314"/>
      <c r="AW68" s="1314"/>
      <c r="AX68" s="1314"/>
      <c r="AY68" s="1314"/>
      <c r="AZ68" s="1314"/>
      <c r="BA68" s="1314"/>
      <c r="BB68" s="1314"/>
      <c r="BC68" s="1314"/>
      <c r="BD68" s="930"/>
    </row>
    <row r="69" spans="1:56" ht="39" customHeight="1" x14ac:dyDescent="0.25">
      <c r="A69" s="1826">
        <v>44</v>
      </c>
      <c r="B69" s="1350" t="s">
        <v>2523</v>
      </c>
      <c r="C69" s="1267" t="s">
        <v>6286</v>
      </c>
      <c r="D69" s="1267" t="s">
        <v>616</v>
      </c>
      <c r="E69" s="1267" t="s">
        <v>6167</v>
      </c>
      <c r="F69" s="1354" t="s">
        <v>6168</v>
      </c>
      <c r="G69" s="1243">
        <v>10887</v>
      </c>
      <c r="H69" s="1246" t="s">
        <v>6287</v>
      </c>
      <c r="I69" s="1309" t="s">
        <v>6288</v>
      </c>
      <c r="J69" s="510" t="s">
        <v>1406</v>
      </c>
      <c r="K69" s="1244">
        <v>41194</v>
      </c>
      <c r="L69" s="948">
        <v>22799.88</v>
      </c>
      <c r="M69" s="1243">
        <v>10918</v>
      </c>
      <c r="N69" s="1244">
        <v>41194</v>
      </c>
      <c r="O69" s="1558">
        <v>41730</v>
      </c>
      <c r="P69" s="1267" t="s">
        <v>6238</v>
      </c>
      <c r="Q69" s="1267" t="s">
        <v>6287</v>
      </c>
      <c r="R69" s="1267" t="s">
        <v>6172</v>
      </c>
      <c r="S69" s="1267"/>
      <c r="T69" s="1267" t="s">
        <v>208</v>
      </c>
      <c r="U69" s="1267" t="s">
        <v>1224</v>
      </c>
      <c r="V69" s="1267" t="s">
        <v>6278</v>
      </c>
      <c r="W69" s="959">
        <v>11184</v>
      </c>
      <c r="X69" s="1267" t="s">
        <v>6279</v>
      </c>
      <c r="Y69" s="1267"/>
      <c r="Z69" s="1313">
        <v>41923</v>
      </c>
      <c r="AA69" s="1267"/>
      <c r="AB69" s="1267"/>
      <c r="AC69" s="1267"/>
      <c r="AD69" s="1267"/>
      <c r="AE69" s="1267"/>
      <c r="AF69" s="935"/>
      <c r="AG69" s="929">
        <v>6649.92</v>
      </c>
      <c r="AH69" s="939">
        <f t="shared" si="0"/>
        <v>6649.92</v>
      </c>
      <c r="AI69" s="960"/>
      <c r="AJ69" s="1286"/>
      <c r="AK69" s="1318"/>
      <c r="AL69" s="1286"/>
      <c r="AM69" s="1318"/>
      <c r="AN69" s="946"/>
      <c r="AO69" s="944"/>
      <c r="AP69" s="944"/>
      <c r="AQ69" s="944"/>
      <c r="AR69" s="944"/>
      <c r="AS69" s="945"/>
      <c r="AT69" s="1350"/>
      <c r="AU69" s="1314"/>
      <c r="AV69" s="1314"/>
      <c r="AW69" s="1314"/>
      <c r="AX69" s="1314"/>
      <c r="AY69" s="1314"/>
      <c r="AZ69" s="1314"/>
      <c r="BA69" s="1314"/>
      <c r="BB69" s="1314"/>
      <c r="BC69" s="1314"/>
      <c r="BD69" s="1314"/>
    </row>
    <row r="70" spans="1:56" ht="36" customHeight="1" x14ac:dyDescent="0.25">
      <c r="A70" s="1826">
        <v>45</v>
      </c>
      <c r="B70" s="961" t="s">
        <v>2523</v>
      </c>
      <c r="C70" s="1267" t="s">
        <v>6286</v>
      </c>
      <c r="D70" s="1267" t="s">
        <v>616</v>
      </c>
      <c r="E70" s="1267" t="s">
        <v>6167</v>
      </c>
      <c r="F70" s="1354" t="s">
        <v>6168</v>
      </c>
      <c r="G70" s="1243">
        <v>10887</v>
      </c>
      <c r="H70" s="1246" t="s">
        <v>6289</v>
      </c>
      <c r="I70" s="1354" t="s">
        <v>6290</v>
      </c>
      <c r="J70" s="510" t="s">
        <v>1406</v>
      </c>
      <c r="K70" s="1244">
        <v>41194</v>
      </c>
      <c r="L70" s="948">
        <v>22799.88</v>
      </c>
      <c r="M70" s="1243">
        <v>10918</v>
      </c>
      <c r="N70" s="1244">
        <v>41194</v>
      </c>
      <c r="O70" s="1558">
        <v>41730</v>
      </c>
      <c r="P70" s="1267" t="s">
        <v>6238</v>
      </c>
      <c r="Q70" s="1267" t="s">
        <v>6289</v>
      </c>
      <c r="R70" s="1267" t="s">
        <v>6172</v>
      </c>
      <c r="S70" s="1267"/>
      <c r="T70" s="1267" t="s">
        <v>208</v>
      </c>
      <c r="U70" s="1267" t="s">
        <v>1224</v>
      </c>
      <c r="V70" s="1267" t="s">
        <v>6278</v>
      </c>
      <c r="W70" s="959">
        <v>11184</v>
      </c>
      <c r="X70" s="1267" t="s">
        <v>6279</v>
      </c>
      <c r="Y70" s="1267"/>
      <c r="Z70" s="1313">
        <v>41923</v>
      </c>
      <c r="AA70" s="1267"/>
      <c r="AB70" s="1267"/>
      <c r="AC70" s="1267"/>
      <c r="AD70" s="1267"/>
      <c r="AE70" s="1267"/>
      <c r="AF70" s="935"/>
      <c r="AG70" s="929">
        <v>6649.92</v>
      </c>
      <c r="AH70" s="939">
        <f t="shared" si="0"/>
        <v>6649.92</v>
      </c>
      <c r="AI70" s="960"/>
      <c r="AJ70" s="1286"/>
      <c r="AK70" s="1318"/>
      <c r="AL70" s="1286"/>
      <c r="AM70" s="1318"/>
      <c r="AN70" s="946"/>
      <c r="AO70" s="944"/>
      <c r="AP70" s="944"/>
      <c r="AQ70" s="944"/>
      <c r="AR70" s="944"/>
      <c r="AS70" s="945"/>
      <c r="AT70" s="1350"/>
      <c r="AU70" s="1314"/>
      <c r="AV70" s="1314"/>
      <c r="AW70" s="1314"/>
      <c r="AX70" s="1314"/>
      <c r="AY70" s="1314"/>
      <c r="AZ70" s="1314"/>
      <c r="BA70" s="1314"/>
      <c r="BB70" s="1314"/>
      <c r="BC70" s="1314"/>
      <c r="BD70" s="1314"/>
    </row>
    <row r="71" spans="1:56" ht="24.75" customHeight="1" x14ac:dyDescent="0.25">
      <c r="A71" s="1826">
        <v>46</v>
      </c>
      <c r="B71" s="961" t="s">
        <v>2523</v>
      </c>
      <c r="C71" s="1267" t="s">
        <v>6286</v>
      </c>
      <c r="D71" s="1267" t="s">
        <v>616</v>
      </c>
      <c r="E71" s="1267" t="s">
        <v>6167</v>
      </c>
      <c r="F71" s="1354" t="s">
        <v>6168</v>
      </c>
      <c r="G71" s="1243">
        <v>10887</v>
      </c>
      <c r="H71" s="1246" t="s">
        <v>6291</v>
      </c>
      <c r="I71" s="1354" t="s">
        <v>6290</v>
      </c>
      <c r="J71" s="510" t="s">
        <v>1406</v>
      </c>
      <c r="K71" s="1244">
        <v>41194</v>
      </c>
      <c r="L71" s="948">
        <v>22799.88</v>
      </c>
      <c r="M71" s="1243">
        <v>10918</v>
      </c>
      <c r="N71" s="1244">
        <v>41194</v>
      </c>
      <c r="O71" s="1558">
        <v>41730</v>
      </c>
      <c r="P71" s="1267" t="s">
        <v>6238</v>
      </c>
      <c r="Q71" s="1267" t="s">
        <v>6291</v>
      </c>
      <c r="R71" s="1267" t="s">
        <v>6172</v>
      </c>
      <c r="S71" s="1267"/>
      <c r="T71" s="1267" t="s">
        <v>208</v>
      </c>
      <c r="U71" s="1267" t="s">
        <v>1224</v>
      </c>
      <c r="V71" s="1267" t="s">
        <v>6278</v>
      </c>
      <c r="W71" s="959">
        <v>11184</v>
      </c>
      <c r="X71" s="1267" t="s">
        <v>6279</v>
      </c>
      <c r="Y71" s="1313">
        <v>41558</v>
      </c>
      <c r="Z71" s="1313">
        <v>41923</v>
      </c>
      <c r="AA71" s="1267"/>
      <c r="AB71" s="1267"/>
      <c r="AC71" s="1267"/>
      <c r="AD71" s="1267"/>
      <c r="AE71" s="1267"/>
      <c r="AF71" s="935"/>
      <c r="AG71" s="929">
        <v>8232.57</v>
      </c>
      <c r="AH71" s="939">
        <f t="shared" si="0"/>
        <v>8232.57</v>
      </c>
      <c r="AI71" s="960"/>
      <c r="AJ71" s="1286"/>
      <c r="AK71" s="1318"/>
      <c r="AL71" s="1286"/>
      <c r="AM71" s="1318"/>
      <c r="AN71" s="946"/>
      <c r="AO71" s="944"/>
      <c r="AP71" s="944"/>
      <c r="AQ71" s="944"/>
      <c r="AR71" s="944"/>
      <c r="AS71" s="945"/>
      <c r="AT71" s="1350"/>
      <c r="AU71" s="1314"/>
      <c r="AV71" s="1314"/>
      <c r="AW71" s="1314"/>
      <c r="AX71" s="1314"/>
      <c r="AY71" s="1314"/>
      <c r="AZ71" s="1314"/>
      <c r="BA71" s="1314"/>
      <c r="BB71" s="1314"/>
      <c r="BC71" s="1314"/>
      <c r="BD71" s="1314"/>
    </row>
    <row r="72" spans="1:56" ht="30" customHeight="1" x14ac:dyDescent="0.25">
      <c r="A72" s="1826">
        <v>47</v>
      </c>
      <c r="B72" s="961" t="s">
        <v>2523</v>
      </c>
      <c r="C72" s="1267" t="s">
        <v>6286</v>
      </c>
      <c r="D72" s="1267" t="s">
        <v>616</v>
      </c>
      <c r="E72" s="1267" t="s">
        <v>6167</v>
      </c>
      <c r="F72" s="1354" t="s">
        <v>6168</v>
      </c>
      <c r="G72" s="1243">
        <v>10887</v>
      </c>
      <c r="H72" s="1246" t="s">
        <v>6292</v>
      </c>
      <c r="I72" s="1354" t="s">
        <v>6290</v>
      </c>
      <c r="J72" s="510" t="s">
        <v>1406</v>
      </c>
      <c r="K72" s="1244">
        <v>41194</v>
      </c>
      <c r="L72" s="948">
        <v>22799.88</v>
      </c>
      <c r="M72" s="1243">
        <v>10918</v>
      </c>
      <c r="N72" s="1244">
        <v>41194</v>
      </c>
      <c r="O72" s="1558">
        <v>41730</v>
      </c>
      <c r="P72" s="1267" t="s">
        <v>6238</v>
      </c>
      <c r="Q72" s="1267" t="s">
        <v>6292</v>
      </c>
      <c r="R72" s="1267" t="s">
        <v>6172</v>
      </c>
      <c r="S72" s="1267"/>
      <c r="T72" s="1267" t="s">
        <v>208</v>
      </c>
      <c r="U72" s="1267" t="s">
        <v>1224</v>
      </c>
      <c r="V72" s="1267" t="s">
        <v>6278</v>
      </c>
      <c r="W72" s="959">
        <v>11184</v>
      </c>
      <c r="X72" s="1267" t="s">
        <v>6279</v>
      </c>
      <c r="Y72" s="1313">
        <v>41558</v>
      </c>
      <c r="Z72" s="1313">
        <v>41923</v>
      </c>
      <c r="AA72" s="1267"/>
      <c r="AB72" s="1267"/>
      <c r="AC72" s="1267"/>
      <c r="AD72" s="1267"/>
      <c r="AE72" s="1267"/>
      <c r="AF72" s="935"/>
      <c r="AG72" s="929">
        <v>6966.57</v>
      </c>
      <c r="AH72" s="939">
        <f t="shared" si="0"/>
        <v>6966.57</v>
      </c>
      <c r="AI72" s="960"/>
      <c r="AJ72" s="1286"/>
      <c r="AK72" s="1318"/>
      <c r="AL72" s="1286"/>
      <c r="AM72" s="1318"/>
      <c r="AN72" s="946"/>
      <c r="AO72" s="944"/>
      <c r="AP72" s="944"/>
      <c r="AQ72" s="944"/>
      <c r="AR72" s="944"/>
      <c r="AS72" s="945"/>
      <c r="AT72" s="1350"/>
      <c r="AU72" s="1314"/>
      <c r="AV72" s="1314"/>
      <c r="AW72" s="1314"/>
      <c r="AX72" s="1314"/>
      <c r="AY72" s="1314"/>
      <c r="AZ72" s="1314"/>
      <c r="BA72" s="1314"/>
      <c r="BB72" s="1314"/>
      <c r="BC72" s="1314"/>
      <c r="BD72" s="1314"/>
    </row>
    <row r="73" spans="1:56" ht="41.25" customHeight="1" x14ac:dyDescent="0.25">
      <c r="A73" s="1826">
        <v>48</v>
      </c>
      <c r="B73" s="961" t="s">
        <v>2523</v>
      </c>
      <c r="C73" s="1267" t="s">
        <v>6286</v>
      </c>
      <c r="D73" s="1267" t="s">
        <v>616</v>
      </c>
      <c r="E73" s="1267" t="s">
        <v>6167</v>
      </c>
      <c r="F73" s="1354" t="s">
        <v>6168</v>
      </c>
      <c r="G73" s="1243">
        <v>10887</v>
      </c>
      <c r="H73" s="1246" t="s">
        <v>6293</v>
      </c>
      <c r="I73" s="1354" t="s">
        <v>6290</v>
      </c>
      <c r="J73" s="510" t="s">
        <v>1406</v>
      </c>
      <c r="K73" s="1244">
        <v>41194</v>
      </c>
      <c r="L73" s="948">
        <v>22799.88</v>
      </c>
      <c r="M73" s="1243">
        <v>10918</v>
      </c>
      <c r="N73" s="1244">
        <v>41194</v>
      </c>
      <c r="O73" s="1558">
        <v>41730</v>
      </c>
      <c r="P73" s="1267" t="s">
        <v>6238</v>
      </c>
      <c r="Q73" s="1267" t="s">
        <v>6293</v>
      </c>
      <c r="R73" s="1267" t="s">
        <v>6172</v>
      </c>
      <c r="S73" s="1267"/>
      <c r="T73" s="1267" t="s">
        <v>208</v>
      </c>
      <c r="U73" s="1267" t="s">
        <v>1224</v>
      </c>
      <c r="V73" s="1267" t="s">
        <v>6278</v>
      </c>
      <c r="W73" s="959">
        <v>11184</v>
      </c>
      <c r="X73" s="1267" t="s">
        <v>6279</v>
      </c>
      <c r="Y73" s="1313">
        <v>41558</v>
      </c>
      <c r="Z73" s="1313">
        <v>41923</v>
      </c>
      <c r="AA73" s="1267"/>
      <c r="AB73" s="1267"/>
      <c r="AC73" s="1267"/>
      <c r="AD73" s="1267"/>
      <c r="AE73" s="1267"/>
      <c r="AF73" s="935"/>
      <c r="AG73" s="929">
        <v>6966.57</v>
      </c>
      <c r="AH73" s="939">
        <f t="shared" si="0"/>
        <v>6966.57</v>
      </c>
      <c r="AI73" s="960"/>
      <c r="AJ73" s="1286"/>
      <c r="AK73" s="1318"/>
      <c r="AL73" s="1286"/>
      <c r="AM73" s="1318"/>
      <c r="AN73" s="946"/>
      <c r="AO73" s="944"/>
      <c r="AP73" s="944"/>
      <c r="AQ73" s="944"/>
      <c r="AR73" s="944"/>
      <c r="AS73" s="945"/>
      <c r="AT73" s="1350"/>
      <c r="AU73" s="1314"/>
      <c r="AV73" s="1314"/>
      <c r="AW73" s="1314"/>
      <c r="AX73" s="1314"/>
      <c r="AY73" s="1314"/>
      <c r="AZ73" s="1314"/>
      <c r="BA73" s="1314"/>
      <c r="BB73" s="1314"/>
      <c r="BC73" s="1314"/>
      <c r="BD73" s="1314"/>
    </row>
    <row r="74" spans="1:56" ht="43.5" customHeight="1" x14ac:dyDescent="0.25">
      <c r="A74" s="1826">
        <v>49</v>
      </c>
      <c r="B74" s="961" t="s">
        <v>2523</v>
      </c>
      <c r="C74" s="1267" t="s">
        <v>6286</v>
      </c>
      <c r="D74" s="1267" t="s">
        <v>616</v>
      </c>
      <c r="E74" s="1267" t="s">
        <v>6167</v>
      </c>
      <c r="F74" s="1354" t="s">
        <v>6168</v>
      </c>
      <c r="G74" s="1243">
        <v>10887</v>
      </c>
      <c r="H74" s="1263" t="s">
        <v>6294</v>
      </c>
      <c r="I74" s="962" t="s">
        <v>6290</v>
      </c>
      <c r="J74" s="510" t="s">
        <v>1406</v>
      </c>
      <c r="K74" s="1244">
        <v>41194</v>
      </c>
      <c r="L74" s="948">
        <v>22799.88</v>
      </c>
      <c r="M74" s="1243">
        <v>10918</v>
      </c>
      <c r="N74" s="1244">
        <v>41194</v>
      </c>
      <c r="O74" s="1558">
        <v>41730</v>
      </c>
      <c r="P74" s="1267" t="s">
        <v>6238</v>
      </c>
      <c r="Q74" s="1267" t="s">
        <v>6294</v>
      </c>
      <c r="R74" s="1267" t="s">
        <v>6172</v>
      </c>
      <c r="S74" s="1267"/>
      <c r="T74" s="1267" t="s">
        <v>208</v>
      </c>
      <c r="U74" s="1267" t="s">
        <v>1224</v>
      </c>
      <c r="V74" s="1267" t="s">
        <v>6278</v>
      </c>
      <c r="W74" s="959">
        <v>11184</v>
      </c>
      <c r="X74" s="1267" t="s">
        <v>6279</v>
      </c>
      <c r="Y74" s="1313">
        <v>41558</v>
      </c>
      <c r="Z74" s="1313">
        <v>41923</v>
      </c>
      <c r="AA74" s="1267"/>
      <c r="AB74" s="1267"/>
      <c r="AC74" s="1267"/>
      <c r="AD74" s="1267"/>
      <c r="AE74" s="1267"/>
      <c r="AF74" s="935"/>
      <c r="AG74" s="929">
        <v>6966.57</v>
      </c>
      <c r="AH74" s="939">
        <f t="shared" si="0"/>
        <v>6966.57</v>
      </c>
      <c r="AI74" s="960"/>
      <c r="AJ74" s="1286"/>
      <c r="AK74" s="1318"/>
      <c r="AL74" s="1286"/>
      <c r="AM74" s="1318"/>
      <c r="AN74" s="946"/>
      <c r="AO74" s="944"/>
      <c r="AP74" s="944"/>
      <c r="AQ74" s="944"/>
      <c r="AR74" s="944"/>
      <c r="AS74" s="945"/>
      <c r="AT74" s="1350"/>
      <c r="AU74" s="1314"/>
      <c r="AV74" s="1314"/>
      <c r="AW74" s="1314"/>
      <c r="AX74" s="1314"/>
      <c r="AY74" s="1314"/>
      <c r="AZ74" s="1314"/>
      <c r="BA74" s="1314"/>
      <c r="BB74" s="1314"/>
      <c r="BC74" s="1314"/>
      <c r="BD74" s="1314"/>
    </row>
    <row r="75" spans="1:56" ht="35.25" customHeight="1" x14ac:dyDescent="0.25">
      <c r="A75" s="1826">
        <v>50</v>
      </c>
      <c r="B75" s="1350" t="s">
        <v>2523</v>
      </c>
      <c r="C75" s="1267" t="s">
        <v>6286</v>
      </c>
      <c r="D75" s="1267" t="s">
        <v>616</v>
      </c>
      <c r="E75" s="1267" t="s">
        <v>6167</v>
      </c>
      <c r="F75" s="1354" t="s">
        <v>6168</v>
      </c>
      <c r="G75" s="1243">
        <v>10887</v>
      </c>
      <c r="H75" s="958" t="s">
        <v>6295</v>
      </c>
      <c r="I75" s="39" t="s">
        <v>6290</v>
      </c>
      <c r="J75" s="955" t="s">
        <v>1406</v>
      </c>
      <c r="K75" s="1244">
        <v>41194</v>
      </c>
      <c r="L75" s="929">
        <v>43200</v>
      </c>
      <c r="M75" s="1243">
        <v>10918</v>
      </c>
      <c r="N75" s="1244">
        <v>41194</v>
      </c>
      <c r="O75" s="1558">
        <v>41730</v>
      </c>
      <c r="P75" s="1267" t="s">
        <v>6238</v>
      </c>
      <c r="Q75" s="1267" t="s">
        <v>6295</v>
      </c>
      <c r="R75" s="1267" t="s">
        <v>6172</v>
      </c>
      <c r="S75" s="1267"/>
      <c r="T75" s="1267" t="s">
        <v>208</v>
      </c>
      <c r="U75" s="1267" t="s">
        <v>1224</v>
      </c>
      <c r="V75" s="1267" t="s">
        <v>6278</v>
      </c>
      <c r="W75" s="959">
        <v>11184</v>
      </c>
      <c r="X75" s="1267" t="s">
        <v>6279</v>
      </c>
      <c r="Y75" s="1313">
        <v>41558</v>
      </c>
      <c r="Z75" s="1313">
        <v>41923</v>
      </c>
      <c r="AA75" s="1267"/>
      <c r="AB75" s="1267"/>
      <c r="AC75" s="1267"/>
      <c r="AD75" s="1267"/>
      <c r="AE75" s="937"/>
      <c r="AF75" s="321"/>
      <c r="AG75" s="929">
        <v>12600</v>
      </c>
      <c r="AH75" s="939">
        <f t="shared" si="0"/>
        <v>12600</v>
      </c>
      <c r="AI75" s="1286"/>
      <c r="AJ75" s="1318"/>
      <c r="AK75" s="1286"/>
      <c r="AL75" s="1318"/>
      <c r="AM75" s="946"/>
      <c r="AN75" s="944"/>
      <c r="AO75" s="944"/>
      <c r="AP75" s="944"/>
      <c r="AQ75" s="944"/>
      <c r="AR75" s="945"/>
      <c r="AS75" s="1350"/>
      <c r="AT75" s="1314"/>
      <c r="AU75" s="1314"/>
      <c r="AV75" s="1314"/>
      <c r="AW75" s="1314"/>
      <c r="AX75" s="1314"/>
      <c r="AY75" s="1314"/>
      <c r="AZ75" s="1314"/>
      <c r="BA75" s="1314"/>
      <c r="BB75" s="1314"/>
      <c r="BC75" s="1314"/>
      <c r="BD75" s="930"/>
    </row>
    <row r="76" spans="1:56" ht="28.5" customHeight="1" x14ac:dyDescent="0.25">
      <c r="A76" s="1826">
        <v>51</v>
      </c>
      <c r="B76" s="1350" t="s">
        <v>2523</v>
      </c>
      <c r="C76" s="1267" t="s">
        <v>6286</v>
      </c>
      <c r="D76" s="1267" t="s">
        <v>616</v>
      </c>
      <c r="E76" s="1267" t="s">
        <v>6167</v>
      </c>
      <c r="F76" s="1354" t="s">
        <v>6168</v>
      </c>
      <c r="G76" s="1243">
        <v>10887</v>
      </c>
      <c r="H76" s="958" t="s">
        <v>6296</v>
      </c>
      <c r="I76" s="39" t="s">
        <v>6290</v>
      </c>
      <c r="J76" s="955" t="s">
        <v>1406</v>
      </c>
      <c r="K76" s="1244">
        <v>41194</v>
      </c>
      <c r="L76" s="929">
        <v>43200</v>
      </c>
      <c r="M76" s="1243">
        <v>10918</v>
      </c>
      <c r="N76" s="1244">
        <v>41194</v>
      </c>
      <c r="O76" s="1558">
        <v>41730</v>
      </c>
      <c r="P76" s="1267" t="s">
        <v>6238</v>
      </c>
      <c r="Q76" s="1267" t="s">
        <v>6296</v>
      </c>
      <c r="R76" s="1267" t="s">
        <v>6172</v>
      </c>
      <c r="S76" s="1267"/>
      <c r="T76" s="1267" t="s">
        <v>208</v>
      </c>
      <c r="U76" s="1267" t="s">
        <v>1224</v>
      </c>
      <c r="V76" s="1267" t="s">
        <v>6278</v>
      </c>
      <c r="W76" s="959">
        <v>11184</v>
      </c>
      <c r="X76" s="1267" t="s">
        <v>6279</v>
      </c>
      <c r="Y76" s="1313">
        <v>41558</v>
      </c>
      <c r="Z76" s="1313">
        <v>41923</v>
      </c>
      <c r="AA76" s="1267"/>
      <c r="AB76" s="1267"/>
      <c r="AC76" s="1267"/>
      <c r="AD76" s="1267"/>
      <c r="AE76" s="937"/>
      <c r="AF76" s="321"/>
      <c r="AG76" s="929">
        <v>12600</v>
      </c>
      <c r="AH76" s="939">
        <f t="shared" si="0"/>
        <v>12600</v>
      </c>
      <c r="AI76" s="1286"/>
      <c r="AJ76" s="1318"/>
      <c r="AK76" s="1286"/>
      <c r="AL76" s="1318"/>
      <c r="AM76" s="946"/>
      <c r="AN76" s="944"/>
      <c r="AO76" s="944"/>
      <c r="AP76" s="944"/>
      <c r="AQ76" s="944"/>
      <c r="AR76" s="945"/>
      <c r="AS76" s="1350"/>
      <c r="AT76" s="1314"/>
      <c r="AU76" s="1314"/>
      <c r="AV76" s="1314"/>
      <c r="AW76" s="1314"/>
      <c r="AX76" s="1314"/>
      <c r="AY76" s="1314"/>
      <c r="AZ76" s="1314"/>
      <c r="BA76" s="1314"/>
      <c r="BB76" s="1314"/>
      <c r="BC76" s="1314"/>
      <c r="BD76" s="930"/>
    </row>
    <row r="77" spans="1:56" ht="27.75" customHeight="1" x14ac:dyDescent="0.25">
      <c r="A77" s="1826">
        <v>52</v>
      </c>
      <c r="B77" s="1350" t="s">
        <v>2523</v>
      </c>
      <c r="C77" s="1267" t="s">
        <v>6286</v>
      </c>
      <c r="D77" s="1267" t="s">
        <v>616</v>
      </c>
      <c r="E77" s="1267" t="s">
        <v>6167</v>
      </c>
      <c r="F77" s="1354" t="s">
        <v>6168</v>
      </c>
      <c r="G77" s="1243">
        <v>10887</v>
      </c>
      <c r="H77" s="958" t="s">
        <v>6297</v>
      </c>
      <c r="I77" s="39" t="s">
        <v>6290</v>
      </c>
      <c r="J77" s="955" t="s">
        <v>1406</v>
      </c>
      <c r="K77" s="1244">
        <v>41194</v>
      </c>
      <c r="L77" s="929">
        <v>54000</v>
      </c>
      <c r="M77" s="1243">
        <v>10918</v>
      </c>
      <c r="N77" s="1244">
        <v>41194</v>
      </c>
      <c r="O77" s="1558">
        <v>41730</v>
      </c>
      <c r="P77" s="1267" t="s">
        <v>6238</v>
      </c>
      <c r="Q77" s="1267" t="s">
        <v>6297</v>
      </c>
      <c r="R77" s="1267" t="s">
        <v>6172</v>
      </c>
      <c r="S77" s="1267"/>
      <c r="T77" s="1267" t="s">
        <v>208</v>
      </c>
      <c r="U77" s="1267" t="s">
        <v>1224</v>
      </c>
      <c r="V77" s="1267" t="s">
        <v>6278</v>
      </c>
      <c r="W77" s="959">
        <v>11184</v>
      </c>
      <c r="X77" s="1267" t="s">
        <v>6279</v>
      </c>
      <c r="Y77" s="1313">
        <v>41558</v>
      </c>
      <c r="Z77" s="1313">
        <v>41923</v>
      </c>
      <c r="AA77" s="1267"/>
      <c r="AB77" s="1267"/>
      <c r="AC77" s="1267"/>
      <c r="AD77" s="1267"/>
      <c r="AE77" s="937"/>
      <c r="AF77" s="321"/>
      <c r="AG77" s="929">
        <v>16500</v>
      </c>
      <c r="AH77" s="939">
        <f t="shared" si="0"/>
        <v>16500</v>
      </c>
      <c r="AI77" s="1286"/>
      <c r="AJ77" s="1318"/>
      <c r="AK77" s="1286"/>
      <c r="AL77" s="1318"/>
      <c r="AM77" s="946"/>
      <c r="AN77" s="944"/>
      <c r="AO77" s="944"/>
      <c r="AP77" s="944"/>
      <c r="AQ77" s="944"/>
      <c r="AR77" s="945"/>
      <c r="AS77" s="1350"/>
      <c r="AT77" s="1314"/>
      <c r="AU77" s="1314"/>
      <c r="AV77" s="1314"/>
      <c r="AW77" s="1314"/>
      <c r="AX77" s="1314"/>
      <c r="AY77" s="1314"/>
      <c r="AZ77" s="1314"/>
      <c r="BA77" s="1314"/>
      <c r="BB77" s="1314"/>
      <c r="BC77" s="1314"/>
      <c r="BD77" s="930"/>
    </row>
    <row r="78" spans="1:56" s="422" customFormat="1" ht="29.25" customHeight="1" x14ac:dyDescent="0.25">
      <c r="A78" s="1827">
        <v>53</v>
      </c>
      <c r="B78" s="1276"/>
      <c r="C78" s="1239"/>
      <c r="D78" s="1239" t="s">
        <v>616</v>
      </c>
      <c r="E78" s="1239" t="s">
        <v>6167</v>
      </c>
      <c r="F78" s="1354" t="s">
        <v>6168</v>
      </c>
      <c r="G78" s="1243"/>
      <c r="H78" s="963" t="s">
        <v>6298</v>
      </c>
      <c r="I78" s="1262" t="s">
        <v>6299</v>
      </c>
      <c r="J78" s="964" t="s">
        <v>6300</v>
      </c>
      <c r="K78" s="1332">
        <v>41225</v>
      </c>
      <c r="L78" s="948">
        <v>10188</v>
      </c>
      <c r="M78" s="1243">
        <v>10918</v>
      </c>
      <c r="N78" s="1244">
        <v>41194</v>
      </c>
      <c r="O78" s="1332">
        <v>42370</v>
      </c>
      <c r="P78" s="1239" t="s">
        <v>6238</v>
      </c>
      <c r="Q78" s="1239" t="s">
        <v>6298</v>
      </c>
      <c r="R78" s="1239" t="s">
        <v>6172</v>
      </c>
      <c r="S78" s="1239"/>
      <c r="T78" s="1239" t="s">
        <v>158</v>
      </c>
      <c r="U78" s="1239" t="s">
        <v>1227</v>
      </c>
      <c r="V78" s="1332" t="s">
        <v>6278</v>
      </c>
      <c r="W78" s="1243">
        <v>11444</v>
      </c>
      <c r="X78" s="1239" t="s">
        <v>6301</v>
      </c>
      <c r="Y78" s="1239"/>
      <c r="Z78" s="1239"/>
      <c r="AA78" s="1239"/>
      <c r="AB78" s="1239"/>
      <c r="AC78" s="1239"/>
      <c r="AD78" s="1239"/>
      <c r="AE78" s="1321"/>
      <c r="AF78" s="1285" t="s">
        <v>593</v>
      </c>
      <c r="AG78" s="948">
        <v>11707.04</v>
      </c>
      <c r="AH78" s="948">
        <v>11707.04</v>
      </c>
      <c r="AI78" s="1268"/>
      <c r="AJ78" s="1338"/>
      <c r="AK78" s="1268"/>
      <c r="AL78" s="1338"/>
      <c r="AM78" s="179"/>
      <c r="AN78" s="181"/>
      <c r="AO78" s="181"/>
      <c r="AP78" s="181"/>
      <c r="AQ78" s="181"/>
      <c r="AR78" s="182"/>
      <c r="AS78" s="1276"/>
      <c r="AT78" s="1248"/>
      <c r="AU78" s="1248"/>
      <c r="AV78" s="1248"/>
      <c r="AW78" s="1248"/>
      <c r="AX78" s="1248"/>
      <c r="AY78" s="1248"/>
      <c r="AZ78" s="1248"/>
      <c r="BA78" s="1248"/>
      <c r="BB78" s="1248"/>
      <c r="BC78" s="1248"/>
      <c r="BD78" s="1248"/>
    </row>
    <row r="79" spans="1:56" ht="42.75" customHeight="1" x14ac:dyDescent="0.25">
      <c r="A79" s="1826">
        <v>54</v>
      </c>
      <c r="B79" s="1350" t="s">
        <v>6302</v>
      </c>
      <c r="C79" s="1267" t="s">
        <v>6303</v>
      </c>
      <c r="D79" s="1267" t="s">
        <v>616</v>
      </c>
      <c r="E79" s="1267" t="s">
        <v>6167</v>
      </c>
      <c r="F79" s="510" t="s">
        <v>4507</v>
      </c>
      <c r="G79" s="1263">
        <v>10754</v>
      </c>
      <c r="H79" s="953" t="s">
        <v>1430</v>
      </c>
      <c r="I79" s="510" t="s">
        <v>3536</v>
      </c>
      <c r="J79" s="955" t="s">
        <v>4219</v>
      </c>
      <c r="K79" s="1558">
        <v>41305</v>
      </c>
      <c r="L79" s="965">
        <v>171380.05</v>
      </c>
      <c r="M79" s="1263">
        <v>10987</v>
      </c>
      <c r="N79" s="1558">
        <v>41305</v>
      </c>
      <c r="O79" s="966">
        <v>41669</v>
      </c>
      <c r="P79" s="1267" t="s">
        <v>6238</v>
      </c>
      <c r="Q79" s="1315" t="s">
        <v>1430</v>
      </c>
      <c r="R79" s="1267" t="s">
        <v>6172</v>
      </c>
      <c r="S79" s="1267"/>
      <c r="T79" s="1267" t="s">
        <v>316</v>
      </c>
      <c r="U79" s="1267" t="s">
        <v>1224</v>
      </c>
      <c r="V79" s="1267" t="s">
        <v>6278</v>
      </c>
      <c r="W79" s="1263">
        <v>11247</v>
      </c>
      <c r="X79" s="1267" t="s">
        <v>6279</v>
      </c>
      <c r="Y79" s="1313">
        <v>41680</v>
      </c>
      <c r="Z79" s="1313">
        <v>42044</v>
      </c>
      <c r="AA79" s="1267">
        <v>0</v>
      </c>
      <c r="AB79" s="1267">
        <v>0</v>
      </c>
      <c r="AC79" s="1267">
        <v>0</v>
      </c>
      <c r="AD79" s="1267">
        <v>0</v>
      </c>
      <c r="AE79" s="937">
        <v>0</v>
      </c>
      <c r="AF79" s="321"/>
      <c r="AG79" s="929">
        <v>6500</v>
      </c>
      <c r="AH79" s="929">
        <f t="shared" si="0"/>
        <v>6500</v>
      </c>
      <c r="AI79" s="1350" t="s">
        <v>6304</v>
      </c>
      <c r="AJ79" s="1263">
        <v>10734</v>
      </c>
      <c r="AK79" s="1267" t="s">
        <v>6305</v>
      </c>
      <c r="AL79" s="1263">
        <v>10898</v>
      </c>
      <c r="AM79" s="946"/>
      <c r="AN79" s="944"/>
      <c r="AO79" s="944"/>
      <c r="AP79" s="944"/>
      <c r="AQ79" s="944"/>
      <c r="AR79" s="945"/>
      <c r="AS79" s="1350"/>
      <c r="AT79" s="1314"/>
      <c r="AU79" s="1314"/>
      <c r="AV79" s="1314"/>
      <c r="AW79" s="1314"/>
      <c r="AX79" s="1314"/>
      <c r="AY79" s="1314"/>
      <c r="AZ79" s="1314"/>
      <c r="BA79" s="1314"/>
      <c r="BB79" s="1314"/>
      <c r="BC79" s="1314"/>
      <c r="BD79" s="1314"/>
    </row>
    <row r="80" spans="1:56" ht="26.25" customHeight="1" x14ac:dyDescent="0.25">
      <c r="A80" s="1826">
        <v>55</v>
      </c>
      <c r="B80" s="1350" t="s">
        <v>6306</v>
      </c>
      <c r="C80" s="1267" t="s">
        <v>6307</v>
      </c>
      <c r="D80" s="1267" t="s">
        <v>616</v>
      </c>
      <c r="E80" s="1267" t="s">
        <v>6167</v>
      </c>
      <c r="F80" s="630" t="s">
        <v>6308</v>
      </c>
      <c r="G80" s="967">
        <v>10987</v>
      </c>
      <c r="H80" s="958" t="s">
        <v>1478</v>
      </c>
      <c r="I80" s="39" t="s">
        <v>6309</v>
      </c>
      <c r="J80" s="955" t="s">
        <v>6310</v>
      </c>
      <c r="K80" s="1558">
        <v>41306</v>
      </c>
      <c r="L80" s="929">
        <v>161880</v>
      </c>
      <c r="M80" s="1263">
        <v>10987</v>
      </c>
      <c r="N80" s="1558">
        <v>41306</v>
      </c>
      <c r="O80" s="1558">
        <v>41670</v>
      </c>
      <c r="P80" s="1267" t="s">
        <v>6238</v>
      </c>
      <c r="Q80" s="1267" t="s">
        <v>1478</v>
      </c>
      <c r="R80" s="1267" t="s">
        <v>6172</v>
      </c>
      <c r="S80" s="1267"/>
      <c r="T80" s="1267" t="s">
        <v>208</v>
      </c>
      <c r="U80" s="1267" t="s">
        <v>1224</v>
      </c>
      <c r="V80" s="1267" t="s">
        <v>6278</v>
      </c>
      <c r="W80" s="1263">
        <v>11247</v>
      </c>
      <c r="X80" s="1267" t="s">
        <v>6279</v>
      </c>
      <c r="Y80" s="1313">
        <v>41677</v>
      </c>
      <c r="Z80" s="1313">
        <v>42037</v>
      </c>
      <c r="AA80" s="1267">
        <v>0</v>
      </c>
      <c r="AB80" s="1267">
        <v>0</v>
      </c>
      <c r="AC80" s="1267">
        <v>0</v>
      </c>
      <c r="AD80" s="1267">
        <v>0</v>
      </c>
      <c r="AE80" s="937">
        <v>0</v>
      </c>
      <c r="AF80" s="321"/>
      <c r="AG80" s="929">
        <v>10800</v>
      </c>
      <c r="AH80" s="929">
        <f t="shared" si="0"/>
        <v>10800</v>
      </c>
      <c r="AI80" s="968"/>
      <c r="AJ80" s="941"/>
      <c r="AK80" s="524"/>
      <c r="AL80" s="616"/>
      <c r="AM80" s="944"/>
      <c r="AN80" s="944"/>
      <c r="AO80" s="944"/>
      <c r="AP80" s="944"/>
      <c r="AQ80" s="944"/>
      <c r="AR80" s="945"/>
      <c r="AS80" s="1350"/>
      <c r="AT80" s="1314"/>
      <c r="AU80" s="1314"/>
      <c r="AV80" s="1314"/>
      <c r="AW80" s="1314"/>
      <c r="AX80" s="1314"/>
      <c r="AY80" s="1314"/>
      <c r="AZ80" s="1314"/>
      <c r="BA80" s="1314"/>
      <c r="BB80" s="1314"/>
      <c r="BC80" s="1314"/>
      <c r="BD80" s="1314"/>
    </row>
    <row r="81" spans="1:56" s="422" customFormat="1" ht="26.25" customHeight="1" x14ac:dyDescent="0.25">
      <c r="A81" s="1828">
        <v>56</v>
      </c>
      <c r="B81" s="969"/>
      <c r="C81" s="1250" t="s">
        <v>6311</v>
      </c>
      <c r="D81" s="1239" t="s">
        <v>616</v>
      </c>
      <c r="E81" s="1239" t="s">
        <v>6167</v>
      </c>
      <c r="F81" s="1330" t="s">
        <v>4213</v>
      </c>
      <c r="G81" s="970">
        <v>11053</v>
      </c>
      <c r="H81" s="1328" t="s">
        <v>3762</v>
      </c>
      <c r="I81" s="971" t="s">
        <v>5055</v>
      </c>
      <c r="J81" s="1308" t="s">
        <v>4325</v>
      </c>
      <c r="K81" s="1293">
        <v>41402</v>
      </c>
      <c r="L81" s="972">
        <v>69030</v>
      </c>
      <c r="M81" s="1256">
        <v>10985</v>
      </c>
      <c r="N81" s="1293">
        <v>41402</v>
      </c>
      <c r="O81" s="1293">
        <v>42133</v>
      </c>
      <c r="P81" s="1239" t="s">
        <v>6238</v>
      </c>
      <c r="Q81" s="1250" t="s">
        <v>3762</v>
      </c>
      <c r="R81" s="1239" t="s">
        <v>6172</v>
      </c>
      <c r="S81" s="1250"/>
      <c r="T81" s="1239" t="s">
        <v>208</v>
      </c>
      <c r="U81" s="1250"/>
      <c r="V81" s="1258"/>
      <c r="W81" s="1256"/>
      <c r="X81" s="1239"/>
      <c r="Y81" s="1258"/>
      <c r="Z81" s="1258"/>
      <c r="AA81" s="1250"/>
      <c r="AB81" s="1250"/>
      <c r="AC81" s="1250"/>
      <c r="AD81" s="1250"/>
      <c r="AE81" s="1321"/>
      <c r="AF81" s="347"/>
      <c r="AG81" s="972">
        <v>178759.76</v>
      </c>
      <c r="AH81" s="948">
        <f t="shared" si="0"/>
        <v>178759.76</v>
      </c>
      <c r="AI81" s="973"/>
      <c r="AJ81" s="1295"/>
      <c r="AK81" s="285"/>
      <c r="AL81" s="626"/>
      <c r="AM81" s="287"/>
      <c r="AN81" s="287"/>
      <c r="AO81" s="287"/>
      <c r="AP81" s="287"/>
      <c r="AQ81" s="287"/>
      <c r="AR81" s="288"/>
      <c r="AS81" s="1301"/>
      <c r="AT81" s="1322"/>
      <c r="AU81" s="1322"/>
      <c r="AV81" s="1322"/>
      <c r="AW81" s="1322"/>
      <c r="AX81" s="1322"/>
      <c r="AY81" s="1322"/>
      <c r="AZ81" s="1322"/>
      <c r="BA81" s="1322"/>
      <c r="BB81" s="1322"/>
      <c r="BC81" s="1322"/>
      <c r="BD81" s="1248"/>
    </row>
    <row r="82" spans="1:56" s="422" customFormat="1" ht="36.75" customHeight="1" x14ac:dyDescent="0.25">
      <c r="A82" s="1828">
        <v>57</v>
      </c>
      <c r="B82" s="1301" t="s">
        <v>6312</v>
      </c>
      <c r="C82" s="1250" t="s">
        <v>6313</v>
      </c>
      <c r="D82" s="1239" t="s">
        <v>616</v>
      </c>
      <c r="E82" s="1239" t="s">
        <v>6167</v>
      </c>
      <c r="F82" s="1330" t="s">
        <v>6314</v>
      </c>
      <c r="G82" s="1243">
        <v>10185</v>
      </c>
      <c r="H82" s="1328" t="s">
        <v>1717</v>
      </c>
      <c r="I82" s="1308" t="s">
        <v>6315</v>
      </c>
      <c r="J82" s="1308" t="s">
        <v>806</v>
      </c>
      <c r="K82" s="1293">
        <v>41387</v>
      </c>
      <c r="L82" s="972">
        <v>180420</v>
      </c>
      <c r="M82" s="1256">
        <v>11184</v>
      </c>
      <c r="N82" s="1293">
        <v>41387</v>
      </c>
      <c r="O82" s="1293">
        <v>42370</v>
      </c>
      <c r="P82" s="1250" t="s">
        <v>6171</v>
      </c>
      <c r="Q82" s="1250" t="s">
        <v>1717</v>
      </c>
      <c r="R82" s="1239" t="s">
        <v>6172</v>
      </c>
      <c r="S82" s="1250"/>
      <c r="T82" s="1250"/>
      <c r="U82" s="1239" t="s">
        <v>1224</v>
      </c>
      <c r="V82" s="1332" t="s">
        <v>6278</v>
      </c>
      <c r="W82" s="1256">
        <v>11221</v>
      </c>
      <c r="X82" s="1239" t="s">
        <v>6279</v>
      </c>
      <c r="Y82" s="1258"/>
      <c r="Z82" s="1258">
        <v>42006</v>
      </c>
      <c r="AA82" s="1250"/>
      <c r="AB82" s="1250"/>
      <c r="AC82" s="1250"/>
      <c r="AD82" s="1250"/>
      <c r="AE82" s="1321"/>
      <c r="AF82" s="347"/>
      <c r="AG82" s="972">
        <v>33681.800000000003</v>
      </c>
      <c r="AH82" s="949">
        <f t="shared" si="0"/>
        <v>33681.800000000003</v>
      </c>
      <c r="AI82" s="974"/>
      <c r="AJ82" s="1295"/>
      <c r="AK82" s="285"/>
      <c r="AL82" s="626"/>
      <c r="AM82" s="287"/>
      <c r="AN82" s="287"/>
      <c r="AO82" s="287"/>
      <c r="AP82" s="287"/>
      <c r="AQ82" s="287"/>
      <c r="AR82" s="288"/>
      <c r="AS82" s="1301"/>
      <c r="AT82" s="1322"/>
      <c r="AU82" s="1322"/>
      <c r="AV82" s="1322"/>
      <c r="AW82" s="1322"/>
      <c r="AX82" s="1322"/>
      <c r="AY82" s="1322"/>
      <c r="AZ82" s="1322"/>
      <c r="BA82" s="1322"/>
      <c r="BB82" s="1322"/>
      <c r="BC82" s="1322"/>
      <c r="BD82" s="1248"/>
    </row>
    <row r="83" spans="1:56" s="422" customFormat="1" ht="36.75" customHeight="1" x14ac:dyDescent="0.25">
      <c r="A83" s="1828">
        <v>58</v>
      </c>
      <c r="B83" s="1301"/>
      <c r="C83" s="1239" t="s">
        <v>6316</v>
      </c>
      <c r="D83" s="1239" t="s">
        <v>616</v>
      </c>
      <c r="E83" s="1239" t="s">
        <v>6167</v>
      </c>
      <c r="F83" s="1330" t="s">
        <v>6317</v>
      </c>
      <c r="G83" s="970">
        <v>11063</v>
      </c>
      <c r="H83" s="1328" t="s">
        <v>6318</v>
      </c>
      <c r="I83" s="1308" t="s">
        <v>6319</v>
      </c>
      <c r="J83" s="1308" t="s">
        <v>6320</v>
      </c>
      <c r="K83" s="1293">
        <v>41423</v>
      </c>
      <c r="L83" s="972">
        <v>631419.25</v>
      </c>
      <c r="M83" s="1256">
        <v>11205</v>
      </c>
      <c r="N83" s="1293">
        <v>41423</v>
      </c>
      <c r="O83" s="1293">
        <v>42370</v>
      </c>
      <c r="P83" s="1250" t="s">
        <v>6171</v>
      </c>
      <c r="Q83" s="1250" t="s">
        <v>6318</v>
      </c>
      <c r="R83" s="1239" t="s">
        <v>6172</v>
      </c>
      <c r="S83" s="1250"/>
      <c r="T83" s="1250" t="s">
        <v>208</v>
      </c>
      <c r="U83" s="1250" t="s">
        <v>6321</v>
      </c>
      <c r="V83" s="1332" t="s">
        <v>6278</v>
      </c>
      <c r="W83" s="1256">
        <v>11221</v>
      </c>
      <c r="X83" s="1239" t="s">
        <v>6279</v>
      </c>
      <c r="Y83" s="1258"/>
      <c r="Z83" s="1258">
        <v>42006</v>
      </c>
      <c r="AA83" s="1250"/>
      <c r="AB83" s="1250"/>
      <c r="AC83" s="1250"/>
      <c r="AD83" s="1250"/>
      <c r="AE83" s="1321"/>
      <c r="AF83" s="347"/>
      <c r="AG83" s="972">
        <v>7515</v>
      </c>
      <c r="AH83" s="949">
        <f t="shared" si="0"/>
        <v>7515</v>
      </c>
      <c r="AI83" s="974"/>
      <c r="AJ83" s="1295"/>
      <c r="AK83" s="285"/>
      <c r="AL83" s="626"/>
      <c r="AM83" s="287"/>
      <c r="AN83" s="287"/>
      <c r="AO83" s="287"/>
      <c r="AP83" s="287"/>
      <c r="AQ83" s="287"/>
      <c r="AR83" s="288"/>
      <c r="AS83" s="1301"/>
      <c r="AT83" s="1322"/>
      <c r="AU83" s="1322"/>
      <c r="AV83" s="1322"/>
      <c r="AW83" s="1322"/>
      <c r="AX83" s="1322"/>
      <c r="AY83" s="1322"/>
      <c r="AZ83" s="1322"/>
      <c r="BA83" s="1322"/>
      <c r="BB83" s="1322"/>
      <c r="BC83" s="1322"/>
      <c r="BD83" s="1248"/>
    </row>
    <row r="84" spans="1:56" s="422" customFormat="1" ht="28.5" customHeight="1" x14ac:dyDescent="0.25">
      <c r="A84" s="1827">
        <v>59</v>
      </c>
      <c r="B84" s="1276" t="s">
        <v>6322</v>
      </c>
      <c r="C84" s="1239" t="s">
        <v>6323</v>
      </c>
      <c r="D84" s="1239" t="s">
        <v>616</v>
      </c>
      <c r="E84" s="1239" t="s">
        <v>6167</v>
      </c>
      <c r="F84" s="1341" t="s">
        <v>4507</v>
      </c>
      <c r="G84" s="970">
        <v>10987</v>
      </c>
      <c r="H84" s="1246" t="s">
        <v>1451</v>
      </c>
      <c r="I84" s="1354" t="s">
        <v>6319</v>
      </c>
      <c r="J84" s="1354" t="s">
        <v>6320</v>
      </c>
      <c r="K84" s="1332">
        <v>41307</v>
      </c>
      <c r="L84" s="948">
        <v>85304.4</v>
      </c>
      <c r="M84" s="1243">
        <v>11087</v>
      </c>
      <c r="N84" s="1332">
        <v>41307</v>
      </c>
      <c r="O84" s="1332">
        <v>42370</v>
      </c>
      <c r="P84" s="1239" t="s">
        <v>6171</v>
      </c>
      <c r="Q84" s="1239" t="s">
        <v>1451</v>
      </c>
      <c r="R84" s="1239" t="s">
        <v>6172</v>
      </c>
      <c r="S84" s="1239"/>
      <c r="T84" s="1239" t="s">
        <v>208</v>
      </c>
      <c r="U84" s="1239" t="s">
        <v>1224</v>
      </c>
      <c r="V84" s="1343">
        <v>41695</v>
      </c>
      <c r="W84" s="1243">
        <v>11251</v>
      </c>
      <c r="X84" s="1239" t="s">
        <v>6279</v>
      </c>
      <c r="Y84" s="1239"/>
      <c r="Z84" s="1244">
        <v>42037</v>
      </c>
      <c r="AA84" s="1239"/>
      <c r="AB84" s="1239"/>
      <c r="AC84" s="1239"/>
      <c r="AD84" s="1239"/>
      <c r="AE84" s="1319"/>
      <c r="AF84" s="1285"/>
      <c r="AG84" s="948">
        <v>8100.7</v>
      </c>
      <c r="AH84" s="948">
        <f t="shared" si="0"/>
        <v>8100.7</v>
      </c>
      <c r="AI84" s="974"/>
      <c r="AJ84" s="339"/>
      <c r="AK84" s="107"/>
      <c r="AL84" s="626"/>
      <c r="AM84" s="107"/>
      <c r="AN84" s="107"/>
      <c r="AO84" s="107"/>
      <c r="AP84" s="107"/>
      <c r="AQ84" s="107"/>
      <c r="AR84" s="107"/>
      <c r="AS84" s="1239"/>
      <c r="AT84" s="1248"/>
      <c r="AU84" s="1248"/>
      <c r="AV84" s="1248"/>
      <c r="AW84" s="1248"/>
      <c r="AX84" s="1248"/>
      <c r="AY84" s="1248"/>
      <c r="AZ84" s="1248"/>
      <c r="BA84" s="1248"/>
      <c r="BB84" s="1248"/>
      <c r="BC84" s="1248"/>
      <c r="BD84" s="1248"/>
    </row>
    <row r="85" spans="1:56" s="422" customFormat="1" ht="28.5" customHeight="1" x14ac:dyDescent="0.25">
      <c r="A85" s="1827">
        <v>60</v>
      </c>
      <c r="B85" s="1276" t="s">
        <v>6324</v>
      </c>
      <c r="C85" s="1239" t="s">
        <v>6325</v>
      </c>
      <c r="D85" s="1239" t="s">
        <v>616</v>
      </c>
      <c r="E85" s="1239" t="s">
        <v>6167</v>
      </c>
      <c r="F85" s="1341" t="s">
        <v>6326</v>
      </c>
      <c r="G85" s="970">
        <v>11187</v>
      </c>
      <c r="H85" s="1246" t="s">
        <v>3317</v>
      </c>
      <c r="I85" s="1354" t="s">
        <v>6315</v>
      </c>
      <c r="J85" s="1354" t="s">
        <v>806</v>
      </c>
      <c r="K85" s="1332">
        <v>41598</v>
      </c>
      <c r="L85" s="948">
        <v>273180</v>
      </c>
      <c r="M85" s="1243">
        <v>11187</v>
      </c>
      <c r="N85" s="1332">
        <v>41598</v>
      </c>
      <c r="O85" s="1332">
        <v>42329</v>
      </c>
      <c r="P85" s="1239" t="s">
        <v>6238</v>
      </c>
      <c r="Q85" s="1239" t="s">
        <v>3317</v>
      </c>
      <c r="R85" s="1239" t="s">
        <v>6172</v>
      </c>
      <c r="S85" s="1239"/>
      <c r="T85" s="1239" t="s">
        <v>208</v>
      </c>
      <c r="U85" s="1239" t="s">
        <v>1224</v>
      </c>
      <c r="V85" s="1343">
        <v>41981</v>
      </c>
      <c r="W85" s="1243">
        <v>11452</v>
      </c>
      <c r="X85" s="1239" t="s">
        <v>6279</v>
      </c>
      <c r="Y85" s="1239"/>
      <c r="Z85" s="1244">
        <v>42327</v>
      </c>
      <c r="AA85" s="1239"/>
      <c r="AB85" s="975"/>
      <c r="AC85" s="1239"/>
      <c r="AD85" s="1239"/>
      <c r="AE85" s="1319"/>
      <c r="AF85" s="1285"/>
      <c r="AG85" s="948">
        <v>9557.5</v>
      </c>
      <c r="AH85" s="948">
        <f t="shared" si="0"/>
        <v>9557.5</v>
      </c>
      <c r="AI85" s="974"/>
      <c r="AJ85" s="339"/>
      <c r="AK85" s="107"/>
      <c r="AL85" s="626"/>
      <c r="AM85" s="107"/>
      <c r="AN85" s="107"/>
      <c r="AO85" s="107"/>
      <c r="AP85" s="107"/>
      <c r="AQ85" s="107"/>
      <c r="AR85" s="107"/>
      <c r="AS85" s="1239"/>
      <c r="AT85" s="1248"/>
      <c r="AU85" s="1248"/>
      <c r="AV85" s="1248"/>
      <c r="AW85" s="1248"/>
      <c r="AX85" s="1248"/>
      <c r="AY85" s="1248"/>
      <c r="AZ85" s="1248"/>
      <c r="BA85" s="1248"/>
      <c r="BB85" s="1248"/>
      <c r="BC85" s="1248"/>
      <c r="BD85" s="1248"/>
    </row>
    <row r="86" spans="1:56" ht="28.5" customHeight="1" x14ac:dyDescent="0.25">
      <c r="A86" s="1829">
        <v>61</v>
      </c>
      <c r="B86" s="1128" t="s">
        <v>6327</v>
      </c>
      <c r="C86" s="1269" t="s">
        <v>6328</v>
      </c>
      <c r="D86" s="1269" t="s">
        <v>616</v>
      </c>
      <c r="E86" s="1269" t="s">
        <v>6167</v>
      </c>
      <c r="F86" s="956" t="s">
        <v>6329</v>
      </c>
      <c r="G86" s="976">
        <v>11403</v>
      </c>
      <c r="H86" s="1555" t="s">
        <v>2189</v>
      </c>
      <c r="I86" s="1311" t="s">
        <v>6330</v>
      </c>
      <c r="J86" s="1311" t="s">
        <v>1021</v>
      </c>
      <c r="K86" s="978">
        <v>41892</v>
      </c>
      <c r="L86" s="979">
        <v>38776</v>
      </c>
      <c r="M86" s="1305">
        <v>11254</v>
      </c>
      <c r="N86" s="978">
        <v>41892</v>
      </c>
      <c r="O86" s="978">
        <v>42258</v>
      </c>
      <c r="P86" s="1267" t="s">
        <v>6238</v>
      </c>
      <c r="Q86" s="1269" t="s">
        <v>2055</v>
      </c>
      <c r="R86" s="1267" t="s">
        <v>6172</v>
      </c>
      <c r="S86" s="1269"/>
      <c r="T86" s="1269" t="s">
        <v>208</v>
      </c>
      <c r="U86" s="1269"/>
      <c r="V86" s="1269"/>
      <c r="W86" s="1269"/>
      <c r="X86" s="1269"/>
      <c r="Y86" s="1269"/>
      <c r="Z86" s="1269"/>
      <c r="AA86" s="1269"/>
      <c r="AB86" s="1269"/>
      <c r="AC86" s="1269"/>
      <c r="AD86" s="1269"/>
      <c r="AE86" s="523"/>
      <c r="AF86" s="980"/>
      <c r="AG86" s="979">
        <v>9617.52</v>
      </c>
      <c r="AH86" s="939">
        <f t="shared" si="0"/>
        <v>9617.52</v>
      </c>
      <c r="AI86" s="981"/>
      <c r="AJ86" s="982"/>
      <c r="AK86" s="983"/>
      <c r="AL86" s="616"/>
      <c r="AM86" s="524"/>
      <c r="AN86" s="984"/>
      <c r="AO86" s="984"/>
      <c r="AP86" s="984"/>
      <c r="AQ86" s="984"/>
      <c r="AR86" s="524"/>
      <c r="AS86" s="1267"/>
      <c r="AT86" s="1316"/>
      <c r="AU86" s="1316"/>
      <c r="AV86" s="1316"/>
      <c r="AW86" s="1316"/>
      <c r="AX86" s="1316"/>
      <c r="AY86" s="1316"/>
      <c r="AZ86" s="1316"/>
      <c r="BA86" s="1316"/>
      <c r="BB86" s="1316"/>
      <c r="BC86" s="1316"/>
      <c r="BD86" s="1314"/>
    </row>
    <row r="87" spans="1:56" ht="28.5" customHeight="1" x14ac:dyDescent="0.25">
      <c r="A87" s="1829">
        <v>62</v>
      </c>
      <c r="B87" s="1128" t="s">
        <v>2194</v>
      </c>
      <c r="C87" s="1269" t="s">
        <v>6331</v>
      </c>
      <c r="D87" s="1269" t="s">
        <v>616</v>
      </c>
      <c r="E87" s="1269" t="s">
        <v>6167</v>
      </c>
      <c r="F87" s="956" t="s">
        <v>6332</v>
      </c>
      <c r="G87" s="976">
        <v>11320</v>
      </c>
      <c r="H87" s="1555" t="s">
        <v>2055</v>
      </c>
      <c r="I87" s="1311" t="s">
        <v>6333</v>
      </c>
      <c r="J87" s="1311" t="s">
        <v>6334</v>
      </c>
      <c r="K87" s="978">
        <v>41770</v>
      </c>
      <c r="L87" s="979">
        <v>18011</v>
      </c>
      <c r="M87" s="1305">
        <v>11287</v>
      </c>
      <c r="N87" s="978">
        <v>41770</v>
      </c>
      <c r="O87" s="978">
        <v>42136</v>
      </c>
      <c r="P87" s="1267" t="s">
        <v>6238</v>
      </c>
      <c r="Q87" s="1269" t="s">
        <v>2055</v>
      </c>
      <c r="R87" s="1267" t="s">
        <v>6172</v>
      </c>
      <c r="S87" s="1269"/>
      <c r="T87" s="1269" t="s">
        <v>208</v>
      </c>
      <c r="U87" s="1269"/>
      <c r="V87" s="1269"/>
      <c r="W87" s="1269"/>
      <c r="X87" s="1269"/>
      <c r="Y87" s="1269"/>
      <c r="Z87" s="1269"/>
      <c r="AA87" s="1269"/>
      <c r="AB87" s="1269"/>
      <c r="AC87" s="1269"/>
      <c r="AD87" s="1269"/>
      <c r="AE87" s="523"/>
      <c r="AF87" s="980"/>
      <c r="AG87" s="979">
        <v>10768.41</v>
      </c>
      <c r="AH87" s="939">
        <f t="shared" si="0"/>
        <v>10768.41</v>
      </c>
      <c r="AI87" s="981"/>
      <c r="AJ87" s="982"/>
      <c r="AK87" s="983"/>
      <c r="AL87" s="616"/>
      <c r="AM87" s="524"/>
      <c r="AN87" s="984"/>
      <c r="AO87" s="984"/>
      <c r="AP87" s="984"/>
      <c r="AQ87" s="984"/>
      <c r="AR87" s="524"/>
      <c r="AS87" s="1267"/>
      <c r="AT87" s="1316"/>
      <c r="AU87" s="1316"/>
      <c r="AV87" s="1316"/>
      <c r="AW87" s="1316"/>
      <c r="AX87" s="1316"/>
      <c r="AY87" s="1316"/>
      <c r="AZ87" s="1316"/>
      <c r="BA87" s="1316"/>
      <c r="BB87" s="1316"/>
      <c r="BC87" s="1316"/>
      <c r="BD87" s="1314"/>
    </row>
    <row r="88" spans="1:56" s="422" customFormat="1" ht="73.5" customHeight="1" x14ac:dyDescent="0.25">
      <c r="A88" s="1827">
        <v>63</v>
      </c>
      <c r="B88" s="1276"/>
      <c r="C88" s="1239" t="s">
        <v>6335</v>
      </c>
      <c r="D88" s="1239" t="s">
        <v>6167</v>
      </c>
      <c r="E88" s="1239"/>
      <c r="F88" s="985" t="s">
        <v>6336</v>
      </c>
      <c r="G88" s="1243"/>
      <c r="H88" s="1246" t="s">
        <v>6337</v>
      </c>
      <c r="I88" s="1354" t="s">
        <v>6338</v>
      </c>
      <c r="J88" s="1239" t="s">
        <v>6339</v>
      </c>
      <c r="K88" s="1244">
        <v>41716</v>
      </c>
      <c r="L88" s="948">
        <v>179308.79999999999</v>
      </c>
      <c r="M88" s="1243">
        <v>11016</v>
      </c>
      <c r="N88" s="1244">
        <v>41351</v>
      </c>
      <c r="O88" s="1244">
        <v>42448</v>
      </c>
      <c r="P88" s="1265">
        <v>1</v>
      </c>
      <c r="Q88" s="1246" t="s">
        <v>1631</v>
      </c>
      <c r="R88" s="1239" t="s">
        <v>6172</v>
      </c>
      <c r="S88" s="1239"/>
      <c r="T88" s="1239" t="s">
        <v>208</v>
      </c>
      <c r="U88" s="1239" t="s">
        <v>1226</v>
      </c>
      <c r="V88" s="1244">
        <v>41716</v>
      </c>
      <c r="W88" s="1243">
        <v>11288</v>
      </c>
      <c r="X88" s="1239" t="s">
        <v>6340</v>
      </c>
      <c r="Y88" s="1244">
        <v>41351</v>
      </c>
      <c r="Z88" s="1244">
        <v>42448</v>
      </c>
      <c r="AA88" s="1239"/>
      <c r="AB88" s="1239"/>
      <c r="AC88" s="1239"/>
      <c r="AD88" s="1239"/>
      <c r="AE88" s="1319"/>
      <c r="AF88" s="1285"/>
      <c r="AG88" s="1285">
        <v>256020.8</v>
      </c>
      <c r="AH88" s="948">
        <f t="shared" si="0"/>
        <v>256020.8</v>
      </c>
      <c r="AI88" s="974"/>
      <c r="AJ88" s="339"/>
      <c r="AK88" s="107"/>
      <c r="AL88" s="626"/>
      <c r="AM88" s="107"/>
      <c r="AN88" s="107"/>
      <c r="AO88" s="107"/>
      <c r="AP88" s="107"/>
      <c r="AQ88" s="107"/>
      <c r="AR88" s="107"/>
      <c r="AS88" s="1239"/>
      <c r="AT88" s="1248"/>
      <c r="AU88" s="1248"/>
      <c r="AV88" s="1248"/>
      <c r="AW88" s="1248"/>
      <c r="AX88" s="1248"/>
      <c r="AY88" s="1248"/>
      <c r="AZ88" s="1248"/>
      <c r="BA88" s="1248"/>
      <c r="BB88" s="1248"/>
      <c r="BC88" s="1248"/>
      <c r="BD88" s="1248"/>
    </row>
    <row r="89" spans="1:56" s="422" customFormat="1" ht="73.5" customHeight="1" x14ac:dyDescent="0.25">
      <c r="A89" s="1827">
        <v>64</v>
      </c>
      <c r="B89" s="1276" t="s">
        <v>6341</v>
      </c>
      <c r="C89" s="1239"/>
      <c r="D89" s="1239" t="s">
        <v>6167</v>
      </c>
      <c r="E89" s="1239"/>
      <c r="F89" s="985" t="s">
        <v>6336</v>
      </c>
      <c r="G89" s="1243"/>
      <c r="H89" s="1246" t="s">
        <v>6337</v>
      </c>
      <c r="I89" s="1354" t="s">
        <v>6338</v>
      </c>
      <c r="J89" s="1239" t="s">
        <v>4813</v>
      </c>
      <c r="K89" s="1244">
        <v>40381</v>
      </c>
      <c r="L89" s="948">
        <v>154735.56</v>
      </c>
      <c r="M89" s="1243">
        <v>11003</v>
      </c>
      <c r="N89" s="1244">
        <v>40381</v>
      </c>
      <c r="O89" s="1244">
        <v>42206</v>
      </c>
      <c r="P89" s="1239">
        <v>1</v>
      </c>
      <c r="Q89" s="1246" t="s">
        <v>6337</v>
      </c>
      <c r="R89" s="1239" t="s">
        <v>6172</v>
      </c>
      <c r="S89" s="1239"/>
      <c r="T89" s="1239" t="s">
        <v>208</v>
      </c>
      <c r="U89" s="1239" t="s">
        <v>1246</v>
      </c>
      <c r="V89" s="1244">
        <v>41638</v>
      </c>
      <c r="W89" s="1243">
        <v>11224</v>
      </c>
      <c r="X89" s="1239" t="s">
        <v>6340</v>
      </c>
      <c r="Y89" s="1244">
        <v>40381</v>
      </c>
      <c r="Z89" s="1244">
        <v>42206</v>
      </c>
      <c r="AA89" s="1239"/>
      <c r="AB89" s="1239"/>
      <c r="AC89" s="1239"/>
      <c r="AD89" s="1239"/>
      <c r="AE89" s="1319"/>
      <c r="AF89" s="1285"/>
      <c r="AG89" s="1822">
        <v>196354.4</v>
      </c>
      <c r="AH89" s="948">
        <f>AF89+AG89</f>
        <v>196354.4</v>
      </c>
      <c r="AI89" s="974"/>
      <c r="AJ89" s="339"/>
      <c r="AK89" s="107"/>
      <c r="AL89" s="626"/>
      <c r="AM89" s="1284"/>
      <c r="AN89" s="107"/>
      <c r="AO89" s="107"/>
      <c r="AP89" s="107"/>
      <c r="AQ89" s="107"/>
      <c r="AR89" s="107"/>
      <c r="AS89" s="1239"/>
      <c r="AT89" s="1248"/>
      <c r="AU89" s="1248"/>
      <c r="AV89" s="1248"/>
      <c r="AW89" s="1248"/>
      <c r="AX89" s="1248"/>
      <c r="AY89" s="1248"/>
      <c r="AZ89" s="1248"/>
      <c r="BA89" s="1248"/>
      <c r="BB89" s="1248"/>
      <c r="BC89" s="1248"/>
      <c r="BD89" s="1248"/>
    </row>
    <row r="90" spans="1:56" s="422" customFormat="1" ht="43.5" customHeight="1" x14ac:dyDescent="0.25">
      <c r="A90" s="1828">
        <v>65</v>
      </c>
      <c r="B90" s="1301"/>
      <c r="C90" s="1250" t="s">
        <v>6342</v>
      </c>
      <c r="D90" s="1250" t="s">
        <v>616</v>
      </c>
      <c r="E90" s="1250" t="s">
        <v>6167</v>
      </c>
      <c r="F90" s="986" t="s">
        <v>6343</v>
      </c>
      <c r="G90" s="987">
        <v>11031</v>
      </c>
      <c r="H90" s="1253" t="s">
        <v>2122</v>
      </c>
      <c r="I90" s="988" t="s">
        <v>2117</v>
      </c>
      <c r="J90" s="1308"/>
      <c r="K90" s="1258">
        <v>41368</v>
      </c>
      <c r="L90" s="972"/>
      <c r="M90" s="1256">
        <v>11031</v>
      </c>
      <c r="N90" s="1258">
        <v>41368</v>
      </c>
      <c r="O90" s="1293">
        <v>42097</v>
      </c>
      <c r="P90" s="1250" t="s">
        <v>6238</v>
      </c>
      <c r="Q90" s="1253" t="s">
        <v>2122</v>
      </c>
      <c r="R90" s="1250" t="s">
        <v>6172</v>
      </c>
      <c r="S90" s="1250"/>
      <c r="T90" s="1250" t="s">
        <v>208</v>
      </c>
      <c r="U90" s="1250" t="s">
        <v>1224</v>
      </c>
      <c r="V90" s="1250" t="s">
        <v>6278</v>
      </c>
      <c r="W90" s="987">
        <v>11070</v>
      </c>
      <c r="X90" s="1293" t="s">
        <v>6344</v>
      </c>
      <c r="Y90" s="1250"/>
      <c r="Z90" s="1250"/>
      <c r="AA90" s="1250"/>
      <c r="AB90" s="1250"/>
      <c r="AC90" s="1250"/>
      <c r="AD90" s="1250"/>
      <c r="AE90" s="1320"/>
      <c r="AF90" s="347"/>
      <c r="AG90" s="972" t="s">
        <v>6345</v>
      </c>
      <c r="AH90" s="972">
        <v>350500</v>
      </c>
      <c r="AI90" s="989"/>
      <c r="AJ90" s="1295"/>
      <c r="AK90" s="285"/>
      <c r="AL90" s="395"/>
      <c r="AM90" s="285"/>
      <c r="AN90" s="285"/>
      <c r="AO90" s="285"/>
      <c r="AP90" s="285"/>
      <c r="AQ90" s="285"/>
      <c r="AR90" s="285"/>
      <c r="AS90" s="1250"/>
      <c r="AT90" s="1322"/>
      <c r="AU90" s="1322"/>
      <c r="AV90" s="1322"/>
      <c r="AW90" s="1322"/>
      <c r="AX90" s="1322"/>
      <c r="AY90" s="1322"/>
      <c r="AZ90" s="1322"/>
      <c r="BA90" s="1322"/>
      <c r="BB90" s="1322"/>
      <c r="BC90" s="1322"/>
      <c r="BD90" s="1322"/>
    </row>
    <row r="91" spans="1:56" s="1638" customFormat="1" ht="100.5" thickBot="1" x14ac:dyDescent="0.3">
      <c r="A91" s="1830">
        <v>66</v>
      </c>
      <c r="B91" s="1303" t="s">
        <v>6346</v>
      </c>
      <c r="C91" s="1270" t="s">
        <v>6347</v>
      </c>
      <c r="D91" s="1653"/>
      <c r="E91" s="1270" t="s">
        <v>6167</v>
      </c>
      <c r="F91" s="1831" t="s">
        <v>6348</v>
      </c>
      <c r="G91" s="1832">
        <v>11126</v>
      </c>
      <c r="H91" s="1556" t="s">
        <v>6349</v>
      </c>
      <c r="I91" s="1831" t="s">
        <v>6350</v>
      </c>
      <c r="J91" s="1270" t="s">
        <v>197</v>
      </c>
      <c r="K91" s="992">
        <v>41512</v>
      </c>
      <c r="L91" s="1833">
        <v>1739648.4</v>
      </c>
      <c r="M91" s="1307">
        <v>11126</v>
      </c>
      <c r="N91" s="992">
        <v>41512</v>
      </c>
      <c r="O91" s="992">
        <v>41878</v>
      </c>
      <c r="P91" s="1269" t="s">
        <v>6238</v>
      </c>
      <c r="Q91" s="1556" t="s">
        <v>6349</v>
      </c>
      <c r="R91" s="1270" t="s">
        <v>6172</v>
      </c>
      <c r="S91" s="1270"/>
      <c r="T91" s="1270" t="s">
        <v>208</v>
      </c>
      <c r="U91" s="1270" t="s">
        <v>1224</v>
      </c>
      <c r="V91" s="992">
        <v>41873</v>
      </c>
      <c r="W91" s="1307">
        <v>11378</v>
      </c>
      <c r="X91" s="1270" t="s">
        <v>6340</v>
      </c>
      <c r="Y91" s="992">
        <v>41512</v>
      </c>
      <c r="Z91" s="992">
        <v>41878</v>
      </c>
      <c r="AA91" s="1270"/>
      <c r="AB91" s="1270"/>
      <c r="AC91" s="1270"/>
      <c r="AD91" s="1270"/>
      <c r="AE91" s="1834"/>
      <c r="AF91" s="1835">
        <v>230723</v>
      </c>
      <c r="AG91" s="1835">
        <v>579061.59</v>
      </c>
      <c r="AH91" s="1836">
        <f t="shared" si="0"/>
        <v>809784.59</v>
      </c>
      <c r="AI91" s="1837"/>
      <c r="AJ91" s="1838"/>
      <c r="AK91" s="1839"/>
      <c r="AL91" s="1840"/>
      <c r="AM91" s="1839"/>
      <c r="AN91" s="1841"/>
      <c r="AO91" s="1841"/>
      <c r="AP91" s="1841"/>
      <c r="AQ91" s="1841"/>
      <c r="AR91" s="1839"/>
      <c r="AS91" s="1303"/>
      <c r="AT91" s="1317"/>
      <c r="AU91" s="1317"/>
      <c r="AV91" s="1317"/>
      <c r="AW91" s="1317"/>
      <c r="AX91" s="1317"/>
      <c r="AY91" s="1317"/>
      <c r="AZ91" s="1317"/>
      <c r="BA91" s="1317"/>
      <c r="BB91" s="1317"/>
      <c r="BC91" s="1317"/>
      <c r="BD91" s="1842"/>
    </row>
    <row r="92" spans="1:56" ht="15.75" thickBot="1" x14ac:dyDescent="0.3">
      <c r="A92" s="2607"/>
      <c r="B92" s="2608"/>
      <c r="C92" s="2608"/>
      <c r="D92" s="2608"/>
      <c r="E92" s="2608"/>
      <c r="F92" s="2608"/>
      <c r="G92" s="2608"/>
      <c r="H92" s="2608"/>
      <c r="I92" s="2608"/>
      <c r="J92" s="2608"/>
      <c r="K92" s="2609"/>
      <c r="L92" s="1843">
        <f>SUM(L27:L91)</f>
        <v>7094918.8699999992</v>
      </c>
      <c r="M92" s="1844"/>
      <c r="N92" s="1844"/>
      <c r="O92" s="1844"/>
      <c r="P92" s="1844"/>
      <c r="Q92" s="1844"/>
      <c r="R92" s="1844"/>
      <c r="S92" s="1844"/>
      <c r="T92" s="1844"/>
      <c r="U92" s="1844"/>
      <c r="V92" s="1844"/>
      <c r="W92" s="1844"/>
      <c r="X92" s="1844"/>
      <c r="Y92" s="1844"/>
      <c r="Z92" s="1844"/>
      <c r="AA92" s="1844"/>
      <c r="AB92" s="1844"/>
      <c r="AC92" s="1659">
        <f>SUM(AC25:AC84)</f>
        <v>0</v>
      </c>
      <c r="AD92" s="1659">
        <f>SUM(AD25:AD84)</f>
        <v>0</v>
      </c>
      <c r="AE92" s="1659">
        <f>SUM(AE25:AE84)</f>
        <v>0</v>
      </c>
      <c r="AF92" s="1845">
        <f>SUM(AF25:AF84)</f>
        <v>314074.5</v>
      </c>
      <c r="AG92" s="1843">
        <f>SUM(AG27:AG91)</f>
        <v>2907140.2899999996</v>
      </c>
      <c r="AH92" s="1843">
        <f>AF92+AG92</f>
        <v>3221214.7899999996</v>
      </c>
      <c r="AI92" s="1846"/>
      <c r="AJ92" s="1847"/>
      <c r="AK92" s="1659"/>
      <c r="AL92" s="1848"/>
      <c r="AM92" s="1849"/>
      <c r="AN92" s="1850"/>
      <c r="AO92" s="1850"/>
      <c r="AP92" s="1850"/>
      <c r="AQ92" s="1850"/>
      <c r="AR92" s="1851"/>
      <c r="AS92" s="1852"/>
      <c r="AT92" s="1527"/>
      <c r="AU92" s="1527"/>
      <c r="AV92" s="1527"/>
      <c r="AW92" s="1527"/>
      <c r="AX92" s="1527"/>
      <c r="AY92" s="1527"/>
      <c r="AZ92" s="1527"/>
      <c r="BA92" s="1527"/>
      <c r="BB92" s="1527"/>
      <c r="BC92" s="1527"/>
      <c r="BD92" s="1528"/>
    </row>
    <row r="95" spans="1:56" x14ac:dyDescent="0.25">
      <c r="A95" s="1323" t="s">
        <v>7593</v>
      </c>
    </row>
    <row r="96" spans="1:56" x14ac:dyDescent="0.25">
      <c r="A96" s="1323" t="s">
        <v>7594</v>
      </c>
    </row>
  </sheetData>
  <mergeCells count="29">
    <mergeCell ref="A92:K92"/>
    <mergeCell ref="AO23:AO24"/>
    <mergeCell ref="AP23:AP24"/>
    <mergeCell ref="A22:A25"/>
    <mergeCell ref="B22:G23"/>
    <mergeCell ref="H22:AH22"/>
    <mergeCell ref="AI22:AL22"/>
    <mergeCell ref="AM22:AR22"/>
    <mergeCell ref="H23:T23"/>
    <mergeCell ref="U23:AD23"/>
    <mergeCell ref="AE23:AH23"/>
    <mergeCell ref="AI23:AI24"/>
    <mergeCell ref="AJ23:AJ24"/>
    <mergeCell ref="AK23:AK24"/>
    <mergeCell ref="AL23:AL24"/>
    <mergeCell ref="AM23:AM24"/>
    <mergeCell ref="AN23:AN24"/>
    <mergeCell ref="AS22:BD22"/>
    <mergeCell ref="AS23:AS24"/>
    <mergeCell ref="AT23:AT24"/>
    <mergeCell ref="A9:BD9"/>
    <mergeCell ref="A11:BD11"/>
    <mergeCell ref="BA23:BA24"/>
    <mergeCell ref="BB23:BD23"/>
    <mergeCell ref="AQ23:AQ24"/>
    <mergeCell ref="AR23:AR24"/>
    <mergeCell ref="AU23:AW23"/>
    <mergeCell ref="AX23:AY23"/>
    <mergeCell ref="AZ23:AZ24"/>
  </mergeCells>
  <pageMargins left="0.511811024" right="0.511811024" top="0.78740157499999996" bottom="0.78740157499999996" header="0.31496062000000002" footer="0.31496062000000002"/>
  <pageSetup paperSize="9"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81"/>
  <sheetViews>
    <sheetView topLeftCell="J1" workbookViewId="0">
      <selection sqref="A1:XFD11"/>
    </sheetView>
  </sheetViews>
  <sheetFormatPr defaultRowHeight="15" x14ac:dyDescent="0.25"/>
  <cols>
    <col min="1" max="1" width="9.140625" style="239"/>
    <col min="2" max="2" width="14.28515625" style="239" customWidth="1"/>
    <col min="3" max="3" width="10.5703125" style="239" customWidth="1"/>
    <col min="4" max="4" width="22" style="239" customWidth="1"/>
    <col min="5" max="5" width="11.28515625" style="239" bestFit="1" customWidth="1"/>
    <col min="6" max="6" width="43.7109375" style="239" customWidth="1"/>
    <col min="7" max="7" width="11.85546875" style="239" customWidth="1"/>
    <col min="8" max="8" width="10.28515625" style="239" customWidth="1"/>
    <col min="9" max="9" width="30.42578125" style="239" customWidth="1"/>
    <col min="10" max="10" width="11.42578125" style="239" customWidth="1"/>
    <col min="11" max="11" width="11.7109375" style="239" customWidth="1"/>
    <col min="12" max="13" width="12.140625" style="239" customWidth="1"/>
    <col min="14" max="15" width="10.140625" style="239" bestFit="1" customWidth="1"/>
    <col min="16" max="17" width="10.7109375" style="239" customWidth="1"/>
    <col min="18" max="18" width="13.140625" style="239" customWidth="1"/>
    <col min="19" max="19" width="14.5703125" style="239" customWidth="1"/>
    <col min="20" max="20" width="11.28515625" style="239" customWidth="1"/>
    <col min="21" max="21" width="12.28515625" style="239" customWidth="1"/>
    <col min="22" max="22" width="11.140625" style="239" customWidth="1"/>
    <col min="23" max="23" width="11.28515625" style="239" customWidth="1"/>
    <col min="24" max="24" width="12.42578125" style="239" customWidth="1"/>
    <col min="25" max="25" width="10.140625" style="239" bestFit="1" customWidth="1"/>
    <col min="26" max="26" width="13.42578125" style="239" customWidth="1"/>
    <col min="27" max="27" width="11.28515625" style="239" customWidth="1"/>
    <col min="28" max="28" width="10" style="239" bestFit="1" customWidth="1"/>
    <col min="29" max="29" width="10.28515625" style="239" bestFit="1" customWidth="1"/>
    <col min="30" max="30" width="11.85546875" style="239" customWidth="1"/>
    <col min="31" max="31" width="20.5703125" style="239" customWidth="1"/>
    <col min="32" max="33" width="11.28515625" style="239" bestFit="1" customWidth="1"/>
    <col min="34" max="34" width="15" style="239" customWidth="1"/>
    <col min="35" max="35" width="9.42578125" style="239" bestFit="1" customWidth="1"/>
    <col min="36" max="36" width="13.28515625" style="239" customWidth="1"/>
    <col min="37" max="37" width="19.28515625" style="239" bestFit="1" customWidth="1"/>
    <col min="38" max="38" width="14.42578125" style="239" customWidth="1"/>
    <col min="39" max="39" width="15.5703125" style="239" bestFit="1" customWidth="1"/>
    <col min="40" max="40" width="15.7109375" style="239" customWidth="1"/>
    <col min="41" max="41" width="14.85546875" style="239" customWidth="1"/>
    <col min="42" max="42" width="10.140625" style="239" customWidth="1"/>
    <col min="43" max="43" width="14.140625" style="239" customWidth="1"/>
    <col min="44" max="44" width="11.140625" style="239" customWidth="1"/>
    <col min="45" max="45" width="5" style="239" bestFit="1" customWidth="1"/>
    <col min="46" max="46" width="11.28515625" style="239" customWidth="1"/>
    <col min="47" max="47" width="6" style="239" bestFit="1" customWidth="1"/>
    <col min="48" max="48" width="8.5703125" style="239" bestFit="1" customWidth="1"/>
    <col min="49" max="49" width="4.42578125" style="239" bestFit="1" customWidth="1"/>
    <col min="50" max="50" width="4.28515625" style="239" bestFit="1" customWidth="1"/>
    <col min="51" max="51" width="13.42578125" style="239" customWidth="1"/>
    <col min="52" max="52" width="14.28515625" style="239" customWidth="1"/>
    <col min="53" max="53" width="14.85546875" style="239" customWidth="1"/>
    <col min="54" max="16384" width="9.140625" style="239"/>
  </cols>
  <sheetData>
    <row r="1" spans="1:63" s="1" customFormat="1" ht="12.75" x14ac:dyDescent="0.25">
      <c r="A1" s="1772"/>
    </row>
    <row r="2" spans="1:63" s="1" customFormat="1" ht="12.75" x14ac:dyDescent="0.25">
      <c r="A2" s="1772"/>
    </row>
    <row r="3" spans="1:63" s="1" customFormat="1" ht="12.75" x14ac:dyDescent="0.25">
      <c r="A3" s="1772"/>
    </row>
    <row r="4" spans="1:63" s="1" customFormat="1" ht="12.75" x14ac:dyDescent="0.25">
      <c r="A4" s="1772"/>
    </row>
    <row r="5" spans="1:63" s="1" customFormat="1" ht="12.75" x14ac:dyDescent="0.25">
      <c r="A5" s="1772"/>
    </row>
    <row r="6" spans="1:63" s="1" customFormat="1" ht="12.75" x14ac:dyDescent="0.25">
      <c r="A6" s="1772"/>
    </row>
    <row r="7" spans="1:63" s="1" customFormat="1" ht="12.75" x14ac:dyDescent="0.25">
      <c r="AI7" s="1773"/>
      <c r="AJ7" s="1773"/>
      <c r="AK7" s="1773"/>
      <c r="AL7" s="1773"/>
      <c r="AM7" s="1773"/>
      <c r="AN7" s="1773"/>
      <c r="AO7" s="1773"/>
      <c r="AP7" s="1773"/>
      <c r="AQ7" s="1773"/>
      <c r="AR7" s="1773"/>
    </row>
    <row r="8" spans="1:63" s="1" customFormat="1" ht="12.75" x14ac:dyDescent="0.25">
      <c r="AI8" s="1773"/>
      <c r="AJ8" s="1773"/>
      <c r="AK8" s="1773"/>
      <c r="AL8" s="1773"/>
      <c r="AM8" s="1773"/>
      <c r="AN8" s="1773"/>
      <c r="AO8" s="1773"/>
      <c r="AP8" s="1773"/>
      <c r="AQ8" s="1773"/>
      <c r="AR8" s="1773"/>
    </row>
    <row r="9" spans="1:63"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63" s="1" customFormat="1" ht="12.75" x14ac:dyDescent="0.25"/>
    <row r="11" spans="1:63"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63" s="684" customFormat="1" x14ac:dyDescent="0.25">
      <c r="AI12" s="1863"/>
      <c r="AJ12" s="1863"/>
      <c r="AK12" s="1863"/>
      <c r="AL12" s="1863"/>
      <c r="AM12" s="1863"/>
      <c r="AN12" s="1863"/>
      <c r="AO12" s="1863"/>
      <c r="AP12" s="1863"/>
      <c r="AQ12" s="1863"/>
      <c r="AR12" s="1863"/>
      <c r="BE12" s="85"/>
      <c r="BF12" s="85"/>
      <c r="BG12" s="85"/>
      <c r="BH12" s="85"/>
      <c r="BI12" s="85"/>
      <c r="BJ12" s="85"/>
      <c r="BK12" s="85"/>
    </row>
    <row r="13" spans="1:63" s="1672" customFormat="1" ht="15.75" x14ac:dyDescent="0.25">
      <c r="A13" s="1677" t="s">
        <v>1</v>
      </c>
      <c r="B13" s="1677"/>
      <c r="C13" s="1677"/>
      <c r="D13" s="1677"/>
      <c r="E13" s="1677"/>
      <c r="F13" s="1677"/>
      <c r="G13" s="1677"/>
      <c r="H13" s="1677"/>
      <c r="I13" s="1677"/>
      <c r="J13" s="1677"/>
      <c r="K13" s="1677"/>
      <c r="L13" s="1677"/>
      <c r="M13" s="1677"/>
      <c r="N13" s="1677"/>
      <c r="O13" s="1677"/>
      <c r="P13" s="1677"/>
      <c r="Q13" s="1677"/>
      <c r="R13" s="1677"/>
      <c r="S13" s="1677"/>
      <c r="T13" s="1677"/>
      <c r="U13" s="1677"/>
      <c r="V13" s="1677"/>
      <c r="W13" s="1677"/>
      <c r="X13" s="1677"/>
      <c r="Y13" s="1677"/>
      <c r="Z13" s="1677"/>
      <c r="AA13" s="1677"/>
      <c r="AB13" s="1677"/>
      <c r="AC13" s="1677"/>
      <c r="AD13" s="1677"/>
      <c r="AE13" s="1677"/>
      <c r="AF13" s="1677"/>
      <c r="AG13" s="1677"/>
      <c r="AH13" s="1677"/>
      <c r="AI13" s="1677"/>
      <c r="AJ13" s="1677"/>
      <c r="AK13" s="1677"/>
      <c r="AL13" s="1677"/>
      <c r="AM13" s="1677"/>
      <c r="AN13" s="1677"/>
      <c r="AO13" s="1677"/>
      <c r="AP13" s="1677"/>
      <c r="AQ13" s="1677"/>
      <c r="AR13" s="1677"/>
      <c r="AS13" s="1677"/>
      <c r="BE13" s="1677"/>
      <c r="BF13" s="1864"/>
      <c r="BG13" s="1864"/>
      <c r="BH13" s="1864"/>
      <c r="BI13" s="1864"/>
      <c r="BJ13" s="1864"/>
      <c r="BK13" s="1864"/>
    </row>
    <row r="14" spans="1:63" s="1672" customFormat="1" ht="15.75" x14ac:dyDescent="0.25">
      <c r="A14" s="1677" t="s">
        <v>2</v>
      </c>
      <c r="B14" s="1677"/>
      <c r="C14" s="1677"/>
      <c r="D14" s="1677"/>
      <c r="E14" s="1677"/>
      <c r="F14" s="1677"/>
      <c r="G14" s="1677"/>
      <c r="H14" s="1677"/>
      <c r="I14" s="1677"/>
      <c r="J14" s="1677"/>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865"/>
      <c r="AN14" s="1865"/>
      <c r="AO14" s="1865"/>
      <c r="AP14" s="1865"/>
      <c r="AQ14" s="1865"/>
      <c r="AR14" s="1865"/>
      <c r="AS14" s="1865"/>
      <c r="BE14" s="1677"/>
      <c r="BF14" s="1864"/>
      <c r="BG14" s="1864"/>
      <c r="BH14" s="1864"/>
      <c r="BI14" s="1864"/>
      <c r="BJ14" s="1864"/>
      <c r="BK14" s="1864"/>
    </row>
    <row r="15" spans="1:63" s="1672" customFormat="1" ht="15.75" x14ac:dyDescent="0.25">
      <c r="A15" s="1677" t="s">
        <v>3</v>
      </c>
      <c r="B15" s="1677"/>
      <c r="C15" s="1677"/>
      <c r="D15" s="1677"/>
      <c r="E15" s="1677"/>
      <c r="F15" s="1670"/>
      <c r="G15" s="1670"/>
      <c r="H15" s="1670"/>
      <c r="I15" s="1670"/>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c r="AL15" s="1670"/>
      <c r="AM15" s="1670"/>
      <c r="AN15" s="1670"/>
      <c r="AO15" s="1670"/>
      <c r="AP15" s="1670"/>
      <c r="AQ15" s="1670"/>
      <c r="AR15" s="1670"/>
      <c r="AS15" s="1670"/>
      <c r="BE15" s="1671"/>
      <c r="BF15" s="1864"/>
      <c r="BG15" s="1864"/>
      <c r="BH15" s="1864"/>
      <c r="BI15" s="1864"/>
      <c r="BJ15" s="1864"/>
      <c r="BK15" s="1864"/>
    </row>
    <row r="16" spans="1:63" s="1672" customFormat="1" ht="15.75" x14ac:dyDescent="0.25">
      <c r="B16" s="1671"/>
      <c r="C16" s="1671"/>
      <c r="D16" s="1671"/>
      <c r="E16" s="1671"/>
      <c r="F16" s="1671"/>
      <c r="G16" s="1671"/>
      <c r="H16" s="1671"/>
      <c r="I16" s="1671"/>
      <c r="J16" s="1671"/>
      <c r="K16" s="1671"/>
      <c r="L16" s="1671"/>
      <c r="M16" s="1671"/>
      <c r="N16" s="1671"/>
      <c r="O16" s="1671"/>
      <c r="P16" s="1671"/>
      <c r="Q16" s="1671"/>
      <c r="R16" s="1671"/>
      <c r="S16" s="1671"/>
      <c r="T16" s="1671"/>
      <c r="U16" s="1671"/>
      <c r="V16" s="1671"/>
      <c r="W16" s="1671"/>
      <c r="X16" s="1671"/>
      <c r="Y16" s="1671"/>
      <c r="Z16" s="1671"/>
      <c r="AA16" s="1671"/>
      <c r="AB16" s="1671"/>
      <c r="AC16" s="1671"/>
      <c r="AD16" s="1671"/>
      <c r="AE16" s="1671"/>
      <c r="AF16" s="1671"/>
      <c r="AG16" s="1671"/>
      <c r="AH16" s="1671"/>
      <c r="AI16" s="1671"/>
      <c r="AJ16" s="1671"/>
      <c r="AK16" s="1671"/>
      <c r="AL16" s="1671"/>
      <c r="AM16" s="1671"/>
      <c r="AN16" s="1671"/>
      <c r="AO16" s="1671"/>
      <c r="AP16" s="1671"/>
      <c r="AQ16" s="1671"/>
      <c r="AR16" s="1671"/>
      <c r="AS16" s="1671"/>
      <c r="BE16" s="1677"/>
      <c r="BF16" s="1864"/>
      <c r="BG16" s="1864"/>
      <c r="BH16" s="1864"/>
      <c r="BI16" s="1864"/>
      <c r="BJ16" s="1864"/>
      <c r="BK16" s="1864"/>
    </row>
    <row r="17" spans="1:63" s="1672" customFormat="1" ht="15.75" x14ac:dyDescent="0.25">
      <c r="A17" s="1677" t="s">
        <v>7602</v>
      </c>
      <c r="B17" s="1677"/>
      <c r="C17" s="1677"/>
      <c r="D17" s="1677"/>
      <c r="E17" s="1677"/>
      <c r="F17" s="1677"/>
      <c r="G17" s="1677"/>
      <c r="H17" s="1677"/>
      <c r="I17" s="1677"/>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c r="AL17" s="1677"/>
      <c r="AM17" s="1677"/>
      <c r="AN17" s="1677"/>
      <c r="AO17" s="1677"/>
      <c r="AP17" s="1677"/>
      <c r="AQ17" s="1677"/>
      <c r="AR17" s="1677"/>
      <c r="AS17" s="1677"/>
      <c r="BE17" s="1671"/>
      <c r="BF17" s="1864"/>
      <c r="BG17" s="1864"/>
      <c r="BH17" s="1864"/>
      <c r="BI17" s="1864"/>
      <c r="BJ17" s="1864"/>
      <c r="BK17" s="1864"/>
    </row>
    <row r="18" spans="1:63" s="1672" customFormat="1" ht="15.75" x14ac:dyDescent="0.25">
      <c r="A18" s="1670" t="s">
        <v>7603</v>
      </c>
      <c r="B18" s="1677"/>
      <c r="C18" s="1677"/>
      <c r="D18" s="1677"/>
      <c r="E18" s="1677"/>
      <c r="F18" s="1677"/>
      <c r="G18" s="1677"/>
      <c r="H18" s="1677"/>
      <c r="I18" s="1677"/>
      <c r="J18" s="1677"/>
      <c r="K18" s="1677"/>
      <c r="L18" s="1677"/>
      <c r="M18" s="1677"/>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c r="AL18" s="1677"/>
      <c r="AM18" s="1677"/>
      <c r="AN18" s="1677"/>
      <c r="AO18" s="1677"/>
      <c r="AP18" s="1677"/>
      <c r="AQ18" s="1677"/>
      <c r="AR18" s="1677"/>
      <c r="AS18" s="1677"/>
      <c r="BE18" s="1677"/>
      <c r="BF18" s="1671"/>
      <c r="BG18" s="1677"/>
      <c r="BH18" s="1677"/>
      <c r="BI18" s="1677"/>
      <c r="BJ18" s="1677"/>
      <c r="BK18" s="1677"/>
    </row>
    <row r="19" spans="1:63" s="1672" customFormat="1" ht="15.75" x14ac:dyDescent="0.25">
      <c r="A19" s="1677" t="s">
        <v>7604</v>
      </c>
      <c r="B19" s="1677"/>
      <c r="C19" s="1677"/>
      <c r="D19" s="1677"/>
      <c r="E19" s="1677"/>
      <c r="F19" s="1677"/>
      <c r="G19" s="1677"/>
      <c r="H19" s="1677"/>
      <c r="I19" s="1677"/>
      <c r="J19" s="1677"/>
      <c r="K19" s="1677"/>
      <c r="L19" s="1677"/>
      <c r="M19" s="1677"/>
      <c r="N19" s="1677"/>
      <c r="O19" s="1677"/>
      <c r="P19" s="1677"/>
      <c r="Q19" s="1677"/>
      <c r="R19" s="1677"/>
      <c r="S19" s="1677"/>
      <c r="T19" s="1677"/>
      <c r="U19" s="1677"/>
      <c r="V19" s="1677"/>
      <c r="W19" s="1677"/>
      <c r="X19" s="1677"/>
      <c r="Y19" s="1677"/>
      <c r="Z19" s="1677"/>
      <c r="AA19" s="1677"/>
      <c r="AB19" s="1677"/>
      <c r="AC19" s="1677"/>
      <c r="AD19" s="1677"/>
      <c r="AE19" s="1677"/>
      <c r="AF19" s="1677"/>
      <c r="AG19" s="1677"/>
      <c r="AH19" s="1677"/>
      <c r="AI19" s="1677"/>
      <c r="AJ19" s="1677"/>
      <c r="AK19" s="1677"/>
      <c r="AL19" s="1677"/>
      <c r="AM19" s="1677"/>
      <c r="AN19" s="1677"/>
      <c r="AO19" s="1677"/>
      <c r="AP19" s="1677"/>
      <c r="AQ19" s="1677"/>
      <c r="AR19" s="1677"/>
      <c r="AS19" s="1677"/>
      <c r="BE19" s="1677"/>
      <c r="BF19" s="1671"/>
      <c r="BG19" s="1677"/>
      <c r="BH19" s="1677"/>
      <c r="BI19" s="1677"/>
      <c r="BJ19" s="1677"/>
      <c r="BK19" s="1677"/>
    </row>
    <row r="20" spans="1:63" s="1672" customFormat="1" ht="15.75" x14ac:dyDescent="0.25">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677"/>
      <c r="AM20" s="1677"/>
      <c r="AN20" s="1677"/>
      <c r="AO20" s="1677"/>
      <c r="AP20" s="1677"/>
      <c r="AQ20" s="1677"/>
      <c r="AR20" s="1677"/>
      <c r="AS20" s="1677"/>
      <c r="BE20" s="1677"/>
      <c r="BF20" s="1671"/>
      <c r="BG20" s="1677"/>
      <c r="BH20" s="1677"/>
      <c r="BI20" s="1677"/>
      <c r="BJ20" s="1677"/>
      <c r="BK20" s="1677"/>
    </row>
    <row r="21" spans="1:63" s="684" customFormat="1" ht="15.75" thickBot="1" x14ac:dyDescent="0.3">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BE21" s="1853"/>
      <c r="BF21" s="1351"/>
      <c r="BG21" s="1853"/>
      <c r="BH21" s="1853"/>
      <c r="BI21" s="1853"/>
      <c r="BJ21" s="1853"/>
      <c r="BK21" s="1853"/>
    </row>
    <row r="22" spans="1:63" s="85" customFormat="1" ht="12.75" x14ac:dyDescent="0.25">
      <c r="A22" s="2634" t="s">
        <v>5</v>
      </c>
      <c r="B22" s="2523" t="s">
        <v>6</v>
      </c>
      <c r="C22" s="2524"/>
      <c r="D22" s="2524"/>
      <c r="E22" s="2524"/>
      <c r="F22" s="2524"/>
      <c r="G22" s="2524"/>
      <c r="H22" s="2524" t="s">
        <v>7</v>
      </c>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t="s">
        <v>8</v>
      </c>
      <c r="AJ22" s="2524"/>
      <c r="AK22" s="2524"/>
      <c r="AL22" s="2524"/>
      <c r="AM22" s="2524" t="s">
        <v>9</v>
      </c>
      <c r="AN22" s="2524"/>
      <c r="AO22" s="2524"/>
      <c r="AP22" s="2524"/>
      <c r="AQ22" s="2524"/>
      <c r="AR22" s="2524"/>
      <c r="AS22" s="2524" t="s">
        <v>10</v>
      </c>
      <c r="AT22" s="2524"/>
      <c r="AU22" s="2524"/>
      <c r="AV22" s="2524"/>
      <c r="AW22" s="2524"/>
      <c r="AX22" s="2524"/>
      <c r="AY22" s="2524"/>
      <c r="AZ22" s="2524"/>
      <c r="BA22" s="2524"/>
      <c r="BB22" s="2524"/>
      <c r="BC22" s="2524"/>
      <c r="BD22" s="2526"/>
      <c r="BF22" s="145"/>
      <c r="BG22" s="1965"/>
      <c r="BH22" s="1965"/>
      <c r="BI22" s="1965"/>
      <c r="BJ22" s="1965"/>
      <c r="BK22" s="1965"/>
    </row>
    <row r="23" spans="1:63" s="85" customFormat="1" ht="12.75" x14ac:dyDescent="0.25">
      <c r="A23" s="2635"/>
      <c r="B23" s="2525"/>
      <c r="C23" s="2342"/>
      <c r="D23" s="2342"/>
      <c r="E23" s="2342"/>
      <c r="F23" s="2342"/>
      <c r="G23" s="2342"/>
      <c r="H23" s="2342" t="s">
        <v>11</v>
      </c>
      <c r="I23" s="2342"/>
      <c r="J23" s="2342"/>
      <c r="K23" s="2342"/>
      <c r="L23" s="2342"/>
      <c r="M23" s="2342"/>
      <c r="N23" s="2342"/>
      <c r="O23" s="2342"/>
      <c r="P23" s="2342"/>
      <c r="Q23" s="2342"/>
      <c r="R23" s="2342"/>
      <c r="S23" s="2342"/>
      <c r="T23" s="2342"/>
      <c r="U23" s="2342" t="s">
        <v>12</v>
      </c>
      <c r="V23" s="2342"/>
      <c r="W23" s="2342"/>
      <c r="X23" s="2342"/>
      <c r="Y23" s="2342"/>
      <c r="Z23" s="2342"/>
      <c r="AA23" s="2342"/>
      <c r="AB23" s="2342"/>
      <c r="AC23" s="2342"/>
      <c r="AD23" s="2342"/>
      <c r="AE23" s="2342" t="s">
        <v>13</v>
      </c>
      <c r="AF23" s="2342"/>
      <c r="AG23" s="2342"/>
      <c r="AH23" s="2342"/>
      <c r="AI23" s="2342" t="s">
        <v>14</v>
      </c>
      <c r="AJ23" s="2342" t="s">
        <v>15</v>
      </c>
      <c r="AK23" s="2342" t="s">
        <v>16</v>
      </c>
      <c r="AL23" s="2342" t="s">
        <v>581</v>
      </c>
      <c r="AM23" s="2342" t="s">
        <v>18</v>
      </c>
      <c r="AN23" s="2342" t="s">
        <v>19</v>
      </c>
      <c r="AO23" s="2342" t="s">
        <v>20</v>
      </c>
      <c r="AP23" s="2342" t="s">
        <v>21</v>
      </c>
      <c r="AQ23" s="2342" t="s">
        <v>22</v>
      </c>
      <c r="AR23" s="2342" t="s">
        <v>21</v>
      </c>
      <c r="AS23" s="2342" t="s">
        <v>23</v>
      </c>
      <c r="AT23" s="2342" t="s">
        <v>24</v>
      </c>
      <c r="AU23" s="2527" t="s">
        <v>25</v>
      </c>
      <c r="AV23" s="2527"/>
      <c r="AW23" s="2527"/>
      <c r="AX23" s="2527" t="s">
        <v>26</v>
      </c>
      <c r="AY23" s="2527"/>
      <c r="AZ23" s="2342" t="s">
        <v>27</v>
      </c>
      <c r="BA23" s="2342" t="s">
        <v>28</v>
      </c>
      <c r="BB23" s="2527" t="s">
        <v>29</v>
      </c>
      <c r="BC23" s="2527"/>
      <c r="BD23" s="2528"/>
      <c r="BF23" s="145"/>
      <c r="BG23" s="1965"/>
      <c r="BH23" s="1965"/>
      <c r="BI23" s="1965"/>
      <c r="BJ23" s="1965"/>
      <c r="BK23" s="1965"/>
    </row>
    <row r="24" spans="1:63" s="85" customFormat="1" ht="51" x14ac:dyDescent="0.25">
      <c r="A24" s="2635"/>
      <c r="B24" s="1345" t="s">
        <v>30</v>
      </c>
      <c r="C24" s="1344" t="s">
        <v>31</v>
      </c>
      <c r="D24" s="1344" t="s">
        <v>32</v>
      </c>
      <c r="E24" s="1344" t="s">
        <v>23</v>
      </c>
      <c r="F24" s="1344" t="s">
        <v>33</v>
      </c>
      <c r="G24" s="1344" t="s">
        <v>34</v>
      </c>
      <c r="H24" s="689" t="s">
        <v>35</v>
      </c>
      <c r="I24" s="1344" t="s">
        <v>36</v>
      </c>
      <c r="J24" s="1344" t="s">
        <v>37</v>
      </c>
      <c r="K24" s="1344" t="s">
        <v>38</v>
      </c>
      <c r="L24" s="1344" t="s">
        <v>39</v>
      </c>
      <c r="M24" s="1344" t="s">
        <v>40</v>
      </c>
      <c r="N24" s="1344" t="s">
        <v>41</v>
      </c>
      <c r="O24" s="1344" t="s">
        <v>42</v>
      </c>
      <c r="P24" s="1344" t="s">
        <v>43</v>
      </c>
      <c r="Q24" s="1344" t="s">
        <v>44</v>
      </c>
      <c r="R24" s="1344" t="s">
        <v>45</v>
      </c>
      <c r="S24" s="1344" t="s">
        <v>46</v>
      </c>
      <c r="T24" s="1344" t="s">
        <v>47</v>
      </c>
      <c r="U24" s="1344" t="s">
        <v>48</v>
      </c>
      <c r="V24" s="1344" t="s">
        <v>38</v>
      </c>
      <c r="W24" s="1344" t="s">
        <v>40</v>
      </c>
      <c r="X24" s="1344" t="s">
        <v>49</v>
      </c>
      <c r="Y24" s="1344" t="s">
        <v>41</v>
      </c>
      <c r="Z24" s="1344" t="s">
        <v>42</v>
      </c>
      <c r="AA24" s="1344" t="s">
        <v>50</v>
      </c>
      <c r="AB24" s="1344" t="s">
        <v>51</v>
      </c>
      <c r="AC24" s="1344" t="s">
        <v>52</v>
      </c>
      <c r="AD24" s="1344" t="s">
        <v>53</v>
      </c>
      <c r="AE24" s="1344" t="s">
        <v>54</v>
      </c>
      <c r="AF24" s="1344" t="s">
        <v>55</v>
      </c>
      <c r="AG24" s="1344" t="s">
        <v>56</v>
      </c>
      <c r="AH24" s="1344" t="s">
        <v>57</v>
      </c>
      <c r="AI24" s="2342"/>
      <c r="AJ24" s="2342"/>
      <c r="AK24" s="2342"/>
      <c r="AL24" s="2342"/>
      <c r="AM24" s="2342"/>
      <c r="AN24" s="2342"/>
      <c r="AO24" s="2342"/>
      <c r="AP24" s="2342"/>
      <c r="AQ24" s="2342"/>
      <c r="AR24" s="2342"/>
      <c r="AS24" s="2342"/>
      <c r="AT24" s="2342"/>
      <c r="AU24" s="1346" t="s">
        <v>58</v>
      </c>
      <c r="AV24" s="1346" t="s">
        <v>59</v>
      </c>
      <c r="AW24" s="1346" t="s">
        <v>60</v>
      </c>
      <c r="AX24" s="1346" t="s">
        <v>61</v>
      </c>
      <c r="AY24" s="1344" t="s">
        <v>62</v>
      </c>
      <c r="AZ24" s="2342"/>
      <c r="BA24" s="2342"/>
      <c r="BB24" s="1346" t="s">
        <v>58</v>
      </c>
      <c r="BC24" s="1346" t="s">
        <v>63</v>
      </c>
      <c r="BD24" s="1347" t="s">
        <v>64</v>
      </c>
      <c r="BF24" s="2633"/>
      <c r="BG24" s="1965"/>
      <c r="BH24" s="1965"/>
      <c r="BI24" s="1965"/>
      <c r="BJ24" s="1965"/>
      <c r="BK24" s="1965"/>
    </row>
    <row r="25" spans="1:63" s="85" customFormat="1" ht="26.25" thickBot="1" x14ac:dyDescent="0.3">
      <c r="A25" s="2636"/>
      <c r="B25" s="692" t="s">
        <v>65</v>
      </c>
      <c r="C25" s="693" t="s">
        <v>66</v>
      </c>
      <c r="D25" s="694" t="s">
        <v>67</v>
      </c>
      <c r="E25" s="693" t="s">
        <v>68</v>
      </c>
      <c r="F25" s="693" t="s">
        <v>69</v>
      </c>
      <c r="G25" s="693" t="s">
        <v>70</v>
      </c>
      <c r="H25" s="694" t="s">
        <v>71</v>
      </c>
      <c r="I25" s="693" t="s">
        <v>72</v>
      </c>
      <c r="J25" s="693" t="s">
        <v>73</v>
      </c>
      <c r="K25" s="693" t="s">
        <v>74</v>
      </c>
      <c r="L25" s="695" t="s">
        <v>75</v>
      </c>
      <c r="M25" s="693" t="s">
        <v>76</v>
      </c>
      <c r="N25" s="693" t="s">
        <v>77</v>
      </c>
      <c r="O25" s="693" t="s">
        <v>78</v>
      </c>
      <c r="P25" s="693" t="s">
        <v>79</v>
      </c>
      <c r="Q25" s="693" t="s">
        <v>80</v>
      </c>
      <c r="R25" s="693" t="s">
        <v>81</v>
      </c>
      <c r="S25" s="693" t="s">
        <v>82</v>
      </c>
      <c r="T25" s="693" t="s">
        <v>83</v>
      </c>
      <c r="U25" s="693" t="s">
        <v>84</v>
      </c>
      <c r="V25" s="693" t="s">
        <v>85</v>
      </c>
      <c r="W25" s="693" t="s">
        <v>86</v>
      </c>
      <c r="X25" s="693" t="s">
        <v>87</v>
      </c>
      <c r="Y25" s="693" t="s">
        <v>88</v>
      </c>
      <c r="Z25" s="693" t="s">
        <v>89</v>
      </c>
      <c r="AA25" s="693" t="s">
        <v>90</v>
      </c>
      <c r="AB25" s="693" t="s">
        <v>91</v>
      </c>
      <c r="AC25" s="693" t="s">
        <v>92</v>
      </c>
      <c r="AD25" s="693" t="s">
        <v>93</v>
      </c>
      <c r="AE25" s="693" t="s">
        <v>94</v>
      </c>
      <c r="AF25" s="693" t="s">
        <v>95</v>
      </c>
      <c r="AG25" s="693" t="s">
        <v>96</v>
      </c>
      <c r="AH25" s="693" t="s">
        <v>97</v>
      </c>
      <c r="AI25" s="693" t="s">
        <v>98</v>
      </c>
      <c r="AJ25" s="693" t="s">
        <v>99</v>
      </c>
      <c r="AK25" s="693" t="s">
        <v>100</v>
      </c>
      <c r="AL25" s="693" t="s">
        <v>101</v>
      </c>
      <c r="AM25" s="697" t="s">
        <v>102</v>
      </c>
      <c r="AN25" s="697" t="s">
        <v>103</v>
      </c>
      <c r="AO25" s="697" t="s">
        <v>104</v>
      </c>
      <c r="AP25" s="697" t="s">
        <v>105</v>
      </c>
      <c r="AQ25" s="697" t="s">
        <v>106</v>
      </c>
      <c r="AR25" s="697" t="s">
        <v>107</v>
      </c>
      <c r="AS25" s="697" t="s">
        <v>108</v>
      </c>
      <c r="AT25" s="697" t="s">
        <v>109</v>
      </c>
      <c r="AU25" s="697" t="s">
        <v>110</v>
      </c>
      <c r="AV25" s="697" t="s">
        <v>111</v>
      </c>
      <c r="AW25" s="697" t="s">
        <v>112</v>
      </c>
      <c r="AX25" s="697" t="s">
        <v>113</v>
      </c>
      <c r="AY25" s="697" t="s">
        <v>114</v>
      </c>
      <c r="AZ25" s="697" t="s">
        <v>115</v>
      </c>
      <c r="BA25" s="697" t="s">
        <v>116</v>
      </c>
      <c r="BB25" s="697" t="s">
        <v>117</v>
      </c>
      <c r="BC25" s="697" t="s">
        <v>118</v>
      </c>
      <c r="BD25" s="698" t="s">
        <v>119</v>
      </c>
      <c r="BF25" s="2633"/>
      <c r="BG25" s="1965"/>
      <c r="BH25" s="1965"/>
      <c r="BI25" s="1965"/>
      <c r="BJ25" s="1965"/>
      <c r="BK25" s="1965"/>
    </row>
    <row r="26" spans="1:63" s="1866" customFormat="1" ht="63.75" x14ac:dyDescent="0.25">
      <c r="A26" s="1334">
        <v>1</v>
      </c>
      <c r="B26" s="1861" t="s">
        <v>993</v>
      </c>
      <c r="C26" s="1288" t="s">
        <v>1003</v>
      </c>
      <c r="D26" s="1288" t="s">
        <v>6531</v>
      </c>
      <c r="E26" s="1288" t="s">
        <v>5811</v>
      </c>
      <c r="F26" s="1288" t="s">
        <v>6532</v>
      </c>
      <c r="G26" s="1292">
        <v>10801</v>
      </c>
      <c r="H26" s="1329" t="s">
        <v>1003</v>
      </c>
      <c r="I26" s="1325" t="s">
        <v>6533</v>
      </c>
      <c r="J26" s="1288" t="s">
        <v>1684</v>
      </c>
      <c r="K26" s="1294">
        <v>41308</v>
      </c>
      <c r="L26" s="1290">
        <v>300000</v>
      </c>
      <c r="M26" s="1292">
        <v>10998</v>
      </c>
      <c r="N26" s="1294">
        <v>41308</v>
      </c>
      <c r="O26" s="1294">
        <v>41639</v>
      </c>
      <c r="P26" s="1288">
        <v>1</v>
      </c>
      <c r="Q26" s="1288"/>
      <c r="R26" s="1288"/>
      <c r="S26" s="1288"/>
      <c r="T26" s="1288" t="s">
        <v>208</v>
      </c>
      <c r="U26" s="1288" t="s">
        <v>1003</v>
      </c>
      <c r="V26" s="1294">
        <v>41638</v>
      </c>
      <c r="W26" s="1292">
        <v>11245</v>
      </c>
      <c r="X26" s="1288" t="s">
        <v>6534</v>
      </c>
      <c r="Y26" s="1860">
        <v>41308</v>
      </c>
      <c r="Z26" s="1294">
        <v>41698</v>
      </c>
      <c r="AA26" s="1288"/>
      <c r="AB26" s="1288"/>
      <c r="AC26" s="1327">
        <v>0</v>
      </c>
      <c r="AD26" s="1288"/>
      <c r="AE26" s="1327">
        <f>AC26+L26</f>
        <v>300000</v>
      </c>
      <c r="AF26" s="1327">
        <f>24398.05+38930+7916.3+17295.3+3153.7+33000+16000+7390+6050.59</f>
        <v>154133.94</v>
      </c>
      <c r="AG26" s="1327">
        <v>33433.519999999997</v>
      </c>
      <c r="AH26" s="1290">
        <f>AF26+AG26</f>
        <v>187567.46</v>
      </c>
      <c r="AI26" s="1288" t="s">
        <v>6535</v>
      </c>
      <c r="AJ26" s="1292">
        <v>10801</v>
      </c>
      <c r="AK26" s="1288" t="s">
        <v>6536</v>
      </c>
      <c r="AL26" s="1292">
        <v>10935</v>
      </c>
      <c r="AM26" s="1325"/>
      <c r="AN26" s="1325"/>
      <c r="AO26" s="1325"/>
      <c r="AP26" s="1325"/>
      <c r="AQ26" s="1325"/>
      <c r="AR26" s="1325"/>
      <c r="AS26" s="1325"/>
      <c r="AT26" s="1325"/>
      <c r="AU26" s="1325"/>
      <c r="AV26" s="1325"/>
      <c r="AW26" s="1325"/>
      <c r="AX26" s="1325"/>
      <c r="AY26" s="1325"/>
      <c r="AZ26" s="1325"/>
      <c r="BA26" s="1325"/>
      <c r="BB26" s="1325"/>
      <c r="BC26" s="1325"/>
      <c r="BD26" s="1325"/>
      <c r="BE26" s="85"/>
      <c r="BF26" s="145"/>
      <c r="BG26" s="1965"/>
      <c r="BH26" s="1965"/>
      <c r="BI26" s="1965"/>
      <c r="BJ26" s="1965"/>
      <c r="BK26" s="1965"/>
    </row>
    <row r="27" spans="1:63" s="1866" customFormat="1" ht="51" x14ac:dyDescent="0.25">
      <c r="A27" s="709">
        <v>2</v>
      </c>
      <c r="B27" s="80" t="s">
        <v>1006</v>
      </c>
      <c r="C27" s="1268" t="s">
        <v>6537</v>
      </c>
      <c r="D27" s="1268" t="s">
        <v>6538</v>
      </c>
      <c r="E27" s="1268" t="s">
        <v>6539</v>
      </c>
      <c r="F27" s="1268" t="s">
        <v>6540</v>
      </c>
      <c r="G27" s="1318">
        <v>11257</v>
      </c>
      <c r="H27" s="1342" t="s">
        <v>975</v>
      </c>
      <c r="I27" s="1342" t="s">
        <v>6541</v>
      </c>
      <c r="J27" s="1268" t="s">
        <v>6542</v>
      </c>
      <c r="K27" s="1332">
        <v>41313</v>
      </c>
      <c r="L27" s="1255">
        <v>400000</v>
      </c>
      <c r="M27" s="1338">
        <v>10988</v>
      </c>
      <c r="N27" s="1332">
        <v>41313</v>
      </c>
      <c r="O27" s="1332">
        <v>41639</v>
      </c>
      <c r="P27" s="1268">
        <v>1</v>
      </c>
      <c r="Q27" s="1268"/>
      <c r="R27" s="1268"/>
      <c r="S27" s="1268"/>
      <c r="T27" s="1268" t="s">
        <v>208</v>
      </c>
      <c r="U27" s="1268" t="s">
        <v>975</v>
      </c>
      <c r="V27" s="1332">
        <v>41638</v>
      </c>
      <c r="W27" s="1338">
        <v>11213</v>
      </c>
      <c r="X27" s="1268" t="s">
        <v>6534</v>
      </c>
      <c r="Y27" s="1332">
        <v>41313</v>
      </c>
      <c r="Z27" s="1332">
        <v>41943</v>
      </c>
      <c r="AA27" s="1268"/>
      <c r="AB27" s="1268"/>
      <c r="AC27" s="1337">
        <v>0</v>
      </c>
      <c r="AD27" s="1268"/>
      <c r="AE27" s="1337">
        <f>AC27+L27</f>
        <v>400000</v>
      </c>
      <c r="AF27" s="1337">
        <f>33236+6764+8876+11124+4876+22000+21520+15000+20000</f>
        <v>143396</v>
      </c>
      <c r="AG27" s="1337">
        <f>25000+25000+15000+20000</f>
        <v>85000</v>
      </c>
      <c r="AH27" s="1255">
        <f>AF27+AG27</f>
        <v>228396</v>
      </c>
      <c r="AI27" s="1268" t="s">
        <v>6537</v>
      </c>
      <c r="AJ27" s="1338">
        <v>10988</v>
      </c>
      <c r="AK27" s="1268" t="s">
        <v>999</v>
      </c>
      <c r="AL27" s="1338">
        <v>10988</v>
      </c>
      <c r="AM27" s="1342"/>
      <c r="AN27" s="1342"/>
      <c r="AO27" s="1342"/>
      <c r="AP27" s="1342"/>
      <c r="AQ27" s="1342"/>
      <c r="AR27" s="1342"/>
      <c r="AS27" s="1342"/>
      <c r="AT27" s="1342"/>
      <c r="AU27" s="1342"/>
      <c r="AV27" s="1342"/>
      <c r="AW27" s="1342"/>
      <c r="AX27" s="1342"/>
      <c r="AY27" s="1342"/>
      <c r="AZ27" s="1342"/>
      <c r="BA27" s="1342"/>
      <c r="BB27" s="1342"/>
      <c r="BC27" s="1342"/>
      <c r="BD27" s="1342"/>
      <c r="BE27" s="85"/>
      <c r="BF27" s="145"/>
      <c r="BG27" s="2631"/>
      <c r="BH27" s="2631"/>
      <c r="BI27" s="2631"/>
      <c r="BJ27" s="2631"/>
      <c r="BK27" s="2631"/>
    </row>
    <row r="28" spans="1:63" s="1866" customFormat="1" ht="51" x14ac:dyDescent="0.25">
      <c r="A28" s="709">
        <v>3</v>
      </c>
      <c r="B28" s="80" t="s">
        <v>2727</v>
      </c>
      <c r="C28" s="1268" t="s">
        <v>983</v>
      </c>
      <c r="D28" s="1268" t="s">
        <v>6543</v>
      </c>
      <c r="E28" s="1268" t="s">
        <v>5811</v>
      </c>
      <c r="F28" s="1268" t="s">
        <v>6544</v>
      </c>
      <c r="G28" s="1318">
        <v>11006</v>
      </c>
      <c r="H28" s="1340" t="s">
        <v>2727</v>
      </c>
      <c r="I28" s="1342" t="s">
        <v>987</v>
      </c>
      <c r="J28" s="1268" t="s">
        <v>225</v>
      </c>
      <c r="K28" s="1332">
        <v>41037</v>
      </c>
      <c r="L28" s="1255">
        <v>21945</v>
      </c>
      <c r="M28" s="1338">
        <v>10989</v>
      </c>
      <c r="N28" s="1332">
        <v>41037</v>
      </c>
      <c r="O28" s="1332">
        <v>41402</v>
      </c>
      <c r="P28" s="1268">
        <v>1</v>
      </c>
      <c r="Q28" s="1268"/>
      <c r="R28" s="1268"/>
      <c r="S28" s="1268"/>
      <c r="T28" s="1268" t="s">
        <v>208</v>
      </c>
      <c r="U28" s="1268" t="s">
        <v>2727</v>
      </c>
      <c r="V28" s="1332">
        <v>41638</v>
      </c>
      <c r="W28" s="1338">
        <v>11245</v>
      </c>
      <c r="X28" s="1268" t="s">
        <v>6534</v>
      </c>
      <c r="Y28" s="1332">
        <v>41310</v>
      </c>
      <c r="Z28" s="1332">
        <v>41698</v>
      </c>
      <c r="AA28" s="1268"/>
      <c r="AB28" s="1268"/>
      <c r="AC28" s="1337">
        <v>0</v>
      </c>
      <c r="AD28" s="1268"/>
      <c r="AE28" s="1337">
        <f>AC28+L28</f>
        <v>21945</v>
      </c>
      <c r="AF28" s="1337">
        <f>1995+1995+1995+1995+1995+1995+1995+1995+1995+1995+1995</f>
        <v>21945</v>
      </c>
      <c r="AG28" s="1337">
        <f>1995+1750+2500</f>
        <v>6245</v>
      </c>
      <c r="AH28" s="1255">
        <f>AF28+AG28</f>
        <v>28190</v>
      </c>
      <c r="AI28" s="1268" t="s">
        <v>998</v>
      </c>
      <c r="AJ28" s="1338">
        <v>10799</v>
      </c>
      <c r="AK28" s="1268" t="s">
        <v>999</v>
      </c>
      <c r="AL28" s="1338">
        <v>10799</v>
      </c>
      <c r="AM28" s="1342"/>
      <c r="AN28" s="1342"/>
      <c r="AO28" s="1342"/>
      <c r="AP28" s="1342"/>
      <c r="AQ28" s="1342"/>
      <c r="AR28" s="1342"/>
      <c r="AS28" s="1342"/>
      <c r="AT28" s="1342"/>
      <c r="AU28" s="1342"/>
      <c r="AV28" s="1342"/>
      <c r="AW28" s="1342"/>
      <c r="AX28" s="1342"/>
      <c r="AY28" s="1342"/>
      <c r="AZ28" s="1342"/>
      <c r="BA28" s="1342"/>
      <c r="BB28" s="1342"/>
      <c r="BC28" s="1342"/>
      <c r="BD28" s="1342"/>
      <c r="BE28" s="85"/>
      <c r="BF28" s="145"/>
      <c r="BG28" s="1965"/>
      <c r="BH28" s="1965"/>
      <c r="BI28" s="1965"/>
      <c r="BJ28" s="1965"/>
      <c r="BK28" s="1965"/>
    </row>
    <row r="29" spans="1:63" s="1866" customFormat="1" ht="63.75" x14ac:dyDescent="0.25">
      <c r="A29" s="709">
        <v>4</v>
      </c>
      <c r="B29" s="80" t="s">
        <v>1046</v>
      </c>
      <c r="C29" s="1268" t="s">
        <v>6545</v>
      </c>
      <c r="D29" s="1268" t="s">
        <v>6546</v>
      </c>
      <c r="E29" s="1268" t="s">
        <v>5811</v>
      </c>
      <c r="F29" s="1268" t="s">
        <v>6547</v>
      </c>
      <c r="G29" s="1318">
        <v>10982</v>
      </c>
      <c r="H29" s="1340" t="s">
        <v>1046</v>
      </c>
      <c r="I29" s="1342" t="s">
        <v>6548</v>
      </c>
      <c r="J29" s="1268" t="s">
        <v>6549</v>
      </c>
      <c r="K29" s="1332">
        <v>41324</v>
      </c>
      <c r="L29" s="1255">
        <v>50000</v>
      </c>
      <c r="M29" s="1338">
        <v>11006</v>
      </c>
      <c r="N29" s="1332">
        <v>41309</v>
      </c>
      <c r="O29" s="1332">
        <v>41639</v>
      </c>
      <c r="P29" s="1268">
        <v>1</v>
      </c>
      <c r="Q29" s="1268"/>
      <c r="R29" s="1268"/>
      <c r="S29" s="1268"/>
      <c r="T29" s="1268" t="s">
        <v>208</v>
      </c>
      <c r="U29" s="1268" t="s">
        <v>1046</v>
      </c>
      <c r="V29" s="1332">
        <v>41620</v>
      </c>
      <c r="W29" s="1338">
        <v>11202</v>
      </c>
      <c r="X29" s="1268" t="s">
        <v>6550</v>
      </c>
      <c r="Y29" s="1332">
        <v>41324</v>
      </c>
      <c r="Z29" s="1332">
        <v>41943</v>
      </c>
      <c r="AA29" s="1336">
        <v>0.25</v>
      </c>
      <c r="AB29" s="1268"/>
      <c r="AC29" s="1337">
        <v>12500</v>
      </c>
      <c r="AD29" s="1268"/>
      <c r="AE29" s="1337">
        <f t="shared" ref="AE29:AE32" si="0">AC29+L29</f>
        <v>62500</v>
      </c>
      <c r="AF29" s="1337">
        <f>10800+4191+300+7700+4206+8000+6336+3775+10800</f>
        <v>56108</v>
      </c>
      <c r="AG29" s="1337">
        <f>25000+20000</f>
        <v>45000</v>
      </c>
      <c r="AH29" s="1255">
        <f t="shared" ref="AH29" si="1">AF29+AG29</f>
        <v>101108</v>
      </c>
      <c r="AI29" s="1268" t="s">
        <v>6551</v>
      </c>
      <c r="AJ29" s="1338">
        <v>11006</v>
      </c>
      <c r="AK29" s="1268" t="s">
        <v>6552</v>
      </c>
      <c r="AL29" s="1338">
        <v>11006</v>
      </c>
      <c r="AM29" s="1342"/>
      <c r="AN29" s="1342"/>
      <c r="AO29" s="1342"/>
      <c r="AP29" s="1342"/>
      <c r="AQ29" s="1342"/>
      <c r="AR29" s="1342"/>
      <c r="AS29" s="1342"/>
      <c r="AT29" s="1342"/>
      <c r="AU29" s="1342"/>
      <c r="AV29" s="1342"/>
      <c r="AW29" s="1342"/>
      <c r="AX29" s="1342"/>
      <c r="AY29" s="1342"/>
      <c r="AZ29" s="1342"/>
      <c r="BA29" s="1342"/>
      <c r="BB29" s="1342"/>
      <c r="BC29" s="1342"/>
      <c r="BD29" s="1342"/>
      <c r="BE29" s="85"/>
      <c r="BF29" s="145"/>
      <c r="BG29" s="2631"/>
      <c r="BH29" s="2631"/>
      <c r="BI29" s="2631"/>
      <c r="BJ29" s="2631"/>
      <c r="BK29" s="2631"/>
    </row>
    <row r="30" spans="1:63" s="85" customFormat="1" ht="102" x14ac:dyDescent="0.25">
      <c r="A30" s="709">
        <v>5</v>
      </c>
      <c r="B30" s="1339" t="s">
        <v>1486</v>
      </c>
      <c r="C30" s="1268" t="s">
        <v>1006</v>
      </c>
      <c r="D30" s="1268" t="s">
        <v>6553</v>
      </c>
      <c r="E30" s="1268" t="s">
        <v>6554</v>
      </c>
      <c r="F30" s="1268" t="s">
        <v>6555</v>
      </c>
      <c r="G30" s="1338">
        <v>11022</v>
      </c>
      <c r="H30" s="1340" t="s">
        <v>1430</v>
      </c>
      <c r="I30" s="1268" t="s">
        <v>6556</v>
      </c>
      <c r="J30" s="1268" t="s">
        <v>265</v>
      </c>
      <c r="K30" s="1332">
        <v>41396</v>
      </c>
      <c r="L30" s="1255">
        <v>15000</v>
      </c>
      <c r="M30" s="1338">
        <v>11062</v>
      </c>
      <c r="N30" s="1332">
        <v>41396</v>
      </c>
      <c r="O30" s="1332">
        <v>41639</v>
      </c>
      <c r="P30" s="1268">
        <v>1</v>
      </c>
      <c r="Q30" s="1268"/>
      <c r="R30" s="1268"/>
      <c r="S30" s="1268"/>
      <c r="T30" s="1268" t="s">
        <v>130</v>
      </c>
      <c r="U30" s="1268" t="s">
        <v>1430</v>
      </c>
      <c r="V30" s="1332">
        <v>41660</v>
      </c>
      <c r="W30" s="1338">
        <v>11062</v>
      </c>
      <c r="X30" s="1268" t="s">
        <v>6550</v>
      </c>
      <c r="Y30" s="1343">
        <v>41396</v>
      </c>
      <c r="Z30" s="1332">
        <v>41822</v>
      </c>
      <c r="AA30" s="1336">
        <v>0.25</v>
      </c>
      <c r="AB30" s="1268"/>
      <c r="AC30" s="1337">
        <v>3750</v>
      </c>
      <c r="AD30" s="1268"/>
      <c r="AE30" s="1337">
        <f t="shared" si="0"/>
        <v>18750</v>
      </c>
      <c r="AF30" s="1337">
        <v>14546.97</v>
      </c>
      <c r="AG30" s="1337">
        <f>4357.58</f>
        <v>4357.58</v>
      </c>
      <c r="AH30" s="1331">
        <f>AF30+AG30</f>
        <v>18904.55</v>
      </c>
      <c r="AI30" s="1340" t="s">
        <v>228</v>
      </c>
      <c r="AJ30" s="1340" t="s">
        <v>6557</v>
      </c>
      <c r="AK30" s="1331" t="s">
        <v>6558</v>
      </c>
      <c r="AL30" s="1340" t="s">
        <v>6559</v>
      </c>
      <c r="AM30" s="1331"/>
      <c r="AN30" s="1331"/>
      <c r="AO30" s="1331"/>
      <c r="AP30" s="1331"/>
      <c r="AQ30" s="1331"/>
      <c r="AR30" s="1331"/>
      <c r="AS30" s="1268"/>
      <c r="AT30" s="1342"/>
      <c r="AU30" s="1342"/>
      <c r="AV30" s="1342"/>
      <c r="AW30" s="1342"/>
      <c r="AX30" s="1342"/>
      <c r="AY30" s="1342"/>
      <c r="AZ30" s="1342"/>
      <c r="BA30" s="1342"/>
      <c r="BB30" s="1342"/>
      <c r="BC30" s="1342"/>
      <c r="BD30" s="1342"/>
      <c r="BF30" s="145"/>
      <c r="BG30" s="2631"/>
      <c r="BH30" s="2631"/>
      <c r="BI30" s="2631"/>
      <c r="BJ30" s="2631"/>
      <c r="BK30" s="2631"/>
    </row>
    <row r="31" spans="1:63" s="85" customFormat="1" ht="63.75" x14ac:dyDescent="0.25">
      <c r="A31" s="709">
        <v>6</v>
      </c>
      <c r="B31" s="1339" t="s">
        <v>1317</v>
      </c>
      <c r="C31" s="1268" t="s">
        <v>967</v>
      </c>
      <c r="D31" s="1268" t="s">
        <v>6560</v>
      </c>
      <c r="E31" s="1268" t="str">
        <f>E27</f>
        <v>Adesão a registro de preço</v>
      </c>
      <c r="F31" s="1268" t="s">
        <v>6561</v>
      </c>
      <c r="G31" s="1338">
        <v>10989</v>
      </c>
      <c r="H31" s="1340" t="s">
        <v>4339</v>
      </c>
      <c r="I31" s="1268" t="s">
        <v>6562</v>
      </c>
      <c r="J31" s="1268" t="s">
        <v>232</v>
      </c>
      <c r="K31" s="1332">
        <v>41352</v>
      </c>
      <c r="L31" s="1255">
        <v>3680</v>
      </c>
      <c r="M31" s="1338">
        <v>11073</v>
      </c>
      <c r="N31" s="1332">
        <v>41421</v>
      </c>
      <c r="O31" s="1332">
        <v>41639</v>
      </c>
      <c r="P31" s="1268">
        <v>1</v>
      </c>
      <c r="Q31" s="1268"/>
      <c r="R31" s="1268"/>
      <c r="S31" s="1268"/>
      <c r="T31" s="1268" t="s">
        <v>208</v>
      </c>
      <c r="U31" s="1332" t="s">
        <v>4339</v>
      </c>
      <c r="V31" s="1332">
        <v>41639</v>
      </c>
      <c r="W31" s="1338">
        <v>11073</v>
      </c>
      <c r="X31" s="1268" t="s">
        <v>6534</v>
      </c>
      <c r="Y31" s="1343">
        <v>41421</v>
      </c>
      <c r="Z31" s="1332">
        <v>41851</v>
      </c>
      <c r="AA31" s="1268"/>
      <c r="AB31" s="1268"/>
      <c r="AC31" s="1337"/>
      <c r="AD31" s="1268"/>
      <c r="AE31" s="1337">
        <v>0</v>
      </c>
      <c r="AF31" s="1337"/>
      <c r="AG31" s="1337"/>
      <c r="AH31" s="1331">
        <f t="shared" ref="AH31:AH75" si="2">AF31+AG31</f>
        <v>0</v>
      </c>
      <c r="AI31" s="1340" t="s">
        <v>1007</v>
      </c>
      <c r="AJ31" s="1340" t="s">
        <v>6563</v>
      </c>
      <c r="AK31" s="1331" t="s">
        <v>6564</v>
      </c>
      <c r="AL31" s="1340" t="s">
        <v>6563</v>
      </c>
      <c r="AM31" s="1331"/>
      <c r="AN31" s="1331"/>
      <c r="AO31" s="1331"/>
      <c r="AP31" s="1331"/>
      <c r="AQ31" s="1331"/>
      <c r="AR31" s="1331"/>
      <c r="AS31" s="1268"/>
      <c r="AT31" s="1342"/>
      <c r="AU31" s="1342"/>
      <c r="AV31" s="1342"/>
      <c r="AW31" s="1342"/>
      <c r="AX31" s="1342"/>
      <c r="AY31" s="1342"/>
      <c r="AZ31" s="1342"/>
      <c r="BA31" s="1342"/>
      <c r="BB31" s="1342"/>
      <c r="BC31" s="1342"/>
      <c r="BD31" s="1342"/>
      <c r="BF31" s="145"/>
      <c r="BG31" s="1965"/>
      <c r="BH31" s="1965"/>
      <c r="BI31" s="1965"/>
      <c r="BJ31" s="1965"/>
      <c r="BK31" s="1965"/>
    </row>
    <row r="32" spans="1:63" s="85" customFormat="1" ht="76.5" x14ac:dyDescent="0.25">
      <c r="A32" s="709">
        <v>7</v>
      </c>
      <c r="B32" s="1339" t="s">
        <v>1317</v>
      </c>
      <c r="C32" s="1268" t="s">
        <v>967</v>
      </c>
      <c r="D32" s="1268" t="s">
        <v>6560</v>
      </c>
      <c r="E32" s="1268" t="str">
        <f>E31</f>
        <v>Adesão a registro de preço</v>
      </c>
      <c r="F32" s="1268" t="s">
        <v>6565</v>
      </c>
      <c r="G32" s="1338">
        <v>10989</v>
      </c>
      <c r="H32" s="1340" t="s">
        <v>1007</v>
      </c>
      <c r="I32" s="1268" t="s">
        <v>6566</v>
      </c>
      <c r="J32" s="1268" t="s">
        <v>4120</v>
      </c>
      <c r="K32" s="1332">
        <v>41352</v>
      </c>
      <c r="L32" s="1255">
        <v>136999.85</v>
      </c>
      <c r="M32" s="1338">
        <v>11073</v>
      </c>
      <c r="N32" s="1332">
        <v>41421</v>
      </c>
      <c r="O32" s="1332">
        <v>41639</v>
      </c>
      <c r="P32" s="1268">
        <v>1</v>
      </c>
      <c r="Q32" s="1268"/>
      <c r="R32" s="1268"/>
      <c r="S32" s="1268"/>
      <c r="T32" s="1268" t="s">
        <v>208</v>
      </c>
      <c r="U32" s="1332" t="s">
        <v>1007</v>
      </c>
      <c r="V32" s="1332">
        <v>41639</v>
      </c>
      <c r="W32" s="1338">
        <v>11073</v>
      </c>
      <c r="X32" s="1268" t="s">
        <v>6534</v>
      </c>
      <c r="Y32" s="1343">
        <v>41649</v>
      </c>
      <c r="Z32" s="1332">
        <v>42004</v>
      </c>
      <c r="AA32" s="1268"/>
      <c r="AB32" s="1268"/>
      <c r="AC32" s="1337"/>
      <c r="AD32" s="1268"/>
      <c r="AE32" s="1337">
        <f t="shared" si="0"/>
        <v>136999.85</v>
      </c>
      <c r="AF32" s="1337">
        <f>5651.7</f>
        <v>5651.7</v>
      </c>
      <c r="AG32" s="1337">
        <v>559.70000000000005</v>
      </c>
      <c r="AH32" s="1331">
        <f>AF32+AG32</f>
        <v>6211.4</v>
      </c>
      <c r="AI32" s="1340" t="s">
        <v>1007</v>
      </c>
      <c r="AJ32" s="1340" t="s">
        <v>6563</v>
      </c>
      <c r="AK32" s="1331" t="s">
        <v>6564</v>
      </c>
      <c r="AL32" s="1340" t="s">
        <v>6563</v>
      </c>
      <c r="AM32" s="1331"/>
      <c r="AN32" s="1331"/>
      <c r="AO32" s="1331"/>
      <c r="AP32" s="1331"/>
      <c r="AQ32" s="1331"/>
      <c r="AR32" s="1331"/>
      <c r="AS32" s="1268"/>
      <c r="AT32" s="1342"/>
      <c r="AU32" s="1342"/>
      <c r="AV32" s="1342"/>
      <c r="AW32" s="1342"/>
      <c r="AX32" s="1342"/>
      <c r="AY32" s="1342"/>
      <c r="AZ32" s="1342"/>
      <c r="BA32" s="1342"/>
      <c r="BB32" s="1342"/>
      <c r="BC32" s="1342"/>
      <c r="BD32" s="1342"/>
      <c r="BF32" s="145"/>
      <c r="BG32" s="2631"/>
      <c r="BH32" s="2631"/>
      <c r="BI32" s="2631"/>
      <c r="BJ32" s="2631"/>
      <c r="BK32" s="2631"/>
    </row>
    <row r="33" spans="1:63" s="85" customFormat="1" ht="51" x14ac:dyDescent="0.25">
      <c r="A33" s="709">
        <v>8</v>
      </c>
      <c r="B33" s="1339" t="s">
        <v>1631</v>
      </c>
      <c r="C33" s="1268" t="s">
        <v>2686</v>
      </c>
      <c r="D33" s="1268" t="s">
        <v>6567</v>
      </c>
      <c r="E33" s="1268" t="s">
        <v>5878</v>
      </c>
      <c r="F33" s="1268" t="s">
        <v>6568</v>
      </c>
      <c r="G33" s="1338">
        <v>10882</v>
      </c>
      <c r="H33" s="1340" t="s">
        <v>1775</v>
      </c>
      <c r="I33" s="1268" t="s">
        <v>6569</v>
      </c>
      <c r="J33" s="1268" t="s">
        <v>6570</v>
      </c>
      <c r="K33" s="1332">
        <v>41415</v>
      </c>
      <c r="L33" s="1255">
        <v>9993</v>
      </c>
      <c r="M33" s="1338">
        <v>11064</v>
      </c>
      <c r="N33" s="1332">
        <v>41415</v>
      </c>
      <c r="O33" s="1332">
        <v>41639</v>
      </c>
      <c r="P33" s="1268">
        <v>1</v>
      </c>
      <c r="Q33" s="1268"/>
      <c r="R33" s="1268"/>
      <c r="S33" s="1268"/>
      <c r="T33" s="1268" t="s">
        <v>208</v>
      </c>
      <c r="U33" s="1332" t="s">
        <v>1775</v>
      </c>
      <c r="V33" s="1332">
        <v>41638</v>
      </c>
      <c r="W33" s="1338">
        <v>11213</v>
      </c>
      <c r="X33" s="1268" t="s">
        <v>6534</v>
      </c>
      <c r="Y33" s="1343">
        <v>41649</v>
      </c>
      <c r="Z33" s="1332">
        <v>42004</v>
      </c>
      <c r="AA33" s="1268"/>
      <c r="AB33" s="1268"/>
      <c r="AC33" s="1337">
        <v>0</v>
      </c>
      <c r="AD33" s="1268"/>
      <c r="AE33" s="1337">
        <f>AC33+L33</f>
        <v>9993</v>
      </c>
      <c r="AF33" s="1337">
        <v>4769</v>
      </c>
      <c r="AG33" s="1337">
        <v>4995</v>
      </c>
      <c r="AH33" s="1331">
        <f t="shared" si="2"/>
        <v>9764</v>
      </c>
      <c r="AI33" s="1340" t="s">
        <v>1775</v>
      </c>
      <c r="AJ33" s="1340" t="s">
        <v>6571</v>
      </c>
      <c r="AK33" s="1331" t="s">
        <v>1182</v>
      </c>
      <c r="AL33" s="1340" t="s">
        <v>6563</v>
      </c>
      <c r="AM33" s="1331"/>
      <c r="AN33" s="1331"/>
      <c r="AO33" s="1331"/>
      <c r="AP33" s="1331"/>
      <c r="AQ33" s="1331"/>
      <c r="AR33" s="1331"/>
      <c r="AS33" s="1268"/>
      <c r="AT33" s="1342"/>
      <c r="AU33" s="1342"/>
      <c r="AV33" s="1342"/>
      <c r="AW33" s="1342"/>
      <c r="AX33" s="1342"/>
      <c r="AY33" s="1342"/>
      <c r="AZ33" s="1342"/>
      <c r="BA33" s="1342"/>
      <c r="BB33" s="1342"/>
      <c r="BC33" s="1342"/>
      <c r="BD33" s="1342"/>
      <c r="BF33" s="145"/>
      <c r="BG33" s="2631"/>
      <c r="BH33" s="2631"/>
      <c r="BI33" s="2631"/>
      <c r="BJ33" s="2631"/>
      <c r="BK33" s="2631"/>
    </row>
    <row r="34" spans="1:63" s="85" customFormat="1" ht="51" x14ac:dyDescent="0.25">
      <c r="A34" s="709">
        <v>9</v>
      </c>
      <c r="B34" s="1339" t="s">
        <v>4747</v>
      </c>
      <c r="C34" s="1268" t="s">
        <v>6572</v>
      </c>
      <c r="D34" s="1268" t="s">
        <v>6573</v>
      </c>
      <c r="E34" s="1268" t="str">
        <f>E33</f>
        <v>Menor preço unitário por item</v>
      </c>
      <c r="F34" s="1268" t="s">
        <v>6574</v>
      </c>
      <c r="G34" s="1338">
        <v>11064</v>
      </c>
      <c r="H34" s="1340" t="s">
        <v>1317</v>
      </c>
      <c r="I34" s="1268" t="s">
        <v>6575</v>
      </c>
      <c r="J34" s="1268" t="s">
        <v>1658</v>
      </c>
      <c r="K34" s="1332">
        <v>41431</v>
      </c>
      <c r="L34" s="1255">
        <v>9000</v>
      </c>
      <c r="M34" s="1338">
        <v>11064</v>
      </c>
      <c r="N34" s="1332">
        <v>41431</v>
      </c>
      <c r="O34" s="1332">
        <v>41639</v>
      </c>
      <c r="P34" s="1268">
        <v>1</v>
      </c>
      <c r="Q34" s="1268"/>
      <c r="R34" s="1268"/>
      <c r="S34" s="1268"/>
      <c r="T34" s="1268" t="s">
        <v>208</v>
      </c>
      <c r="U34" s="1332" t="s">
        <v>1317</v>
      </c>
      <c r="V34" s="1332">
        <v>41431</v>
      </c>
      <c r="W34" s="1338">
        <v>11213</v>
      </c>
      <c r="X34" s="1268" t="s">
        <v>6534</v>
      </c>
      <c r="Y34" s="1343">
        <v>41431</v>
      </c>
      <c r="Z34" s="1343">
        <v>41821</v>
      </c>
      <c r="AA34" s="1268"/>
      <c r="AB34" s="1268"/>
      <c r="AC34" s="1337"/>
      <c r="AD34" s="1268"/>
      <c r="AE34" s="1337">
        <f t="shared" ref="AE34:AE75" si="3">AC34+L34</f>
        <v>9000</v>
      </c>
      <c r="AF34" s="1337">
        <v>441</v>
      </c>
      <c r="AG34" s="1337">
        <v>8559</v>
      </c>
      <c r="AH34" s="1331">
        <f t="shared" si="2"/>
        <v>9000</v>
      </c>
      <c r="AI34" s="1340" t="s">
        <v>1317</v>
      </c>
      <c r="AJ34" s="1340" t="s">
        <v>6571</v>
      </c>
      <c r="AK34" s="1331" t="s">
        <v>6576</v>
      </c>
      <c r="AL34" s="1340" t="s">
        <v>6571</v>
      </c>
      <c r="AM34" s="1331"/>
      <c r="AN34" s="1331"/>
      <c r="AO34" s="1331"/>
      <c r="AP34" s="1331"/>
      <c r="AQ34" s="1331"/>
      <c r="AR34" s="1331"/>
      <c r="AS34" s="1268"/>
      <c r="AT34" s="1342"/>
      <c r="AU34" s="1342"/>
      <c r="AV34" s="1342"/>
      <c r="AW34" s="1342"/>
      <c r="AX34" s="1342"/>
      <c r="AY34" s="1342"/>
      <c r="AZ34" s="1342"/>
      <c r="BA34" s="1342"/>
      <c r="BB34" s="1342"/>
      <c r="BC34" s="1342"/>
      <c r="BD34" s="1342"/>
      <c r="BF34" s="145"/>
      <c r="BG34" s="2631"/>
      <c r="BH34" s="2631"/>
      <c r="BI34" s="2631"/>
      <c r="BJ34" s="2631"/>
      <c r="BK34" s="2631"/>
    </row>
    <row r="35" spans="1:63" s="85" customFormat="1" ht="38.25" x14ac:dyDescent="0.25">
      <c r="A35" s="709">
        <v>10</v>
      </c>
      <c r="B35" s="1339" t="s">
        <v>4740</v>
      </c>
      <c r="C35" s="1854" t="s">
        <v>4702</v>
      </c>
      <c r="D35" s="1268" t="s">
        <v>6577</v>
      </c>
      <c r="E35" s="1268" t="s">
        <v>5811</v>
      </c>
      <c r="F35" s="1268" t="s">
        <v>6578</v>
      </c>
      <c r="G35" s="1338">
        <v>11022</v>
      </c>
      <c r="H35" s="1340" t="s">
        <v>1631</v>
      </c>
      <c r="I35" s="1268" t="s">
        <v>6579</v>
      </c>
      <c r="J35" s="1338" t="s">
        <v>1564</v>
      </c>
      <c r="K35" s="1332">
        <v>41446</v>
      </c>
      <c r="L35" s="1255">
        <v>36240</v>
      </c>
      <c r="M35" s="1338">
        <v>11077</v>
      </c>
      <c r="N35" s="1332">
        <v>41446</v>
      </c>
      <c r="O35" s="1332">
        <v>41811</v>
      </c>
      <c r="P35" s="1268">
        <v>1</v>
      </c>
      <c r="Q35" s="1268"/>
      <c r="R35" s="1268"/>
      <c r="S35" s="1268"/>
      <c r="T35" s="1268" t="s">
        <v>208</v>
      </c>
      <c r="U35" s="1268" t="s">
        <v>4702</v>
      </c>
      <c r="V35" s="1332">
        <v>41813</v>
      </c>
      <c r="W35" s="1338">
        <v>11358</v>
      </c>
      <c r="X35" s="1268" t="s">
        <v>6534</v>
      </c>
      <c r="Y35" s="1332">
        <v>41813</v>
      </c>
      <c r="Z35" s="1332">
        <v>42178</v>
      </c>
      <c r="AA35" s="1268"/>
      <c r="AB35" s="1268"/>
      <c r="AC35" s="1337"/>
      <c r="AD35" s="1268"/>
      <c r="AE35" s="1337">
        <f t="shared" si="3"/>
        <v>36240</v>
      </c>
      <c r="AF35" s="1337">
        <v>1208</v>
      </c>
      <c r="AG35" s="1337">
        <v>2570</v>
      </c>
      <c r="AH35" s="1331">
        <f>AF35+AG35</f>
        <v>3778</v>
      </c>
      <c r="AI35" s="1340" t="s">
        <v>1631</v>
      </c>
      <c r="AJ35" s="1331"/>
      <c r="AK35" s="1331"/>
      <c r="AL35" s="1331"/>
      <c r="AM35" s="1331"/>
      <c r="AN35" s="1331"/>
      <c r="AO35" s="1331"/>
      <c r="AP35" s="1331"/>
      <c r="AQ35" s="1331"/>
      <c r="AR35" s="1331"/>
      <c r="AS35" s="1268"/>
      <c r="AT35" s="1342"/>
      <c r="AU35" s="1342"/>
      <c r="AV35" s="1342"/>
      <c r="AW35" s="1342"/>
      <c r="AX35" s="1342"/>
      <c r="AY35" s="1342"/>
      <c r="AZ35" s="1342"/>
      <c r="BA35" s="1342"/>
      <c r="BB35" s="1342"/>
      <c r="BC35" s="1342"/>
      <c r="BD35" s="1342"/>
      <c r="BF35" s="2633"/>
      <c r="BG35" s="1965"/>
      <c r="BH35" s="1965"/>
      <c r="BI35" s="1965"/>
      <c r="BJ35" s="1965"/>
      <c r="BK35" s="1965"/>
    </row>
    <row r="36" spans="1:63" s="85" customFormat="1" ht="51" x14ac:dyDescent="0.25">
      <c r="A36" s="709">
        <v>11</v>
      </c>
      <c r="B36" s="1339" t="s">
        <v>4702</v>
      </c>
      <c r="C36" s="1268" t="s">
        <v>1056</v>
      </c>
      <c r="D36" s="1268" t="s">
        <v>6580</v>
      </c>
      <c r="E36" s="1268" t="s">
        <v>5811</v>
      </c>
      <c r="F36" s="1268" t="s">
        <v>6581</v>
      </c>
      <c r="G36" s="1338">
        <v>11009</v>
      </c>
      <c r="H36" s="1340" t="s">
        <v>2259</v>
      </c>
      <c r="I36" s="1268" t="s">
        <v>6582</v>
      </c>
      <c r="J36" s="1268" t="s">
        <v>6583</v>
      </c>
      <c r="K36" s="1332">
        <v>41446</v>
      </c>
      <c r="L36" s="1255">
        <v>4700</v>
      </c>
      <c r="M36" s="1338">
        <v>11014</v>
      </c>
      <c r="N36" s="1332">
        <v>41446</v>
      </c>
      <c r="O36" s="1332">
        <v>41639</v>
      </c>
      <c r="P36" s="1268">
        <v>1</v>
      </c>
      <c r="Q36" s="1268"/>
      <c r="R36" s="1268"/>
      <c r="S36" s="1268"/>
      <c r="T36" s="1268" t="s">
        <v>316</v>
      </c>
      <c r="U36" s="1268" t="s">
        <v>2259</v>
      </c>
      <c r="V36" s="1332">
        <v>41660</v>
      </c>
      <c r="W36" s="1338">
        <v>11213</v>
      </c>
      <c r="X36" s="1268" t="s">
        <v>6534</v>
      </c>
      <c r="Y36" s="1343">
        <v>41446</v>
      </c>
      <c r="Z36" s="1332">
        <v>41821</v>
      </c>
      <c r="AA36" s="1268"/>
      <c r="AB36" s="1268"/>
      <c r="AC36" s="1337"/>
      <c r="AD36" s="1268"/>
      <c r="AE36" s="1337">
        <f t="shared" si="3"/>
        <v>4700</v>
      </c>
      <c r="AF36" s="1337">
        <v>423</v>
      </c>
      <c r="AG36" s="1337">
        <v>0</v>
      </c>
      <c r="AH36" s="1331">
        <f>AF36+AG36</f>
        <v>423</v>
      </c>
      <c r="AI36" s="1340" t="s">
        <v>2259</v>
      </c>
      <c r="AJ36" s="1340" t="s">
        <v>6584</v>
      </c>
      <c r="AK36" s="1331" t="s">
        <v>6585</v>
      </c>
      <c r="AL36" s="1340" t="s">
        <v>6584</v>
      </c>
      <c r="AM36" s="1331" t="s">
        <v>6586</v>
      </c>
      <c r="AN36" s="1331"/>
      <c r="AO36" s="1331"/>
      <c r="AP36" s="1331"/>
      <c r="AQ36" s="1331"/>
      <c r="AR36" s="1331"/>
      <c r="AS36" s="1268"/>
      <c r="AT36" s="1342"/>
      <c r="AU36" s="1342"/>
      <c r="AV36" s="1342"/>
      <c r="AW36" s="1342"/>
      <c r="AX36" s="1342"/>
      <c r="AY36" s="1342"/>
      <c r="AZ36" s="1342"/>
      <c r="BA36" s="1342"/>
      <c r="BB36" s="1342"/>
      <c r="BC36" s="1342"/>
      <c r="BD36" s="1342"/>
      <c r="BF36" s="2633"/>
      <c r="BG36" s="1965"/>
      <c r="BH36" s="1965"/>
      <c r="BI36" s="1965"/>
      <c r="BJ36" s="1965"/>
      <c r="BK36" s="1965"/>
    </row>
    <row r="37" spans="1:63" s="85" customFormat="1" ht="38.25" x14ac:dyDescent="0.25">
      <c r="A37" s="709">
        <v>12</v>
      </c>
      <c r="B37" s="1339" t="s">
        <v>257</v>
      </c>
      <c r="C37" s="1854" t="s">
        <v>4747</v>
      </c>
      <c r="D37" s="1268" t="s">
        <v>6587</v>
      </c>
      <c r="E37" s="1268" t="s">
        <v>5811</v>
      </c>
      <c r="F37" s="1268" t="s">
        <v>6588</v>
      </c>
      <c r="G37" s="1338">
        <v>10967</v>
      </c>
      <c r="H37" s="1854" t="s">
        <v>4747</v>
      </c>
      <c r="I37" s="1268" t="s">
        <v>6589</v>
      </c>
      <c r="J37" s="1342" t="s">
        <v>718</v>
      </c>
      <c r="K37" s="1332">
        <v>41452</v>
      </c>
      <c r="L37" s="1255">
        <v>33218</v>
      </c>
      <c r="M37" s="1338">
        <v>11081</v>
      </c>
      <c r="N37" s="1332">
        <v>41452</v>
      </c>
      <c r="O37" s="1332">
        <v>41817</v>
      </c>
      <c r="P37" s="1268">
        <v>1</v>
      </c>
      <c r="Q37" s="1268"/>
      <c r="R37" s="1268"/>
      <c r="S37" s="1268"/>
      <c r="T37" s="1268" t="s">
        <v>316</v>
      </c>
      <c r="U37" s="1332" t="s">
        <v>4747</v>
      </c>
      <c r="V37" s="1332">
        <v>41660</v>
      </c>
      <c r="W37" s="1338">
        <v>11244</v>
      </c>
      <c r="X37" s="1268" t="s">
        <v>6534</v>
      </c>
      <c r="Y37" s="1332">
        <v>41820</v>
      </c>
      <c r="Z37" s="1332">
        <v>42185</v>
      </c>
      <c r="AA37" s="1268"/>
      <c r="AB37" s="1268"/>
      <c r="AC37" s="1337"/>
      <c r="AD37" s="1268"/>
      <c r="AE37" s="1337">
        <f t="shared" si="3"/>
        <v>33218</v>
      </c>
      <c r="AF37" s="1337">
        <v>230</v>
      </c>
      <c r="AG37" s="1337">
        <v>0</v>
      </c>
      <c r="AH37" s="1331">
        <f t="shared" si="2"/>
        <v>230</v>
      </c>
      <c r="AI37" s="1340" t="s">
        <v>6590</v>
      </c>
      <c r="AJ37" s="1340" t="s">
        <v>6591</v>
      </c>
      <c r="AK37" s="1331"/>
      <c r="AL37" s="1331"/>
      <c r="AM37" s="1331"/>
      <c r="AN37" s="1331"/>
      <c r="AO37" s="1331"/>
      <c r="AP37" s="1331"/>
      <c r="AQ37" s="1331"/>
      <c r="AR37" s="1331"/>
      <c r="AS37" s="1268"/>
      <c r="AT37" s="1342"/>
      <c r="AU37" s="1342"/>
      <c r="AV37" s="1342"/>
      <c r="AW37" s="1342"/>
      <c r="AX37" s="1342"/>
      <c r="AY37" s="1342"/>
      <c r="AZ37" s="1342"/>
      <c r="BA37" s="1342"/>
      <c r="BB37" s="1342"/>
      <c r="BC37" s="1342"/>
      <c r="BD37" s="1342"/>
      <c r="BF37" s="145"/>
      <c r="BG37" s="1965"/>
      <c r="BH37" s="1965"/>
      <c r="BI37" s="1965"/>
      <c r="BJ37" s="1965"/>
      <c r="BK37" s="1965"/>
    </row>
    <row r="38" spans="1:63" s="85" customFormat="1" ht="38.25" x14ac:dyDescent="0.25">
      <c r="A38" s="709">
        <v>13</v>
      </c>
      <c r="B38" s="1339" t="s">
        <v>257</v>
      </c>
      <c r="C38" s="1854" t="s">
        <v>4734</v>
      </c>
      <c r="D38" s="1268" t="s">
        <v>6587</v>
      </c>
      <c r="E38" s="1268" t="s">
        <v>5811</v>
      </c>
      <c r="F38" s="1268" t="s">
        <v>6588</v>
      </c>
      <c r="G38" s="1338">
        <v>10967</v>
      </c>
      <c r="H38" s="1854" t="s">
        <v>4734</v>
      </c>
      <c r="I38" s="1268" t="s">
        <v>6592</v>
      </c>
      <c r="J38" s="1342" t="s">
        <v>6593</v>
      </c>
      <c r="K38" s="1332">
        <v>41452</v>
      </c>
      <c r="L38" s="1255">
        <v>8246</v>
      </c>
      <c r="M38" s="1338">
        <v>11081</v>
      </c>
      <c r="N38" s="1332">
        <v>41452</v>
      </c>
      <c r="O38" s="1332">
        <v>41817</v>
      </c>
      <c r="P38" s="1268">
        <v>1</v>
      </c>
      <c r="Q38" s="1268"/>
      <c r="R38" s="1268"/>
      <c r="S38" s="1268"/>
      <c r="T38" s="1268" t="s">
        <v>316</v>
      </c>
      <c r="U38" s="1268" t="s">
        <v>4734</v>
      </c>
      <c r="V38" s="1332">
        <v>41660</v>
      </c>
      <c r="W38" s="1338">
        <v>11244</v>
      </c>
      <c r="X38" s="1268" t="s">
        <v>6534</v>
      </c>
      <c r="Y38" s="1332">
        <v>41820</v>
      </c>
      <c r="Z38" s="1332">
        <v>42185</v>
      </c>
      <c r="AA38" s="1268"/>
      <c r="AB38" s="1268"/>
      <c r="AC38" s="1337"/>
      <c r="AD38" s="1268"/>
      <c r="AE38" s="1337">
        <f t="shared" si="3"/>
        <v>8246</v>
      </c>
      <c r="AF38" s="1337">
        <f>38+230</f>
        <v>268</v>
      </c>
      <c r="AG38" s="1337">
        <v>0</v>
      </c>
      <c r="AH38" s="1331">
        <f t="shared" si="2"/>
        <v>268</v>
      </c>
      <c r="AI38" s="1340" t="s">
        <v>6590</v>
      </c>
      <c r="AJ38" s="1340" t="s">
        <v>6591</v>
      </c>
      <c r="AK38" s="1331"/>
      <c r="AL38" s="1331"/>
      <c r="AM38" s="1331"/>
      <c r="AN38" s="1331"/>
      <c r="AO38" s="1331"/>
      <c r="AP38" s="1331"/>
      <c r="AQ38" s="1331"/>
      <c r="AR38" s="1331"/>
      <c r="AS38" s="1268"/>
      <c r="AT38" s="1342"/>
      <c r="AU38" s="1342"/>
      <c r="AV38" s="1342"/>
      <c r="AW38" s="1342"/>
      <c r="AX38" s="1342"/>
      <c r="AY38" s="1342"/>
      <c r="AZ38" s="1342"/>
      <c r="BA38" s="1342"/>
      <c r="BB38" s="1342"/>
      <c r="BC38" s="1342"/>
      <c r="BD38" s="1342"/>
      <c r="BF38" s="145"/>
      <c r="BG38" s="1965"/>
      <c r="BH38" s="1965"/>
      <c r="BI38" s="1965"/>
      <c r="BJ38" s="1965"/>
      <c r="BK38" s="1965"/>
    </row>
    <row r="39" spans="1:63" s="85" customFormat="1" ht="38.25" x14ac:dyDescent="0.25">
      <c r="A39" s="709">
        <v>14</v>
      </c>
      <c r="B39" s="1339" t="s">
        <v>5319</v>
      </c>
      <c r="C39" s="1268" t="s">
        <v>4740</v>
      </c>
      <c r="D39" s="1268" t="s">
        <v>6594</v>
      </c>
      <c r="E39" s="1268" t="s">
        <v>5811</v>
      </c>
      <c r="F39" s="1268" t="s">
        <v>6595</v>
      </c>
      <c r="G39" s="1338">
        <v>11084</v>
      </c>
      <c r="H39" s="1340" t="s">
        <v>4740</v>
      </c>
      <c r="I39" s="1342" t="s">
        <v>6596</v>
      </c>
      <c r="J39" s="1268" t="s">
        <v>6461</v>
      </c>
      <c r="K39" s="1332">
        <v>41478</v>
      </c>
      <c r="L39" s="1255">
        <v>233100</v>
      </c>
      <c r="M39" s="1338">
        <v>11100</v>
      </c>
      <c r="N39" s="1332">
        <v>41478</v>
      </c>
      <c r="O39" s="1332">
        <v>41639</v>
      </c>
      <c r="P39" s="1268">
        <v>1</v>
      </c>
      <c r="Q39" s="1268"/>
      <c r="R39" s="1268"/>
      <c r="S39" s="1268"/>
      <c r="T39" s="1268" t="s">
        <v>208</v>
      </c>
      <c r="U39" s="1268" t="s">
        <v>4740</v>
      </c>
      <c r="V39" s="1332">
        <v>41660</v>
      </c>
      <c r="W39" s="1338">
        <v>11244</v>
      </c>
      <c r="X39" s="1268" t="s">
        <v>6534</v>
      </c>
      <c r="Y39" s="1332">
        <v>41478</v>
      </c>
      <c r="Z39" s="1332">
        <v>42004</v>
      </c>
      <c r="AA39" s="1268"/>
      <c r="AB39" s="1268"/>
      <c r="AC39" s="1337"/>
      <c r="AD39" s="1268"/>
      <c r="AE39" s="1337">
        <f t="shared" si="3"/>
        <v>233100</v>
      </c>
      <c r="AF39" s="1337">
        <v>26737.95</v>
      </c>
      <c r="AG39" s="1337">
        <f>4872+25000+14100.03</f>
        <v>43972.03</v>
      </c>
      <c r="AH39" s="1331">
        <f t="shared" si="2"/>
        <v>70709.98</v>
      </c>
      <c r="AI39" s="1340"/>
      <c r="AJ39" s="1331"/>
      <c r="AK39" s="1331"/>
      <c r="AL39" s="1331"/>
      <c r="AM39" s="1331"/>
      <c r="AN39" s="1331"/>
      <c r="AO39" s="1331"/>
      <c r="AP39" s="1331"/>
      <c r="AQ39" s="1331"/>
      <c r="AR39" s="1331"/>
      <c r="AS39" s="1268"/>
      <c r="AT39" s="1342"/>
      <c r="AU39" s="1342"/>
      <c r="AV39" s="1342"/>
      <c r="AW39" s="1342"/>
      <c r="AX39" s="1342"/>
      <c r="AY39" s="1342"/>
      <c r="AZ39" s="1342"/>
      <c r="BA39" s="1342"/>
      <c r="BB39" s="1342"/>
      <c r="BC39" s="1342"/>
      <c r="BD39" s="1342"/>
      <c r="BF39" s="145"/>
    </row>
    <row r="40" spans="1:63" s="85" customFormat="1" ht="51" x14ac:dyDescent="0.25">
      <c r="A40" s="709">
        <v>15</v>
      </c>
      <c r="B40" s="1339" t="s">
        <v>2686</v>
      </c>
      <c r="C40" s="1268" t="s">
        <v>281</v>
      </c>
      <c r="D40" s="1268" t="s">
        <v>6597</v>
      </c>
      <c r="E40" s="1268" t="s">
        <v>5982</v>
      </c>
      <c r="F40" s="1268" t="s">
        <v>6598</v>
      </c>
      <c r="G40" s="1338">
        <v>11064</v>
      </c>
      <c r="H40" s="1342" t="s">
        <v>4798</v>
      </c>
      <c r="I40" s="1342" t="s">
        <v>5914</v>
      </c>
      <c r="J40" s="1268" t="s">
        <v>6599</v>
      </c>
      <c r="K40" s="1332">
        <v>41471</v>
      </c>
      <c r="L40" s="1255">
        <v>40000</v>
      </c>
      <c r="M40" s="1338">
        <v>11112</v>
      </c>
      <c r="N40" s="1332">
        <v>41471</v>
      </c>
      <c r="O40" s="1332">
        <v>41639</v>
      </c>
      <c r="P40" s="1268">
        <v>1</v>
      </c>
      <c r="Q40" s="1268"/>
      <c r="R40" s="1268"/>
      <c r="S40" s="1268"/>
      <c r="T40" s="1268" t="s">
        <v>316</v>
      </c>
      <c r="U40" s="1268" t="s">
        <v>4798</v>
      </c>
      <c r="V40" s="1332">
        <v>41638</v>
      </c>
      <c r="W40" s="1338">
        <v>11213</v>
      </c>
      <c r="X40" s="1268" t="s">
        <v>6534</v>
      </c>
      <c r="Y40" s="1332">
        <v>41471</v>
      </c>
      <c r="Z40" s="1332">
        <v>41790</v>
      </c>
      <c r="AA40" s="1268"/>
      <c r="AB40" s="1268"/>
      <c r="AC40" s="1337"/>
      <c r="AD40" s="1268"/>
      <c r="AE40" s="1337">
        <f t="shared" si="3"/>
        <v>40000</v>
      </c>
      <c r="AF40" s="1337">
        <v>20000</v>
      </c>
      <c r="AG40" s="1337">
        <v>20000</v>
      </c>
      <c r="AH40" s="1331">
        <f t="shared" si="2"/>
        <v>40000</v>
      </c>
      <c r="AI40" s="1340" t="s">
        <v>1006</v>
      </c>
      <c r="AJ40" s="1340" t="s">
        <v>6571</v>
      </c>
      <c r="AK40" s="1331" t="s">
        <v>6600</v>
      </c>
      <c r="AL40" s="1340" t="s">
        <v>6571</v>
      </c>
      <c r="AM40" s="1331"/>
      <c r="AN40" s="1331"/>
      <c r="AO40" s="1331"/>
      <c r="AP40" s="1331"/>
      <c r="AQ40" s="1331"/>
      <c r="AR40" s="1331"/>
      <c r="AS40" s="1268"/>
      <c r="AT40" s="1342"/>
      <c r="AU40" s="1342"/>
      <c r="AV40" s="1342"/>
      <c r="AW40" s="1342"/>
      <c r="AX40" s="1342"/>
      <c r="AY40" s="1342"/>
      <c r="AZ40" s="1342"/>
      <c r="BA40" s="1342"/>
      <c r="BB40" s="1342"/>
      <c r="BC40" s="1342"/>
      <c r="BD40" s="1342"/>
      <c r="BF40" s="145"/>
      <c r="BG40" s="2631"/>
      <c r="BH40" s="2631"/>
      <c r="BI40" s="2631"/>
      <c r="BJ40" s="2631"/>
      <c r="BK40" s="2631"/>
    </row>
    <row r="41" spans="1:63" s="85" customFormat="1" ht="51" x14ac:dyDescent="0.25">
      <c r="A41" s="709">
        <v>16</v>
      </c>
      <c r="B41" s="1339" t="s">
        <v>5314</v>
      </c>
      <c r="C41" s="1268" t="s">
        <v>1070</v>
      </c>
      <c r="D41" s="1268" t="s">
        <v>6601</v>
      </c>
      <c r="E41" s="1268" t="s">
        <v>5811</v>
      </c>
      <c r="F41" s="1268" t="s">
        <v>6602</v>
      </c>
      <c r="G41" s="1338">
        <v>11026</v>
      </c>
      <c r="H41" s="1342" t="s">
        <v>4162</v>
      </c>
      <c r="I41" s="1342" t="s">
        <v>6603</v>
      </c>
      <c r="J41" s="1268" t="s">
        <v>4414</v>
      </c>
      <c r="K41" s="1332">
        <v>41493</v>
      </c>
      <c r="L41" s="1255">
        <v>10000</v>
      </c>
      <c r="M41" s="1338">
        <v>11125</v>
      </c>
      <c r="N41" s="1332">
        <v>41493</v>
      </c>
      <c r="O41" s="1332">
        <v>41639</v>
      </c>
      <c r="P41" s="1268">
        <v>1</v>
      </c>
      <c r="Q41" s="1268"/>
      <c r="R41" s="1268"/>
      <c r="S41" s="1268"/>
      <c r="T41" s="1268" t="s">
        <v>316</v>
      </c>
      <c r="U41" s="1268" t="s">
        <v>5314</v>
      </c>
      <c r="V41" s="1332">
        <f>N41</f>
        <v>41493</v>
      </c>
      <c r="W41" s="1338">
        <v>11213</v>
      </c>
      <c r="X41" s="1268" t="s">
        <v>6534</v>
      </c>
      <c r="Y41" s="1343">
        <v>41494</v>
      </c>
      <c r="Z41" s="1343">
        <v>41820</v>
      </c>
      <c r="AA41" s="1268"/>
      <c r="AB41" s="1268"/>
      <c r="AC41" s="1337"/>
      <c r="AD41" s="1268"/>
      <c r="AE41" s="1337">
        <f t="shared" si="3"/>
        <v>10000</v>
      </c>
      <c r="AF41" s="1337">
        <v>4073.95</v>
      </c>
      <c r="AG41" s="1337">
        <v>4653.7</v>
      </c>
      <c r="AH41" s="1331">
        <f t="shared" si="2"/>
        <v>8727.65</v>
      </c>
      <c r="AI41" s="1342" t="s">
        <v>4162</v>
      </c>
      <c r="AJ41" s="1340" t="s">
        <v>6604</v>
      </c>
      <c r="AK41" s="1331" t="s">
        <v>622</v>
      </c>
      <c r="AL41" s="1340" t="s">
        <v>6604</v>
      </c>
      <c r="AM41" s="1331"/>
      <c r="AN41" s="1331"/>
      <c r="AO41" s="1331"/>
      <c r="AP41" s="1331"/>
      <c r="AQ41" s="1331"/>
      <c r="AR41" s="1331"/>
      <c r="AS41" s="1268"/>
      <c r="AT41" s="1342"/>
      <c r="AU41" s="1342"/>
      <c r="AV41" s="1342"/>
      <c r="AW41" s="1342"/>
      <c r="AX41" s="1342"/>
      <c r="AY41" s="1342"/>
      <c r="AZ41" s="1342"/>
      <c r="BA41" s="1342"/>
      <c r="BB41" s="1342"/>
      <c r="BC41" s="1342"/>
      <c r="BD41" s="1342"/>
      <c r="BF41" s="145"/>
      <c r="BG41" s="2631"/>
      <c r="BH41" s="2631"/>
      <c r="BI41" s="2631"/>
      <c r="BJ41" s="2631"/>
      <c r="BK41" s="2631"/>
    </row>
    <row r="42" spans="1:63" s="85" customFormat="1" ht="51" x14ac:dyDescent="0.25">
      <c r="A42" s="709">
        <v>17</v>
      </c>
      <c r="B42" s="1339" t="s">
        <v>5314</v>
      </c>
      <c r="C42" s="1268" t="s">
        <v>1070</v>
      </c>
      <c r="D42" s="1268" t="s">
        <v>6601</v>
      </c>
      <c r="E42" s="1268" t="s">
        <v>5811</v>
      </c>
      <c r="F42" s="1268" t="s">
        <v>6602</v>
      </c>
      <c r="G42" s="1338">
        <v>11026</v>
      </c>
      <c r="H42" s="1342" t="s">
        <v>5319</v>
      </c>
      <c r="I42" s="1342" t="s">
        <v>6605</v>
      </c>
      <c r="J42" s="1268" t="s">
        <v>330</v>
      </c>
      <c r="K42" s="1332">
        <v>41509</v>
      </c>
      <c r="L42" s="1255">
        <v>10000</v>
      </c>
      <c r="M42" s="1338">
        <v>11125</v>
      </c>
      <c r="N42" s="1332">
        <f>K42</f>
        <v>41509</v>
      </c>
      <c r="O42" s="1332">
        <v>41639</v>
      </c>
      <c r="P42" s="1268">
        <v>1</v>
      </c>
      <c r="Q42" s="1268"/>
      <c r="R42" s="1268"/>
      <c r="S42" s="1268"/>
      <c r="T42" s="1268" t="s">
        <v>316</v>
      </c>
      <c r="U42" s="1268" t="s">
        <v>5314</v>
      </c>
      <c r="V42" s="1332">
        <f>N42</f>
        <v>41509</v>
      </c>
      <c r="W42" s="1338">
        <v>11213</v>
      </c>
      <c r="X42" s="1268" t="s">
        <v>6534</v>
      </c>
      <c r="Y42" s="1332">
        <v>41509</v>
      </c>
      <c r="Z42" s="1332">
        <v>41820</v>
      </c>
      <c r="AA42" s="1268"/>
      <c r="AB42" s="1268"/>
      <c r="AC42" s="1337"/>
      <c r="AD42" s="1268"/>
      <c r="AE42" s="1337">
        <f t="shared" si="3"/>
        <v>10000</v>
      </c>
      <c r="AF42" s="1337">
        <v>0</v>
      </c>
      <c r="AG42" s="1337">
        <v>0</v>
      </c>
      <c r="AH42" s="1331">
        <f t="shared" si="2"/>
        <v>0</v>
      </c>
      <c r="AI42" s="1342" t="s">
        <v>5319</v>
      </c>
      <c r="AJ42" s="1340" t="s">
        <v>6604</v>
      </c>
      <c r="AK42" s="1331" t="s">
        <v>622</v>
      </c>
      <c r="AL42" s="1340" t="s">
        <v>6604</v>
      </c>
      <c r="AM42" s="1331"/>
      <c r="AN42" s="1331"/>
      <c r="AO42" s="1331"/>
      <c r="AP42" s="1331"/>
      <c r="AQ42" s="1331"/>
      <c r="AR42" s="1331"/>
      <c r="AS42" s="1268"/>
      <c r="AT42" s="1342"/>
      <c r="AU42" s="1342"/>
      <c r="AV42" s="1342"/>
      <c r="AW42" s="1342"/>
      <c r="AX42" s="1342"/>
      <c r="AY42" s="1342"/>
      <c r="AZ42" s="1342"/>
      <c r="BA42" s="1342"/>
      <c r="BB42" s="1342"/>
      <c r="BC42" s="1342"/>
      <c r="BD42" s="1342"/>
      <c r="BF42" s="145"/>
      <c r="BG42" s="2631"/>
      <c r="BH42" s="2631"/>
      <c r="BI42" s="2631"/>
      <c r="BJ42" s="2631"/>
      <c r="BK42" s="2631"/>
    </row>
    <row r="43" spans="1:63" s="85" customFormat="1" ht="51" x14ac:dyDescent="0.25">
      <c r="A43" s="709">
        <v>18</v>
      </c>
      <c r="B43" s="1339" t="s">
        <v>1837</v>
      </c>
      <c r="C43" s="1268" t="s">
        <v>6606</v>
      </c>
      <c r="D43" s="1355" t="s">
        <v>6607</v>
      </c>
      <c r="E43" s="1268" t="s">
        <v>5982</v>
      </c>
      <c r="F43" s="387" t="s">
        <v>6608</v>
      </c>
      <c r="G43" s="1318">
        <v>11059</v>
      </c>
      <c r="H43" s="1340" t="s">
        <v>5373</v>
      </c>
      <c r="I43" s="1342" t="s">
        <v>6609</v>
      </c>
      <c r="J43" s="1268" t="s">
        <v>2688</v>
      </c>
      <c r="K43" s="1332">
        <v>41527</v>
      </c>
      <c r="L43" s="1255">
        <v>10000</v>
      </c>
      <c r="M43" s="1338">
        <v>11146</v>
      </c>
      <c r="N43" s="1332">
        <v>41892</v>
      </c>
      <c r="O43" s="1332">
        <v>41639</v>
      </c>
      <c r="P43" s="1268">
        <v>1</v>
      </c>
      <c r="Q43" s="1268"/>
      <c r="R43" s="1268"/>
      <c r="S43" s="1268"/>
      <c r="T43" s="1268" t="s">
        <v>316</v>
      </c>
      <c r="U43" s="1268" t="s">
        <v>5373</v>
      </c>
      <c r="V43" s="1332">
        <v>41638</v>
      </c>
      <c r="W43" s="1338">
        <v>11213</v>
      </c>
      <c r="X43" s="1268" t="s">
        <v>6534</v>
      </c>
      <c r="Y43" s="1332">
        <v>41527</v>
      </c>
      <c r="Z43" s="1332">
        <v>41820</v>
      </c>
      <c r="AA43" s="1268"/>
      <c r="AB43" s="1268"/>
      <c r="AC43" s="1337"/>
      <c r="AD43" s="1268"/>
      <c r="AE43" s="1337">
        <f t="shared" si="3"/>
        <v>10000</v>
      </c>
      <c r="AF43" s="1337">
        <v>751.8</v>
      </c>
      <c r="AG43" s="1337">
        <v>1401</v>
      </c>
      <c r="AH43" s="1331">
        <f t="shared" si="2"/>
        <v>2152.8000000000002</v>
      </c>
      <c r="AI43" s="1340" t="s">
        <v>5373</v>
      </c>
      <c r="AJ43" s="1331">
        <v>11146</v>
      </c>
      <c r="AK43" s="1331" t="s">
        <v>318</v>
      </c>
      <c r="AL43" s="1340" t="s">
        <v>6610</v>
      </c>
      <c r="AM43" s="1331"/>
      <c r="AN43" s="1331"/>
      <c r="AO43" s="1331"/>
      <c r="AP43" s="1331"/>
      <c r="AQ43" s="1331"/>
      <c r="AR43" s="1331"/>
      <c r="AS43" s="1268"/>
      <c r="AT43" s="1342"/>
      <c r="AU43" s="1342"/>
      <c r="AV43" s="1342"/>
      <c r="AW43" s="1342"/>
      <c r="AX43" s="1342"/>
      <c r="AY43" s="1342"/>
      <c r="AZ43" s="1342"/>
      <c r="BA43" s="1342"/>
      <c r="BB43" s="1342"/>
      <c r="BC43" s="1342"/>
      <c r="BD43" s="1342"/>
      <c r="BF43" s="145"/>
      <c r="BG43" s="2631"/>
      <c r="BH43" s="2631"/>
      <c r="BI43" s="2631"/>
      <c r="BJ43" s="2631"/>
      <c r="BK43" s="2631"/>
    </row>
    <row r="44" spans="1:63" s="85" customFormat="1" ht="51" x14ac:dyDescent="0.25">
      <c r="A44" s="709">
        <v>19</v>
      </c>
      <c r="B44" s="1339" t="s">
        <v>2122</v>
      </c>
      <c r="C44" s="1268" t="s">
        <v>975</v>
      </c>
      <c r="D44" s="1268" t="s">
        <v>6611</v>
      </c>
      <c r="E44" s="1268" t="s">
        <v>5982</v>
      </c>
      <c r="F44" s="1268" t="s">
        <v>6612</v>
      </c>
      <c r="G44" s="1318">
        <v>11263</v>
      </c>
      <c r="H44" s="1342" t="s">
        <v>1668</v>
      </c>
      <c r="I44" s="1342" t="s">
        <v>6613</v>
      </c>
      <c r="J44" s="1268" t="s">
        <v>243</v>
      </c>
      <c r="K44" s="1332">
        <v>41527</v>
      </c>
      <c r="L44" s="1255">
        <v>241607.4</v>
      </c>
      <c r="M44" s="1338">
        <v>11143</v>
      </c>
      <c r="N44" s="1332">
        <v>41527</v>
      </c>
      <c r="O44" s="1332">
        <v>41639</v>
      </c>
      <c r="P44" s="1268">
        <v>1</v>
      </c>
      <c r="Q44" s="1268"/>
      <c r="R44" s="1268"/>
      <c r="S44" s="1268"/>
      <c r="T44" s="1268" t="s">
        <v>208</v>
      </c>
      <c r="U44" s="1268" t="s">
        <v>1668</v>
      </c>
      <c r="V44" s="1332">
        <v>41527</v>
      </c>
      <c r="W44" s="1338">
        <v>11143</v>
      </c>
      <c r="X44" s="1268" t="s">
        <v>6534</v>
      </c>
      <c r="Y44" s="1332">
        <v>41527</v>
      </c>
      <c r="Z44" s="1332">
        <v>41820</v>
      </c>
      <c r="AA44" s="1268"/>
      <c r="AB44" s="1268"/>
      <c r="AC44" s="1337"/>
      <c r="AD44" s="1268"/>
      <c r="AE44" s="1337">
        <f t="shared" si="3"/>
        <v>241607.4</v>
      </c>
      <c r="AF44" s="1337">
        <v>38447.879999999997</v>
      </c>
      <c r="AG44" s="1337">
        <v>115736.25</v>
      </c>
      <c r="AH44" s="1331">
        <f t="shared" si="2"/>
        <v>154184.13</v>
      </c>
      <c r="AI44" s="1340" t="s">
        <v>6614</v>
      </c>
      <c r="AJ44" s="1340" t="s">
        <v>6615</v>
      </c>
      <c r="AK44" s="1331" t="s">
        <v>6616</v>
      </c>
      <c r="AL44" s="1331" t="str">
        <f>AJ44</f>
        <v>11.263</v>
      </c>
      <c r="AM44" s="1331"/>
      <c r="AN44" s="1331"/>
      <c r="AO44" s="1331"/>
      <c r="AP44" s="1331"/>
      <c r="AQ44" s="1331"/>
      <c r="AR44" s="1331"/>
      <c r="AS44" s="1268"/>
      <c r="AT44" s="1342"/>
      <c r="AU44" s="1342"/>
      <c r="AV44" s="1342"/>
      <c r="AW44" s="1342"/>
      <c r="AX44" s="1342"/>
      <c r="AY44" s="1342"/>
      <c r="AZ44" s="1342"/>
      <c r="BA44" s="1342"/>
      <c r="BB44" s="1342"/>
      <c r="BC44" s="1342"/>
      <c r="BD44" s="1342"/>
      <c r="BF44" s="145"/>
      <c r="BG44" s="2631"/>
      <c r="BH44" s="2631"/>
      <c r="BI44" s="2631"/>
      <c r="BJ44" s="2631"/>
      <c r="BK44" s="2631"/>
    </row>
    <row r="45" spans="1:63" s="85" customFormat="1" ht="38.25" x14ac:dyDescent="0.25">
      <c r="A45" s="709">
        <v>20</v>
      </c>
      <c r="B45" s="1339" t="s">
        <v>762</v>
      </c>
      <c r="C45" s="1268" t="s">
        <v>288</v>
      </c>
      <c r="D45" s="1268" t="s">
        <v>6617</v>
      </c>
      <c r="E45" s="1338" t="s">
        <v>5982</v>
      </c>
      <c r="F45" s="1268" t="s">
        <v>6618</v>
      </c>
      <c r="G45" s="1338">
        <v>10967</v>
      </c>
      <c r="H45" s="1342" t="s">
        <v>2686</v>
      </c>
      <c r="I45" s="1342" t="s">
        <v>6619</v>
      </c>
      <c r="J45" s="1268" t="s">
        <v>292</v>
      </c>
      <c r="K45" s="1332">
        <v>41565</v>
      </c>
      <c r="L45" s="1255">
        <v>457569.36</v>
      </c>
      <c r="M45" s="1338">
        <v>11167</v>
      </c>
      <c r="N45" s="1332">
        <v>41565</v>
      </c>
      <c r="O45" s="1332">
        <v>41930</v>
      </c>
      <c r="P45" s="1268">
        <v>1</v>
      </c>
      <c r="Q45" s="1268"/>
      <c r="R45" s="1268"/>
      <c r="S45" s="1268"/>
      <c r="T45" s="1268" t="s">
        <v>208</v>
      </c>
      <c r="U45" s="1268" t="s">
        <v>2686</v>
      </c>
      <c r="V45" s="1332">
        <v>41565</v>
      </c>
      <c r="W45" s="1338">
        <v>11167</v>
      </c>
      <c r="X45" s="1268" t="s">
        <v>6534</v>
      </c>
      <c r="Y45" s="1332"/>
      <c r="Z45" s="1332"/>
      <c r="AA45" s="1268"/>
      <c r="AB45" s="1268"/>
      <c r="AC45" s="1337"/>
      <c r="AD45" s="1268"/>
      <c r="AE45" s="1337">
        <f t="shared" si="3"/>
        <v>457569.36</v>
      </c>
      <c r="AF45" s="1337">
        <v>0</v>
      </c>
      <c r="AG45" s="1337">
        <v>15722.5</v>
      </c>
      <c r="AH45" s="1331">
        <f t="shared" si="2"/>
        <v>15722.5</v>
      </c>
      <c r="AI45" s="1340"/>
      <c r="AJ45" s="1340"/>
      <c r="AK45" s="1331"/>
      <c r="AL45" s="1331"/>
      <c r="AM45" s="1331"/>
      <c r="AN45" s="1331"/>
      <c r="AO45" s="1331"/>
      <c r="AP45" s="1331"/>
      <c r="AQ45" s="1331"/>
      <c r="AR45" s="1331"/>
      <c r="AS45" s="1268"/>
      <c r="AT45" s="1342"/>
      <c r="AU45" s="1342"/>
      <c r="AV45" s="1342"/>
      <c r="AW45" s="1342"/>
      <c r="AX45" s="1342"/>
      <c r="AY45" s="1342"/>
      <c r="AZ45" s="1342"/>
      <c r="BA45" s="1342"/>
      <c r="BB45" s="1342"/>
      <c r="BC45" s="1342"/>
      <c r="BD45" s="1342"/>
      <c r="BF45" s="145"/>
      <c r="BG45" s="2631"/>
      <c r="BH45" s="2631"/>
      <c r="BI45" s="2631"/>
      <c r="BJ45" s="2631"/>
      <c r="BK45" s="2631"/>
    </row>
    <row r="46" spans="1:63" s="85" customFormat="1" ht="51" x14ac:dyDescent="0.25">
      <c r="A46" s="709">
        <v>21</v>
      </c>
      <c r="B46" s="1339" t="s">
        <v>762</v>
      </c>
      <c r="C46" s="1268" t="s">
        <v>6620</v>
      </c>
      <c r="D46" s="1268" t="s">
        <v>6621</v>
      </c>
      <c r="E46" s="1268" t="s">
        <v>5811</v>
      </c>
      <c r="F46" s="1268" t="s">
        <v>6622</v>
      </c>
      <c r="G46" s="1338">
        <v>10963</v>
      </c>
      <c r="H46" s="1342" t="s">
        <v>5467</v>
      </c>
      <c r="I46" s="1342" t="s">
        <v>6609</v>
      </c>
      <c r="J46" s="1268" t="s">
        <v>2688</v>
      </c>
      <c r="K46" s="1332">
        <v>41527</v>
      </c>
      <c r="L46" s="1255">
        <v>5200</v>
      </c>
      <c r="M46" s="1338">
        <v>11146</v>
      </c>
      <c r="N46" s="1332">
        <v>41527</v>
      </c>
      <c r="O46" s="1332">
        <v>41639</v>
      </c>
      <c r="P46" s="1268">
        <v>1</v>
      </c>
      <c r="Q46" s="1268"/>
      <c r="R46" s="1268"/>
      <c r="S46" s="1268"/>
      <c r="T46" s="1268" t="s">
        <v>316</v>
      </c>
      <c r="U46" s="1268" t="s">
        <v>5467</v>
      </c>
      <c r="V46" s="1332">
        <v>41638</v>
      </c>
      <c r="W46" s="1338">
        <v>11213</v>
      </c>
      <c r="X46" s="1268" t="s">
        <v>6534</v>
      </c>
      <c r="Y46" s="1855">
        <v>41527</v>
      </c>
      <c r="Z46" s="1332">
        <v>41820</v>
      </c>
      <c r="AA46" s="1268"/>
      <c r="AB46" s="1268"/>
      <c r="AC46" s="1337"/>
      <c r="AD46" s="1268"/>
      <c r="AE46" s="1337">
        <f t="shared" si="3"/>
        <v>5200</v>
      </c>
      <c r="AF46" s="1337">
        <v>751.8</v>
      </c>
      <c r="AG46" s="1337">
        <v>1401</v>
      </c>
      <c r="AH46" s="1331">
        <f t="shared" si="2"/>
        <v>2152.8000000000002</v>
      </c>
      <c r="AI46" s="1340" t="s">
        <v>5467</v>
      </c>
      <c r="AJ46" s="1340" t="s">
        <v>6610</v>
      </c>
      <c r="AK46" s="1331" t="s">
        <v>6623</v>
      </c>
      <c r="AL46" s="1340" t="s">
        <v>6610</v>
      </c>
      <c r="AM46" s="1331"/>
      <c r="AN46" s="1331"/>
      <c r="AO46" s="1331"/>
      <c r="AP46" s="1331"/>
      <c r="AQ46" s="1331"/>
      <c r="AR46" s="1331"/>
      <c r="AS46" s="1268"/>
      <c r="AT46" s="1342"/>
      <c r="AU46" s="1342"/>
      <c r="AV46" s="1342"/>
      <c r="AW46" s="1342"/>
      <c r="AX46" s="1342"/>
      <c r="AY46" s="1342"/>
      <c r="AZ46" s="1342"/>
      <c r="BA46" s="1342"/>
      <c r="BB46" s="1342"/>
      <c r="BC46" s="1342"/>
      <c r="BD46" s="1342"/>
      <c r="BF46" s="145"/>
      <c r="BG46" s="2631"/>
      <c r="BH46" s="2631"/>
      <c r="BI46" s="2631"/>
      <c r="BJ46" s="2631"/>
      <c r="BK46" s="2631"/>
    </row>
    <row r="47" spans="1:63" s="85" customFormat="1" ht="51" x14ac:dyDescent="0.25">
      <c r="A47" s="1495">
        <v>22</v>
      </c>
      <c r="B47" s="1339" t="s">
        <v>6624</v>
      </c>
      <c r="C47" s="1268" t="s">
        <v>5442</v>
      </c>
      <c r="D47" s="1268" t="s">
        <v>6625</v>
      </c>
      <c r="E47" s="1268" t="s">
        <v>5811</v>
      </c>
      <c r="F47" s="1268" t="s">
        <v>6626</v>
      </c>
      <c r="G47" s="1340" t="s">
        <v>6627</v>
      </c>
      <c r="H47" s="1342" t="s">
        <v>5320</v>
      </c>
      <c r="I47" s="1342" t="s">
        <v>6628</v>
      </c>
      <c r="J47" s="1268" t="s">
        <v>1406</v>
      </c>
      <c r="K47" s="1332">
        <v>41527</v>
      </c>
      <c r="L47" s="1337">
        <v>46800</v>
      </c>
      <c r="M47" s="1338">
        <v>11169</v>
      </c>
      <c r="N47" s="1332">
        <v>41570</v>
      </c>
      <c r="O47" s="1332">
        <v>41639</v>
      </c>
      <c r="P47" s="1268">
        <v>1</v>
      </c>
      <c r="Q47" s="1268"/>
      <c r="R47" s="1268"/>
      <c r="S47" s="1268"/>
      <c r="T47" s="1268" t="s">
        <v>208</v>
      </c>
      <c r="U47" s="1268" t="s">
        <v>5320</v>
      </c>
      <c r="V47" s="1332">
        <f t="shared" ref="V47:V52" si="4">N47</f>
        <v>41570</v>
      </c>
      <c r="W47" s="1338">
        <v>11169</v>
      </c>
      <c r="X47" s="1268" t="s">
        <v>6534</v>
      </c>
      <c r="Y47" s="1332">
        <f>V47</f>
        <v>41570</v>
      </c>
      <c r="Z47" s="1332">
        <v>41851</v>
      </c>
      <c r="AA47" s="1268"/>
      <c r="AB47" s="1268"/>
      <c r="AC47" s="1337"/>
      <c r="AD47" s="1255"/>
      <c r="AE47" s="1337">
        <f t="shared" si="3"/>
        <v>46800</v>
      </c>
      <c r="AF47" s="1337">
        <v>0</v>
      </c>
      <c r="AG47" s="1337">
        <v>22800</v>
      </c>
      <c r="AH47" s="1331">
        <f t="shared" si="2"/>
        <v>22800</v>
      </c>
      <c r="AI47" s="1340" t="s">
        <v>5320</v>
      </c>
      <c r="AJ47" s="1340" t="s">
        <v>6563</v>
      </c>
      <c r="AK47" s="1268" t="s">
        <v>999</v>
      </c>
      <c r="AL47" s="1331" t="str">
        <f>AJ47</f>
        <v>11.213</v>
      </c>
      <c r="AM47" s="1331"/>
      <c r="AN47" s="1331"/>
      <c r="AO47" s="1331"/>
      <c r="AP47" s="1331"/>
      <c r="AQ47" s="1331"/>
      <c r="AR47" s="1268"/>
      <c r="AS47" s="1342"/>
      <c r="AT47" s="1342"/>
      <c r="AU47" s="1342"/>
      <c r="AV47" s="1342"/>
      <c r="AW47" s="1342"/>
      <c r="AX47" s="1342"/>
      <c r="AY47" s="1342"/>
      <c r="AZ47" s="1342"/>
      <c r="BA47" s="1342"/>
      <c r="BB47" s="1342"/>
      <c r="BC47" s="1342"/>
      <c r="BD47" s="1342"/>
      <c r="BF47" s="145"/>
      <c r="BG47" s="2631"/>
      <c r="BH47" s="2631"/>
      <c r="BI47" s="2631"/>
      <c r="BJ47" s="2631"/>
      <c r="BK47" s="2631"/>
    </row>
    <row r="48" spans="1:63" s="85" customFormat="1" ht="51" x14ac:dyDescent="0.25">
      <c r="A48" s="1495">
        <v>23</v>
      </c>
      <c r="B48" s="1339" t="s">
        <v>3624</v>
      </c>
      <c r="C48" s="1268" t="s">
        <v>1424</v>
      </c>
      <c r="D48" s="1268" t="s">
        <v>6629</v>
      </c>
      <c r="E48" s="1268" t="s">
        <v>5811</v>
      </c>
      <c r="F48" s="1268" t="s">
        <v>6630</v>
      </c>
      <c r="G48" s="1340" t="s">
        <v>6631</v>
      </c>
      <c r="H48" s="1342" t="s">
        <v>2811</v>
      </c>
      <c r="I48" s="1342" t="s">
        <v>6556</v>
      </c>
      <c r="J48" s="1268" t="s">
        <v>265</v>
      </c>
      <c r="K48" s="1255" t="s">
        <v>6632</v>
      </c>
      <c r="L48" s="1255">
        <v>206250</v>
      </c>
      <c r="M48" s="1338">
        <v>11167</v>
      </c>
      <c r="N48" s="1332">
        <v>41571</v>
      </c>
      <c r="O48" s="1332">
        <v>41936</v>
      </c>
      <c r="P48" s="1268">
        <v>1</v>
      </c>
      <c r="Q48" s="1268"/>
      <c r="R48" s="1268"/>
      <c r="S48" s="1268"/>
      <c r="T48" s="1268" t="s">
        <v>208</v>
      </c>
      <c r="U48" s="1268" t="s">
        <v>2811</v>
      </c>
      <c r="V48" s="1332">
        <f t="shared" si="4"/>
        <v>41571</v>
      </c>
      <c r="W48" s="1338">
        <v>11167</v>
      </c>
      <c r="X48" s="1268" t="s">
        <v>4777</v>
      </c>
      <c r="Y48" s="1268"/>
      <c r="Z48" s="1268"/>
      <c r="AA48" s="1336">
        <v>0.25</v>
      </c>
      <c r="AB48" s="1268"/>
      <c r="AC48" s="1337">
        <v>4687.5</v>
      </c>
      <c r="AD48" s="1255"/>
      <c r="AE48" s="1337">
        <f t="shared" si="3"/>
        <v>210937.5</v>
      </c>
      <c r="AF48" s="1337">
        <f>30000+15944.5</f>
        <v>45944.5</v>
      </c>
      <c r="AG48" s="1337">
        <f>17999.99+29150+9999+9999+13399.98+14999.98+9999.99+9999.99+9999.99+7999.99+9999.99+17999.99</f>
        <v>161547.88999999998</v>
      </c>
      <c r="AH48" s="1331">
        <f t="shared" si="2"/>
        <v>207492.38999999998</v>
      </c>
      <c r="AI48" s="1340"/>
      <c r="AJ48" s="1331"/>
      <c r="AK48" s="1331"/>
      <c r="AL48" s="1331"/>
      <c r="AM48" s="1331"/>
      <c r="AN48" s="1331"/>
      <c r="AO48" s="1331"/>
      <c r="AP48" s="1331"/>
      <c r="AQ48" s="1331"/>
      <c r="AR48" s="1268"/>
      <c r="AS48" s="1342"/>
      <c r="AT48" s="1342"/>
      <c r="AU48" s="1342"/>
      <c r="AV48" s="1342"/>
      <c r="AW48" s="1342"/>
      <c r="AX48" s="1342"/>
      <c r="AY48" s="1342"/>
      <c r="AZ48" s="1342"/>
      <c r="BA48" s="1342"/>
      <c r="BB48" s="1342"/>
      <c r="BC48" s="1342"/>
      <c r="BD48" s="1342"/>
      <c r="BF48" s="145"/>
      <c r="BG48" s="2631"/>
      <c r="BH48" s="2631"/>
      <c r="BI48" s="2631"/>
      <c r="BJ48" s="2631"/>
      <c r="BK48" s="2631"/>
    </row>
    <row r="49" spans="1:63" s="85" customFormat="1" ht="51" x14ac:dyDescent="0.25">
      <c r="A49" s="1495">
        <v>24</v>
      </c>
      <c r="B49" s="1339" t="s">
        <v>321</v>
      </c>
      <c r="C49" s="1268" t="s">
        <v>6633</v>
      </c>
      <c r="D49" s="1268" t="s">
        <v>6634</v>
      </c>
      <c r="E49" s="1268" t="s">
        <v>5811</v>
      </c>
      <c r="F49" s="1268" t="s">
        <v>6635</v>
      </c>
      <c r="G49" s="1340" t="s">
        <v>6636</v>
      </c>
      <c r="H49" s="1268" t="s">
        <v>6624</v>
      </c>
      <c r="I49" s="1268" t="s">
        <v>6589</v>
      </c>
      <c r="J49" s="1268" t="s">
        <v>718</v>
      </c>
      <c r="K49" s="1332">
        <v>41597</v>
      </c>
      <c r="L49" s="1255">
        <v>2625</v>
      </c>
      <c r="M49" s="1338">
        <v>11183</v>
      </c>
      <c r="N49" s="1332">
        <v>41597</v>
      </c>
      <c r="O49" s="1332">
        <v>41639</v>
      </c>
      <c r="P49" s="1268">
        <v>1</v>
      </c>
      <c r="Q49" s="1268"/>
      <c r="R49" s="1268"/>
      <c r="S49" s="1268"/>
      <c r="T49" s="1268" t="s">
        <v>408</v>
      </c>
      <c r="U49" s="1268" t="s">
        <v>6624</v>
      </c>
      <c r="V49" s="1332">
        <f t="shared" si="4"/>
        <v>41597</v>
      </c>
      <c r="W49" s="1338">
        <v>11183</v>
      </c>
      <c r="X49" s="1268" t="s">
        <v>6550</v>
      </c>
      <c r="Y49" s="1332">
        <v>41597</v>
      </c>
      <c r="Z49" s="1332">
        <v>41729</v>
      </c>
      <c r="AA49" s="1336">
        <v>0.25</v>
      </c>
      <c r="AB49" s="1268"/>
      <c r="AC49" s="1337">
        <v>656.25</v>
      </c>
      <c r="AD49" s="1255"/>
      <c r="AE49" s="1337">
        <f t="shared" si="3"/>
        <v>3281.25</v>
      </c>
      <c r="AF49" s="1337">
        <v>2015</v>
      </c>
      <c r="AG49" s="1337">
        <v>0</v>
      </c>
      <c r="AH49" s="1331">
        <f t="shared" si="2"/>
        <v>2015</v>
      </c>
      <c r="AI49" s="1340" t="s">
        <v>6624</v>
      </c>
      <c r="AJ49" s="1340" t="s">
        <v>6637</v>
      </c>
      <c r="AK49" s="1331" t="s">
        <v>6218</v>
      </c>
      <c r="AL49" s="1331" t="str">
        <f>AJ49</f>
        <v>11.183</v>
      </c>
      <c r="AM49" s="1331"/>
      <c r="AN49" s="1331"/>
      <c r="AO49" s="1331"/>
      <c r="AP49" s="1331"/>
      <c r="AQ49" s="1331"/>
      <c r="AR49" s="1268"/>
      <c r="AS49" s="1342"/>
      <c r="AT49" s="1342"/>
      <c r="AU49" s="1342"/>
      <c r="AV49" s="1342"/>
      <c r="AW49" s="1342"/>
      <c r="AX49" s="1342"/>
      <c r="AY49" s="1342"/>
      <c r="AZ49" s="1342"/>
      <c r="BA49" s="1342"/>
      <c r="BB49" s="1342"/>
      <c r="BC49" s="1342"/>
      <c r="BD49" s="1342"/>
      <c r="BF49" s="2633"/>
      <c r="BG49" s="1965"/>
      <c r="BH49" s="1965"/>
      <c r="BI49" s="1965"/>
      <c r="BJ49" s="1965"/>
      <c r="BK49" s="1965"/>
    </row>
    <row r="50" spans="1:63" s="85" customFormat="1" ht="51" x14ac:dyDescent="0.25">
      <c r="A50" s="1495">
        <v>25</v>
      </c>
      <c r="B50" s="1339" t="s">
        <v>1334</v>
      </c>
      <c r="C50" s="1268" t="s">
        <v>1346</v>
      </c>
      <c r="D50" s="1268" t="s">
        <v>6638</v>
      </c>
      <c r="E50" s="1268" t="s">
        <v>5982</v>
      </c>
      <c r="F50" s="1268" t="s">
        <v>6639</v>
      </c>
      <c r="G50" s="1340" t="s">
        <v>6640</v>
      </c>
      <c r="H50" s="1268" t="s">
        <v>980</v>
      </c>
      <c r="I50" s="1268" t="s">
        <v>6641</v>
      </c>
      <c r="J50" s="1268" t="s">
        <v>6642</v>
      </c>
      <c r="K50" s="1332">
        <v>41610</v>
      </c>
      <c r="L50" s="1255">
        <v>373570.32</v>
      </c>
      <c r="M50" s="1338">
        <v>11187</v>
      </c>
      <c r="N50" s="1332">
        <v>41610</v>
      </c>
      <c r="O50" s="1332">
        <v>41975</v>
      </c>
      <c r="P50" s="1268">
        <v>1</v>
      </c>
      <c r="Q50" s="1268"/>
      <c r="R50" s="1268"/>
      <c r="S50" s="1268"/>
      <c r="T50" s="1268" t="s">
        <v>1557</v>
      </c>
      <c r="U50" s="1268" t="s">
        <v>980</v>
      </c>
      <c r="V50" s="1332">
        <f t="shared" si="4"/>
        <v>41610</v>
      </c>
      <c r="W50" s="1338">
        <v>11187</v>
      </c>
      <c r="X50" s="1286" t="s">
        <v>6534</v>
      </c>
      <c r="Y50" s="1332"/>
      <c r="Z50" s="1332"/>
      <c r="AA50" s="1268"/>
      <c r="AB50" s="1268"/>
      <c r="AC50" s="1337"/>
      <c r="AD50" s="1255"/>
      <c r="AE50" s="1337">
        <f t="shared" si="3"/>
        <v>373570.32</v>
      </c>
      <c r="AF50" s="1337">
        <v>37513.51</v>
      </c>
      <c r="AG50" s="1337">
        <f>18199.57+19188.57+20638.12+110330.93</f>
        <v>168357.19</v>
      </c>
      <c r="AH50" s="1331">
        <f t="shared" si="2"/>
        <v>205870.7</v>
      </c>
      <c r="AI50" s="1340" t="s">
        <v>980</v>
      </c>
      <c r="AJ50" s="1340" t="s">
        <v>6643</v>
      </c>
      <c r="AK50" s="1331" t="s">
        <v>6644</v>
      </c>
      <c r="AL50" s="1340" t="s">
        <v>6643</v>
      </c>
      <c r="AM50" s="1331"/>
      <c r="AN50" s="1331"/>
      <c r="AO50" s="1331"/>
      <c r="AP50" s="1331"/>
      <c r="AQ50" s="1331"/>
      <c r="AR50" s="1268"/>
      <c r="AS50" s="1342"/>
      <c r="AT50" s="1342"/>
      <c r="AU50" s="1342"/>
      <c r="AV50" s="1342"/>
      <c r="AW50" s="1342"/>
      <c r="AX50" s="1342"/>
      <c r="AY50" s="1342"/>
      <c r="AZ50" s="1342"/>
      <c r="BA50" s="1342"/>
      <c r="BB50" s="1342"/>
      <c r="BC50" s="1342"/>
      <c r="BD50" s="1342"/>
      <c r="BF50" s="2633"/>
      <c r="BG50" s="1965"/>
      <c r="BH50" s="1965"/>
      <c r="BI50" s="1965"/>
      <c r="BJ50" s="1965"/>
      <c r="BK50" s="1965"/>
    </row>
    <row r="51" spans="1:63" s="85" customFormat="1" ht="102" x14ac:dyDescent="0.25">
      <c r="A51" s="1495">
        <v>26</v>
      </c>
      <c r="B51" s="1339" t="s">
        <v>6645</v>
      </c>
      <c r="C51" s="1268" t="s">
        <v>3029</v>
      </c>
      <c r="D51" s="1268" t="s">
        <v>6646</v>
      </c>
      <c r="E51" s="1268" t="s">
        <v>6554</v>
      </c>
      <c r="F51" s="1268" t="s">
        <v>6647</v>
      </c>
      <c r="G51" s="1340" t="s">
        <v>6631</v>
      </c>
      <c r="H51" s="1268" t="s">
        <v>1748</v>
      </c>
      <c r="I51" s="1268" t="s">
        <v>6648</v>
      </c>
      <c r="J51" s="1268" t="s">
        <v>265</v>
      </c>
      <c r="K51" s="1332">
        <v>41610</v>
      </c>
      <c r="L51" s="1255">
        <v>174758.39999999999</v>
      </c>
      <c r="M51" s="1338">
        <v>11192</v>
      </c>
      <c r="N51" s="1332">
        <v>41610</v>
      </c>
      <c r="O51" s="1332">
        <v>41975</v>
      </c>
      <c r="P51" s="1268">
        <v>1</v>
      </c>
      <c r="Q51" s="1268"/>
      <c r="R51" s="1268"/>
      <c r="S51" s="1268"/>
      <c r="T51" s="1268" t="s">
        <v>208</v>
      </c>
      <c r="U51" s="1268" t="s">
        <v>5320</v>
      </c>
      <c r="V51" s="1332">
        <f t="shared" si="4"/>
        <v>41610</v>
      </c>
      <c r="W51" s="1338">
        <v>11192</v>
      </c>
      <c r="X51" s="1268" t="s">
        <v>4777</v>
      </c>
      <c r="Y51" s="1332"/>
      <c r="Z51" s="1332"/>
      <c r="AA51" s="1336">
        <v>0.25</v>
      </c>
      <c r="AB51" s="1268"/>
      <c r="AC51" s="1337">
        <v>17318.400000000001</v>
      </c>
      <c r="AD51" s="1255"/>
      <c r="AE51" s="1337">
        <f t="shared" si="3"/>
        <v>192076.79999999999</v>
      </c>
      <c r="AF51" s="1337">
        <v>162324.93</v>
      </c>
      <c r="AG51" s="1337">
        <v>94154.79</v>
      </c>
      <c r="AH51" s="1331">
        <f>AF51+AG51</f>
        <v>256479.71999999997</v>
      </c>
      <c r="AI51" s="1340" t="s">
        <v>3029</v>
      </c>
      <c r="AJ51" s="1340" t="s">
        <v>6649</v>
      </c>
      <c r="AK51" s="1331"/>
      <c r="AL51" s="1331"/>
      <c r="AM51" s="1331"/>
      <c r="AN51" s="1331"/>
      <c r="AO51" s="1331"/>
      <c r="AP51" s="1331"/>
      <c r="AQ51" s="1331"/>
      <c r="AR51" s="1268"/>
      <c r="AS51" s="1342"/>
      <c r="AT51" s="1342"/>
      <c r="AU51" s="1342"/>
      <c r="AV51" s="1342"/>
      <c r="AW51" s="1342"/>
      <c r="AX51" s="1342"/>
      <c r="AY51" s="1342"/>
      <c r="AZ51" s="1342"/>
      <c r="BA51" s="1342"/>
      <c r="BB51" s="1342"/>
      <c r="BC51" s="1342"/>
      <c r="BD51" s="1342"/>
      <c r="BF51" s="145"/>
      <c r="BG51" s="2631"/>
      <c r="BH51" s="2631"/>
      <c r="BI51" s="2631"/>
      <c r="BJ51" s="2631"/>
      <c r="BK51" s="2631"/>
    </row>
    <row r="52" spans="1:63" s="85" customFormat="1" ht="63.75" x14ac:dyDescent="0.25">
      <c r="A52" s="1495">
        <v>27</v>
      </c>
      <c r="B52" s="1339" t="s">
        <v>2960</v>
      </c>
      <c r="C52" s="1268" t="s">
        <v>272</v>
      </c>
      <c r="D52" s="1268" t="s">
        <v>6650</v>
      </c>
      <c r="E52" s="1268" t="s">
        <v>5811</v>
      </c>
      <c r="F52" s="1268" t="s">
        <v>6626</v>
      </c>
      <c r="G52" s="1340" t="s">
        <v>6651</v>
      </c>
      <c r="H52" s="1268" t="s">
        <v>3624</v>
      </c>
      <c r="I52" s="1268" t="s">
        <v>6652</v>
      </c>
      <c r="J52" s="1268" t="s">
        <v>276</v>
      </c>
      <c r="K52" s="1332">
        <v>41618</v>
      </c>
      <c r="L52" s="1255">
        <v>34930</v>
      </c>
      <c r="M52" s="1338">
        <v>11204</v>
      </c>
      <c r="N52" s="1332">
        <v>41618</v>
      </c>
      <c r="O52" s="1332">
        <v>41983</v>
      </c>
      <c r="P52" s="1268">
        <v>1</v>
      </c>
      <c r="Q52" s="1268"/>
      <c r="R52" s="1268"/>
      <c r="S52" s="1268"/>
      <c r="T52" s="1268" t="s">
        <v>208</v>
      </c>
      <c r="U52" s="1268" t="s">
        <v>3624</v>
      </c>
      <c r="V52" s="1332">
        <f t="shared" si="4"/>
        <v>41618</v>
      </c>
      <c r="W52" s="1338">
        <v>11204</v>
      </c>
      <c r="X52" s="1286" t="s">
        <v>6534</v>
      </c>
      <c r="Y52" s="1332"/>
      <c r="Z52" s="1332"/>
      <c r="AA52" s="1268"/>
      <c r="AB52" s="1268"/>
      <c r="AC52" s="1337"/>
      <c r="AD52" s="1255"/>
      <c r="AE52" s="1337">
        <f t="shared" si="3"/>
        <v>34930</v>
      </c>
      <c r="AF52" s="1337">
        <v>34930</v>
      </c>
      <c r="AG52" s="1337">
        <v>0</v>
      </c>
      <c r="AH52" s="1331">
        <f t="shared" si="2"/>
        <v>34930</v>
      </c>
      <c r="AI52" s="1340" t="s">
        <v>3624</v>
      </c>
      <c r="AJ52" s="1340" t="s">
        <v>6653</v>
      </c>
      <c r="AK52" s="1331" t="s">
        <v>6654</v>
      </c>
      <c r="AL52" s="1331">
        <v>11204</v>
      </c>
      <c r="AM52" s="1331"/>
      <c r="AN52" s="1331"/>
      <c r="AO52" s="1331"/>
      <c r="AP52" s="1331"/>
      <c r="AQ52" s="1331"/>
      <c r="AR52" s="1268"/>
      <c r="AS52" s="1342"/>
      <c r="AT52" s="1342"/>
      <c r="AU52" s="1342"/>
      <c r="AV52" s="1342"/>
      <c r="AW52" s="1342"/>
      <c r="AX52" s="1342"/>
      <c r="AY52" s="1342"/>
      <c r="AZ52" s="1342"/>
      <c r="BA52" s="1342"/>
      <c r="BB52" s="1342"/>
      <c r="BC52" s="1342"/>
      <c r="BD52" s="1342"/>
      <c r="BF52" s="145"/>
      <c r="BG52" s="2631"/>
      <c r="BH52" s="2631"/>
      <c r="BI52" s="2631"/>
      <c r="BJ52" s="2631"/>
      <c r="BK52" s="2631"/>
    </row>
    <row r="53" spans="1:63" s="85" customFormat="1" ht="102" x14ac:dyDescent="0.25">
      <c r="A53" s="1495">
        <v>28</v>
      </c>
      <c r="B53" s="1339" t="s">
        <v>344</v>
      </c>
      <c r="C53" s="1268" t="s">
        <v>6655</v>
      </c>
      <c r="D53" s="1268" t="s">
        <v>6656</v>
      </c>
      <c r="E53" s="1268" t="s">
        <v>6554</v>
      </c>
      <c r="F53" s="1268" t="s">
        <v>6657</v>
      </c>
      <c r="G53" s="1340" t="s">
        <v>6658</v>
      </c>
      <c r="H53" s="1268" t="s">
        <v>331</v>
      </c>
      <c r="I53" s="1268" t="s">
        <v>6648</v>
      </c>
      <c r="J53" s="1268" t="s">
        <v>265</v>
      </c>
      <c r="K53" s="1332">
        <v>41634</v>
      </c>
      <c r="L53" s="1255">
        <v>65104.95</v>
      </c>
      <c r="M53" s="1338">
        <v>11213</v>
      </c>
      <c r="N53" s="1332">
        <f>K53</f>
        <v>41634</v>
      </c>
      <c r="O53" s="1332">
        <v>41999</v>
      </c>
      <c r="P53" s="1268">
        <v>1</v>
      </c>
      <c r="Q53" s="1268"/>
      <c r="R53" s="1268"/>
      <c r="S53" s="1268"/>
      <c r="T53" s="1268" t="s">
        <v>208</v>
      </c>
      <c r="U53" s="1268" t="s">
        <v>331</v>
      </c>
      <c r="V53" s="1332">
        <v>41634</v>
      </c>
      <c r="W53" s="1338">
        <v>11202</v>
      </c>
      <c r="X53" s="1286" t="s">
        <v>6659</v>
      </c>
      <c r="Y53" s="1332"/>
      <c r="Z53" s="1332"/>
      <c r="AA53" s="1336">
        <v>0.25</v>
      </c>
      <c r="AB53" s="1268"/>
      <c r="AC53" s="1337">
        <v>3750</v>
      </c>
      <c r="AD53" s="1255"/>
      <c r="AE53" s="1337">
        <f>AC53+L53</f>
        <v>68854.95</v>
      </c>
      <c r="AF53" s="1337">
        <v>0</v>
      </c>
      <c r="AG53" s="1337">
        <f>18706.8</f>
        <v>18706.8</v>
      </c>
      <c r="AH53" s="1331">
        <f t="shared" si="2"/>
        <v>18706.8</v>
      </c>
      <c r="AI53" s="1340" t="s">
        <v>1031</v>
      </c>
      <c r="AJ53" s="1340" t="s">
        <v>6563</v>
      </c>
      <c r="AK53" s="1331" t="s">
        <v>6558</v>
      </c>
      <c r="AL53" s="1331"/>
      <c r="AM53" s="1331"/>
      <c r="AN53" s="1331"/>
      <c r="AO53" s="1331"/>
      <c r="AP53" s="1331"/>
      <c r="AQ53" s="1331"/>
      <c r="AR53" s="1268"/>
      <c r="AS53" s="1342"/>
      <c r="AT53" s="1342"/>
      <c r="AU53" s="1342"/>
      <c r="AV53" s="1342"/>
      <c r="AW53" s="1342"/>
      <c r="AX53" s="1342"/>
      <c r="AY53" s="1342"/>
      <c r="AZ53" s="1342"/>
      <c r="BA53" s="1342"/>
      <c r="BB53" s="1342"/>
      <c r="BC53" s="1342"/>
      <c r="BD53" s="1342"/>
      <c r="BF53" s="1867"/>
      <c r="BG53" s="2632"/>
      <c r="BH53" s="2632"/>
      <c r="BI53" s="2632"/>
      <c r="BJ53" s="2632"/>
      <c r="BK53" s="2632"/>
    </row>
    <row r="54" spans="1:63" s="85" customFormat="1" ht="63.75" x14ac:dyDescent="0.25">
      <c r="A54" s="1495">
        <v>29</v>
      </c>
      <c r="B54" s="1339" t="s">
        <v>675</v>
      </c>
      <c r="C54" s="1268" t="s">
        <v>6660</v>
      </c>
      <c r="D54" s="1268" t="s">
        <v>6661</v>
      </c>
      <c r="E54" s="1268" t="s">
        <v>5811</v>
      </c>
      <c r="F54" s="1268" t="s">
        <v>6662</v>
      </c>
      <c r="G54" s="1340" t="s">
        <v>6631</v>
      </c>
      <c r="H54" s="1268" t="s">
        <v>675</v>
      </c>
      <c r="I54" s="1268" t="s">
        <v>6663</v>
      </c>
      <c r="J54" s="1268" t="s">
        <v>394</v>
      </c>
      <c r="K54" s="1332">
        <v>41642</v>
      </c>
      <c r="L54" s="1255">
        <v>75520</v>
      </c>
      <c r="M54" s="1338">
        <v>11217</v>
      </c>
      <c r="N54" s="1332">
        <v>41642</v>
      </c>
      <c r="O54" s="1332">
        <v>42007</v>
      </c>
      <c r="P54" s="1268">
        <v>1</v>
      </c>
      <c r="Q54" s="1268"/>
      <c r="R54" s="1268"/>
      <c r="S54" s="1268"/>
      <c r="T54" s="1268" t="s">
        <v>316</v>
      </c>
      <c r="U54" s="1268" t="s">
        <v>675</v>
      </c>
      <c r="V54" s="1332">
        <v>41642</v>
      </c>
      <c r="W54" s="1338">
        <v>11247</v>
      </c>
      <c r="X54" s="1268" t="s">
        <v>6534</v>
      </c>
      <c r="Y54" s="1332"/>
      <c r="Z54" s="1332"/>
      <c r="AA54" s="1268"/>
      <c r="AB54" s="1268"/>
      <c r="AC54" s="1337"/>
      <c r="AD54" s="1255"/>
      <c r="AE54" s="1337">
        <f t="shared" si="3"/>
        <v>75520</v>
      </c>
      <c r="AF54" s="1337">
        <v>0</v>
      </c>
      <c r="AG54" s="1337">
        <v>17545</v>
      </c>
      <c r="AH54" s="1331">
        <f t="shared" si="2"/>
        <v>17545</v>
      </c>
      <c r="AI54" s="1340"/>
      <c r="AJ54" s="1340"/>
      <c r="AK54" s="1331"/>
      <c r="AL54" s="1331"/>
      <c r="AM54" s="1331"/>
      <c r="AN54" s="1331"/>
      <c r="AO54" s="1331"/>
      <c r="AP54" s="1331"/>
      <c r="AQ54" s="1331"/>
      <c r="AR54" s="1268"/>
      <c r="AS54" s="1342"/>
      <c r="AT54" s="1342"/>
      <c r="AU54" s="1342"/>
      <c r="AV54" s="1342"/>
      <c r="AW54" s="1342"/>
      <c r="AX54" s="1342"/>
      <c r="AY54" s="1342"/>
      <c r="AZ54" s="1342"/>
      <c r="BA54" s="1342"/>
      <c r="BB54" s="1342"/>
      <c r="BC54" s="1342"/>
      <c r="BD54" s="1342"/>
      <c r="BF54" s="145"/>
      <c r="BG54" s="2631"/>
      <c r="BH54" s="2631"/>
      <c r="BI54" s="2631"/>
      <c r="BJ54" s="2631"/>
      <c r="BK54" s="2631"/>
    </row>
    <row r="55" spans="1:63" s="85" customFormat="1" ht="51" x14ac:dyDescent="0.25">
      <c r="A55" s="1495">
        <v>30</v>
      </c>
      <c r="B55" s="1339" t="s">
        <v>683</v>
      </c>
      <c r="C55" s="1268" t="s">
        <v>716</v>
      </c>
      <c r="D55" s="1268" t="s">
        <v>6664</v>
      </c>
      <c r="E55" s="1268" t="s">
        <v>5811</v>
      </c>
      <c r="F55" s="1268" t="s">
        <v>6665</v>
      </c>
      <c r="G55" s="1340" t="s">
        <v>6631</v>
      </c>
      <c r="H55" s="1268" t="s">
        <v>683</v>
      </c>
      <c r="I55" s="1268" t="s">
        <v>6666</v>
      </c>
      <c r="J55" s="1268" t="s">
        <v>6549</v>
      </c>
      <c r="K55" s="1332">
        <v>41656</v>
      </c>
      <c r="L55" s="1255">
        <v>50000</v>
      </c>
      <c r="M55" s="1338">
        <v>11232</v>
      </c>
      <c r="N55" s="1332">
        <v>41656</v>
      </c>
      <c r="O55" s="1332">
        <v>42021</v>
      </c>
      <c r="P55" s="1268">
        <v>1</v>
      </c>
      <c r="Q55" s="1268"/>
      <c r="R55" s="1268"/>
      <c r="S55" s="1268"/>
      <c r="T55" s="1268" t="s">
        <v>208</v>
      </c>
      <c r="U55" s="1268" t="s">
        <v>967</v>
      </c>
      <c r="V55" s="1558">
        <v>41620</v>
      </c>
      <c r="W55" s="1318">
        <v>11202</v>
      </c>
      <c r="X55" s="1286" t="s">
        <v>6659</v>
      </c>
      <c r="Y55" s="1332"/>
      <c r="Z55" s="1332"/>
      <c r="AA55" s="1336">
        <v>0.25</v>
      </c>
      <c r="AB55" s="1268"/>
      <c r="AC55" s="1337">
        <v>12500</v>
      </c>
      <c r="AD55" s="1255"/>
      <c r="AE55" s="1337">
        <f t="shared" si="3"/>
        <v>62500</v>
      </c>
      <c r="AF55" s="1337"/>
      <c r="AG55" s="1337">
        <v>45000</v>
      </c>
      <c r="AH55" s="1331">
        <f>AF55+AG55</f>
        <v>45000</v>
      </c>
      <c r="AI55" s="1340"/>
      <c r="AJ55" s="1340"/>
      <c r="AK55" s="1331"/>
      <c r="AL55" s="1331"/>
      <c r="AM55" s="1331"/>
      <c r="AN55" s="1331"/>
      <c r="AO55" s="1331"/>
      <c r="AP55" s="1331"/>
      <c r="AQ55" s="1331"/>
      <c r="AR55" s="1268"/>
      <c r="AS55" s="1342"/>
      <c r="AT55" s="1342"/>
      <c r="AU55" s="1342"/>
      <c r="AV55" s="1342"/>
      <c r="AW55" s="1342"/>
      <c r="AX55" s="1342"/>
      <c r="AY55" s="1342"/>
      <c r="AZ55" s="1342"/>
      <c r="BA55" s="1342"/>
      <c r="BB55" s="1342"/>
      <c r="BC55" s="1342"/>
      <c r="BD55" s="1342"/>
      <c r="BF55" s="145"/>
      <c r="BG55" s="2631"/>
      <c r="BH55" s="2631"/>
      <c r="BI55" s="2631"/>
      <c r="BJ55" s="2631"/>
      <c r="BK55" s="2631"/>
    </row>
    <row r="56" spans="1:63" s="85" customFormat="1" ht="38.25" x14ac:dyDescent="0.25">
      <c r="A56" s="1495">
        <v>31</v>
      </c>
      <c r="B56" s="1339" t="s">
        <v>686</v>
      </c>
      <c r="C56" s="1268" t="s">
        <v>680</v>
      </c>
      <c r="D56" s="1268" t="s">
        <v>6667</v>
      </c>
      <c r="E56" s="1268" t="s">
        <v>5811</v>
      </c>
      <c r="F56" s="1268" t="s">
        <v>6668</v>
      </c>
      <c r="G56" s="1340" t="s">
        <v>6631</v>
      </c>
      <c r="H56" s="1268" t="s">
        <v>704</v>
      </c>
      <c r="I56" s="1268" t="s">
        <v>6669</v>
      </c>
      <c r="J56" s="1268" t="s">
        <v>225</v>
      </c>
      <c r="K56" s="1332">
        <v>41662</v>
      </c>
      <c r="L56" s="1255">
        <v>192000</v>
      </c>
      <c r="M56" s="1338">
        <v>11232</v>
      </c>
      <c r="N56" s="1332">
        <v>41662</v>
      </c>
      <c r="O56" s="1332">
        <v>42027</v>
      </c>
      <c r="P56" s="1268">
        <v>1</v>
      </c>
      <c r="Q56" s="1268"/>
      <c r="R56" s="1268"/>
      <c r="S56" s="1268"/>
      <c r="T56" s="1268" t="s">
        <v>208</v>
      </c>
      <c r="U56" s="1268" t="s">
        <v>704</v>
      </c>
      <c r="V56" s="1332">
        <v>41662</v>
      </c>
      <c r="W56" s="1338">
        <v>11232</v>
      </c>
      <c r="X56" s="1268" t="s">
        <v>6534</v>
      </c>
      <c r="Y56" s="1332"/>
      <c r="Z56" s="1332"/>
      <c r="AA56" s="1268"/>
      <c r="AB56" s="1268"/>
      <c r="AC56" s="1337"/>
      <c r="AD56" s="1255"/>
      <c r="AE56" s="1337">
        <f t="shared" si="3"/>
        <v>192000</v>
      </c>
      <c r="AF56" s="1337">
        <v>0</v>
      </c>
      <c r="AG56" s="1337">
        <f>8750+12500</f>
        <v>21250</v>
      </c>
      <c r="AH56" s="1331">
        <f t="shared" si="2"/>
        <v>21250</v>
      </c>
      <c r="AI56" s="1340"/>
      <c r="AJ56" s="1340"/>
      <c r="AK56" s="1331"/>
      <c r="AL56" s="1331"/>
      <c r="AM56" s="1331"/>
      <c r="AN56" s="1331"/>
      <c r="AO56" s="1331"/>
      <c r="AP56" s="1331"/>
      <c r="AQ56" s="1331"/>
      <c r="AR56" s="1268"/>
      <c r="AS56" s="1342"/>
      <c r="AT56" s="1342"/>
      <c r="AU56" s="1342"/>
      <c r="AV56" s="1342"/>
      <c r="AW56" s="1342"/>
      <c r="AX56" s="1342"/>
      <c r="AY56" s="1342"/>
      <c r="AZ56" s="1342"/>
      <c r="BA56" s="1342"/>
      <c r="BB56" s="1342"/>
      <c r="BC56" s="1342"/>
      <c r="BD56" s="1342"/>
      <c r="BF56" s="145"/>
      <c r="BG56" s="2631"/>
      <c r="BH56" s="2631"/>
      <c r="BI56" s="2631"/>
      <c r="BJ56" s="2631"/>
      <c r="BK56" s="2631"/>
    </row>
    <row r="57" spans="1:63" s="85" customFormat="1" ht="38.25" x14ac:dyDescent="0.25">
      <c r="A57" s="1495">
        <v>32</v>
      </c>
      <c r="B57" s="1339" t="s">
        <v>686</v>
      </c>
      <c r="C57" s="1268" t="s">
        <v>680</v>
      </c>
      <c r="D57" s="1268" t="s">
        <v>6667</v>
      </c>
      <c r="E57" s="1268" t="s">
        <v>5811</v>
      </c>
      <c r="F57" s="1268" t="s">
        <v>6668</v>
      </c>
      <c r="G57" s="1340" t="s">
        <v>6631</v>
      </c>
      <c r="H57" s="1268" t="s">
        <v>716</v>
      </c>
      <c r="I57" s="1268" t="s">
        <v>6670</v>
      </c>
      <c r="J57" s="1268" t="s">
        <v>6438</v>
      </c>
      <c r="K57" s="1332">
        <v>41662</v>
      </c>
      <c r="L57" s="1255">
        <v>108000</v>
      </c>
      <c r="M57" s="1338">
        <v>11232</v>
      </c>
      <c r="N57" s="1332">
        <v>41662</v>
      </c>
      <c r="O57" s="1332">
        <v>42027</v>
      </c>
      <c r="P57" s="1268">
        <v>1</v>
      </c>
      <c r="Q57" s="1268"/>
      <c r="R57" s="1268"/>
      <c r="S57" s="1268"/>
      <c r="T57" s="1268" t="s">
        <v>208</v>
      </c>
      <c r="U57" s="1268" t="s">
        <v>716</v>
      </c>
      <c r="V57" s="1332">
        <v>41662</v>
      </c>
      <c r="W57" s="1338">
        <v>11232</v>
      </c>
      <c r="X57" s="1268" t="s">
        <v>6534</v>
      </c>
      <c r="Y57" s="1332"/>
      <c r="Z57" s="1332"/>
      <c r="AA57" s="1268"/>
      <c r="AB57" s="1268"/>
      <c r="AC57" s="1337"/>
      <c r="AD57" s="1255"/>
      <c r="AE57" s="1337">
        <f t="shared" si="3"/>
        <v>108000</v>
      </c>
      <c r="AF57" s="1337"/>
      <c r="AG57" s="1337">
        <v>18000</v>
      </c>
      <c r="AH57" s="1331">
        <f t="shared" si="2"/>
        <v>18000</v>
      </c>
      <c r="AI57" s="1340"/>
      <c r="AJ57" s="1340"/>
      <c r="AK57" s="1331"/>
      <c r="AL57" s="1331"/>
      <c r="AM57" s="1331"/>
      <c r="AN57" s="1331"/>
      <c r="AO57" s="1331"/>
      <c r="AP57" s="1331"/>
      <c r="AQ57" s="1331"/>
      <c r="AR57" s="1268"/>
      <c r="AS57" s="1342"/>
      <c r="AT57" s="1342"/>
      <c r="AU57" s="1342"/>
      <c r="AV57" s="1342"/>
      <c r="AW57" s="1342"/>
      <c r="AX57" s="1342"/>
      <c r="AY57" s="1342"/>
      <c r="AZ57" s="1342"/>
      <c r="BA57" s="1342"/>
      <c r="BB57" s="1342"/>
      <c r="BC57" s="1342"/>
      <c r="BD57" s="1342"/>
      <c r="BF57" s="145"/>
      <c r="BG57" s="2631"/>
      <c r="BH57" s="2631"/>
      <c r="BI57" s="2631"/>
      <c r="BJ57" s="2631"/>
      <c r="BK57" s="2631"/>
    </row>
    <row r="58" spans="1:63" s="85" customFormat="1" ht="38.25" x14ac:dyDescent="0.25">
      <c r="A58" s="1495">
        <v>33</v>
      </c>
      <c r="B58" s="1339" t="s">
        <v>704</v>
      </c>
      <c r="C58" s="1268" t="s">
        <v>381</v>
      </c>
      <c r="D58" s="1268" t="s">
        <v>6671</v>
      </c>
      <c r="E58" s="1268" t="s">
        <v>5811</v>
      </c>
      <c r="F58" s="1268" t="s">
        <v>6672</v>
      </c>
      <c r="G58" s="1340" t="s">
        <v>6631</v>
      </c>
      <c r="H58" s="1268" t="s">
        <v>381</v>
      </c>
      <c r="I58" s="1268" t="s">
        <v>6673</v>
      </c>
      <c r="J58" s="1268" t="s">
        <v>380</v>
      </c>
      <c r="K58" s="1332">
        <v>41669</v>
      </c>
      <c r="L58" s="1255">
        <v>16500</v>
      </c>
      <c r="M58" s="1338">
        <v>11237</v>
      </c>
      <c r="N58" s="1332">
        <v>41669</v>
      </c>
      <c r="O58" s="1332">
        <v>42034</v>
      </c>
      <c r="P58" s="1268">
        <v>1</v>
      </c>
      <c r="Q58" s="1268"/>
      <c r="R58" s="1268"/>
      <c r="S58" s="1268"/>
      <c r="T58" s="1268" t="s">
        <v>316</v>
      </c>
      <c r="U58" s="1268" t="s">
        <v>381</v>
      </c>
      <c r="V58" s="1332">
        <v>41669</v>
      </c>
      <c r="W58" s="1338">
        <v>11237</v>
      </c>
      <c r="X58" s="1268" t="s">
        <v>6534</v>
      </c>
      <c r="Y58" s="1332"/>
      <c r="Z58" s="1332"/>
      <c r="AA58" s="1268"/>
      <c r="AB58" s="1268"/>
      <c r="AC58" s="1337"/>
      <c r="AD58" s="1255"/>
      <c r="AE58" s="1337">
        <f t="shared" si="3"/>
        <v>16500</v>
      </c>
      <c r="AF58" s="1337"/>
      <c r="AG58" s="1337">
        <v>2722.5</v>
      </c>
      <c r="AH58" s="1331">
        <f t="shared" si="2"/>
        <v>2722.5</v>
      </c>
      <c r="AI58" s="1340"/>
      <c r="AJ58" s="1340"/>
      <c r="AK58" s="1331"/>
      <c r="AL58" s="1331"/>
      <c r="AM58" s="2024"/>
      <c r="AN58" s="2024"/>
      <c r="AO58" s="2024"/>
      <c r="AP58" s="2024"/>
      <c r="AQ58" s="2024"/>
      <c r="AR58" s="2024"/>
      <c r="AS58" s="1342"/>
      <c r="AT58" s="1342"/>
      <c r="AU58" s="1342"/>
      <c r="AV58" s="1342"/>
      <c r="AW58" s="1342"/>
      <c r="AX58" s="1342"/>
      <c r="AY58" s="1342"/>
      <c r="AZ58" s="1342"/>
      <c r="BA58" s="1342"/>
      <c r="BB58" s="1342"/>
      <c r="BC58" s="1342"/>
      <c r="BD58" s="1342"/>
      <c r="BF58" s="1867"/>
      <c r="BG58" s="2632"/>
      <c r="BH58" s="2632"/>
      <c r="BI58" s="2632"/>
      <c r="BJ58" s="2632"/>
      <c r="BK58" s="2632"/>
    </row>
    <row r="59" spans="1:63" s="85" customFormat="1" ht="38.25" x14ac:dyDescent="0.25">
      <c r="A59" s="1495">
        <v>34</v>
      </c>
      <c r="B59" s="1339" t="s">
        <v>704</v>
      </c>
      <c r="C59" s="1268" t="s">
        <v>381</v>
      </c>
      <c r="D59" s="1268" t="s">
        <v>6671</v>
      </c>
      <c r="E59" s="1268" t="s">
        <v>5811</v>
      </c>
      <c r="F59" s="1268" t="s">
        <v>6672</v>
      </c>
      <c r="G59" s="1340" t="s">
        <v>6631</v>
      </c>
      <c r="H59" s="1268" t="s">
        <v>680</v>
      </c>
      <c r="I59" s="1268" t="s">
        <v>6674</v>
      </c>
      <c r="J59" s="1268" t="s">
        <v>1671</v>
      </c>
      <c r="K59" s="1332">
        <v>41669</v>
      </c>
      <c r="L59" s="1255">
        <v>120170</v>
      </c>
      <c r="M59" s="1338">
        <v>11237</v>
      </c>
      <c r="N59" s="1332">
        <v>41669</v>
      </c>
      <c r="O59" s="1332">
        <v>42034</v>
      </c>
      <c r="P59" s="1268">
        <v>1</v>
      </c>
      <c r="Q59" s="1268"/>
      <c r="R59" s="1268"/>
      <c r="S59" s="1268"/>
      <c r="T59" s="1268" t="s">
        <v>316</v>
      </c>
      <c r="U59" s="1268" t="s">
        <v>680</v>
      </c>
      <c r="V59" s="1332">
        <v>41669</v>
      </c>
      <c r="W59" s="1338">
        <v>11237</v>
      </c>
      <c r="X59" s="1268" t="s">
        <v>6534</v>
      </c>
      <c r="Y59" s="1332"/>
      <c r="Z59" s="1332"/>
      <c r="AA59" s="1268"/>
      <c r="AB59" s="1268"/>
      <c r="AC59" s="1337"/>
      <c r="AD59" s="1255"/>
      <c r="AE59" s="1337">
        <f t="shared" si="3"/>
        <v>120170</v>
      </c>
      <c r="AF59" s="1337"/>
      <c r="AG59" s="1337">
        <v>0</v>
      </c>
      <c r="AH59" s="1331">
        <f t="shared" si="2"/>
        <v>0</v>
      </c>
      <c r="AI59" s="1340"/>
      <c r="AJ59" s="1340"/>
      <c r="AK59" s="1331"/>
      <c r="AL59" s="1331"/>
      <c r="AM59" s="2024"/>
      <c r="AN59" s="2024"/>
      <c r="AO59" s="2024"/>
      <c r="AP59" s="2024"/>
      <c r="AQ59" s="2024"/>
      <c r="AR59" s="2024"/>
      <c r="AS59" s="1342"/>
      <c r="AT59" s="1342"/>
      <c r="AU59" s="1342"/>
      <c r="AV59" s="1342"/>
      <c r="AW59" s="1342"/>
      <c r="AX59" s="1342"/>
      <c r="AY59" s="1342"/>
      <c r="AZ59" s="1342"/>
      <c r="BA59" s="1342"/>
      <c r="BB59" s="1342"/>
      <c r="BC59" s="1342"/>
      <c r="BD59" s="1342"/>
      <c r="BF59" s="145"/>
      <c r="BG59" s="2631"/>
      <c r="BH59" s="2631"/>
      <c r="BI59" s="2631"/>
      <c r="BJ59" s="2631"/>
      <c r="BK59" s="2631"/>
    </row>
    <row r="60" spans="1:63" s="85" customFormat="1" ht="63.75" x14ac:dyDescent="0.25">
      <c r="A60" s="1495">
        <v>35</v>
      </c>
      <c r="B60" s="1339" t="s">
        <v>381</v>
      </c>
      <c r="C60" s="1268" t="s">
        <v>675</v>
      </c>
      <c r="D60" s="1268" t="s">
        <v>6675</v>
      </c>
      <c r="E60" s="1268" t="s">
        <v>5811</v>
      </c>
      <c r="F60" s="1268" t="s">
        <v>6676</v>
      </c>
      <c r="G60" s="1550" t="s">
        <v>6677</v>
      </c>
      <c r="H60" s="1268" t="s">
        <v>388</v>
      </c>
      <c r="I60" s="1268" t="s">
        <v>6678</v>
      </c>
      <c r="J60" s="1268" t="s">
        <v>3965</v>
      </c>
      <c r="K60" s="1332">
        <v>41677</v>
      </c>
      <c r="L60" s="1255">
        <v>30000</v>
      </c>
      <c r="M60" s="1338">
        <v>11244</v>
      </c>
      <c r="N60" s="1332">
        <v>41677</v>
      </c>
      <c r="O60" s="1332">
        <v>42004</v>
      </c>
      <c r="P60" s="1268">
        <v>1</v>
      </c>
      <c r="Q60" s="1268"/>
      <c r="R60" s="1268"/>
      <c r="S60" s="1268"/>
      <c r="T60" s="1268" t="s">
        <v>316</v>
      </c>
      <c r="U60" s="1021" t="s">
        <v>388</v>
      </c>
      <c r="V60" s="1332">
        <v>41677</v>
      </c>
      <c r="W60" s="1338">
        <v>11244</v>
      </c>
      <c r="X60" s="1286"/>
      <c r="Y60" s="1332"/>
      <c r="Z60" s="1332"/>
      <c r="AA60" s="1268"/>
      <c r="AB60" s="1268"/>
      <c r="AC60" s="1337"/>
      <c r="AD60" s="1255"/>
      <c r="AE60" s="1337">
        <f t="shared" si="3"/>
        <v>30000</v>
      </c>
      <c r="AF60" s="1337">
        <v>5482.31</v>
      </c>
      <c r="AG60" s="1337">
        <v>14066.44</v>
      </c>
      <c r="AH60" s="1331">
        <f t="shared" si="2"/>
        <v>19548.75</v>
      </c>
      <c r="AI60" s="1340"/>
      <c r="AJ60" s="1340"/>
      <c r="AK60" s="1331"/>
      <c r="AL60" s="1331"/>
      <c r="AM60" s="1331" t="s">
        <v>6586</v>
      </c>
      <c r="AN60" s="1331" t="s">
        <v>6679</v>
      </c>
      <c r="AO60" s="1331"/>
      <c r="AP60" s="1331"/>
      <c r="AQ60" s="1340" t="s">
        <v>6677</v>
      </c>
      <c r="AR60" s="1332">
        <v>41684</v>
      </c>
      <c r="AS60" s="1342"/>
      <c r="AT60" s="1342"/>
      <c r="AU60" s="1342"/>
      <c r="AV60" s="1342"/>
      <c r="AW60" s="1342"/>
      <c r="AX60" s="1342"/>
      <c r="AY60" s="1342"/>
      <c r="AZ60" s="1342"/>
      <c r="BA60" s="1342"/>
      <c r="BB60" s="1342"/>
      <c r="BC60" s="1342"/>
      <c r="BD60" s="1342"/>
      <c r="BF60" s="145"/>
      <c r="BG60" s="2631"/>
      <c r="BH60" s="2631"/>
      <c r="BI60" s="2631"/>
      <c r="BJ60" s="2631"/>
      <c r="BK60" s="2631"/>
    </row>
    <row r="61" spans="1:63" s="85" customFormat="1" ht="38.25" x14ac:dyDescent="0.25">
      <c r="A61" s="1495">
        <v>36</v>
      </c>
      <c r="B61" s="1339" t="s">
        <v>680</v>
      </c>
      <c r="C61" s="1268" t="s">
        <v>675</v>
      </c>
      <c r="D61" s="1268" t="s">
        <v>6680</v>
      </c>
      <c r="E61" s="1268" t="s">
        <v>5811</v>
      </c>
      <c r="F61" s="1268" t="s">
        <v>6681</v>
      </c>
      <c r="G61" s="1340" t="s">
        <v>6631</v>
      </c>
      <c r="H61" s="1268" t="s">
        <v>388</v>
      </c>
      <c r="I61" s="1268" t="s">
        <v>6682</v>
      </c>
      <c r="J61" s="1268" t="s">
        <v>5132</v>
      </c>
      <c r="K61" s="1332">
        <v>41674</v>
      </c>
      <c r="L61" s="1255">
        <v>688876.82</v>
      </c>
      <c r="M61" s="1338">
        <v>11295</v>
      </c>
      <c r="N61" s="1332">
        <v>41674</v>
      </c>
      <c r="O61" s="1332">
        <v>42039</v>
      </c>
      <c r="P61" s="1268">
        <v>1</v>
      </c>
      <c r="Q61" s="1268"/>
      <c r="R61" s="1268"/>
      <c r="S61" s="1268"/>
      <c r="T61" s="1268" t="s">
        <v>316</v>
      </c>
      <c r="U61" s="1268" t="s">
        <v>388</v>
      </c>
      <c r="V61" s="1332">
        <v>41674</v>
      </c>
      <c r="W61" s="1338">
        <v>11295</v>
      </c>
      <c r="X61" s="1268" t="s">
        <v>6534</v>
      </c>
      <c r="Y61" s="1332"/>
      <c r="Z61" s="1332"/>
      <c r="AA61" s="1268"/>
      <c r="AB61" s="1268"/>
      <c r="AC61" s="1337"/>
      <c r="AD61" s="1255"/>
      <c r="AE61" s="1337">
        <f t="shared" si="3"/>
        <v>688876.82</v>
      </c>
      <c r="AF61" s="1337"/>
      <c r="AG61" s="1337">
        <v>45800</v>
      </c>
      <c r="AH61" s="1331">
        <f t="shared" si="2"/>
        <v>45800</v>
      </c>
      <c r="AI61" s="1340"/>
      <c r="AJ61" s="1340"/>
      <c r="AK61" s="1331"/>
      <c r="AL61" s="1331"/>
      <c r="AM61" s="1331"/>
      <c r="AN61" s="1331"/>
      <c r="AO61" s="1331"/>
      <c r="AP61" s="1331"/>
      <c r="AQ61" s="1331"/>
      <c r="AR61" s="1268"/>
      <c r="AS61" s="1342"/>
      <c r="AT61" s="1342"/>
      <c r="AU61" s="1342"/>
      <c r="AV61" s="1342"/>
      <c r="AW61" s="1342"/>
      <c r="AX61" s="1342"/>
      <c r="AY61" s="1342"/>
      <c r="AZ61" s="1342"/>
      <c r="BA61" s="1342"/>
      <c r="BB61" s="1342"/>
      <c r="BC61" s="1342"/>
      <c r="BD61" s="1342"/>
      <c r="BF61" s="145"/>
      <c r="BG61" s="2631"/>
      <c r="BH61" s="2631"/>
      <c r="BI61" s="2631"/>
      <c r="BJ61" s="2631"/>
      <c r="BK61" s="2631"/>
    </row>
    <row r="62" spans="1:63" s="85" customFormat="1" ht="51" x14ac:dyDescent="0.25">
      <c r="A62" s="1495">
        <v>37</v>
      </c>
      <c r="B62" s="1339" t="s">
        <v>724</v>
      </c>
      <c r="C62" s="1268" t="s">
        <v>820</v>
      </c>
      <c r="D62" s="1268" t="s">
        <v>6683</v>
      </c>
      <c r="E62" s="1268" t="s">
        <v>5811</v>
      </c>
      <c r="F62" s="1268" t="s">
        <v>6684</v>
      </c>
      <c r="G62" s="1550" t="s">
        <v>6685</v>
      </c>
      <c r="H62" s="1268" t="s">
        <v>744</v>
      </c>
      <c r="I62" s="1268" t="s">
        <v>6686</v>
      </c>
      <c r="J62" s="1268" t="s">
        <v>5708</v>
      </c>
      <c r="K62" s="1332">
        <v>41684</v>
      </c>
      <c r="L62" s="1255">
        <v>24532.19</v>
      </c>
      <c r="M62" s="1338">
        <v>11250</v>
      </c>
      <c r="N62" s="1332">
        <v>41684</v>
      </c>
      <c r="O62" s="1332">
        <v>42004</v>
      </c>
      <c r="P62" s="1268">
        <v>1</v>
      </c>
      <c r="Q62" s="1268"/>
      <c r="R62" s="1268"/>
      <c r="S62" s="1268"/>
      <c r="T62" s="1268" t="s">
        <v>316</v>
      </c>
      <c r="U62" s="1268" t="s">
        <v>747</v>
      </c>
      <c r="V62" s="1332">
        <v>41684</v>
      </c>
      <c r="W62" s="1338">
        <v>11250</v>
      </c>
      <c r="X62" s="1268" t="s">
        <v>6534</v>
      </c>
      <c r="Y62" s="1332"/>
      <c r="Z62" s="1332"/>
      <c r="AA62" s="1268"/>
      <c r="AB62" s="1268"/>
      <c r="AC62" s="1337"/>
      <c r="AD62" s="1255"/>
      <c r="AE62" s="1337">
        <f t="shared" si="3"/>
        <v>24532.19</v>
      </c>
      <c r="AF62" s="1337">
        <v>0</v>
      </c>
      <c r="AG62" s="1337">
        <v>1707.89</v>
      </c>
      <c r="AH62" s="1331">
        <f t="shared" si="2"/>
        <v>1707.89</v>
      </c>
      <c r="AI62" s="1340"/>
      <c r="AJ62" s="1340"/>
      <c r="AK62" s="1331"/>
      <c r="AL62" s="1331"/>
      <c r="AM62" s="1331"/>
      <c r="AN62" s="1331"/>
      <c r="AO62" s="1331"/>
      <c r="AP62" s="1331"/>
      <c r="AQ62" s="1331"/>
      <c r="AR62" s="1268"/>
      <c r="AS62" s="1342"/>
      <c r="AT62" s="1342"/>
      <c r="AU62" s="1342"/>
      <c r="AV62" s="1342"/>
      <c r="AW62" s="1342"/>
      <c r="AX62" s="1342"/>
      <c r="AY62" s="1342"/>
      <c r="AZ62" s="1342"/>
      <c r="BA62" s="1342"/>
      <c r="BB62" s="1342"/>
      <c r="BC62" s="1342"/>
      <c r="BD62" s="1342"/>
      <c r="BF62" s="145"/>
      <c r="BG62" s="2631"/>
      <c r="BH62" s="2631"/>
      <c r="BI62" s="2631"/>
      <c r="BJ62" s="2631"/>
      <c r="BK62" s="2631"/>
    </row>
    <row r="63" spans="1:63" s="85" customFormat="1" ht="51" x14ac:dyDescent="0.25">
      <c r="A63" s="1495">
        <v>38</v>
      </c>
      <c r="B63" s="1339" t="s">
        <v>724</v>
      </c>
      <c r="C63" s="1268" t="s">
        <v>820</v>
      </c>
      <c r="D63" s="1268" t="s">
        <v>6683</v>
      </c>
      <c r="E63" s="1268" t="s">
        <v>5811</v>
      </c>
      <c r="F63" s="1268" t="s">
        <v>6684</v>
      </c>
      <c r="G63" s="1550" t="s">
        <v>6685</v>
      </c>
      <c r="H63" s="1268" t="s">
        <v>747</v>
      </c>
      <c r="I63" s="1268" t="s">
        <v>6687</v>
      </c>
      <c r="J63" s="1268" t="s">
        <v>6688</v>
      </c>
      <c r="K63" s="1332">
        <f>K62</f>
        <v>41684</v>
      </c>
      <c r="L63" s="1255">
        <v>2003.38</v>
      </c>
      <c r="M63" s="1338">
        <v>11250</v>
      </c>
      <c r="N63" s="1332">
        <v>41684</v>
      </c>
      <c r="O63" s="1332">
        <v>42004</v>
      </c>
      <c r="P63" s="1268">
        <v>1</v>
      </c>
      <c r="Q63" s="1268"/>
      <c r="R63" s="1268"/>
      <c r="S63" s="1268"/>
      <c r="T63" s="1268" t="s">
        <v>316</v>
      </c>
      <c r="U63" s="1268" t="s">
        <v>747</v>
      </c>
      <c r="V63" s="1332">
        <v>41684</v>
      </c>
      <c r="W63" s="1338">
        <v>11250</v>
      </c>
      <c r="X63" s="1268" t="s">
        <v>6534</v>
      </c>
      <c r="Y63" s="1332"/>
      <c r="Z63" s="1332"/>
      <c r="AA63" s="1268"/>
      <c r="AB63" s="1268"/>
      <c r="AC63" s="1337"/>
      <c r="AD63" s="1255"/>
      <c r="AE63" s="1337">
        <f t="shared" si="3"/>
        <v>2003.38</v>
      </c>
      <c r="AF63" s="1337">
        <v>0</v>
      </c>
      <c r="AG63" s="1337">
        <v>0</v>
      </c>
      <c r="AH63" s="1331">
        <f t="shared" si="2"/>
        <v>0</v>
      </c>
      <c r="AI63" s="1340"/>
      <c r="AJ63" s="1340"/>
      <c r="AK63" s="1331"/>
      <c r="AL63" s="1331"/>
      <c r="AM63" s="1331"/>
      <c r="AN63" s="1331"/>
      <c r="AO63" s="1340"/>
      <c r="AP63" s="1332"/>
      <c r="AQ63" s="1331"/>
      <c r="AR63" s="1268"/>
      <c r="AS63" s="1342"/>
      <c r="AT63" s="1342"/>
      <c r="AU63" s="1342"/>
      <c r="AV63" s="1342"/>
      <c r="AW63" s="1342"/>
      <c r="AX63" s="1342"/>
      <c r="AY63" s="1342"/>
      <c r="AZ63" s="1342"/>
      <c r="BA63" s="1342"/>
      <c r="BB63" s="1342"/>
      <c r="BC63" s="1342"/>
      <c r="BD63" s="1342"/>
      <c r="BF63" s="145"/>
      <c r="BG63" s="2631"/>
      <c r="BH63" s="2631"/>
      <c r="BI63" s="2631"/>
      <c r="BJ63" s="2631"/>
      <c r="BK63" s="2631"/>
    </row>
    <row r="64" spans="1:63" s="85" customFormat="1" ht="38.25" x14ac:dyDescent="0.25">
      <c r="A64" s="1495">
        <v>39</v>
      </c>
      <c r="B64" s="1339" t="s">
        <v>388</v>
      </c>
      <c r="C64" s="1268" t="s">
        <v>837</v>
      </c>
      <c r="D64" s="1268" t="s">
        <v>6689</v>
      </c>
      <c r="E64" s="1268" t="s">
        <v>5811</v>
      </c>
      <c r="F64" s="1268" t="s">
        <v>6690</v>
      </c>
      <c r="G64" s="1340" t="s">
        <v>6691</v>
      </c>
      <c r="H64" s="1268" t="s">
        <v>744</v>
      </c>
      <c r="I64" s="1268" t="s">
        <v>6648</v>
      </c>
      <c r="J64" s="1268" t="s">
        <v>265</v>
      </c>
      <c r="K64" s="1332">
        <v>41696</v>
      </c>
      <c r="L64" s="1255">
        <v>133227</v>
      </c>
      <c r="M64" s="1338">
        <v>11255</v>
      </c>
      <c r="N64" s="1332">
        <v>41697</v>
      </c>
      <c r="O64" s="1332">
        <v>42062</v>
      </c>
      <c r="P64" s="1268">
        <v>1</v>
      </c>
      <c r="Q64" s="1268"/>
      <c r="R64" s="1268"/>
      <c r="S64" s="1268"/>
      <c r="T64" s="1268" t="s">
        <v>316</v>
      </c>
      <c r="U64" s="1268" t="s">
        <v>744</v>
      </c>
      <c r="V64" s="1332">
        <f>N64</f>
        <v>41697</v>
      </c>
      <c r="W64" s="1338">
        <v>11255</v>
      </c>
      <c r="X64" s="1286" t="s">
        <v>4777</v>
      </c>
      <c r="Y64" s="1332"/>
      <c r="Z64" s="1332"/>
      <c r="AA64" s="1336">
        <v>0.25</v>
      </c>
      <c r="AB64" s="1268"/>
      <c r="AC64" s="1337">
        <v>6525</v>
      </c>
      <c r="AD64" s="1255"/>
      <c r="AE64" s="1337">
        <f t="shared" si="3"/>
        <v>139752</v>
      </c>
      <c r="AF64" s="1337">
        <v>0</v>
      </c>
      <c r="AG64" s="1337">
        <f>69998.98+10999.99+52222.03+7499.99</f>
        <v>140720.99</v>
      </c>
      <c r="AH64" s="1331">
        <f t="shared" si="2"/>
        <v>140720.99</v>
      </c>
      <c r="AI64" s="1340"/>
      <c r="AJ64" s="1340"/>
      <c r="AK64" s="1331"/>
      <c r="AL64" s="1331"/>
      <c r="AM64" s="1331"/>
      <c r="AN64" s="1331"/>
      <c r="AO64" s="1331"/>
      <c r="AP64" s="1331"/>
      <c r="AQ64" s="1331"/>
      <c r="AR64" s="1268"/>
      <c r="AS64" s="1342"/>
      <c r="AT64" s="1342"/>
      <c r="AU64" s="1342"/>
      <c r="AV64" s="1342"/>
      <c r="AW64" s="1342"/>
      <c r="AX64" s="1342"/>
      <c r="AY64" s="1342"/>
      <c r="AZ64" s="1342"/>
      <c r="BA64" s="1342"/>
      <c r="BB64" s="1342"/>
      <c r="BC64" s="1342"/>
      <c r="BD64" s="1342"/>
      <c r="BF64" s="145"/>
      <c r="BG64" s="2631"/>
      <c r="BH64" s="2631"/>
      <c r="BI64" s="2631"/>
      <c r="BJ64" s="2631"/>
      <c r="BK64" s="2631"/>
    </row>
    <row r="65" spans="1:63" s="85" customFormat="1" ht="63.75" x14ac:dyDescent="0.25">
      <c r="A65" s="1495">
        <v>40</v>
      </c>
      <c r="B65" s="1339" t="s">
        <v>744</v>
      </c>
      <c r="C65" s="1340" t="s">
        <v>1715</v>
      </c>
      <c r="D65" s="1268" t="s">
        <v>6692</v>
      </c>
      <c r="E65" s="1268" t="s">
        <v>5811</v>
      </c>
      <c r="F65" s="1268" t="s">
        <v>6693</v>
      </c>
      <c r="G65" s="1340" t="s">
        <v>6694</v>
      </c>
      <c r="H65" s="1268" t="s">
        <v>757</v>
      </c>
      <c r="I65" s="1268" t="s">
        <v>6695</v>
      </c>
      <c r="J65" s="1268" t="s">
        <v>6696</v>
      </c>
      <c r="K65" s="1332">
        <v>41722</v>
      </c>
      <c r="L65" s="1255">
        <v>117500</v>
      </c>
      <c r="M65" s="1338">
        <v>11274</v>
      </c>
      <c r="N65" s="1332">
        <v>41722</v>
      </c>
      <c r="O65" s="1332">
        <v>42087</v>
      </c>
      <c r="P65" s="1268">
        <v>1</v>
      </c>
      <c r="Q65" s="1268"/>
      <c r="R65" s="1268"/>
      <c r="S65" s="1268"/>
      <c r="T65" s="1268" t="s">
        <v>208</v>
      </c>
      <c r="U65" s="1268" t="s">
        <v>757</v>
      </c>
      <c r="V65" s="1332">
        <v>41722</v>
      </c>
      <c r="W65" s="1338">
        <v>11274</v>
      </c>
      <c r="X65" s="1268" t="s">
        <v>6534</v>
      </c>
      <c r="Y65" s="1332"/>
      <c r="Z65" s="1332"/>
      <c r="AA65" s="1336"/>
      <c r="AB65" s="1268"/>
      <c r="AC65" s="1337"/>
      <c r="AD65" s="1255"/>
      <c r="AE65" s="1337">
        <f t="shared" si="3"/>
        <v>117500</v>
      </c>
      <c r="AF65" s="1337"/>
      <c r="AG65" s="1337">
        <f>14064.72+116768.34</f>
        <v>130833.06</v>
      </c>
      <c r="AH65" s="1331">
        <f t="shared" si="2"/>
        <v>130833.06</v>
      </c>
      <c r="AI65" s="1340"/>
      <c r="AJ65" s="1340"/>
      <c r="AK65" s="1331"/>
      <c r="AL65" s="1331"/>
      <c r="AM65" s="1331"/>
      <c r="AN65" s="1331"/>
      <c r="AO65" s="1331"/>
      <c r="AP65" s="1331"/>
      <c r="AQ65" s="1331"/>
      <c r="AR65" s="1268"/>
      <c r="AS65" s="1342"/>
      <c r="AT65" s="1342"/>
      <c r="AU65" s="1342"/>
      <c r="AV65" s="1342"/>
      <c r="AW65" s="1342"/>
      <c r="AX65" s="1342"/>
      <c r="AY65" s="1342"/>
      <c r="AZ65" s="1342"/>
      <c r="BA65" s="1342"/>
      <c r="BB65" s="1342"/>
      <c r="BC65" s="1342"/>
      <c r="BD65" s="1342"/>
      <c r="BF65" s="1867"/>
      <c r="BG65" s="2632"/>
      <c r="BH65" s="2632"/>
      <c r="BI65" s="2632"/>
      <c r="BJ65" s="2632"/>
      <c r="BK65" s="2632"/>
    </row>
    <row r="66" spans="1:63" s="85" customFormat="1" ht="38.25" x14ac:dyDescent="0.25">
      <c r="A66" s="1495">
        <v>41</v>
      </c>
      <c r="B66" s="1339" t="s">
        <v>747</v>
      </c>
      <c r="C66" s="1268" t="s">
        <v>383</v>
      </c>
      <c r="D66" s="1268" t="s">
        <v>6697</v>
      </c>
      <c r="E66" s="1268" t="s">
        <v>5811</v>
      </c>
      <c r="F66" s="1268" t="s">
        <v>6698</v>
      </c>
      <c r="G66" s="1340" t="s">
        <v>6694</v>
      </c>
      <c r="H66" s="1268" t="s">
        <v>765</v>
      </c>
      <c r="I66" s="1268" t="s">
        <v>6699</v>
      </c>
      <c r="J66" s="1268" t="s">
        <v>387</v>
      </c>
      <c r="K66" s="1332">
        <v>41737</v>
      </c>
      <c r="L66" s="1255">
        <v>358680</v>
      </c>
      <c r="M66" s="1338">
        <v>11287</v>
      </c>
      <c r="N66" s="1332">
        <v>41737</v>
      </c>
      <c r="O66" s="1332">
        <v>42102</v>
      </c>
      <c r="P66" s="1268">
        <v>1</v>
      </c>
      <c r="Q66" s="1268"/>
      <c r="R66" s="1268"/>
      <c r="S66" s="1268"/>
      <c r="T66" s="1268" t="s">
        <v>208</v>
      </c>
      <c r="U66" s="1268" t="s">
        <v>765</v>
      </c>
      <c r="V66" s="1332">
        <f>N66</f>
        <v>41737</v>
      </c>
      <c r="W66" s="1338" t="str">
        <f>G66</f>
        <v>11.222</v>
      </c>
      <c r="X66" s="1268" t="s">
        <v>6534</v>
      </c>
      <c r="Y66" s="1332"/>
      <c r="Z66" s="1332"/>
      <c r="AA66" s="1336"/>
      <c r="AB66" s="1268"/>
      <c r="AC66" s="1337"/>
      <c r="AD66" s="1255"/>
      <c r="AE66" s="1337">
        <f t="shared" si="3"/>
        <v>358680</v>
      </c>
      <c r="AF66" s="1337"/>
      <c r="AG66" s="1337">
        <v>60000</v>
      </c>
      <c r="AH66" s="1331">
        <f t="shared" si="2"/>
        <v>60000</v>
      </c>
      <c r="AI66" s="1340"/>
      <c r="AJ66" s="1340"/>
      <c r="AK66" s="1331"/>
      <c r="AL66" s="1331"/>
      <c r="AM66" s="1331"/>
      <c r="AN66" s="1331"/>
      <c r="AO66" s="1331"/>
      <c r="AP66" s="1331"/>
      <c r="AQ66" s="1331"/>
      <c r="AR66" s="1268"/>
      <c r="AS66" s="1342"/>
      <c r="AT66" s="1342"/>
      <c r="AU66" s="1342"/>
      <c r="AV66" s="1342"/>
      <c r="AW66" s="1342"/>
      <c r="AX66" s="1342"/>
      <c r="AY66" s="1342"/>
      <c r="AZ66" s="1342"/>
      <c r="BA66" s="1342"/>
      <c r="BB66" s="1342"/>
      <c r="BC66" s="1342"/>
      <c r="BD66" s="1342"/>
      <c r="BF66" s="2633"/>
      <c r="BG66" s="1965"/>
      <c r="BH66" s="1965"/>
      <c r="BI66" s="1965"/>
      <c r="BJ66" s="1965"/>
      <c r="BK66" s="1965"/>
    </row>
    <row r="67" spans="1:63" s="85" customFormat="1" ht="38.25" x14ac:dyDescent="0.25">
      <c r="A67" s="1495">
        <v>42</v>
      </c>
      <c r="B67" s="1339" t="s">
        <v>750</v>
      </c>
      <c r="C67" s="1268" t="s">
        <v>1699</v>
      </c>
      <c r="D67" s="1268" t="s">
        <v>6700</v>
      </c>
      <c r="E67" s="1268" t="s">
        <v>5811</v>
      </c>
      <c r="F67" s="1268" t="s">
        <v>6701</v>
      </c>
      <c r="G67" s="1340" t="s">
        <v>6694</v>
      </c>
      <c r="H67" s="1268" t="s">
        <v>777</v>
      </c>
      <c r="I67" s="1268" t="s">
        <v>6702</v>
      </c>
      <c r="J67" s="1268" t="s">
        <v>721</v>
      </c>
      <c r="K67" s="1332">
        <v>41739</v>
      </c>
      <c r="L67" s="1255">
        <v>31700</v>
      </c>
      <c r="M67" s="1338">
        <v>11287</v>
      </c>
      <c r="N67" s="1332">
        <v>41739</v>
      </c>
      <c r="O67" s="1332">
        <v>42104</v>
      </c>
      <c r="P67" s="1268">
        <v>1</v>
      </c>
      <c r="Q67" s="1268"/>
      <c r="R67" s="1268"/>
      <c r="S67" s="1268"/>
      <c r="T67" s="1268" t="s">
        <v>316</v>
      </c>
      <c r="U67" s="1268" t="str">
        <f>H67</f>
        <v>016/2014</v>
      </c>
      <c r="V67" s="1332">
        <f>N67</f>
        <v>41739</v>
      </c>
      <c r="W67" s="1338">
        <v>11287</v>
      </c>
      <c r="X67" s="1268" t="s">
        <v>6534</v>
      </c>
      <c r="Y67" s="1332"/>
      <c r="Z67" s="1332"/>
      <c r="AA67" s="1336"/>
      <c r="AB67" s="1268"/>
      <c r="AC67" s="1337"/>
      <c r="AD67" s="1255"/>
      <c r="AE67" s="1337">
        <f t="shared" si="3"/>
        <v>31700</v>
      </c>
      <c r="AF67" s="1337"/>
      <c r="AG67" s="1337">
        <v>0</v>
      </c>
      <c r="AH67" s="1331">
        <f t="shared" si="2"/>
        <v>0</v>
      </c>
      <c r="AI67" s="1340"/>
      <c r="AJ67" s="1340"/>
      <c r="AK67" s="1331"/>
      <c r="AL67" s="1331"/>
      <c r="AM67" s="1331"/>
      <c r="AN67" s="1331"/>
      <c r="AO67" s="1331"/>
      <c r="AP67" s="1331"/>
      <c r="AQ67" s="1331"/>
      <c r="AR67" s="1268"/>
      <c r="AS67" s="1342"/>
      <c r="AT67" s="1342"/>
      <c r="AU67" s="1342"/>
      <c r="AV67" s="1342"/>
      <c r="AW67" s="1342"/>
      <c r="AX67" s="1342"/>
      <c r="AY67" s="1342"/>
      <c r="AZ67" s="1342"/>
      <c r="BA67" s="1342"/>
      <c r="BB67" s="1342"/>
      <c r="BC67" s="1342"/>
      <c r="BD67" s="1342"/>
      <c r="BF67" s="2633"/>
      <c r="BG67" s="1965"/>
      <c r="BH67" s="1965"/>
      <c r="BI67" s="1965"/>
      <c r="BJ67" s="1965"/>
      <c r="BK67" s="1965"/>
    </row>
    <row r="68" spans="1:63" s="85" customFormat="1" ht="38.25" x14ac:dyDescent="0.25">
      <c r="A68" s="1495">
        <v>43</v>
      </c>
      <c r="B68" s="1339" t="s">
        <v>750</v>
      </c>
      <c r="C68" s="1268" t="s">
        <v>1699</v>
      </c>
      <c r="D68" s="1268" t="s">
        <v>6700</v>
      </c>
      <c r="E68" s="1268" t="s">
        <v>5811</v>
      </c>
      <c r="F68" s="1268" t="s">
        <v>6701</v>
      </c>
      <c r="G68" s="1340" t="s">
        <v>6694</v>
      </c>
      <c r="H68" s="1268" t="s">
        <v>780</v>
      </c>
      <c r="I68" s="1268" t="s">
        <v>6589</v>
      </c>
      <c r="J68" s="1268" t="s">
        <v>718</v>
      </c>
      <c r="K68" s="1332">
        <v>41739</v>
      </c>
      <c r="L68" s="1255">
        <v>5195</v>
      </c>
      <c r="M68" s="1338">
        <v>11287</v>
      </c>
      <c r="N68" s="1332">
        <v>41739</v>
      </c>
      <c r="O68" s="1332">
        <v>42104</v>
      </c>
      <c r="P68" s="1268">
        <v>1</v>
      </c>
      <c r="Q68" s="1268"/>
      <c r="R68" s="1268"/>
      <c r="S68" s="1268"/>
      <c r="T68" s="1268" t="s">
        <v>316</v>
      </c>
      <c r="U68" s="1268" t="str">
        <f t="shared" ref="U68:U69" si="5">H68</f>
        <v>017/2014</v>
      </c>
      <c r="V68" s="1332">
        <f t="shared" ref="V68:V73" si="6">N68</f>
        <v>41739</v>
      </c>
      <c r="W68" s="1338">
        <v>11287</v>
      </c>
      <c r="X68" s="1268" t="s">
        <v>6534</v>
      </c>
      <c r="Y68" s="1332"/>
      <c r="Z68" s="1332"/>
      <c r="AA68" s="1336"/>
      <c r="AB68" s="1268"/>
      <c r="AC68" s="1337"/>
      <c r="AD68" s="1255"/>
      <c r="AE68" s="1337">
        <f t="shared" si="3"/>
        <v>5195</v>
      </c>
      <c r="AF68" s="1337"/>
      <c r="AG68" s="1337">
        <v>0</v>
      </c>
      <c r="AH68" s="1331">
        <f t="shared" si="2"/>
        <v>0</v>
      </c>
      <c r="AI68" s="1340"/>
      <c r="AJ68" s="1340"/>
      <c r="AK68" s="1331"/>
      <c r="AL68" s="1331"/>
      <c r="AM68" s="1331"/>
      <c r="AN68" s="1331"/>
      <c r="AO68" s="1331"/>
      <c r="AP68" s="1331"/>
      <c r="AQ68" s="1331"/>
      <c r="AR68" s="1268"/>
      <c r="AS68" s="1342"/>
      <c r="AT68" s="1342"/>
      <c r="AU68" s="1342"/>
      <c r="AV68" s="1342"/>
      <c r="AW68" s="1342"/>
      <c r="AX68" s="1342"/>
      <c r="AY68" s="1342"/>
      <c r="AZ68" s="1342"/>
      <c r="BA68" s="1342"/>
      <c r="BB68" s="1342"/>
      <c r="BC68" s="1342"/>
      <c r="BD68" s="1342"/>
      <c r="BF68" s="145"/>
      <c r="BG68" s="2631"/>
      <c r="BH68" s="2631"/>
      <c r="BI68" s="2631"/>
      <c r="BJ68" s="2631"/>
      <c r="BK68" s="2631"/>
    </row>
    <row r="69" spans="1:63" s="85" customFormat="1" ht="38.25" x14ac:dyDescent="0.25">
      <c r="A69" s="1495">
        <v>44</v>
      </c>
      <c r="B69" s="1339" t="s">
        <v>750</v>
      </c>
      <c r="C69" s="1268" t="s">
        <v>1699</v>
      </c>
      <c r="D69" s="1268" t="s">
        <v>6700</v>
      </c>
      <c r="E69" s="1268" t="s">
        <v>5811</v>
      </c>
      <c r="F69" s="1268" t="s">
        <v>6701</v>
      </c>
      <c r="G69" s="1340" t="s">
        <v>6694</v>
      </c>
      <c r="H69" s="1268" t="s">
        <v>787</v>
      </c>
      <c r="I69" s="1268" t="s">
        <v>725</v>
      </c>
      <c r="J69" s="1268" t="s">
        <v>726</v>
      </c>
      <c r="K69" s="1332">
        <v>41739</v>
      </c>
      <c r="L69" s="1255">
        <v>14900</v>
      </c>
      <c r="M69" s="1338">
        <v>11287</v>
      </c>
      <c r="N69" s="1332">
        <v>41739</v>
      </c>
      <c r="O69" s="1332">
        <v>42104</v>
      </c>
      <c r="P69" s="1268">
        <v>1</v>
      </c>
      <c r="Q69" s="1268"/>
      <c r="R69" s="1268"/>
      <c r="S69" s="1268"/>
      <c r="T69" s="1268" t="s">
        <v>316</v>
      </c>
      <c r="U69" s="1268" t="str">
        <f t="shared" si="5"/>
        <v>018/2014</v>
      </c>
      <c r="V69" s="1332">
        <f t="shared" si="6"/>
        <v>41739</v>
      </c>
      <c r="W69" s="1338">
        <v>11287</v>
      </c>
      <c r="X69" s="1268" t="s">
        <v>6534</v>
      </c>
      <c r="Y69" s="1332"/>
      <c r="Z69" s="1332"/>
      <c r="AA69" s="1268"/>
      <c r="AB69" s="1268"/>
      <c r="AC69" s="1337"/>
      <c r="AD69" s="1255"/>
      <c r="AE69" s="1337">
        <f t="shared" si="3"/>
        <v>14900</v>
      </c>
      <c r="AF69" s="1337"/>
      <c r="AG69" s="1337">
        <v>0</v>
      </c>
      <c r="AH69" s="1331">
        <f t="shared" si="2"/>
        <v>0</v>
      </c>
      <c r="AI69" s="1340"/>
      <c r="AJ69" s="1340"/>
      <c r="AK69" s="1331"/>
      <c r="AL69" s="1331"/>
      <c r="AM69" s="1331"/>
      <c r="AN69" s="1331"/>
      <c r="AO69" s="1331"/>
      <c r="AP69" s="1331"/>
      <c r="AQ69" s="1331"/>
      <c r="AR69" s="1268"/>
      <c r="AS69" s="1342"/>
      <c r="AT69" s="1342"/>
      <c r="AU69" s="1342"/>
      <c r="AV69" s="1342"/>
      <c r="AW69" s="1342"/>
      <c r="AX69" s="1342"/>
      <c r="AY69" s="1342"/>
      <c r="AZ69" s="1342"/>
      <c r="BA69" s="1342"/>
      <c r="BB69" s="1342"/>
      <c r="BC69" s="1342"/>
      <c r="BD69" s="1342"/>
      <c r="BF69" s="145"/>
      <c r="BG69" s="2631"/>
      <c r="BH69" s="2631"/>
      <c r="BI69" s="2631"/>
      <c r="BJ69" s="2631"/>
      <c r="BK69" s="2631"/>
    </row>
    <row r="70" spans="1:63" s="85" customFormat="1" ht="38.25" x14ac:dyDescent="0.25">
      <c r="A70" s="1495">
        <v>45</v>
      </c>
      <c r="B70" s="1339" t="s">
        <v>757</v>
      </c>
      <c r="C70" s="1268" t="s">
        <v>1811</v>
      </c>
      <c r="D70" s="387" t="s">
        <v>6703</v>
      </c>
      <c r="E70" s="1268" t="s">
        <v>311</v>
      </c>
      <c r="F70" s="387" t="s">
        <v>6704</v>
      </c>
      <c r="G70" s="1340" t="s">
        <v>6705</v>
      </c>
      <c r="H70" s="1268" t="s">
        <v>792</v>
      </c>
      <c r="I70" s="1268" t="s">
        <v>6706</v>
      </c>
      <c r="J70" s="1268" t="s">
        <v>6707</v>
      </c>
      <c r="K70" s="1332">
        <v>41780</v>
      </c>
      <c r="L70" s="1255">
        <v>72010</v>
      </c>
      <c r="M70" s="1338">
        <v>11322</v>
      </c>
      <c r="N70" s="1332">
        <v>41780</v>
      </c>
      <c r="O70" s="1332">
        <v>42145</v>
      </c>
      <c r="P70" s="1268">
        <v>1</v>
      </c>
      <c r="Q70" s="1268"/>
      <c r="R70" s="1268"/>
      <c r="S70" s="1268"/>
      <c r="T70" s="1268" t="s">
        <v>208</v>
      </c>
      <c r="U70" s="1268" t="s">
        <v>792</v>
      </c>
      <c r="V70" s="1332">
        <f t="shared" si="6"/>
        <v>41780</v>
      </c>
      <c r="W70" s="1338">
        <v>11322</v>
      </c>
      <c r="X70" s="1268" t="s">
        <v>6534</v>
      </c>
      <c r="Y70" s="1332"/>
      <c r="Z70" s="1332"/>
      <c r="AA70" s="1268"/>
      <c r="AB70" s="1268"/>
      <c r="AC70" s="1337"/>
      <c r="AD70" s="1255"/>
      <c r="AE70" s="1337">
        <f t="shared" si="3"/>
        <v>72010</v>
      </c>
      <c r="AF70" s="1337">
        <v>0</v>
      </c>
      <c r="AG70" s="1337">
        <v>0</v>
      </c>
      <c r="AH70" s="1331">
        <f t="shared" si="2"/>
        <v>0</v>
      </c>
      <c r="AI70" s="1340"/>
      <c r="AJ70" s="1340"/>
      <c r="AK70" s="1331"/>
      <c r="AL70" s="1331"/>
      <c r="AM70" s="1331"/>
      <c r="AN70" s="1331"/>
      <c r="AO70" s="1331"/>
      <c r="AP70" s="1331"/>
      <c r="AQ70" s="1331"/>
      <c r="AR70" s="1268"/>
      <c r="AS70" s="1342"/>
      <c r="AT70" s="1342"/>
      <c r="AU70" s="1342"/>
      <c r="AV70" s="1342"/>
      <c r="AW70" s="1342"/>
      <c r="AX70" s="1342"/>
      <c r="AY70" s="1342"/>
      <c r="AZ70" s="1342"/>
      <c r="BA70" s="1342"/>
      <c r="BB70" s="1342"/>
      <c r="BC70" s="1342"/>
      <c r="BD70" s="1342"/>
      <c r="BF70" s="145"/>
      <c r="BG70" s="2631"/>
      <c r="BH70" s="2631"/>
      <c r="BI70" s="2631"/>
      <c r="BJ70" s="2631"/>
      <c r="BK70" s="2631"/>
    </row>
    <row r="71" spans="1:63" s="85" customFormat="1" ht="38.25" x14ac:dyDescent="0.25">
      <c r="A71" s="1495">
        <v>46</v>
      </c>
      <c r="B71" s="1339" t="s">
        <v>765</v>
      </c>
      <c r="C71" s="1268" t="s">
        <v>1804</v>
      </c>
      <c r="D71" s="387" t="s">
        <v>6708</v>
      </c>
      <c r="E71" s="1268" t="s">
        <v>311</v>
      </c>
      <c r="F71" s="387" t="s">
        <v>6709</v>
      </c>
      <c r="G71" s="1340" t="s">
        <v>6705</v>
      </c>
      <c r="H71" s="1268" t="s">
        <v>795</v>
      </c>
      <c r="I71" s="1268" t="s">
        <v>6710</v>
      </c>
      <c r="J71" s="1268" t="s">
        <v>718</v>
      </c>
      <c r="K71" s="1332">
        <v>41789</v>
      </c>
      <c r="L71" s="1255">
        <v>4400</v>
      </c>
      <c r="M71" s="1338">
        <v>11322</v>
      </c>
      <c r="N71" s="1332">
        <v>41789</v>
      </c>
      <c r="O71" s="1332">
        <v>42154</v>
      </c>
      <c r="P71" s="1268">
        <v>1</v>
      </c>
      <c r="Q71" s="1268"/>
      <c r="R71" s="1268"/>
      <c r="S71" s="1268"/>
      <c r="T71" s="1268" t="s">
        <v>408</v>
      </c>
      <c r="U71" s="1268" t="s">
        <v>795</v>
      </c>
      <c r="V71" s="1332">
        <f t="shared" si="6"/>
        <v>41789</v>
      </c>
      <c r="W71" s="1338">
        <v>11332</v>
      </c>
      <c r="X71" s="1268" t="s">
        <v>6534</v>
      </c>
      <c r="Y71" s="1332"/>
      <c r="Z71" s="1332"/>
      <c r="AA71" s="1268"/>
      <c r="AB71" s="1268"/>
      <c r="AC71" s="1337"/>
      <c r="AD71" s="1255"/>
      <c r="AE71" s="1337">
        <f t="shared" si="3"/>
        <v>4400</v>
      </c>
      <c r="AF71" s="1337"/>
      <c r="AG71" s="1337">
        <v>0</v>
      </c>
      <c r="AH71" s="1331">
        <f t="shared" si="2"/>
        <v>0</v>
      </c>
      <c r="AI71" s="1340"/>
      <c r="AJ71" s="1340"/>
      <c r="AK71" s="1331"/>
      <c r="AL71" s="1331"/>
      <c r="AM71" s="1331"/>
      <c r="AN71" s="1331"/>
      <c r="AO71" s="1331"/>
      <c r="AP71" s="1331"/>
      <c r="AQ71" s="1331"/>
      <c r="AR71" s="1268"/>
      <c r="AS71" s="1342"/>
      <c r="AT71" s="1342"/>
      <c r="AU71" s="1342"/>
      <c r="AV71" s="1342"/>
      <c r="AW71" s="1342"/>
      <c r="AX71" s="1342"/>
      <c r="AY71" s="1342"/>
      <c r="AZ71" s="1342"/>
      <c r="BA71" s="1342"/>
      <c r="BB71" s="1342"/>
      <c r="BC71" s="1342"/>
      <c r="BD71" s="1342"/>
      <c r="BF71" s="145"/>
      <c r="BG71" s="2631"/>
      <c r="BH71" s="2631"/>
      <c r="BI71" s="2631"/>
      <c r="BJ71" s="2631"/>
      <c r="BK71" s="2631"/>
    </row>
    <row r="72" spans="1:63" s="85" customFormat="1" ht="38.25" x14ac:dyDescent="0.25">
      <c r="A72" s="1495">
        <v>47</v>
      </c>
      <c r="B72" s="1339" t="s">
        <v>765</v>
      </c>
      <c r="C72" s="1268" t="s">
        <v>1804</v>
      </c>
      <c r="D72" s="387" t="s">
        <v>6708</v>
      </c>
      <c r="E72" s="1268" t="s">
        <v>311</v>
      </c>
      <c r="F72" s="387" t="s">
        <v>6709</v>
      </c>
      <c r="G72" s="1340" t="s">
        <v>6705</v>
      </c>
      <c r="H72" s="1268" t="s">
        <v>798</v>
      </c>
      <c r="I72" s="1268" t="s">
        <v>6711</v>
      </c>
      <c r="J72" s="1268" t="s">
        <v>2102</v>
      </c>
      <c r="K72" s="1332">
        <v>41789</v>
      </c>
      <c r="L72" s="1255">
        <v>11300</v>
      </c>
      <c r="M72" s="1338">
        <v>11322</v>
      </c>
      <c r="N72" s="1332">
        <v>41789</v>
      </c>
      <c r="O72" s="1332">
        <v>42154</v>
      </c>
      <c r="P72" s="1268">
        <v>1</v>
      </c>
      <c r="Q72" s="1268"/>
      <c r="R72" s="1268"/>
      <c r="S72" s="1268"/>
      <c r="T72" s="1268" t="s">
        <v>408</v>
      </c>
      <c r="U72" s="1268" t="s">
        <v>798</v>
      </c>
      <c r="V72" s="1332">
        <f t="shared" si="6"/>
        <v>41789</v>
      </c>
      <c r="W72" s="1338">
        <v>11332</v>
      </c>
      <c r="X72" s="1268" t="s">
        <v>6534</v>
      </c>
      <c r="Y72" s="1332"/>
      <c r="Z72" s="1332"/>
      <c r="AA72" s="1268"/>
      <c r="AB72" s="1268"/>
      <c r="AC72" s="1337"/>
      <c r="AD72" s="1255"/>
      <c r="AE72" s="1337">
        <f t="shared" si="3"/>
        <v>11300</v>
      </c>
      <c r="AF72" s="1337"/>
      <c r="AG72" s="1337">
        <v>0</v>
      </c>
      <c r="AH72" s="1331">
        <f t="shared" si="2"/>
        <v>0</v>
      </c>
      <c r="AI72" s="1340"/>
      <c r="AJ72" s="1340"/>
      <c r="AK72" s="1331"/>
      <c r="AL72" s="1331"/>
      <c r="AM72" s="1331"/>
      <c r="AN72" s="1331"/>
      <c r="AO72" s="1331"/>
      <c r="AP72" s="1331"/>
      <c r="AQ72" s="1331"/>
      <c r="AR72" s="1268"/>
      <c r="AS72" s="1342"/>
      <c r="AT72" s="1342"/>
      <c r="AU72" s="1342"/>
      <c r="AV72" s="1342"/>
      <c r="AW72" s="1342"/>
      <c r="AX72" s="1342"/>
      <c r="AY72" s="1342"/>
      <c r="AZ72" s="1342"/>
      <c r="BA72" s="1342"/>
      <c r="BB72" s="1342"/>
      <c r="BC72" s="1342"/>
      <c r="BD72" s="1342"/>
      <c r="BF72" s="145"/>
      <c r="BG72" s="2631"/>
      <c r="BH72" s="2631"/>
      <c r="BI72" s="2631"/>
      <c r="BJ72" s="2631"/>
      <c r="BK72" s="2631"/>
    </row>
    <row r="73" spans="1:63" s="85" customFormat="1" ht="51" x14ac:dyDescent="0.25">
      <c r="A73" s="1495">
        <v>48</v>
      </c>
      <c r="B73" s="1339" t="s">
        <v>777</v>
      </c>
      <c r="C73" s="1268" t="s">
        <v>6712</v>
      </c>
      <c r="D73" s="387" t="s">
        <v>6713</v>
      </c>
      <c r="E73" s="1268" t="s">
        <v>5811</v>
      </c>
      <c r="F73" s="387" t="s">
        <v>6714</v>
      </c>
      <c r="G73" s="1550" t="s">
        <v>6715</v>
      </c>
      <c r="H73" s="1268" t="s">
        <v>804</v>
      </c>
      <c r="I73" s="1268" t="s">
        <v>6716</v>
      </c>
      <c r="J73" s="1268" t="s">
        <v>6717</v>
      </c>
      <c r="K73" s="1332">
        <v>41803</v>
      </c>
      <c r="L73" s="1255">
        <v>13800</v>
      </c>
      <c r="M73" s="1338">
        <v>11339</v>
      </c>
      <c r="N73" s="1332">
        <v>41803</v>
      </c>
      <c r="O73" s="1332">
        <v>42004</v>
      </c>
      <c r="P73" s="1268">
        <v>1</v>
      </c>
      <c r="Q73" s="1268"/>
      <c r="R73" s="1268"/>
      <c r="S73" s="1268"/>
      <c r="T73" s="1268" t="s">
        <v>158</v>
      </c>
      <c r="U73" s="1268" t="s">
        <v>804</v>
      </c>
      <c r="V73" s="1332">
        <f t="shared" si="6"/>
        <v>41803</v>
      </c>
      <c r="W73" s="1338">
        <v>11339</v>
      </c>
      <c r="X73" s="1268" t="s">
        <v>6534</v>
      </c>
      <c r="Y73" s="1332"/>
      <c r="Z73" s="1332"/>
      <c r="AA73" s="1268"/>
      <c r="AB73" s="1268"/>
      <c r="AC73" s="1337"/>
      <c r="AD73" s="1255"/>
      <c r="AE73" s="1337">
        <f t="shared" si="3"/>
        <v>13800</v>
      </c>
      <c r="AF73" s="1337"/>
      <c r="AG73" s="1337">
        <v>0</v>
      </c>
      <c r="AH73" s="1331">
        <f t="shared" si="2"/>
        <v>0</v>
      </c>
      <c r="AI73" s="1340"/>
      <c r="AJ73" s="1340" t="s">
        <v>6718</v>
      </c>
      <c r="AK73" s="1331" t="s">
        <v>6719</v>
      </c>
      <c r="AL73" s="1331">
        <v>11339</v>
      </c>
      <c r="AM73" s="1331"/>
      <c r="AN73" s="1331"/>
      <c r="AO73" s="1331"/>
      <c r="AP73" s="1331"/>
      <c r="AQ73" s="1331"/>
      <c r="AR73" s="1268"/>
      <c r="AS73" s="1342"/>
      <c r="AT73" s="1342"/>
      <c r="AU73" s="1342"/>
      <c r="AV73" s="1342"/>
      <c r="AW73" s="1342"/>
      <c r="AX73" s="1342"/>
      <c r="AY73" s="1342"/>
      <c r="AZ73" s="1342"/>
      <c r="BA73" s="1342"/>
      <c r="BB73" s="1342"/>
      <c r="BC73" s="1342"/>
      <c r="BD73" s="1342"/>
      <c r="BF73" s="145"/>
      <c r="BG73" s="2631"/>
      <c r="BH73" s="2631"/>
      <c r="BI73" s="2631"/>
      <c r="BJ73" s="2631"/>
      <c r="BK73" s="2631"/>
    </row>
    <row r="74" spans="1:63" s="85" customFormat="1" ht="51" x14ac:dyDescent="0.25">
      <c r="A74" s="709">
        <v>49</v>
      </c>
      <c r="B74" s="1339" t="s">
        <v>780</v>
      </c>
      <c r="C74" s="1268" t="s">
        <v>1753</v>
      </c>
      <c r="D74" s="1268" t="s">
        <v>6720</v>
      </c>
      <c r="E74" s="1268" t="s">
        <v>5811</v>
      </c>
      <c r="F74" s="1268" t="s">
        <v>6721</v>
      </c>
      <c r="G74" s="1338">
        <v>11293</v>
      </c>
      <c r="H74" s="1340" t="s">
        <v>1753</v>
      </c>
      <c r="I74" s="1268" t="s">
        <v>6722</v>
      </c>
      <c r="J74" s="1268" t="s">
        <v>5029</v>
      </c>
      <c r="K74" s="1332">
        <v>41841</v>
      </c>
      <c r="L74" s="1255">
        <v>2750</v>
      </c>
      <c r="M74" s="1338">
        <v>11354</v>
      </c>
      <c r="N74" s="1332">
        <v>41841</v>
      </c>
      <c r="O74" s="1332">
        <v>41903</v>
      </c>
      <c r="P74" s="1268">
        <v>1</v>
      </c>
      <c r="Q74" s="1268"/>
      <c r="R74" s="1268"/>
      <c r="S74" s="1268"/>
      <c r="T74" s="1268" t="s">
        <v>408</v>
      </c>
      <c r="U74" s="1286"/>
      <c r="V74" s="1286"/>
      <c r="W74" s="1286"/>
      <c r="X74" s="1286"/>
      <c r="Y74" s="1268"/>
      <c r="Z74" s="1268"/>
      <c r="AA74" s="1268"/>
      <c r="AB74" s="1268"/>
      <c r="AC74" s="1337"/>
      <c r="AD74" s="1268"/>
      <c r="AE74" s="1337">
        <f t="shared" si="3"/>
        <v>2750</v>
      </c>
      <c r="AF74" s="1337"/>
      <c r="AG74" s="1337">
        <v>2750</v>
      </c>
      <c r="AH74" s="1331">
        <f t="shared" si="2"/>
        <v>2750</v>
      </c>
      <c r="AI74" s="1340" t="s">
        <v>1753</v>
      </c>
      <c r="AJ74" s="1340" t="s">
        <v>6723</v>
      </c>
      <c r="AK74" s="1331" t="s">
        <v>6724</v>
      </c>
      <c r="AL74" s="1340" t="s">
        <v>6723</v>
      </c>
      <c r="AM74" s="1331"/>
      <c r="AN74" s="1331"/>
      <c r="AO74" s="1331"/>
      <c r="AP74" s="1331"/>
      <c r="AQ74" s="1331"/>
      <c r="AR74" s="1331"/>
      <c r="AS74" s="1268"/>
      <c r="AT74" s="1342"/>
      <c r="AU74" s="1342"/>
      <c r="AV74" s="1342"/>
      <c r="AW74" s="1342"/>
      <c r="AX74" s="1342"/>
      <c r="AY74" s="1342"/>
      <c r="AZ74" s="1342"/>
      <c r="BA74" s="1342"/>
      <c r="BB74" s="1342"/>
      <c r="BC74" s="1342"/>
      <c r="BD74" s="1342"/>
      <c r="BF74" s="145"/>
      <c r="BG74" s="2631"/>
      <c r="BH74" s="2631"/>
      <c r="BI74" s="2631"/>
      <c r="BJ74" s="2631"/>
      <c r="BK74" s="2631"/>
    </row>
    <row r="75" spans="1:63" s="1866" customFormat="1" ht="51" x14ac:dyDescent="0.25">
      <c r="A75" s="709">
        <v>50</v>
      </c>
      <c r="B75" s="80" t="s">
        <v>787</v>
      </c>
      <c r="C75" s="1268" t="s">
        <v>1897</v>
      </c>
      <c r="D75" s="1268" t="s">
        <v>6725</v>
      </c>
      <c r="E75" s="1171" t="s">
        <v>6726</v>
      </c>
      <c r="F75" s="1268" t="s">
        <v>6727</v>
      </c>
      <c r="G75" s="1338">
        <v>11348</v>
      </c>
      <c r="H75" s="1340" t="s">
        <v>792</v>
      </c>
      <c r="I75" s="1342" t="s">
        <v>6728</v>
      </c>
      <c r="J75" s="1268" t="s">
        <v>6030</v>
      </c>
      <c r="K75" s="1332">
        <v>41848</v>
      </c>
      <c r="L75" s="1255">
        <v>44750</v>
      </c>
      <c r="M75" s="1338">
        <v>11359</v>
      </c>
      <c r="N75" s="1332">
        <v>41848</v>
      </c>
      <c r="O75" s="1332">
        <v>42213</v>
      </c>
      <c r="P75" s="1268">
        <v>1</v>
      </c>
      <c r="Q75" s="1268"/>
      <c r="R75" s="1268"/>
      <c r="S75" s="1268"/>
      <c r="T75" s="1268" t="s">
        <v>208</v>
      </c>
      <c r="U75" s="1268" t="s">
        <v>1897</v>
      </c>
      <c r="V75" s="1332">
        <v>41848</v>
      </c>
      <c r="W75" s="1338">
        <v>11359</v>
      </c>
      <c r="X75" s="1286" t="s">
        <v>6659</v>
      </c>
      <c r="Y75" s="1332"/>
      <c r="Z75" s="1332"/>
      <c r="AA75" s="1268"/>
      <c r="AB75" s="1268"/>
      <c r="AC75" s="1337">
        <v>11187.5</v>
      </c>
      <c r="AD75" s="1268"/>
      <c r="AE75" s="1337">
        <f t="shared" si="3"/>
        <v>55937.5</v>
      </c>
      <c r="AF75" s="1337"/>
      <c r="AG75" s="1337">
        <v>0</v>
      </c>
      <c r="AH75" s="1331">
        <f t="shared" si="2"/>
        <v>0</v>
      </c>
      <c r="AI75" s="1268"/>
      <c r="AJ75" s="1338"/>
      <c r="AK75" s="1268"/>
      <c r="AL75" s="1338"/>
      <c r="AM75" s="1342"/>
      <c r="AN75" s="1342"/>
      <c r="AO75" s="1342"/>
      <c r="AP75" s="1342"/>
      <c r="AQ75" s="1342"/>
      <c r="AR75" s="1342"/>
      <c r="AS75" s="1342"/>
      <c r="AT75" s="1342"/>
      <c r="AU75" s="1342"/>
      <c r="AV75" s="1342"/>
      <c r="AW75" s="1342"/>
      <c r="AX75" s="1342"/>
      <c r="AY75" s="1342"/>
      <c r="AZ75" s="1342"/>
      <c r="BA75" s="1342"/>
      <c r="BB75" s="1342"/>
      <c r="BC75" s="1342"/>
      <c r="BD75" s="1342"/>
      <c r="BE75" s="85"/>
      <c r="BF75" s="145"/>
      <c r="BG75" s="85"/>
      <c r="BH75" s="85"/>
      <c r="BI75" s="85"/>
      <c r="BJ75" s="85"/>
      <c r="BK75" s="85"/>
    </row>
    <row r="76" spans="1:63" s="85" customFormat="1" ht="13.5" thickBot="1" x14ac:dyDescent="0.3">
      <c r="A76" s="1333">
        <v>51</v>
      </c>
      <c r="B76" s="1335"/>
      <c r="C76" s="1287"/>
      <c r="D76" s="1287"/>
      <c r="E76" s="1287"/>
      <c r="F76" s="1287"/>
      <c r="G76" s="1287"/>
      <c r="H76" s="1328"/>
      <c r="I76" s="1287"/>
      <c r="J76" s="1287"/>
      <c r="K76" s="1287"/>
      <c r="L76" s="1289"/>
      <c r="M76" s="1287"/>
      <c r="N76" s="1287"/>
      <c r="O76" s="1287"/>
      <c r="P76" s="1287"/>
      <c r="Q76" s="1287"/>
      <c r="R76" s="1287"/>
      <c r="S76" s="1287"/>
      <c r="T76" s="1287"/>
      <c r="U76" s="1287"/>
      <c r="V76" s="1287"/>
      <c r="W76" s="1287"/>
      <c r="X76" s="1287"/>
      <c r="Y76" s="1287"/>
      <c r="Z76" s="1287"/>
      <c r="AA76" s="1287"/>
      <c r="AB76" s="1287"/>
      <c r="AC76" s="1287"/>
      <c r="AD76" s="1287"/>
      <c r="AE76" s="1289"/>
      <c r="AF76" s="1287"/>
      <c r="AG76" s="1287"/>
      <c r="AH76" s="1326"/>
      <c r="AI76" s="1326"/>
      <c r="AJ76" s="1326"/>
      <c r="AK76" s="1326"/>
      <c r="AL76" s="1326"/>
      <c r="AM76" s="1326"/>
      <c r="AN76" s="1326"/>
      <c r="AO76" s="1326"/>
      <c r="AP76" s="1326"/>
      <c r="AQ76" s="1326"/>
      <c r="AR76" s="1326"/>
      <c r="AS76" s="1287"/>
      <c r="AT76" s="1324"/>
      <c r="AU76" s="1324"/>
      <c r="AV76" s="1324"/>
      <c r="AW76" s="1324"/>
      <c r="AX76" s="1324"/>
      <c r="AY76" s="1324"/>
      <c r="AZ76" s="1324"/>
      <c r="BA76" s="1324"/>
      <c r="BB76" s="1324"/>
      <c r="BC76" s="1324"/>
      <c r="BD76" s="1324"/>
      <c r="BF76" s="145"/>
      <c r="BG76" s="1965"/>
      <c r="BH76" s="1965"/>
      <c r="BI76" s="1965"/>
      <c r="BJ76" s="1965"/>
      <c r="BK76" s="1965"/>
    </row>
    <row r="77" spans="1:63" s="85" customFormat="1" ht="13.5" thickBot="1" x14ac:dyDescent="0.3">
      <c r="A77" s="2629" t="s">
        <v>601</v>
      </c>
      <c r="B77" s="2630"/>
      <c r="C77" s="2630"/>
      <c r="D77" s="2630"/>
      <c r="E77" s="2630"/>
      <c r="F77" s="2630"/>
      <c r="G77" s="2630"/>
      <c r="H77" s="2630"/>
      <c r="I77" s="2630"/>
      <c r="J77" s="2630"/>
      <c r="K77" s="2630"/>
      <c r="L77" s="1862">
        <f>SUM(L25:L76)</f>
        <v>5058351.67</v>
      </c>
      <c r="M77" s="735"/>
      <c r="N77" s="735"/>
      <c r="O77" s="735"/>
      <c r="P77" s="735"/>
      <c r="Q77" s="735"/>
      <c r="R77" s="735"/>
      <c r="S77" s="735"/>
      <c r="T77" s="735"/>
      <c r="U77" s="735"/>
      <c r="V77" s="735"/>
      <c r="W77" s="735"/>
      <c r="X77" s="735"/>
      <c r="Y77" s="735"/>
      <c r="Z77" s="735"/>
      <c r="AA77" s="735"/>
      <c r="AB77" s="735"/>
      <c r="AC77" s="742">
        <f t="shared" ref="AC77:AH77" si="7">SUM(AC25:AC76)</f>
        <v>72874.649999999994</v>
      </c>
      <c r="AD77" s="742">
        <f t="shared" si="7"/>
        <v>0</v>
      </c>
      <c r="AE77" s="742">
        <f t="shared" si="7"/>
        <v>5127546.32</v>
      </c>
      <c r="AF77" s="742">
        <f t="shared" si="7"/>
        <v>782094.24</v>
      </c>
      <c r="AG77" s="742">
        <f t="shared" si="7"/>
        <v>1359568.83</v>
      </c>
      <c r="AH77" s="742">
        <f t="shared" si="7"/>
        <v>2141663.0700000003</v>
      </c>
      <c r="AI77" s="742"/>
      <c r="AJ77" s="742"/>
      <c r="AK77" s="742"/>
      <c r="AL77" s="742"/>
      <c r="AM77" s="742"/>
      <c r="AN77" s="742"/>
      <c r="AO77" s="742"/>
      <c r="AP77" s="742"/>
      <c r="AQ77" s="742"/>
      <c r="AR77" s="742"/>
      <c r="AS77" s="743"/>
      <c r="AT77" s="744"/>
      <c r="AU77" s="744"/>
      <c r="AV77" s="744"/>
      <c r="AW77" s="744"/>
      <c r="AX77" s="744"/>
      <c r="AY77" s="744"/>
      <c r="AZ77" s="744"/>
      <c r="BA77" s="744"/>
      <c r="BB77" s="744"/>
      <c r="BC77" s="744"/>
      <c r="BD77" s="745"/>
      <c r="BF77" s="145"/>
      <c r="BG77" s="2631"/>
      <c r="BH77" s="2631"/>
      <c r="BI77" s="2631"/>
      <c r="BJ77" s="2631"/>
      <c r="BK77" s="2631"/>
    </row>
    <row r="80" spans="1:63" s="684" customFormat="1" x14ac:dyDescent="0.25">
      <c r="A80" s="85" t="s">
        <v>7605</v>
      </c>
      <c r="B80" s="85"/>
      <c r="C80" s="85"/>
      <c r="D80" s="85"/>
      <c r="E80" s="85"/>
      <c r="F80" s="85"/>
      <c r="G80" s="85"/>
      <c r="L80" s="1856"/>
      <c r="M80" s="1857"/>
      <c r="N80" s="1857"/>
      <c r="O80" s="1857"/>
      <c r="P80" s="1857"/>
      <c r="Q80" s="1857"/>
      <c r="R80" s="1857"/>
      <c r="S80" s="1857"/>
      <c r="T80" s="1857"/>
      <c r="U80" s="1857"/>
      <c r="V80" s="1857"/>
      <c r="W80" s="1857"/>
      <c r="X80" s="1857"/>
      <c r="Y80" s="1857"/>
      <c r="Z80" s="1857"/>
      <c r="AA80" s="1857"/>
      <c r="AB80" s="1857"/>
      <c r="AC80" s="1858"/>
      <c r="AD80" s="1858"/>
      <c r="AE80" s="1858"/>
      <c r="AF80" s="1858"/>
      <c r="AG80" s="1858"/>
      <c r="AH80" s="1858"/>
      <c r="AI80" s="1858"/>
      <c r="AJ80" s="1858"/>
      <c r="AK80" s="1858"/>
      <c r="AL80" s="1858"/>
      <c r="AM80" s="1858"/>
      <c r="AN80" s="1858"/>
      <c r="AO80" s="1858"/>
      <c r="AP80" s="1858"/>
      <c r="AQ80" s="1858"/>
      <c r="AR80" s="1858"/>
      <c r="AS80" s="1171"/>
      <c r="AT80" s="1859"/>
      <c r="AU80" s="1859"/>
      <c r="AV80" s="1859"/>
      <c r="AW80" s="1859"/>
      <c r="AX80" s="1859"/>
      <c r="AY80" s="1859"/>
      <c r="AZ80" s="1859"/>
      <c r="BA80" s="1859"/>
      <c r="BB80" s="1859"/>
      <c r="BC80" s="1859"/>
      <c r="BD80" s="1859"/>
    </row>
    <row r="81" spans="1:56" s="684" customFormat="1" x14ac:dyDescent="0.25">
      <c r="A81" s="1868" t="s">
        <v>7606</v>
      </c>
      <c r="B81" s="1868"/>
      <c r="C81" s="1868"/>
      <c r="D81" s="1868"/>
      <c r="E81" s="1868"/>
      <c r="F81" s="1868"/>
      <c r="G81" s="1868"/>
      <c r="L81" s="1856"/>
      <c r="M81" s="1857"/>
      <c r="N81" s="1857"/>
      <c r="O81" s="1857"/>
      <c r="P81" s="1857"/>
      <c r="Q81" s="1857"/>
      <c r="R81" s="1857"/>
      <c r="S81" s="1857"/>
      <c r="T81" s="1857"/>
      <c r="U81" s="1857"/>
      <c r="V81" s="1857"/>
      <c r="W81" s="1857"/>
      <c r="X81" s="1857"/>
      <c r="Y81" s="1857"/>
      <c r="Z81" s="1857"/>
      <c r="AA81" s="1857"/>
      <c r="AB81" s="1857"/>
      <c r="AC81" s="1858"/>
      <c r="AD81" s="1858"/>
      <c r="AE81" s="1858"/>
      <c r="AF81" s="1858"/>
      <c r="AG81" s="1858"/>
      <c r="AH81" s="1858"/>
      <c r="AI81" s="1858"/>
      <c r="AJ81" s="1858"/>
      <c r="AK81" s="1858"/>
      <c r="AL81" s="1858"/>
      <c r="AM81" s="1858"/>
      <c r="AN81" s="1858"/>
      <c r="AO81" s="1858"/>
      <c r="AP81" s="1858"/>
      <c r="AQ81" s="1858"/>
      <c r="AR81" s="1858"/>
      <c r="AS81" s="1171"/>
      <c r="AT81" s="1859"/>
      <c r="AU81" s="1859"/>
      <c r="AV81" s="1859"/>
      <c r="AW81" s="1859"/>
      <c r="AX81" s="1859"/>
      <c r="AY81" s="1859"/>
      <c r="AZ81" s="1859"/>
      <c r="BA81" s="1859"/>
      <c r="BB81" s="1859"/>
      <c r="BC81" s="1859"/>
      <c r="BD81" s="1859"/>
    </row>
  </sheetData>
  <mergeCells count="88">
    <mergeCell ref="A9:BD9"/>
    <mergeCell ref="A11:BD11"/>
    <mergeCell ref="AS22:BD22"/>
    <mergeCell ref="BG22:BK23"/>
    <mergeCell ref="AL23:AL24"/>
    <mergeCell ref="AM23:AM24"/>
    <mergeCell ref="AN23:AN24"/>
    <mergeCell ref="AO23:AO24"/>
    <mergeCell ref="AP23:AP24"/>
    <mergeCell ref="AQ23:AQ24"/>
    <mergeCell ref="BA23:BA24"/>
    <mergeCell ref="BB23:BD23"/>
    <mergeCell ref="A22:A25"/>
    <mergeCell ref="B22:G23"/>
    <mergeCell ref="H22:AH22"/>
    <mergeCell ref="AI22:AL22"/>
    <mergeCell ref="AM22:AR22"/>
    <mergeCell ref="H23:T23"/>
    <mergeCell ref="U23:AD23"/>
    <mergeCell ref="AE23:AH23"/>
    <mergeCell ref="AI23:AI24"/>
    <mergeCell ref="AJ23:AJ24"/>
    <mergeCell ref="AK23:AK24"/>
    <mergeCell ref="BF24:BF25"/>
    <mergeCell ref="BG24:BK25"/>
    <mergeCell ref="BG26:BK26"/>
    <mergeCell ref="BG27:BK27"/>
    <mergeCell ref="AR23:AR24"/>
    <mergeCell ref="AS23:AS24"/>
    <mergeCell ref="AT23:AT24"/>
    <mergeCell ref="AU23:AW23"/>
    <mergeCell ref="AX23:AY23"/>
    <mergeCell ref="AZ23:AZ24"/>
    <mergeCell ref="BG40:BK40"/>
    <mergeCell ref="BG28:BK28"/>
    <mergeCell ref="BG29:BK29"/>
    <mergeCell ref="BG30:BK30"/>
    <mergeCell ref="BG31:BK31"/>
    <mergeCell ref="BG32:BK32"/>
    <mergeCell ref="BG33:BK33"/>
    <mergeCell ref="BG34:BK34"/>
    <mergeCell ref="BF35:BF36"/>
    <mergeCell ref="BG35:BK36"/>
    <mergeCell ref="BG37:BK37"/>
    <mergeCell ref="BG38:BK38"/>
    <mergeCell ref="BG52:BK52"/>
    <mergeCell ref="BG41:BK41"/>
    <mergeCell ref="BG42:BK42"/>
    <mergeCell ref="BG43:BK43"/>
    <mergeCell ref="BG44:BK44"/>
    <mergeCell ref="BG45:BK45"/>
    <mergeCell ref="BG46:BK46"/>
    <mergeCell ref="BG47:BK47"/>
    <mergeCell ref="BG48:BK48"/>
    <mergeCell ref="BF49:BF50"/>
    <mergeCell ref="BG49:BK50"/>
    <mergeCell ref="BG51:BK51"/>
    <mergeCell ref="AM58:AM59"/>
    <mergeCell ref="AN58:AN59"/>
    <mergeCell ref="AO58:AO59"/>
    <mergeCell ref="AP58:AP59"/>
    <mergeCell ref="AQ58:AQ59"/>
    <mergeCell ref="BG53:BK53"/>
    <mergeCell ref="BG54:BK54"/>
    <mergeCell ref="BG55:BK55"/>
    <mergeCell ref="BG56:BK56"/>
    <mergeCell ref="BG57:BK57"/>
    <mergeCell ref="BG68:BK68"/>
    <mergeCell ref="AR58:AR59"/>
    <mergeCell ref="BG58:BK58"/>
    <mergeCell ref="BG59:BK59"/>
    <mergeCell ref="BG60:BK60"/>
    <mergeCell ref="BG61:BK61"/>
    <mergeCell ref="BG62:BK62"/>
    <mergeCell ref="BG63:BK63"/>
    <mergeCell ref="BG64:BK64"/>
    <mergeCell ref="BG65:BK65"/>
    <mergeCell ref="BF66:BF67"/>
    <mergeCell ref="BG66:BK67"/>
    <mergeCell ref="BG76:BK76"/>
    <mergeCell ref="A77:K77"/>
    <mergeCell ref="BG77:BK77"/>
    <mergeCell ref="BG69:BK69"/>
    <mergeCell ref="BG70:BK70"/>
    <mergeCell ref="BG71:BK71"/>
    <mergeCell ref="BG72:BK72"/>
    <mergeCell ref="BG73:BK73"/>
    <mergeCell ref="BG74:BK74"/>
  </mergeCells>
  <pageMargins left="0.511811024" right="0.511811024" top="0.78740157499999996" bottom="0.78740157499999996" header="0.31496062000000002" footer="0.31496062000000002"/>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98"/>
  <sheetViews>
    <sheetView topLeftCell="I1" workbookViewId="0">
      <selection sqref="A1:XFD11"/>
    </sheetView>
  </sheetViews>
  <sheetFormatPr defaultRowHeight="15" x14ac:dyDescent="0.25"/>
  <cols>
    <col min="1" max="1" width="9.140625" style="239"/>
    <col min="2" max="2" width="14" style="239" customWidth="1"/>
    <col min="3" max="3" width="17.5703125" style="239" customWidth="1"/>
    <col min="4" max="4" width="26.85546875" style="239" bestFit="1" customWidth="1"/>
    <col min="5" max="5" width="14.7109375" style="239" customWidth="1"/>
    <col min="6" max="6" width="53.5703125" style="239" customWidth="1"/>
    <col min="7" max="7" width="11.28515625" style="239" bestFit="1" customWidth="1"/>
    <col min="8" max="8" width="9.140625" style="239"/>
    <col min="9" max="9" width="23.85546875" style="239" customWidth="1"/>
    <col min="10" max="10" width="17.5703125" style="239" bestFit="1" customWidth="1"/>
    <col min="11" max="11" width="11.140625" style="239" customWidth="1"/>
    <col min="12" max="12" width="11.7109375" style="239" bestFit="1" customWidth="1"/>
    <col min="13" max="13" width="12" style="239" customWidth="1"/>
    <col min="14" max="14" width="10.85546875" style="239" customWidth="1"/>
    <col min="15" max="15" width="10.140625" style="239" bestFit="1" customWidth="1"/>
    <col min="16" max="16" width="9.85546875" style="239" bestFit="1" customWidth="1"/>
    <col min="17" max="17" width="10.7109375" style="239" customWidth="1"/>
    <col min="18" max="18" width="11.7109375" style="239" customWidth="1"/>
    <col min="19" max="19" width="15" style="239" customWidth="1"/>
    <col min="20" max="20" width="12" style="239" customWidth="1"/>
    <col min="21" max="21" width="14.5703125" style="239" bestFit="1" customWidth="1"/>
    <col min="22" max="22" width="13.140625" style="239" customWidth="1"/>
    <col min="23" max="23" width="12" style="239" customWidth="1"/>
    <col min="24" max="24" width="27.140625" style="239" customWidth="1"/>
    <col min="25" max="26" width="10.140625" style="239" bestFit="1" customWidth="1"/>
    <col min="27" max="27" width="11.85546875" style="239" customWidth="1"/>
    <col min="28" max="28" width="11.28515625" style="239" customWidth="1"/>
    <col min="29" max="29" width="13.140625" style="239" customWidth="1"/>
    <col min="30" max="30" width="11" style="239" customWidth="1"/>
    <col min="31" max="31" width="19.7109375" style="239" customWidth="1"/>
    <col min="32" max="32" width="11.140625" style="239" customWidth="1"/>
    <col min="33" max="33" width="13.42578125" style="239" customWidth="1"/>
    <col min="34" max="34" width="15.42578125" style="239" bestFit="1" customWidth="1"/>
    <col min="35" max="35" width="9.42578125" style="239" bestFit="1" customWidth="1"/>
    <col min="36" max="36" width="15" style="239" customWidth="1"/>
    <col min="37" max="37" width="13.42578125" style="239" customWidth="1"/>
    <col min="38" max="38" width="15.28515625" style="239" customWidth="1"/>
    <col min="39" max="39" width="15.5703125" style="239" bestFit="1" customWidth="1"/>
    <col min="40" max="40" width="15.85546875" style="239" customWidth="1"/>
    <col min="41" max="41" width="14.5703125" style="239" customWidth="1"/>
    <col min="42" max="42" width="10.7109375" style="239" customWidth="1"/>
    <col min="43" max="43" width="13.5703125" style="239" customWidth="1"/>
    <col min="44" max="44" width="10.140625" style="239" customWidth="1"/>
    <col min="45" max="45" width="11.5703125" style="239" bestFit="1" customWidth="1"/>
    <col min="46" max="46" width="11.28515625" style="239" customWidth="1"/>
    <col min="47" max="48" width="10.140625" style="239" bestFit="1" customWidth="1"/>
    <col min="49" max="49" width="4.42578125" style="239" bestFit="1" customWidth="1"/>
    <col min="50" max="50" width="4.28515625" style="239" bestFit="1" customWidth="1"/>
    <col min="51" max="51" width="12.85546875" style="239" customWidth="1"/>
    <col min="52" max="52" width="10" style="239" customWidth="1"/>
    <col min="53" max="53" width="12" style="239" customWidth="1"/>
    <col min="54"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3" spans="1:56" s="369" customFormat="1" ht="15.75" x14ac:dyDescent="0.25">
      <c r="A13" s="1892" t="s">
        <v>1</v>
      </c>
    </row>
    <row r="14" spans="1:56" s="369" customFormat="1" ht="15.75" x14ac:dyDescent="0.25">
      <c r="A14" s="1892" t="s">
        <v>2</v>
      </c>
    </row>
    <row r="15" spans="1:56" s="369" customFormat="1" ht="15.75" x14ac:dyDescent="0.25">
      <c r="A15" s="1892" t="s">
        <v>3</v>
      </c>
    </row>
    <row r="16" spans="1:56" s="369" customFormat="1" ht="15.75" x14ac:dyDescent="0.25"/>
    <row r="17" spans="1:56" s="369" customFormat="1" ht="15.75" x14ac:dyDescent="0.25">
      <c r="A17" s="1892" t="s">
        <v>7608</v>
      </c>
    </row>
    <row r="18" spans="1:56" s="369" customFormat="1" ht="15.75" x14ac:dyDescent="0.25">
      <c r="A18" s="1892" t="s">
        <v>7567</v>
      </c>
    </row>
    <row r="19" spans="1:56" s="369" customFormat="1" ht="15.75" x14ac:dyDescent="0.25">
      <c r="A19" s="1892" t="s">
        <v>7573</v>
      </c>
    </row>
    <row r="21" spans="1:56" ht="15.75" thickBot="1" x14ac:dyDescent="0.3"/>
    <row r="22" spans="1:56" s="528" customFormat="1" ht="15.75" thickBot="1" x14ac:dyDescent="0.3">
      <c r="A22" s="2437" t="s">
        <v>5</v>
      </c>
      <c r="B22" s="2068" t="s">
        <v>6</v>
      </c>
      <c r="C22" s="2049"/>
      <c r="D22" s="2049"/>
      <c r="E22" s="2049"/>
      <c r="F22" s="2049"/>
      <c r="G22" s="2051"/>
      <c r="H22" s="2065" t="s">
        <v>7</v>
      </c>
      <c r="I22" s="2063"/>
      <c r="J22" s="2063"/>
      <c r="K22" s="2063"/>
      <c r="L22" s="2063"/>
      <c r="M22" s="2063"/>
      <c r="N22" s="2063"/>
      <c r="O22" s="2063"/>
      <c r="P22" s="2063"/>
      <c r="Q22" s="2063"/>
      <c r="R22" s="2063"/>
      <c r="S22" s="2063"/>
      <c r="T22" s="2063"/>
      <c r="U22" s="2063"/>
      <c r="V22" s="2063"/>
      <c r="W22" s="2063"/>
      <c r="X22" s="2063"/>
      <c r="Y22" s="2063"/>
      <c r="Z22" s="2063"/>
      <c r="AA22" s="2063"/>
      <c r="AB22" s="2063"/>
      <c r="AC22" s="2063"/>
      <c r="AD22" s="2063"/>
      <c r="AE22" s="2063"/>
      <c r="AF22" s="2063"/>
      <c r="AG22" s="2063"/>
      <c r="AH22" s="2064"/>
      <c r="AI22" s="2056" t="s">
        <v>8</v>
      </c>
      <c r="AJ22" s="2049"/>
      <c r="AK22" s="2049"/>
      <c r="AL22" s="2051"/>
      <c r="AM22" s="2056" t="s">
        <v>9</v>
      </c>
      <c r="AN22" s="2049"/>
      <c r="AO22" s="2049"/>
      <c r="AP22" s="2049"/>
      <c r="AQ22" s="2049"/>
      <c r="AR22" s="2051"/>
      <c r="AS22" s="2056" t="s">
        <v>10</v>
      </c>
      <c r="AT22" s="2049"/>
      <c r="AU22" s="2049"/>
      <c r="AV22" s="2049"/>
      <c r="AW22" s="2049"/>
      <c r="AX22" s="2049"/>
      <c r="AY22" s="2049"/>
      <c r="AZ22" s="2049"/>
      <c r="BA22" s="2049"/>
      <c r="BB22" s="2049"/>
      <c r="BC22" s="2049"/>
      <c r="BD22" s="2051"/>
    </row>
    <row r="23" spans="1:56" s="528" customFormat="1" ht="15.75" thickBot="1" x14ac:dyDescent="0.3">
      <c r="A23" s="2438"/>
      <c r="B23" s="2653"/>
      <c r="C23" s="2643"/>
      <c r="D23" s="2643"/>
      <c r="E23" s="2643"/>
      <c r="F23" s="2643"/>
      <c r="G23" s="2644"/>
      <c r="H23" s="2646" t="s">
        <v>11</v>
      </c>
      <c r="I23" s="2445"/>
      <c r="J23" s="2445"/>
      <c r="K23" s="2445"/>
      <c r="L23" s="2445"/>
      <c r="M23" s="2445"/>
      <c r="N23" s="2445"/>
      <c r="O23" s="2445"/>
      <c r="P23" s="2445"/>
      <c r="Q23" s="2445"/>
      <c r="R23" s="2445"/>
      <c r="S23" s="2445"/>
      <c r="T23" s="2446"/>
      <c r="U23" s="2444" t="s">
        <v>12</v>
      </c>
      <c r="V23" s="2445"/>
      <c r="W23" s="2445"/>
      <c r="X23" s="2445"/>
      <c r="Y23" s="2445"/>
      <c r="Z23" s="2445"/>
      <c r="AA23" s="2445"/>
      <c r="AB23" s="2445"/>
      <c r="AC23" s="2445"/>
      <c r="AD23" s="2446"/>
      <c r="AE23" s="2444" t="s">
        <v>13</v>
      </c>
      <c r="AF23" s="2445"/>
      <c r="AG23" s="2445"/>
      <c r="AH23" s="2446"/>
      <c r="AI23" s="2647" t="s">
        <v>14</v>
      </c>
      <c r="AJ23" s="2649" t="s">
        <v>15</v>
      </c>
      <c r="AK23" s="2050" t="s">
        <v>16</v>
      </c>
      <c r="AL23" s="2651" t="s">
        <v>581</v>
      </c>
      <c r="AM23" s="2057" t="s">
        <v>18</v>
      </c>
      <c r="AN23" s="2050" t="s">
        <v>19</v>
      </c>
      <c r="AO23" s="2050" t="s">
        <v>20</v>
      </c>
      <c r="AP23" s="2050" t="s">
        <v>21</v>
      </c>
      <c r="AQ23" s="2050" t="s">
        <v>22</v>
      </c>
      <c r="AR23" s="2052" t="s">
        <v>21</v>
      </c>
      <c r="AS23" s="2057" t="s">
        <v>23</v>
      </c>
      <c r="AT23" s="2050" t="s">
        <v>24</v>
      </c>
      <c r="AU23" s="2435" t="s">
        <v>25</v>
      </c>
      <c r="AV23" s="2435"/>
      <c r="AW23" s="2435"/>
      <c r="AX23" s="2435" t="s">
        <v>26</v>
      </c>
      <c r="AY23" s="2435"/>
      <c r="AZ23" s="2050" t="s">
        <v>27</v>
      </c>
      <c r="BA23" s="2050" t="s">
        <v>28</v>
      </c>
      <c r="BB23" s="2435" t="s">
        <v>29</v>
      </c>
      <c r="BC23" s="2435"/>
      <c r="BD23" s="2440"/>
    </row>
    <row r="24" spans="1:56" s="422" customFormat="1" ht="39" thickBot="1" x14ac:dyDescent="0.3">
      <c r="A24" s="2438"/>
      <c r="B24" s="1897" t="s">
        <v>30</v>
      </c>
      <c r="C24" s="1241" t="s">
        <v>31</v>
      </c>
      <c r="D24" s="1241" t="s">
        <v>32</v>
      </c>
      <c r="E24" s="1241" t="s">
        <v>23</v>
      </c>
      <c r="F24" s="1241" t="s">
        <v>33</v>
      </c>
      <c r="G24" s="1872" t="s">
        <v>34</v>
      </c>
      <c r="H24" s="1873" t="s">
        <v>35</v>
      </c>
      <c r="I24" s="1241" t="s">
        <v>36</v>
      </c>
      <c r="J24" s="1241" t="s">
        <v>37</v>
      </c>
      <c r="K24" s="1241" t="s">
        <v>38</v>
      </c>
      <c r="L24" s="1241" t="s">
        <v>39</v>
      </c>
      <c r="M24" s="1241" t="s">
        <v>40</v>
      </c>
      <c r="N24" s="1241" t="s">
        <v>41</v>
      </c>
      <c r="O24" s="1241" t="s">
        <v>42</v>
      </c>
      <c r="P24" s="1241" t="s">
        <v>43</v>
      </c>
      <c r="Q24" s="1241" t="s">
        <v>44</v>
      </c>
      <c r="R24" s="1241" t="s">
        <v>45</v>
      </c>
      <c r="S24" s="1241" t="s">
        <v>46</v>
      </c>
      <c r="T24" s="1872" t="s">
        <v>47</v>
      </c>
      <c r="U24" s="1240" t="s">
        <v>48</v>
      </c>
      <c r="V24" s="1241" t="s">
        <v>38</v>
      </c>
      <c r="W24" s="1241" t="s">
        <v>40</v>
      </c>
      <c r="X24" s="1241" t="s">
        <v>49</v>
      </c>
      <c r="Y24" s="1241" t="s">
        <v>41</v>
      </c>
      <c r="Z24" s="1241" t="s">
        <v>42</v>
      </c>
      <c r="AA24" s="1241" t="s">
        <v>50</v>
      </c>
      <c r="AB24" s="1241" t="s">
        <v>51</v>
      </c>
      <c r="AC24" s="1874" t="s">
        <v>52</v>
      </c>
      <c r="AD24" s="1872" t="s">
        <v>53</v>
      </c>
      <c r="AE24" s="1240" t="s">
        <v>54</v>
      </c>
      <c r="AF24" s="1241" t="s">
        <v>55</v>
      </c>
      <c r="AG24" s="1241" t="s">
        <v>56</v>
      </c>
      <c r="AH24" s="1872" t="s">
        <v>57</v>
      </c>
      <c r="AI24" s="2648"/>
      <c r="AJ24" s="2650"/>
      <c r="AK24" s="2643"/>
      <c r="AL24" s="2652"/>
      <c r="AM24" s="2645"/>
      <c r="AN24" s="2643"/>
      <c r="AO24" s="2643"/>
      <c r="AP24" s="2643"/>
      <c r="AQ24" s="2643"/>
      <c r="AR24" s="2644"/>
      <c r="AS24" s="2645"/>
      <c r="AT24" s="2643"/>
      <c r="AU24" s="18" t="s">
        <v>58</v>
      </c>
      <c r="AV24" s="18" t="s">
        <v>59</v>
      </c>
      <c r="AW24" s="18" t="s">
        <v>60</v>
      </c>
      <c r="AX24" s="18" t="s">
        <v>61</v>
      </c>
      <c r="AY24" s="11" t="s">
        <v>62</v>
      </c>
      <c r="AZ24" s="2643"/>
      <c r="BA24" s="2643"/>
      <c r="BB24" s="18" t="s">
        <v>58</v>
      </c>
      <c r="BC24" s="18" t="s">
        <v>63</v>
      </c>
      <c r="BD24" s="19" t="s">
        <v>64</v>
      </c>
    </row>
    <row r="25" spans="1:56" s="422" customFormat="1" ht="26.25" thickBot="1" x14ac:dyDescent="0.3">
      <c r="A25" s="2439"/>
      <c r="B25" s="1898" t="s">
        <v>65</v>
      </c>
      <c r="C25" s="1640" t="s">
        <v>66</v>
      </c>
      <c r="D25" s="1883" t="s">
        <v>67</v>
      </c>
      <c r="E25" s="1640" t="s">
        <v>68</v>
      </c>
      <c r="F25" s="1640" t="s">
        <v>69</v>
      </c>
      <c r="G25" s="1641" t="s">
        <v>70</v>
      </c>
      <c r="H25" s="1884" t="s">
        <v>71</v>
      </c>
      <c r="I25" s="1640" t="s">
        <v>72</v>
      </c>
      <c r="J25" s="1640" t="s">
        <v>73</v>
      </c>
      <c r="K25" s="1640" t="s">
        <v>74</v>
      </c>
      <c r="L25" s="1885" t="s">
        <v>75</v>
      </c>
      <c r="M25" s="1640" t="s">
        <v>76</v>
      </c>
      <c r="N25" s="1640" t="s">
        <v>77</v>
      </c>
      <c r="O25" s="1640" t="s">
        <v>78</v>
      </c>
      <c r="P25" s="1640" t="s">
        <v>79</v>
      </c>
      <c r="Q25" s="1640" t="s">
        <v>80</v>
      </c>
      <c r="R25" s="1640" t="s">
        <v>81</v>
      </c>
      <c r="S25" s="1640" t="s">
        <v>82</v>
      </c>
      <c r="T25" s="1641" t="s">
        <v>83</v>
      </c>
      <c r="U25" s="1639" t="s">
        <v>84</v>
      </c>
      <c r="V25" s="1640" t="s">
        <v>85</v>
      </c>
      <c r="W25" s="1640" t="s">
        <v>86</v>
      </c>
      <c r="X25" s="1640" t="s">
        <v>87</v>
      </c>
      <c r="Y25" s="1640" t="s">
        <v>88</v>
      </c>
      <c r="Z25" s="1640" t="s">
        <v>89</v>
      </c>
      <c r="AA25" s="1640" t="s">
        <v>90</v>
      </c>
      <c r="AB25" s="1640" t="s">
        <v>91</v>
      </c>
      <c r="AC25" s="1885" t="s">
        <v>92</v>
      </c>
      <c r="AD25" s="1641" t="s">
        <v>93</v>
      </c>
      <c r="AE25" s="1639" t="s">
        <v>94</v>
      </c>
      <c r="AF25" s="1640" t="s">
        <v>95</v>
      </c>
      <c r="AG25" s="1640" t="s">
        <v>96</v>
      </c>
      <c r="AH25" s="1641" t="s">
        <v>97</v>
      </c>
      <c r="AI25" s="1886" t="s">
        <v>98</v>
      </c>
      <c r="AJ25" s="1887" t="s">
        <v>99</v>
      </c>
      <c r="AK25" s="1640" t="s">
        <v>100</v>
      </c>
      <c r="AL25" s="1888" t="s">
        <v>101</v>
      </c>
      <c r="AM25" s="1889" t="s">
        <v>102</v>
      </c>
      <c r="AN25" s="1890" t="s">
        <v>103</v>
      </c>
      <c r="AO25" s="1890" t="s">
        <v>104</v>
      </c>
      <c r="AP25" s="1890" t="s">
        <v>105</v>
      </c>
      <c r="AQ25" s="1890" t="s">
        <v>106</v>
      </c>
      <c r="AR25" s="1891" t="s">
        <v>107</v>
      </c>
      <c r="AS25" s="1889" t="s">
        <v>108</v>
      </c>
      <c r="AT25" s="1890" t="s">
        <v>109</v>
      </c>
      <c r="AU25" s="1890" t="s">
        <v>110</v>
      </c>
      <c r="AV25" s="1890" t="s">
        <v>111</v>
      </c>
      <c r="AW25" s="1890" t="s">
        <v>112</v>
      </c>
      <c r="AX25" s="1890" t="s">
        <v>113</v>
      </c>
      <c r="AY25" s="1890" t="s">
        <v>114</v>
      </c>
      <c r="AZ25" s="1890" t="s">
        <v>115</v>
      </c>
      <c r="BA25" s="1890" t="s">
        <v>116</v>
      </c>
      <c r="BB25" s="1890" t="s">
        <v>117</v>
      </c>
      <c r="BC25" s="1890" t="s">
        <v>118</v>
      </c>
      <c r="BD25" s="1891" t="s">
        <v>119</v>
      </c>
    </row>
    <row r="26" spans="1:56" s="422" customFormat="1" ht="25.5" x14ac:dyDescent="0.25">
      <c r="A26" s="1878">
        <v>1</v>
      </c>
      <c r="B26" s="1299" t="s">
        <v>675</v>
      </c>
      <c r="C26" s="1297" t="s">
        <v>6729</v>
      </c>
      <c r="D26" s="1251" t="s">
        <v>6730</v>
      </c>
      <c r="E26" s="1251" t="s">
        <v>5811</v>
      </c>
      <c r="F26" s="1297" t="s">
        <v>6731</v>
      </c>
      <c r="G26" s="1254" t="s">
        <v>6732</v>
      </c>
      <c r="H26" s="1254" t="s">
        <v>1748</v>
      </c>
      <c r="I26" s="1282" t="s">
        <v>6733</v>
      </c>
      <c r="J26" s="1251" t="s">
        <v>6734</v>
      </c>
      <c r="K26" s="1259">
        <v>41396</v>
      </c>
      <c r="L26" s="212">
        <v>9180</v>
      </c>
      <c r="M26" s="1257">
        <v>11043</v>
      </c>
      <c r="N26" s="1259">
        <v>41396</v>
      </c>
      <c r="O26" s="1259">
        <v>41760</v>
      </c>
      <c r="P26" s="1251" t="s">
        <v>6735</v>
      </c>
      <c r="Q26" s="1251" t="s">
        <v>677</v>
      </c>
      <c r="R26" s="1251" t="s">
        <v>677</v>
      </c>
      <c r="S26" s="1251" t="s">
        <v>677</v>
      </c>
      <c r="T26" s="1251" t="s">
        <v>158</v>
      </c>
      <c r="U26" s="1254" t="s">
        <v>267</v>
      </c>
      <c r="V26" s="1259">
        <v>41758</v>
      </c>
      <c r="W26" s="1257">
        <v>11315</v>
      </c>
      <c r="X26" s="1257" t="s">
        <v>6736</v>
      </c>
      <c r="Y26" s="1259">
        <v>41760</v>
      </c>
      <c r="Z26" s="1259">
        <v>42004</v>
      </c>
      <c r="AA26" s="1261" t="s">
        <v>677</v>
      </c>
      <c r="AB26" s="1261" t="s">
        <v>677</v>
      </c>
      <c r="AC26" s="1321">
        <v>0</v>
      </c>
      <c r="AD26" s="1321">
        <v>0</v>
      </c>
      <c r="AE26" s="1321">
        <v>0</v>
      </c>
      <c r="AF26" s="212">
        <v>9180</v>
      </c>
      <c r="AG26" s="212">
        <v>6120</v>
      </c>
      <c r="AH26" s="212">
        <f t="shared" ref="AH26" si="0">AF26+AG26</f>
        <v>15300</v>
      </c>
      <c r="AI26" s="1257" t="s">
        <v>677</v>
      </c>
      <c r="AJ26" s="1257" t="s">
        <v>677</v>
      </c>
      <c r="AK26" s="1257" t="s">
        <v>677</v>
      </c>
      <c r="AL26" s="1257" t="s">
        <v>677</v>
      </c>
      <c r="AM26" s="1272" t="s">
        <v>677</v>
      </c>
      <c r="AN26" s="1272" t="s">
        <v>677</v>
      </c>
      <c r="AO26" s="1272" t="s">
        <v>677</v>
      </c>
      <c r="AP26" s="1272" t="s">
        <v>677</v>
      </c>
      <c r="AQ26" s="1272" t="s">
        <v>677</v>
      </c>
      <c r="AR26" s="1272" t="s">
        <v>677</v>
      </c>
      <c r="AS26" s="1257" t="s">
        <v>677</v>
      </c>
      <c r="AT26" s="1257" t="s">
        <v>677</v>
      </c>
      <c r="AU26" s="1257" t="s">
        <v>677</v>
      </c>
      <c r="AV26" s="1257" t="s">
        <v>677</v>
      </c>
      <c r="AW26" s="1257" t="s">
        <v>677</v>
      </c>
      <c r="AX26" s="1257" t="s">
        <v>677</v>
      </c>
      <c r="AY26" s="1257" t="s">
        <v>677</v>
      </c>
      <c r="AZ26" s="1257" t="s">
        <v>677</v>
      </c>
      <c r="BA26" s="1257" t="s">
        <v>677</v>
      </c>
      <c r="BB26" s="1257" t="s">
        <v>677</v>
      </c>
      <c r="BC26" s="1257" t="s">
        <v>677</v>
      </c>
      <c r="BD26" s="1257" t="s">
        <v>677</v>
      </c>
    </row>
    <row r="27" spans="1:56" s="422" customFormat="1" ht="25.5" x14ac:dyDescent="0.25">
      <c r="A27" s="1879">
        <v>2</v>
      </c>
      <c r="B27" s="1276" t="s">
        <v>683</v>
      </c>
      <c r="C27" s="1291" t="s">
        <v>6729</v>
      </c>
      <c r="D27" s="1239" t="s">
        <v>6730</v>
      </c>
      <c r="E27" s="1239" t="s">
        <v>5811</v>
      </c>
      <c r="F27" s="1291" t="s">
        <v>6737</v>
      </c>
      <c r="G27" s="1246" t="s">
        <v>6732</v>
      </c>
      <c r="H27" s="1246" t="s">
        <v>3624</v>
      </c>
      <c r="I27" s="1273" t="s">
        <v>6738</v>
      </c>
      <c r="J27" s="1239" t="s">
        <v>6739</v>
      </c>
      <c r="K27" s="1244">
        <v>41396</v>
      </c>
      <c r="L27" s="187">
        <v>9000</v>
      </c>
      <c r="M27" s="1243">
        <v>11043</v>
      </c>
      <c r="N27" s="1244">
        <v>41396</v>
      </c>
      <c r="O27" s="1244">
        <v>41760</v>
      </c>
      <c r="P27" s="1239" t="s">
        <v>6735</v>
      </c>
      <c r="Q27" s="1239" t="s">
        <v>677</v>
      </c>
      <c r="R27" s="1239" t="s">
        <v>677</v>
      </c>
      <c r="S27" s="1239" t="s">
        <v>677</v>
      </c>
      <c r="T27" s="1239" t="s">
        <v>158</v>
      </c>
      <c r="U27" s="1246" t="s">
        <v>267</v>
      </c>
      <c r="V27" s="1244">
        <v>41758</v>
      </c>
      <c r="W27" s="1243">
        <v>11315</v>
      </c>
      <c r="X27" s="1243" t="s">
        <v>6740</v>
      </c>
      <c r="Y27" s="1244">
        <v>41760</v>
      </c>
      <c r="Z27" s="1244">
        <v>42004</v>
      </c>
      <c r="AA27" s="1243" t="s">
        <v>677</v>
      </c>
      <c r="AB27" s="1243" t="s">
        <v>677</v>
      </c>
      <c r="AC27" s="1319">
        <v>0</v>
      </c>
      <c r="AD27" s="1319">
        <v>0</v>
      </c>
      <c r="AE27" s="1319">
        <v>0</v>
      </c>
      <c r="AF27" s="187">
        <v>9000</v>
      </c>
      <c r="AG27" s="187">
        <v>6120</v>
      </c>
      <c r="AH27" s="187">
        <f>AF27+AG27</f>
        <v>15120</v>
      </c>
      <c r="AI27" s="1243" t="s">
        <v>677</v>
      </c>
      <c r="AJ27" s="1243" t="s">
        <v>677</v>
      </c>
      <c r="AK27" s="1243" t="s">
        <v>677</v>
      </c>
      <c r="AL27" s="1243" t="s">
        <v>677</v>
      </c>
      <c r="AM27" s="1248" t="s">
        <v>677</v>
      </c>
      <c r="AN27" s="1248" t="s">
        <v>677</v>
      </c>
      <c r="AO27" s="1248" t="s">
        <v>677</v>
      </c>
      <c r="AP27" s="1248" t="s">
        <v>677</v>
      </c>
      <c r="AQ27" s="1248" t="s">
        <v>677</v>
      </c>
      <c r="AR27" s="1248" t="s">
        <v>677</v>
      </c>
      <c r="AS27" s="1243" t="s">
        <v>677</v>
      </c>
      <c r="AT27" s="1243" t="s">
        <v>677</v>
      </c>
      <c r="AU27" s="1243" t="s">
        <v>677</v>
      </c>
      <c r="AV27" s="1243" t="s">
        <v>677</v>
      </c>
      <c r="AW27" s="1243" t="s">
        <v>677</v>
      </c>
      <c r="AX27" s="1243" t="s">
        <v>677</v>
      </c>
      <c r="AY27" s="1243" t="s">
        <v>677</v>
      </c>
      <c r="AZ27" s="1243" t="s">
        <v>677</v>
      </c>
      <c r="BA27" s="1243" t="s">
        <v>677</v>
      </c>
      <c r="BB27" s="1243" t="s">
        <v>677</v>
      </c>
      <c r="BC27" s="1243" t="s">
        <v>677</v>
      </c>
      <c r="BD27" s="1243" t="s">
        <v>677</v>
      </c>
    </row>
    <row r="28" spans="1:56" s="422" customFormat="1" ht="25.5" x14ac:dyDescent="0.25">
      <c r="A28" s="2639">
        <v>3</v>
      </c>
      <c r="B28" s="2080" t="s">
        <v>6741</v>
      </c>
      <c r="C28" s="1967" t="s">
        <v>6742</v>
      </c>
      <c r="D28" s="1967" t="s">
        <v>152</v>
      </c>
      <c r="E28" s="1967" t="s">
        <v>5811</v>
      </c>
      <c r="F28" s="2171" t="s">
        <v>6743</v>
      </c>
      <c r="G28" s="1972" t="s">
        <v>6744</v>
      </c>
      <c r="H28" s="1978" t="s">
        <v>5287</v>
      </c>
      <c r="I28" s="2050" t="s">
        <v>6745</v>
      </c>
      <c r="J28" s="1967" t="s">
        <v>6746</v>
      </c>
      <c r="K28" s="1973">
        <v>40238</v>
      </c>
      <c r="L28" s="2638">
        <v>22200</v>
      </c>
      <c r="M28" s="1972">
        <v>10261</v>
      </c>
      <c r="N28" s="2642">
        <v>40238</v>
      </c>
      <c r="O28" s="2642">
        <v>40543</v>
      </c>
      <c r="P28" s="1967" t="s">
        <v>6735</v>
      </c>
      <c r="Q28" s="1967" t="s">
        <v>677</v>
      </c>
      <c r="R28" s="1967" t="s">
        <v>677</v>
      </c>
      <c r="S28" s="1967" t="s">
        <v>677</v>
      </c>
      <c r="T28" s="1967" t="s">
        <v>158</v>
      </c>
      <c r="U28" s="1246" t="s">
        <v>267</v>
      </c>
      <c r="V28" s="1244">
        <v>40527</v>
      </c>
      <c r="W28" s="1243">
        <v>10444</v>
      </c>
      <c r="X28" s="1239" t="s">
        <v>6747</v>
      </c>
      <c r="Y28" s="1893">
        <v>40544</v>
      </c>
      <c r="Z28" s="1893">
        <v>40908</v>
      </c>
      <c r="AA28" s="1242" t="s">
        <v>677</v>
      </c>
      <c r="AB28" s="62">
        <v>0.2</v>
      </c>
      <c r="AC28" s="1319">
        <v>4440</v>
      </c>
      <c r="AD28" s="1319">
        <v>0</v>
      </c>
      <c r="AE28" s="187">
        <f>(L28)-(AD28)+(AC28)</f>
        <v>26640</v>
      </c>
      <c r="AF28" s="1319"/>
      <c r="AG28" s="1319"/>
      <c r="AH28" s="1319">
        <f t="shared" ref="AH28:AH43" si="1">AF28+AG28</f>
        <v>0</v>
      </c>
      <c r="AI28" s="1243" t="s">
        <v>677</v>
      </c>
      <c r="AJ28" s="1243" t="s">
        <v>677</v>
      </c>
      <c r="AK28" s="1243" t="s">
        <v>677</v>
      </c>
      <c r="AL28" s="1243" t="s">
        <v>677</v>
      </c>
      <c r="AM28" s="1248" t="s">
        <v>677</v>
      </c>
      <c r="AN28" s="1248" t="s">
        <v>677</v>
      </c>
      <c r="AO28" s="1248" t="s">
        <v>677</v>
      </c>
      <c r="AP28" s="1248" t="s">
        <v>677</v>
      </c>
      <c r="AQ28" s="1248" t="s">
        <v>677</v>
      </c>
      <c r="AR28" s="1248" t="s">
        <v>677</v>
      </c>
      <c r="AS28" s="1243" t="s">
        <v>677</v>
      </c>
      <c r="AT28" s="1243" t="s">
        <v>677</v>
      </c>
      <c r="AU28" s="1243" t="s">
        <v>677</v>
      </c>
      <c r="AV28" s="1243" t="s">
        <v>677</v>
      </c>
      <c r="AW28" s="1243" t="s">
        <v>677</v>
      </c>
      <c r="AX28" s="1243" t="s">
        <v>677</v>
      </c>
      <c r="AY28" s="1243" t="s">
        <v>677</v>
      </c>
      <c r="AZ28" s="1243" t="s">
        <v>677</v>
      </c>
      <c r="BA28" s="1243" t="s">
        <v>677</v>
      </c>
      <c r="BB28" s="1243" t="s">
        <v>677</v>
      </c>
      <c r="BC28" s="1243" t="s">
        <v>677</v>
      </c>
      <c r="BD28" s="1243" t="s">
        <v>677</v>
      </c>
    </row>
    <row r="29" spans="1:56" s="422" customFormat="1" x14ac:dyDescent="0.25">
      <c r="A29" s="2639"/>
      <c r="B29" s="2080"/>
      <c r="C29" s="1967"/>
      <c r="D29" s="1967"/>
      <c r="E29" s="1967"/>
      <c r="F29" s="2171"/>
      <c r="G29" s="1972"/>
      <c r="H29" s="1978"/>
      <c r="I29" s="2050"/>
      <c r="J29" s="1967"/>
      <c r="K29" s="1973">
        <v>40238</v>
      </c>
      <c r="L29" s="2638"/>
      <c r="M29" s="1972"/>
      <c r="N29" s="2642">
        <v>40238</v>
      </c>
      <c r="O29" s="2642">
        <v>40543</v>
      </c>
      <c r="P29" s="1967"/>
      <c r="Q29" s="1967"/>
      <c r="R29" s="1967"/>
      <c r="S29" s="1967"/>
      <c r="T29" s="1967"/>
      <c r="U29" s="1246" t="s">
        <v>6748</v>
      </c>
      <c r="V29" s="1244">
        <v>40889</v>
      </c>
      <c r="W29" s="1243">
        <v>10695</v>
      </c>
      <c r="X29" s="1239" t="s">
        <v>6749</v>
      </c>
      <c r="Y29" s="1244">
        <v>40909</v>
      </c>
      <c r="Z29" s="1244">
        <v>41274</v>
      </c>
      <c r="AA29" s="1242" t="s">
        <v>677</v>
      </c>
      <c r="AB29" s="1239" t="s">
        <v>677</v>
      </c>
      <c r="AC29" s="1319">
        <v>0</v>
      </c>
      <c r="AD29" s="1319">
        <v>0</v>
      </c>
      <c r="AE29" s="1319">
        <v>0</v>
      </c>
      <c r="AF29" s="1319"/>
      <c r="AG29" s="1319"/>
      <c r="AH29" s="1319">
        <f t="shared" si="1"/>
        <v>0</v>
      </c>
      <c r="AI29" s="1243" t="s">
        <v>677</v>
      </c>
      <c r="AJ29" s="1243" t="s">
        <v>677</v>
      </c>
      <c r="AK29" s="1243" t="s">
        <v>677</v>
      </c>
      <c r="AL29" s="1243" t="s">
        <v>677</v>
      </c>
      <c r="AM29" s="1248" t="s">
        <v>677</v>
      </c>
      <c r="AN29" s="1248" t="s">
        <v>677</v>
      </c>
      <c r="AO29" s="1248" t="s">
        <v>677</v>
      </c>
      <c r="AP29" s="1248" t="s">
        <v>677</v>
      </c>
      <c r="AQ29" s="1248" t="s">
        <v>677</v>
      </c>
      <c r="AR29" s="1248" t="s">
        <v>677</v>
      </c>
      <c r="AS29" s="1243" t="s">
        <v>677</v>
      </c>
      <c r="AT29" s="1243" t="s">
        <v>677</v>
      </c>
      <c r="AU29" s="1243" t="s">
        <v>677</v>
      </c>
      <c r="AV29" s="1243" t="s">
        <v>677</v>
      </c>
      <c r="AW29" s="1243" t="s">
        <v>677</v>
      </c>
      <c r="AX29" s="1243" t="s">
        <v>677</v>
      </c>
      <c r="AY29" s="1243" t="s">
        <v>677</v>
      </c>
      <c r="AZ29" s="1243" t="s">
        <v>677</v>
      </c>
      <c r="BA29" s="1243" t="s">
        <v>677</v>
      </c>
      <c r="BB29" s="1243" t="s">
        <v>677</v>
      </c>
      <c r="BC29" s="1243" t="s">
        <v>677</v>
      </c>
      <c r="BD29" s="1243" t="s">
        <v>677</v>
      </c>
    </row>
    <row r="30" spans="1:56" s="422" customFormat="1" x14ac:dyDescent="0.25">
      <c r="A30" s="2639"/>
      <c r="B30" s="2080"/>
      <c r="C30" s="1967"/>
      <c r="D30" s="1967"/>
      <c r="E30" s="1967"/>
      <c r="F30" s="2171"/>
      <c r="G30" s="1972"/>
      <c r="H30" s="1978"/>
      <c r="I30" s="2050"/>
      <c r="J30" s="1967"/>
      <c r="K30" s="1973">
        <v>40238</v>
      </c>
      <c r="L30" s="2638"/>
      <c r="M30" s="1972"/>
      <c r="N30" s="2642">
        <v>40238</v>
      </c>
      <c r="O30" s="2642">
        <v>40543</v>
      </c>
      <c r="P30" s="1967"/>
      <c r="Q30" s="1967"/>
      <c r="R30" s="1967"/>
      <c r="S30" s="1967"/>
      <c r="T30" s="1967"/>
      <c r="U30" s="1246" t="s">
        <v>6750</v>
      </c>
      <c r="V30" s="1244">
        <v>41263</v>
      </c>
      <c r="W30" s="1243">
        <v>10953</v>
      </c>
      <c r="X30" s="1239" t="s">
        <v>6751</v>
      </c>
      <c r="Y30" s="1244">
        <v>41275</v>
      </c>
      <c r="Z30" s="1244">
        <v>41639</v>
      </c>
      <c r="AA30" s="1242" t="s">
        <v>677</v>
      </c>
      <c r="AB30" s="1239" t="s">
        <v>677</v>
      </c>
      <c r="AC30" s="1319">
        <v>0</v>
      </c>
      <c r="AD30" s="1319">
        <v>0</v>
      </c>
      <c r="AE30" s="1319">
        <v>0</v>
      </c>
      <c r="AF30" s="1319"/>
      <c r="AG30" s="1319"/>
      <c r="AH30" s="1319">
        <f t="shared" si="1"/>
        <v>0</v>
      </c>
      <c r="AI30" s="1243" t="s">
        <v>677</v>
      </c>
      <c r="AJ30" s="1243" t="s">
        <v>677</v>
      </c>
      <c r="AK30" s="1243" t="s">
        <v>677</v>
      </c>
      <c r="AL30" s="1243" t="s">
        <v>677</v>
      </c>
      <c r="AM30" s="1248" t="s">
        <v>677</v>
      </c>
      <c r="AN30" s="1248" t="s">
        <v>677</v>
      </c>
      <c r="AO30" s="1248" t="s">
        <v>677</v>
      </c>
      <c r="AP30" s="1248" t="s">
        <v>677</v>
      </c>
      <c r="AQ30" s="1248" t="s">
        <v>677</v>
      </c>
      <c r="AR30" s="1248" t="s">
        <v>677</v>
      </c>
      <c r="AS30" s="1243" t="s">
        <v>677</v>
      </c>
      <c r="AT30" s="1243" t="s">
        <v>677</v>
      </c>
      <c r="AU30" s="1243" t="s">
        <v>677</v>
      </c>
      <c r="AV30" s="1243" t="s">
        <v>677</v>
      </c>
      <c r="AW30" s="1243" t="s">
        <v>677</v>
      </c>
      <c r="AX30" s="1243" t="s">
        <v>677</v>
      </c>
      <c r="AY30" s="1243" t="s">
        <v>677</v>
      </c>
      <c r="AZ30" s="1243" t="s">
        <v>677</v>
      </c>
      <c r="BA30" s="1243" t="s">
        <v>677</v>
      </c>
      <c r="BB30" s="1243" t="s">
        <v>677</v>
      </c>
      <c r="BC30" s="1243" t="s">
        <v>677</v>
      </c>
      <c r="BD30" s="1243" t="s">
        <v>677</v>
      </c>
    </row>
    <row r="31" spans="1:56" s="422" customFormat="1" ht="38.25" x14ac:dyDescent="0.25">
      <c r="A31" s="2639"/>
      <c r="B31" s="2080"/>
      <c r="C31" s="1967"/>
      <c r="D31" s="1967"/>
      <c r="E31" s="1967"/>
      <c r="F31" s="2171"/>
      <c r="G31" s="1972"/>
      <c r="H31" s="1978"/>
      <c r="I31" s="2050"/>
      <c r="J31" s="1967"/>
      <c r="K31" s="1973">
        <v>40238</v>
      </c>
      <c r="L31" s="2638"/>
      <c r="M31" s="1972"/>
      <c r="N31" s="2642">
        <v>40238</v>
      </c>
      <c r="O31" s="2642">
        <v>40543</v>
      </c>
      <c r="P31" s="1967"/>
      <c r="Q31" s="1967"/>
      <c r="R31" s="1967"/>
      <c r="S31" s="1967"/>
      <c r="T31" s="1967"/>
      <c r="U31" s="1246" t="s">
        <v>6752</v>
      </c>
      <c r="V31" s="1244">
        <v>41443</v>
      </c>
      <c r="W31" s="1243">
        <v>11863</v>
      </c>
      <c r="X31" s="1239" t="s">
        <v>6753</v>
      </c>
      <c r="Y31" s="1244">
        <v>41426</v>
      </c>
      <c r="Z31" s="1244">
        <v>41639</v>
      </c>
      <c r="AA31" s="1242">
        <v>0.24</v>
      </c>
      <c r="AB31" s="1239" t="s">
        <v>677</v>
      </c>
      <c r="AC31" s="1319">
        <v>6571.2</v>
      </c>
      <c r="AD31" s="1319">
        <v>0</v>
      </c>
      <c r="AE31" s="187">
        <f>AE28+AC31</f>
        <v>33211.199999999997</v>
      </c>
      <c r="AF31" s="1319"/>
      <c r="AG31" s="1319"/>
      <c r="AH31" s="1319">
        <f t="shared" si="1"/>
        <v>0</v>
      </c>
      <c r="AI31" s="1243" t="s">
        <v>677</v>
      </c>
      <c r="AJ31" s="1243" t="s">
        <v>677</v>
      </c>
      <c r="AK31" s="1243" t="s">
        <v>677</v>
      </c>
      <c r="AL31" s="1243" t="s">
        <v>677</v>
      </c>
      <c r="AM31" s="1248" t="s">
        <v>677</v>
      </c>
      <c r="AN31" s="1248" t="s">
        <v>677</v>
      </c>
      <c r="AO31" s="1248" t="s">
        <v>677</v>
      </c>
      <c r="AP31" s="1248" t="s">
        <v>677</v>
      </c>
      <c r="AQ31" s="1248" t="s">
        <v>677</v>
      </c>
      <c r="AR31" s="1248" t="s">
        <v>677</v>
      </c>
      <c r="AS31" s="1243" t="s">
        <v>677</v>
      </c>
      <c r="AT31" s="1243" t="s">
        <v>677</v>
      </c>
      <c r="AU31" s="1243" t="s">
        <v>677</v>
      </c>
      <c r="AV31" s="1243" t="s">
        <v>677</v>
      </c>
      <c r="AW31" s="1243" t="s">
        <v>677</v>
      </c>
      <c r="AX31" s="1243" t="s">
        <v>677</v>
      </c>
      <c r="AY31" s="1243" t="s">
        <v>677</v>
      </c>
      <c r="AZ31" s="1243" t="s">
        <v>677</v>
      </c>
      <c r="BA31" s="1243" t="s">
        <v>677</v>
      </c>
      <c r="BB31" s="1243" t="s">
        <v>677</v>
      </c>
      <c r="BC31" s="1243" t="s">
        <v>677</v>
      </c>
      <c r="BD31" s="1243" t="s">
        <v>677</v>
      </c>
    </row>
    <row r="32" spans="1:56" s="422" customFormat="1" x14ac:dyDescent="0.25">
      <c r="A32" s="2639"/>
      <c r="B32" s="2080"/>
      <c r="C32" s="1967"/>
      <c r="D32" s="1967"/>
      <c r="E32" s="1967"/>
      <c r="F32" s="2171"/>
      <c r="G32" s="1972"/>
      <c r="H32" s="1978"/>
      <c r="I32" s="2050"/>
      <c r="J32" s="1967"/>
      <c r="K32" s="1973"/>
      <c r="L32" s="2638"/>
      <c r="M32" s="1972"/>
      <c r="N32" s="2642"/>
      <c r="O32" s="2642"/>
      <c r="P32" s="1967"/>
      <c r="Q32" s="1967"/>
      <c r="R32" s="1967"/>
      <c r="S32" s="1967"/>
      <c r="T32" s="1967"/>
      <c r="U32" s="1246" t="s">
        <v>6752</v>
      </c>
      <c r="V32" s="1244">
        <v>41443</v>
      </c>
      <c r="W32" s="1243">
        <v>11863</v>
      </c>
      <c r="X32" s="1239" t="s">
        <v>6754</v>
      </c>
      <c r="Y32" s="1244">
        <v>41426</v>
      </c>
      <c r="Z32" s="1244">
        <v>41639</v>
      </c>
      <c r="AA32" s="1242"/>
      <c r="AB32" s="1239"/>
      <c r="AC32" s="1319">
        <v>2386.92</v>
      </c>
      <c r="AD32" s="1319">
        <v>0</v>
      </c>
      <c r="AE32" s="1319">
        <v>0</v>
      </c>
      <c r="AF32" s="1319"/>
      <c r="AG32" s="1319"/>
      <c r="AH32" s="1319">
        <v>0</v>
      </c>
      <c r="AI32" s="1243"/>
      <c r="AJ32" s="1243"/>
      <c r="AK32" s="1243"/>
      <c r="AL32" s="1243"/>
      <c r="AM32" s="1248"/>
      <c r="AN32" s="1248"/>
      <c r="AO32" s="1248"/>
      <c r="AP32" s="1248"/>
      <c r="AQ32" s="1248"/>
      <c r="AR32" s="1248"/>
      <c r="AS32" s="1243"/>
      <c r="AT32" s="1243"/>
      <c r="AU32" s="1243"/>
      <c r="AV32" s="1243"/>
      <c r="AW32" s="1243"/>
      <c r="AX32" s="1243"/>
      <c r="AY32" s="1243"/>
      <c r="AZ32" s="1243"/>
      <c r="BA32" s="1243"/>
      <c r="BB32" s="1243"/>
      <c r="BC32" s="1243"/>
      <c r="BD32" s="1243"/>
    </row>
    <row r="33" spans="1:56" s="422" customFormat="1" x14ac:dyDescent="0.25">
      <c r="A33" s="2639"/>
      <c r="B33" s="2080"/>
      <c r="C33" s="1967"/>
      <c r="D33" s="1967"/>
      <c r="E33" s="1967"/>
      <c r="F33" s="2171"/>
      <c r="G33" s="1972"/>
      <c r="H33" s="1978"/>
      <c r="I33" s="2050"/>
      <c r="J33" s="1967"/>
      <c r="K33" s="1973">
        <v>40238</v>
      </c>
      <c r="L33" s="2638"/>
      <c r="M33" s="1972"/>
      <c r="N33" s="2642">
        <v>40238</v>
      </c>
      <c r="O33" s="2642">
        <v>40543</v>
      </c>
      <c r="P33" s="1967"/>
      <c r="Q33" s="1967"/>
      <c r="R33" s="1967"/>
      <c r="S33" s="1967"/>
      <c r="T33" s="1967"/>
      <c r="U33" s="1246" t="s">
        <v>6755</v>
      </c>
      <c r="V33" s="1244">
        <v>41634</v>
      </c>
      <c r="W33" s="1243">
        <v>11210</v>
      </c>
      <c r="X33" s="1239" t="s">
        <v>6749</v>
      </c>
      <c r="Y33" s="1244">
        <v>41640</v>
      </c>
      <c r="Z33" s="1244">
        <v>41820</v>
      </c>
      <c r="AA33" s="1242" t="s">
        <v>677</v>
      </c>
      <c r="AB33" s="1239" t="s">
        <v>677</v>
      </c>
      <c r="AC33" s="1319">
        <v>0</v>
      </c>
      <c r="AD33" s="1319">
        <v>0</v>
      </c>
      <c r="AE33" s="1319">
        <v>0</v>
      </c>
      <c r="AF33" s="1319"/>
      <c r="AG33" s="1319"/>
      <c r="AH33" s="1319">
        <f t="shared" si="1"/>
        <v>0</v>
      </c>
      <c r="AI33" s="1243" t="s">
        <v>677</v>
      </c>
      <c r="AJ33" s="1243" t="s">
        <v>677</v>
      </c>
      <c r="AK33" s="1243" t="s">
        <v>677</v>
      </c>
      <c r="AL33" s="1243" t="s">
        <v>677</v>
      </c>
      <c r="AM33" s="1248" t="s">
        <v>677</v>
      </c>
      <c r="AN33" s="1248" t="s">
        <v>677</v>
      </c>
      <c r="AO33" s="1248" t="s">
        <v>677</v>
      </c>
      <c r="AP33" s="1248" t="s">
        <v>677</v>
      </c>
      <c r="AQ33" s="1248" t="s">
        <v>677</v>
      </c>
      <c r="AR33" s="1248" t="s">
        <v>677</v>
      </c>
      <c r="AS33" s="1243" t="s">
        <v>677</v>
      </c>
      <c r="AT33" s="1243" t="s">
        <v>677</v>
      </c>
      <c r="AU33" s="1243" t="s">
        <v>677</v>
      </c>
      <c r="AV33" s="1243" t="s">
        <v>677</v>
      </c>
      <c r="AW33" s="1243" t="s">
        <v>677</v>
      </c>
      <c r="AX33" s="1243" t="s">
        <v>677</v>
      </c>
      <c r="AY33" s="1243" t="s">
        <v>677</v>
      </c>
      <c r="AZ33" s="1243" t="s">
        <v>677</v>
      </c>
      <c r="BA33" s="1243" t="s">
        <v>677</v>
      </c>
      <c r="BB33" s="1243" t="s">
        <v>677</v>
      </c>
      <c r="BC33" s="1243" t="s">
        <v>677</v>
      </c>
      <c r="BD33" s="1243" t="s">
        <v>677</v>
      </c>
    </row>
    <row r="34" spans="1:56" s="422" customFormat="1" x14ac:dyDescent="0.25">
      <c r="A34" s="2639"/>
      <c r="B34" s="2080"/>
      <c r="C34" s="1967"/>
      <c r="D34" s="1967"/>
      <c r="E34" s="1967"/>
      <c r="F34" s="2171"/>
      <c r="G34" s="1972"/>
      <c r="H34" s="1978"/>
      <c r="I34" s="2050"/>
      <c r="J34" s="1967"/>
      <c r="K34" s="1973">
        <v>40238</v>
      </c>
      <c r="L34" s="2638"/>
      <c r="M34" s="1972"/>
      <c r="N34" s="2642">
        <v>40238</v>
      </c>
      <c r="O34" s="2642">
        <v>40543</v>
      </c>
      <c r="P34" s="1967"/>
      <c r="Q34" s="1967"/>
      <c r="R34" s="1967"/>
      <c r="S34" s="1967"/>
      <c r="T34" s="1967"/>
      <c r="U34" s="1246" t="s">
        <v>6756</v>
      </c>
      <c r="V34" s="1244">
        <v>41820</v>
      </c>
      <c r="W34" s="1243">
        <v>11340</v>
      </c>
      <c r="X34" s="1239" t="s">
        <v>6749</v>
      </c>
      <c r="Y34" s="1244">
        <v>41821</v>
      </c>
      <c r="Z34" s="1244">
        <v>42004</v>
      </c>
      <c r="AA34" s="1242" t="s">
        <v>677</v>
      </c>
      <c r="AB34" s="1239" t="s">
        <v>677</v>
      </c>
      <c r="AC34" s="1319">
        <v>0</v>
      </c>
      <c r="AD34" s="1319">
        <v>0</v>
      </c>
      <c r="AE34" s="1319">
        <v>0</v>
      </c>
      <c r="AF34" s="187">
        <v>88878.12</v>
      </c>
      <c r="AG34" s="187">
        <v>33211.199999999997</v>
      </c>
      <c r="AH34" s="187">
        <f>AF34+AG34</f>
        <v>122089.31999999999</v>
      </c>
      <c r="AI34" s="1243" t="s">
        <v>677</v>
      </c>
      <c r="AJ34" s="1243" t="s">
        <v>677</v>
      </c>
      <c r="AK34" s="1243" t="s">
        <v>677</v>
      </c>
      <c r="AL34" s="1243" t="s">
        <v>677</v>
      </c>
      <c r="AM34" s="1248" t="s">
        <v>677</v>
      </c>
      <c r="AN34" s="1248" t="s">
        <v>677</v>
      </c>
      <c r="AO34" s="1248" t="s">
        <v>677</v>
      </c>
      <c r="AP34" s="1248" t="s">
        <v>677</v>
      </c>
      <c r="AQ34" s="1248" t="s">
        <v>677</v>
      </c>
      <c r="AR34" s="1248" t="s">
        <v>677</v>
      </c>
      <c r="AS34" s="1243" t="s">
        <v>677</v>
      </c>
      <c r="AT34" s="1243" t="s">
        <v>677</v>
      </c>
      <c r="AU34" s="1243" t="s">
        <v>677</v>
      </c>
      <c r="AV34" s="1243" t="s">
        <v>677</v>
      </c>
      <c r="AW34" s="1243" t="s">
        <v>677</v>
      </c>
      <c r="AX34" s="1243" t="s">
        <v>677</v>
      </c>
      <c r="AY34" s="1243" t="s">
        <v>677</v>
      </c>
      <c r="AZ34" s="1243" t="s">
        <v>677</v>
      </c>
      <c r="BA34" s="1243" t="s">
        <v>677</v>
      </c>
      <c r="BB34" s="1243" t="s">
        <v>677</v>
      </c>
      <c r="BC34" s="1243" t="s">
        <v>677</v>
      </c>
      <c r="BD34" s="1243" t="s">
        <v>677</v>
      </c>
    </row>
    <row r="35" spans="1:56" s="422" customFormat="1" x14ac:dyDescent="0.25">
      <c r="A35" s="2639">
        <v>4</v>
      </c>
      <c r="B35" s="2080" t="s">
        <v>6757</v>
      </c>
      <c r="C35" s="1967" t="s">
        <v>6758</v>
      </c>
      <c r="D35" s="1967" t="s">
        <v>152</v>
      </c>
      <c r="E35" s="1967" t="s">
        <v>5811</v>
      </c>
      <c r="F35" s="2171" t="s">
        <v>6759</v>
      </c>
      <c r="G35" s="1972" t="s">
        <v>6744</v>
      </c>
      <c r="H35" s="1978" t="s">
        <v>6760</v>
      </c>
      <c r="I35" s="2050" t="s">
        <v>6761</v>
      </c>
      <c r="J35" s="1967" t="s">
        <v>6762</v>
      </c>
      <c r="K35" s="1973">
        <v>40413</v>
      </c>
      <c r="L35" s="2638">
        <v>14190</v>
      </c>
      <c r="M35" s="1972">
        <v>10365</v>
      </c>
      <c r="N35" s="1973">
        <v>40413</v>
      </c>
      <c r="O35" s="1973">
        <v>40543</v>
      </c>
      <c r="P35" s="1967" t="s">
        <v>6763</v>
      </c>
      <c r="Q35" s="1967" t="s">
        <v>677</v>
      </c>
      <c r="R35" s="1967" t="s">
        <v>677</v>
      </c>
      <c r="S35" s="1967" t="s">
        <v>677</v>
      </c>
      <c r="T35" s="1967" t="s">
        <v>158</v>
      </c>
      <c r="U35" s="1246" t="s">
        <v>267</v>
      </c>
      <c r="V35" s="1244">
        <v>40527</v>
      </c>
      <c r="W35" s="1243">
        <v>10443</v>
      </c>
      <c r="X35" s="1239" t="s">
        <v>6749</v>
      </c>
      <c r="Y35" s="1244">
        <v>40544</v>
      </c>
      <c r="Z35" s="1244">
        <v>40663</v>
      </c>
      <c r="AA35" s="1242" t="s">
        <v>677</v>
      </c>
      <c r="AB35" s="1239" t="s">
        <v>677</v>
      </c>
      <c r="AC35" s="1319">
        <v>13200</v>
      </c>
      <c r="AD35" s="1319">
        <v>0</v>
      </c>
      <c r="AE35" s="1319"/>
      <c r="AF35" s="1319"/>
      <c r="AG35" s="1319"/>
      <c r="AH35" s="1319">
        <f t="shared" si="1"/>
        <v>0</v>
      </c>
      <c r="AI35" s="1243" t="s">
        <v>677</v>
      </c>
      <c r="AJ35" s="1243" t="s">
        <v>677</v>
      </c>
      <c r="AK35" s="1243" t="s">
        <v>677</v>
      </c>
      <c r="AL35" s="1243" t="s">
        <v>677</v>
      </c>
      <c r="AM35" s="1248" t="s">
        <v>677</v>
      </c>
      <c r="AN35" s="1248" t="s">
        <v>677</v>
      </c>
      <c r="AO35" s="1248" t="s">
        <v>677</v>
      </c>
      <c r="AP35" s="1248" t="s">
        <v>677</v>
      </c>
      <c r="AQ35" s="1248" t="s">
        <v>677</v>
      </c>
      <c r="AR35" s="1248" t="s">
        <v>677</v>
      </c>
      <c r="AS35" s="1243" t="s">
        <v>677</v>
      </c>
      <c r="AT35" s="1243" t="s">
        <v>677</v>
      </c>
      <c r="AU35" s="1243" t="s">
        <v>677</v>
      </c>
      <c r="AV35" s="1243" t="s">
        <v>677</v>
      </c>
      <c r="AW35" s="1243" t="s">
        <v>677</v>
      </c>
      <c r="AX35" s="1243" t="s">
        <v>677</v>
      </c>
      <c r="AY35" s="1243" t="s">
        <v>677</v>
      </c>
      <c r="AZ35" s="1243" t="s">
        <v>677</v>
      </c>
      <c r="BA35" s="1243" t="s">
        <v>677</v>
      </c>
      <c r="BB35" s="1243" t="s">
        <v>677</v>
      </c>
      <c r="BC35" s="1243" t="s">
        <v>677</v>
      </c>
      <c r="BD35" s="1243" t="s">
        <v>677</v>
      </c>
    </row>
    <row r="36" spans="1:56" s="422" customFormat="1" x14ac:dyDescent="0.25">
      <c r="A36" s="2639"/>
      <c r="B36" s="2080"/>
      <c r="C36" s="1967"/>
      <c r="D36" s="1967"/>
      <c r="E36" s="1967"/>
      <c r="F36" s="2171"/>
      <c r="G36" s="1972"/>
      <c r="H36" s="1978"/>
      <c r="I36" s="2050"/>
      <c r="J36" s="1967"/>
      <c r="K36" s="1973"/>
      <c r="L36" s="2638"/>
      <c r="M36" s="1972"/>
      <c r="N36" s="1973"/>
      <c r="O36" s="1973"/>
      <c r="P36" s="1967"/>
      <c r="Q36" s="1967"/>
      <c r="R36" s="1967"/>
      <c r="S36" s="1967"/>
      <c r="T36" s="1967"/>
      <c r="U36" s="1246" t="s">
        <v>6748</v>
      </c>
      <c r="V36" s="1244">
        <v>40652</v>
      </c>
      <c r="W36" s="1243">
        <v>10535</v>
      </c>
      <c r="X36" s="1239" t="s">
        <v>6749</v>
      </c>
      <c r="Y36" s="1244">
        <v>40664</v>
      </c>
      <c r="Z36" s="1244">
        <v>40908</v>
      </c>
      <c r="AA36" s="1242" t="s">
        <v>677</v>
      </c>
      <c r="AB36" s="1239" t="s">
        <v>677</v>
      </c>
      <c r="AC36" s="1319">
        <v>26400</v>
      </c>
      <c r="AD36" s="1319">
        <v>0</v>
      </c>
      <c r="AE36" s="1319">
        <v>0</v>
      </c>
      <c r="AF36" s="1319"/>
      <c r="AG36" s="1319"/>
      <c r="AH36" s="1319">
        <f t="shared" si="1"/>
        <v>0</v>
      </c>
      <c r="AI36" s="1243" t="s">
        <v>677</v>
      </c>
      <c r="AJ36" s="1243" t="s">
        <v>677</v>
      </c>
      <c r="AK36" s="1243" t="s">
        <v>677</v>
      </c>
      <c r="AL36" s="1243" t="s">
        <v>677</v>
      </c>
      <c r="AM36" s="1248" t="s">
        <v>677</v>
      </c>
      <c r="AN36" s="1248" t="s">
        <v>677</v>
      </c>
      <c r="AO36" s="1248" t="s">
        <v>677</v>
      </c>
      <c r="AP36" s="1248" t="s">
        <v>677</v>
      </c>
      <c r="AQ36" s="1248" t="s">
        <v>677</v>
      </c>
      <c r="AR36" s="1248" t="s">
        <v>677</v>
      </c>
      <c r="AS36" s="1243" t="s">
        <v>677</v>
      </c>
      <c r="AT36" s="1243" t="s">
        <v>677</v>
      </c>
      <c r="AU36" s="1243" t="s">
        <v>677</v>
      </c>
      <c r="AV36" s="1243" t="s">
        <v>677</v>
      </c>
      <c r="AW36" s="1243" t="s">
        <v>677</v>
      </c>
      <c r="AX36" s="1243" t="s">
        <v>677</v>
      </c>
      <c r="AY36" s="1243" t="s">
        <v>677</v>
      </c>
      <c r="AZ36" s="1243" t="s">
        <v>677</v>
      </c>
      <c r="BA36" s="1243" t="s">
        <v>677</v>
      </c>
      <c r="BB36" s="1243" t="s">
        <v>677</v>
      </c>
      <c r="BC36" s="1243" t="s">
        <v>677</v>
      </c>
      <c r="BD36" s="1243" t="s">
        <v>677</v>
      </c>
    </row>
    <row r="37" spans="1:56" s="422" customFormat="1" x14ac:dyDescent="0.25">
      <c r="A37" s="2639"/>
      <c r="B37" s="2080"/>
      <c r="C37" s="1967"/>
      <c r="D37" s="1967"/>
      <c r="E37" s="1967"/>
      <c r="F37" s="2171"/>
      <c r="G37" s="1972"/>
      <c r="H37" s="1978"/>
      <c r="I37" s="2050"/>
      <c r="J37" s="1967"/>
      <c r="K37" s="1973"/>
      <c r="L37" s="2638"/>
      <c r="M37" s="1972"/>
      <c r="N37" s="1973"/>
      <c r="O37" s="1973"/>
      <c r="P37" s="1967"/>
      <c r="Q37" s="1967"/>
      <c r="R37" s="1967"/>
      <c r="S37" s="1967"/>
      <c r="T37" s="1967"/>
      <c r="U37" s="1246" t="s">
        <v>6750</v>
      </c>
      <c r="V37" s="1244">
        <v>40889</v>
      </c>
      <c r="W37" s="1243">
        <v>10695</v>
      </c>
      <c r="X37" s="1239" t="s">
        <v>6749</v>
      </c>
      <c r="Y37" s="1244">
        <v>40909</v>
      </c>
      <c r="Z37" s="1244">
        <v>41274</v>
      </c>
      <c r="AA37" s="1242" t="s">
        <v>677</v>
      </c>
      <c r="AB37" s="1239" t="s">
        <v>677</v>
      </c>
      <c r="AC37" s="1319">
        <v>39600</v>
      </c>
      <c r="AD37" s="1319">
        <v>0</v>
      </c>
      <c r="AE37" s="1319">
        <v>0</v>
      </c>
      <c r="AF37" s="1319"/>
      <c r="AG37" s="1319"/>
      <c r="AH37" s="1319">
        <f t="shared" si="1"/>
        <v>0</v>
      </c>
      <c r="AI37" s="1243" t="s">
        <v>677</v>
      </c>
      <c r="AJ37" s="1243" t="s">
        <v>677</v>
      </c>
      <c r="AK37" s="1243" t="s">
        <v>677</v>
      </c>
      <c r="AL37" s="1243" t="s">
        <v>677</v>
      </c>
      <c r="AM37" s="1248" t="s">
        <v>677</v>
      </c>
      <c r="AN37" s="1248" t="s">
        <v>677</v>
      </c>
      <c r="AO37" s="1248" t="s">
        <v>677</v>
      </c>
      <c r="AP37" s="1248" t="s">
        <v>677</v>
      </c>
      <c r="AQ37" s="1248" t="s">
        <v>677</v>
      </c>
      <c r="AR37" s="1248" t="s">
        <v>677</v>
      </c>
      <c r="AS37" s="1243" t="s">
        <v>677</v>
      </c>
      <c r="AT37" s="1243" t="s">
        <v>677</v>
      </c>
      <c r="AU37" s="1243" t="s">
        <v>677</v>
      </c>
      <c r="AV37" s="1243" t="s">
        <v>677</v>
      </c>
      <c r="AW37" s="1243" t="s">
        <v>677</v>
      </c>
      <c r="AX37" s="1243" t="s">
        <v>677</v>
      </c>
      <c r="AY37" s="1243" t="s">
        <v>677</v>
      </c>
      <c r="AZ37" s="1243" t="s">
        <v>677</v>
      </c>
      <c r="BA37" s="1243" t="s">
        <v>677</v>
      </c>
      <c r="BB37" s="1243" t="s">
        <v>677</v>
      </c>
      <c r="BC37" s="1243" t="s">
        <v>677</v>
      </c>
      <c r="BD37" s="1243" t="s">
        <v>677</v>
      </c>
    </row>
    <row r="38" spans="1:56" s="422" customFormat="1" x14ac:dyDescent="0.25">
      <c r="A38" s="2639"/>
      <c r="B38" s="2080"/>
      <c r="C38" s="1967"/>
      <c r="D38" s="1967"/>
      <c r="E38" s="1967"/>
      <c r="F38" s="2171"/>
      <c r="G38" s="1972"/>
      <c r="H38" s="1978"/>
      <c r="I38" s="2050"/>
      <c r="J38" s="1967"/>
      <c r="K38" s="1973"/>
      <c r="L38" s="2638"/>
      <c r="M38" s="1972"/>
      <c r="N38" s="1973"/>
      <c r="O38" s="1973"/>
      <c r="P38" s="1967"/>
      <c r="Q38" s="1967"/>
      <c r="R38" s="1967"/>
      <c r="S38" s="1967"/>
      <c r="T38" s="1967"/>
      <c r="U38" s="1246" t="s">
        <v>6752</v>
      </c>
      <c r="V38" s="1244">
        <v>41271</v>
      </c>
      <c r="W38" s="1243">
        <v>10963</v>
      </c>
      <c r="X38" s="1239" t="s">
        <v>6749</v>
      </c>
      <c r="Y38" s="1244">
        <v>41275</v>
      </c>
      <c r="Z38" s="1244">
        <v>41364</v>
      </c>
      <c r="AA38" s="1242" t="s">
        <v>677</v>
      </c>
      <c r="AB38" s="1239" t="s">
        <v>677</v>
      </c>
      <c r="AC38" s="1319">
        <v>9900</v>
      </c>
      <c r="AD38" s="1319">
        <v>0</v>
      </c>
      <c r="AE38" s="1319">
        <v>0</v>
      </c>
      <c r="AF38" s="1319"/>
      <c r="AG38" s="1319"/>
      <c r="AH38" s="1319">
        <f t="shared" si="1"/>
        <v>0</v>
      </c>
      <c r="AI38" s="1243" t="s">
        <v>677</v>
      </c>
      <c r="AJ38" s="1243" t="s">
        <v>677</v>
      </c>
      <c r="AK38" s="1243" t="s">
        <v>677</v>
      </c>
      <c r="AL38" s="1243" t="s">
        <v>677</v>
      </c>
      <c r="AM38" s="1248" t="s">
        <v>677</v>
      </c>
      <c r="AN38" s="1248" t="s">
        <v>677</v>
      </c>
      <c r="AO38" s="1248" t="s">
        <v>677</v>
      </c>
      <c r="AP38" s="1248" t="s">
        <v>677</v>
      </c>
      <c r="AQ38" s="1248" t="s">
        <v>677</v>
      </c>
      <c r="AR38" s="1248" t="s">
        <v>677</v>
      </c>
      <c r="AS38" s="1243" t="s">
        <v>677</v>
      </c>
      <c r="AT38" s="1243" t="s">
        <v>677</v>
      </c>
      <c r="AU38" s="1243" t="s">
        <v>677</v>
      </c>
      <c r="AV38" s="1243" t="s">
        <v>677</v>
      </c>
      <c r="AW38" s="1243" t="s">
        <v>677</v>
      </c>
      <c r="AX38" s="1243" t="s">
        <v>677</v>
      </c>
      <c r="AY38" s="1243" t="s">
        <v>677</v>
      </c>
      <c r="AZ38" s="1243" t="s">
        <v>677</v>
      </c>
      <c r="BA38" s="1243" t="s">
        <v>677</v>
      </c>
      <c r="BB38" s="1243" t="s">
        <v>677</v>
      </c>
      <c r="BC38" s="1243" t="s">
        <v>677</v>
      </c>
      <c r="BD38" s="1243" t="s">
        <v>677</v>
      </c>
    </row>
    <row r="39" spans="1:56" s="422" customFormat="1" x14ac:dyDescent="0.25">
      <c r="A39" s="2639"/>
      <c r="B39" s="2080"/>
      <c r="C39" s="1967"/>
      <c r="D39" s="1967"/>
      <c r="E39" s="1967"/>
      <c r="F39" s="2171"/>
      <c r="G39" s="1972"/>
      <c r="H39" s="1978"/>
      <c r="I39" s="2050"/>
      <c r="J39" s="1967"/>
      <c r="K39" s="1973"/>
      <c r="L39" s="2638"/>
      <c r="M39" s="1972"/>
      <c r="N39" s="1973"/>
      <c r="O39" s="1973"/>
      <c r="P39" s="1967"/>
      <c r="Q39" s="1967"/>
      <c r="R39" s="1967"/>
      <c r="S39" s="1967"/>
      <c r="T39" s="1967"/>
      <c r="U39" s="1246" t="s">
        <v>6755</v>
      </c>
      <c r="V39" s="1244">
        <v>41358</v>
      </c>
      <c r="W39" s="1243">
        <v>11015</v>
      </c>
      <c r="X39" s="1239" t="s">
        <v>6749</v>
      </c>
      <c r="Y39" s="1244">
        <v>41365</v>
      </c>
      <c r="Z39" s="1244">
        <v>41639</v>
      </c>
      <c r="AA39" s="1242" t="s">
        <v>677</v>
      </c>
      <c r="AB39" s="1239" t="s">
        <v>677</v>
      </c>
      <c r="AC39" s="1319">
        <v>29700</v>
      </c>
      <c r="AD39" s="1319">
        <v>0</v>
      </c>
      <c r="AE39" s="1319">
        <v>0</v>
      </c>
      <c r="AF39" s="1319"/>
      <c r="AG39" s="1319"/>
      <c r="AH39" s="1319">
        <f t="shared" si="1"/>
        <v>0</v>
      </c>
      <c r="AI39" s="1243" t="s">
        <v>677</v>
      </c>
      <c r="AJ39" s="1243" t="s">
        <v>677</v>
      </c>
      <c r="AK39" s="1243" t="s">
        <v>677</v>
      </c>
      <c r="AL39" s="1243" t="s">
        <v>677</v>
      </c>
      <c r="AM39" s="1248" t="s">
        <v>677</v>
      </c>
      <c r="AN39" s="1248" t="s">
        <v>677</v>
      </c>
      <c r="AO39" s="1248" t="s">
        <v>677</v>
      </c>
      <c r="AP39" s="1248" t="s">
        <v>677</v>
      </c>
      <c r="AQ39" s="1248" t="s">
        <v>677</v>
      </c>
      <c r="AR39" s="1248" t="s">
        <v>677</v>
      </c>
      <c r="AS39" s="1243" t="s">
        <v>677</v>
      </c>
      <c r="AT39" s="1243" t="s">
        <v>677</v>
      </c>
      <c r="AU39" s="1243" t="s">
        <v>677</v>
      </c>
      <c r="AV39" s="1243" t="s">
        <v>677</v>
      </c>
      <c r="AW39" s="1243" t="s">
        <v>677</v>
      </c>
      <c r="AX39" s="1243" t="s">
        <v>677</v>
      </c>
      <c r="AY39" s="1243" t="s">
        <v>677</v>
      </c>
      <c r="AZ39" s="1243" t="s">
        <v>677</v>
      </c>
      <c r="BA39" s="1243" t="s">
        <v>677</v>
      </c>
      <c r="BB39" s="1243" t="s">
        <v>677</v>
      </c>
      <c r="BC39" s="1243" t="s">
        <v>677</v>
      </c>
      <c r="BD39" s="1243" t="s">
        <v>677</v>
      </c>
    </row>
    <row r="40" spans="1:56" s="422" customFormat="1" ht="25.5" x14ac:dyDescent="0.25">
      <c r="A40" s="2639"/>
      <c r="B40" s="2080"/>
      <c r="C40" s="1967"/>
      <c r="D40" s="1967"/>
      <c r="E40" s="1967"/>
      <c r="F40" s="2171"/>
      <c r="G40" s="1972"/>
      <c r="H40" s="1978"/>
      <c r="I40" s="2050"/>
      <c r="J40" s="1967"/>
      <c r="K40" s="1973"/>
      <c r="L40" s="2638"/>
      <c r="M40" s="1972"/>
      <c r="N40" s="1973"/>
      <c r="O40" s="1973"/>
      <c r="P40" s="1967"/>
      <c r="Q40" s="1967"/>
      <c r="R40" s="1967"/>
      <c r="S40" s="1967"/>
      <c r="T40" s="1967"/>
      <c r="U40" s="1246" t="s">
        <v>6756</v>
      </c>
      <c r="V40" s="1244">
        <v>41396</v>
      </c>
      <c r="W40" s="1243">
        <v>11058</v>
      </c>
      <c r="X40" s="1239" t="s">
        <v>6764</v>
      </c>
      <c r="Y40" s="1244" t="s">
        <v>677</v>
      </c>
      <c r="Z40" s="1244" t="s">
        <v>677</v>
      </c>
      <c r="AA40" s="1242">
        <v>0.16</v>
      </c>
      <c r="AB40" s="1239" t="s">
        <v>677</v>
      </c>
      <c r="AC40" s="1319">
        <v>6471.48</v>
      </c>
      <c r="AD40" s="1319">
        <v>0</v>
      </c>
      <c r="AE40" s="1319">
        <v>0</v>
      </c>
      <c r="AF40" s="1319"/>
      <c r="AG40" s="1319"/>
      <c r="AH40" s="1319">
        <f t="shared" si="1"/>
        <v>0</v>
      </c>
      <c r="AI40" s="1243" t="s">
        <v>677</v>
      </c>
      <c r="AJ40" s="1243" t="s">
        <v>677</v>
      </c>
      <c r="AK40" s="1243" t="s">
        <v>677</v>
      </c>
      <c r="AL40" s="1243" t="s">
        <v>677</v>
      </c>
      <c r="AM40" s="1248" t="s">
        <v>677</v>
      </c>
      <c r="AN40" s="1248" t="s">
        <v>677</v>
      </c>
      <c r="AO40" s="1248" t="s">
        <v>677</v>
      </c>
      <c r="AP40" s="1248" t="s">
        <v>677</v>
      </c>
      <c r="AQ40" s="1248" t="s">
        <v>677</v>
      </c>
      <c r="AR40" s="1248" t="s">
        <v>677</v>
      </c>
      <c r="AS40" s="1243" t="s">
        <v>677</v>
      </c>
      <c r="AT40" s="1243" t="s">
        <v>677</v>
      </c>
      <c r="AU40" s="1243" t="s">
        <v>677</v>
      </c>
      <c r="AV40" s="1243" t="s">
        <v>677</v>
      </c>
      <c r="AW40" s="1243" t="s">
        <v>677</v>
      </c>
      <c r="AX40" s="1243" t="s">
        <v>677</v>
      </c>
      <c r="AY40" s="1243" t="s">
        <v>677</v>
      </c>
      <c r="AZ40" s="1243" t="s">
        <v>677</v>
      </c>
      <c r="BA40" s="1243" t="s">
        <v>677</v>
      </c>
      <c r="BB40" s="1243" t="s">
        <v>677</v>
      </c>
      <c r="BC40" s="1243" t="s">
        <v>677</v>
      </c>
      <c r="BD40" s="1243" t="s">
        <v>677</v>
      </c>
    </row>
    <row r="41" spans="1:56" s="422" customFormat="1" x14ac:dyDescent="0.25">
      <c r="A41" s="2639"/>
      <c r="B41" s="2080"/>
      <c r="C41" s="1967"/>
      <c r="D41" s="1967"/>
      <c r="E41" s="1967"/>
      <c r="F41" s="2171"/>
      <c r="G41" s="1972"/>
      <c r="H41" s="1978"/>
      <c r="I41" s="2050"/>
      <c r="J41" s="1967"/>
      <c r="K41" s="1973"/>
      <c r="L41" s="2638"/>
      <c r="M41" s="1972"/>
      <c r="N41" s="1973"/>
      <c r="O41" s="1973"/>
      <c r="P41" s="1967"/>
      <c r="Q41" s="1967"/>
      <c r="R41" s="1967"/>
      <c r="S41" s="1967"/>
      <c r="T41" s="1967"/>
      <c r="U41" s="1246" t="s">
        <v>6765</v>
      </c>
      <c r="V41" s="1244">
        <v>41634</v>
      </c>
      <c r="W41" s="1243">
        <v>11210</v>
      </c>
      <c r="X41" s="1239" t="s">
        <v>6749</v>
      </c>
      <c r="Y41" s="1244">
        <v>41640</v>
      </c>
      <c r="Z41" s="1244">
        <v>41820</v>
      </c>
      <c r="AA41" s="1242" t="s">
        <v>677</v>
      </c>
      <c r="AB41" s="1239" t="s">
        <v>677</v>
      </c>
      <c r="AC41" s="1319">
        <v>23035.74</v>
      </c>
      <c r="AD41" s="1319">
        <v>0</v>
      </c>
      <c r="AE41" s="187">
        <f>L35+AC35+AC36+AC37+AC38+AC39+AC40+AC41</f>
        <v>162497.22</v>
      </c>
      <c r="AF41" s="187">
        <f>AC35+AC36+AC37+AC38+AC39+AC40+L35</f>
        <v>139461.47999999998</v>
      </c>
      <c r="AG41" s="187">
        <f>AC41</f>
        <v>23035.74</v>
      </c>
      <c r="AH41" s="187">
        <f t="shared" si="1"/>
        <v>162497.21999999997</v>
      </c>
      <c r="AI41" s="1243" t="s">
        <v>677</v>
      </c>
      <c r="AJ41" s="1243" t="s">
        <v>677</v>
      </c>
      <c r="AK41" s="1243" t="s">
        <v>677</v>
      </c>
      <c r="AL41" s="1243" t="s">
        <v>677</v>
      </c>
      <c r="AM41" s="1248" t="s">
        <v>677</v>
      </c>
      <c r="AN41" s="1248" t="s">
        <v>677</v>
      </c>
      <c r="AO41" s="1248" t="s">
        <v>677</v>
      </c>
      <c r="AP41" s="1248" t="s">
        <v>677</v>
      </c>
      <c r="AQ41" s="1248" t="s">
        <v>677</v>
      </c>
      <c r="AR41" s="1248" t="s">
        <v>677</v>
      </c>
      <c r="AS41" s="1243" t="s">
        <v>677</v>
      </c>
      <c r="AT41" s="1243" t="s">
        <v>677</v>
      </c>
      <c r="AU41" s="1243" t="s">
        <v>677</v>
      </c>
      <c r="AV41" s="1243" t="s">
        <v>677</v>
      </c>
      <c r="AW41" s="1243" t="s">
        <v>677</v>
      </c>
      <c r="AX41" s="1243" t="s">
        <v>677</v>
      </c>
      <c r="AY41" s="1243" t="s">
        <v>677</v>
      </c>
      <c r="AZ41" s="1243" t="s">
        <v>677</v>
      </c>
      <c r="BA41" s="1243" t="s">
        <v>677</v>
      </c>
      <c r="BB41" s="1243" t="s">
        <v>677</v>
      </c>
      <c r="BC41" s="1243" t="s">
        <v>677</v>
      </c>
      <c r="BD41" s="1243" t="s">
        <v>677</v>
      </c>
    </row>
    <row r="42" spans="1:56" s="422" customFormat="1" ht="229.5" x14ac:dyDescent="0.25">
      <c r="A42" s="2639">
        <v>5</v>
      </c>
      <c r="B42" s="2641" t="s">
        <v>6766</v>
      </c>
      <c r="C42" s="1967" t="s">
        <v>6767</v>
      </c>
      <c r="D42" s="1967" t="s">
        <v>1431</v>
      </c>
      <c r="E42" s="1967" t="s">
        <v>6768</v>
      </c>
      <c r="F42" s="2171" t="s">
        <v>6769</v>
      </c>
      <c r="G42" s="1978" t="s">
        <v>6395</v>
      </c>
      <c r="H42" s="1978" t="s">
        <v>1744</v>
      </c>
      <c r="I42" s="2050" t="s">
        <v>6770</v>
      </c>
      <c r="J42" s="1967" t="s">
        <v>1435</v>
      </c>
      <c r="K42" s="1973">
        <v>41402</v>
      </c>
      <c r="L42" s="2638">
        <v>77795.7</v>
      </c>
      <c r="M42" s="1978" t="s">
        <v>6771</v>
      </c>
      <c r="N42" s="1973">
        <v>41402</v>
      </c>
      <c r="O42" s="1973">
        <v>41494</v>
      </c>
      <c r="P42" s="1967" t="s">
        <v>6772</v>
      </c>
      <c r="Q42" s="1967" t="s">
        <v>677</v>
      </c>
      <c r="R42" s="1967" t="s">
        <v>677</v>
      </c>
      <c r="S42" s="1967" t="s">
        <v>677</v>
      </c>
      <c r="T42" s="1967" t="s">
        <v>1438</v>
      </c>
      <c r="U42" s="1246" t="s">
        <v>6773</v>
      </c>
      <c r="V42" s="1239" t="s">
        <v>677</v>
      </c>
      <c r="W42" s="1246" t="s">
        <v>6774</v>
      </c>
      <c r="X42" s="1239" t="s">
        <v>6749</v>
      </c>
      <c r="Y42" s="1244">
        <v>41488</v>
      </c>
      <c r="Z42" s="1244">
        <v>41639</v>
      </c>
      <c r="AA42" s="1242" t="s">
        <v>677</v>
      </c>
      <c r="AB42" s="1239" t="s">
        <v>677</v>
      </c>
      <c r="AC42" s="1319">
        <v>0</v>
      </c>
      <c r="AD42" s="1319">
        <v>0</v>
      </c>
      <c r="AE42" s="1319"/>
      <c r="AF42" s="1319"/>
      <c r="AG42" s="1319"/>
      <c r="AH42" s="1319">
        <f t="shared" si="1"/>
        <v>0</v>
      </c>
      <c r="AI42" s="1243" t="s">
        <v>677</v>
      </c>
      <c r="AJ42" s="1243" t="s">
        <v>677</v>
      </c>
      <c r="AK42" s="1243" t="s">
        <v>677</v>
      </c>
      <c r="AL42" s="1243" t="s">
        <v>677</v>
      </c>
      <c r="AM42" s="1248" t="s">
        <v>677</v>
      </c>
      <c r="AN42" s="1248" t="s">
        <v>677</v>
      </c>
      <c r="AO42" s="1248" t="s">
        <v>677</v>
      </c>
      <c r="AP42" s="1248" t="s">
        <v>677</v>
      </c>
      <c r="AQ42" s="1248" t="s">
        <v>677</v>
      </c>
      <c r="AR42" s="1248" t="s">
        <v>677</v>
      </c>
      <c r="AS42" s="1243" t="s">
        <v>153</v>
      </c>
      <c r="AT42" s="1243" t="s">
        <v>1457</v>
      </c>
      <c r="AU42" s="1246" t="s">
        <v>6775</v>
      </c>
      <c r="AV42" s="1246" t="s">
        <v>6776</v>
      </c>
      <c r="AW42" s="1246" t="s">
        <v>677</v>
      </c>
      <c r="AX42" s="1246" t="s">
        <v>6777</v>
      </c>
      <c r="AY42" s="1246" t="s">
        <v>6778</v>
      </c>
      <c r="AZ42" s="1242">
        <v>77795.7</v>
      </c>
      <c r="BA42" s="1243" t="s">
        <v>677</v>
      </c>
      <c r="BB42" s="1243" t="s">
        <v>677</v>
      </c>
      <c r="BC42" s="1243" t="s">
        <v>677</v>
      </c>
      <c r="BD42" s="1243" t="s">
        <v>6779</v>
      </c>
    </row>
    <row r="43" spans="1:56" s="422" customFormat="1" x14ac:dyDescent="0.25">
      <c r="A43" s="2639"/>
      <c r="B43" s="2641"/>
      <c r="C43" s="1967"/>
      <c r="D43" s="1967"/>
      <c r="E43" s="1967"/>
      <c r="F43" s="2171"/>
      <c r="G43" s="1978"/>
      <c r="H43" s="1978"/>
      <c r="I43" s="2050"/>
      <c r="J43" s="1967"/>
      <c r="K43" s="1973"/>
      <c r="L43" s="2638"/>
      <c r="M43" s="1978"/>
      <c r="N43" s="1973"/>
      <c r="O43" s="1973"/>
      <c r="P43" s="1967"/>
      <c r="Q43" s="1967"/>
      <c r="R43" s="1967"/>
      <c r="S43" s="1967"/>
      <c r="T43" s="1967"/>
      <c r="U43" s="1246" t="s">
        <v>6780</v>
      </c>
      <c r="V43" s="1239" t="s">
        <v>677</v>
      </c>
      <c r="W43" s="1246" t="s">
        <v>6781</v>
      </c>
      <c r="X43" s="1239" t="s">
        <v>6749</v>
      </c>
      <c r="Y43" s="1244">
        <v>41640</v>
      </c>
      <c r="Z43" s="1244">
        <v>41687</v>
      </c>
      <c r="AA43" s="1242">
        <v>0.13</v>
      </c>
      <c r="AB43" s="1239" t="s">
        <v>677</v>
      </c>
      <c r="AC43" s="1319">
        <v>10307.1</v>
      </c>
      <c r="AD43" s="1319">
        <v>0</v>
      </c>
      <c r="AE43" s="187">
        <f>(L42)-(AD43)+(AC43)</f>
        <v>88102.8</v>
      </c>
      <c r="AF43" s="187">
        <v>64504.38</v>
      </c>
      <c r="AG43" s="187">
        <v>23598.42</v>
      </c>
      <c r="AH43" s="187">
        <f t="shared" si="1"/>
        <v>88102.799999999988</v>
      </c>
      <c r="AI43" s="1243" t="s">
        <v>677</v>
      </c>
      <c r="AJ43" s="1243" t="s">
        <v>677</v>
      </c>
      <c r="AK43" s="1243" t="s">
        <v>677</v>
      </c>
      <c r="AL43" s="1243" t="s">
        <v>677</v>
      </c>
      <c r="AM43" s="1248" t="s">
        <v>677</v>
      </c>
      <c r="AN43" s="1248" t="s">
        <v>677</v>
      </c>
      <c r="AO43" s="1248" t="s">
        <v>677</v>
      </c>
      <c r="AP43" s="1248" t="s">
        <v>677</v>
      </c>
      <c r="AQ43" s="1248" t="s">
        <v>677</v>
      </c>
      <c r="AR43" s="1248" t="s">
        <v>677</v>
      </c>
      <c r="AS43" s="1243" t="s">
        <v>677</v>
      </c>
      <c r="AT43" s="1243" t="s">
        <v>677</v>
      </c>
      <c r="AU43" s="1243" t="s">
        <v>677</v>
      </c>
      <c r="AV43" s="1243" t="s">
        <v>677</v>
      </c>
      <c r="AW43" s="1243" t="s">
        <v>677</v>
      </c>
      <c r="AX43" s="1243" t="s">
        <v>677</v>
      </c>
      <c r="AY43" s="1243" t="s">
        <v>677</v>
      </c>
      <c r="AZ43" s="1243" t="s">
        <v>677</v>
      </c>
      <c r="BA43" s="1243" t="s">
        <v>677</v>
      </c>
      <c r="BB43" s="1243" t="s">
        <v>677</v>
      </c>
      <c r="BC43" s="1243" t="s">
        <v>677</v>
      </c>
      <c r="BD43" s="1243" t="s">
        <v>677</v>
      </c>
    </row>
    <row r="44" spans="1:56" s="422" customFormat="1" x14ac:dyDescent="0.25">
      <c r="A44" s="2639">
        <v>6</v>
      </c>
      <c r="B44" s="2641" t="s">
        <v>5846</v>
      </c>
      <c r="C44" s="1967" t="s">
        <v>6782</v>
      </c>
      <c r="D44" s="1967" t="s">
        <v>6730</v>
      </c>
      <c r="E44" s="1967" t="s">
        <v>5982</v>
      </c>
      <c r="F44" s="1967" t="s">
        <v>6783</v>
      </c>
      <c r="G44" s="1972">
        <v>10482</v>
      </c>
      <c r="H44" s="2496" t="s">
        <v>5984</v>
      </c>
      <c r="I44" s="2050" t="s">
        <v>6784</v>
      </c>
      <c r="J44" s="1967" t="s">
        <v>197</v>
      </c>
      <c r="K44" s="1973">
        <v>40634</v>
      </c>
      <c r="L44" s="2638">
        <v>296640</v>
      </c>
      <c r="M44" s="1972">
        <v>10515</v>
      </c>
      <c r="N44" s="2337">
        <v>40634</v>
      </c>
      <c r="O44" s="2337">
        <v>40998</v>
      </c>
      <c r="P44" s="2024" t="s">
        <v>6785</v>
      </c>
      <c r="Q44" s="2024" t="s">
        <v>677</v>
      </c>
      <c r="R44" s="2024" t="s">
        <v>677</v>
      </c>
      <c r="S44" s="2024" t="s">
        <v>677</v>
      </c>
      <c r="T44" s="2024" t="s">
        <v>208</v>
      </c>
      <c r="U44" s="1338" t="s">
        <v>267</v>
      </c>
      <c r="V44" s="1332">
        <v>40995</v>
      </c>
      <c r="W44" s="1338">
        <v>10766</v>
      </c>
      <c r="X44" s="1268" t="s">
        <v>6749</v>
      </c>
      <c r="Y44" s="1332">
        <v>41000</v>
      </c>
      <c r="Z44" s="1332">
        <v>41274</v>
      </c>
      <c r="AA44" s="703">
        <v>0</v>
      </c>
      <c r="AB44" s="703">
        <v>0</v>
      </c>
      <c r="AC44" s="703">
        <v>0</v>
      </c>
      <c r="AD44" s="703">
        <v>0</v>
      </c>
      <c r="AE44" s="703"/>
      <c r="AF44" s="1319"/>
      <c r="AG44" s="1242"/>
      <c r="AH44" s="1242">
        <v>0</v>
      </c>
      <c r="AI44" s="1243" t="s">
        <v>677</v>
      </c>
      <c r="AJ44" s="1243" t="s">
        <v>677</v>
      </c>
      <c r="AK44" s="1243" t="s">
        <v>677</v>
      </c>
      <c r="AL44" s="1243" t="s">
        <v>677</v>
      </c>
      <c r="AM44" s="1248" t="s">
        <v>677</v>
      </c>
      <c r="AN44" s="1248" t="s">
        <v>677</v>
      </c>
      <c r="AO44" s="1248" t="s">
        <v>677</v>
      </c>
      <c r="AP44" s="1248" t="s">
        <v>677</v>
      </c>
      <c r="AQ44" s="1248" t="s">
        <v>677</v>
      </c>
      <c r="AR44" s="1248" t="s">
        <v>677</v>
      </c>
      <c r="AS44" s="1243" t="s">
        <v>677</v>
      </c>
      <c r="AT44" s="1243" t="s">
        <v>677</v>
      </c>
      <c r="AU44" s="1243" t="s">
        <v>677</v>
      </c>
      <c r="AV44" s="1243" t="s">
        <v>677</v>
      </c>
      <c r="AW44" s="1243" t="s">
        <v>677</v>
      </c>
      <c r="AX44" s="1243" t="s">
        <v>677</v>
      </c>
      <c r="AY44" s="1243" t="s">
        <v>677</v>
      </c>
      <c r="AZ44" s="1243" t="s">
        <v>677</v>
      </c>
      <c r="BA44" s="1243" t="s">
        <v>677</v>
      </c>
      <c r="BB44" s="1243" t="s">
        <v>677</v>
      </c>
      <c r="BC44" s="1243" t="s">
        <v>677</v>
      </c>
      <c r="BD44" s="1243" t="s">
        <v>677</v>
      </c>
    </row>
    <row r="45" spans="1:56" s="422" customFormat="1" ht="25.5" x14ac:dyDescent="0.25">
      <c r="A45" s="2639"/>
      <c r="B45" s="2641"/>
      <c r="C45" s="1967"/>
      <c r="D45" s="1967"/>
      <c r="E45" s="1967"/>
      <c r="F45" s="1967"/>
      <c r="G45" s="1972"/>
      <c r="H45" s="2496"/>
      <c r="I45" s="2050"/>
      <c r="J45" s="1967"/>
      <c r="K45" s="1973"/>
      <c r="L45" s="2638"/>
      <c r="M45" s="1972"/>
      <c r="N45" s="2337"/>
      <c r="O45" s="2337"/>
      <c r="P45" s="2024"/>
      <c r="Q45" s="2024"/>
      <c r="R45" s="2024"/>
      <c r="S45" s="2024"/>
      <c r="T45" s="2024"/>
      <c r="U45" s="1340" t="s">
        <v>6748</v>
      </c>
      <c r="V45" s="1332">
        <v>41023</v>
      </c>
      <c r="W45" s="1338">
        <v>10785</v>
      </c>
      <c r="X45" s="1268" t="s">
        <v>6786</v>
      </c>
      <c r="Y45" s="1332">
        <v>41000</v>
      </c>
      <c r="Z45" s="1332">
        <v>41274</v>
      </c>
      <c r="AA45" s="1246" t="s">
        <v>6787</v>
      </c>
      <c r="AB45" s="703">
        <v>0</v>
      </c>
      <c r="AC45" s="703">
        <v>18123.400000000001</v>
      </c>
      <c r="AD45" s="703">
        <v>0</v>
      </c>
      <c r="AE45" s="187">
        <f>(L44)-(AD45)+(AC45)</f>
        <v>314763.40000000002</v>
      </c>
      <c r="AF45" s="1242"/>
      <c r="AG45" s="1242"/>
      <c r="AH45" s="1242">
        <f t="shared" ref="AH45:AH87" si="2">AF45+AG45</f>
        <v>0</v>
      </c>
      <c r="AI45" s="1243" t="s">
        <v>677</v>
      </c>
      <c r="AJ45" s="1243" t="s">
        <v>677</v>
      </c>
      <c r="AK45" s="1243" t="s">
        <v>677</v>
      </c>
      <c r="AL45" s="1243" t="s">
        <v>677</v>
      </c>
      <c r="AM45" s="1248" t="s">
        <v>677</v>
      </c>
      <c r="AN45" s="1248" t="s">
        <v>677</v>
      </c>
      <c r="AO45" s="1248" t="s">
        <v>677</v>
      </c>
      <c r="AP45" s="1248" t="s">
        <v>677</v>
      </c>
      <c r="AQ45" s="1248" t="s">
        <v>677</v>
      </c>
      <c r="AR45" s="1248" t="s">
        <v>677</v>
      </c>
      <c r="AS45" s="1243" t="s">
        <v>677</v>
      </c>
      <c r="AT45" s="1243" t="s">
        <v>677</v>
      </c>
      <c r="AU45" s="1243" t="s">
        <v>677</v>
      </c>
      <c r="AV45" s="1243" t="s">
        <v>677</v>
      </c>
      <c r="AW45" s="1243" t="s">
        <v>677</v>
      </c>
      <c r="AX45" s="1243" t="s">
        <v>677</v>
      </c>
      <c r="AY45" s="1243" t="s">
        <v>677</v>
      </c>
      <c r="AZ45" s="1243" t="s">
        <v>677</v>
      </c>
      <c r="BA45" s="1243" t="s">
        <v>677</v>
      </c>
      <c r="BB45" s="1243" t="s">
        <v>677</v>
      </c>
      <c r="BC45" s="1243" t="s">
        <v>677</v>
      </c>
      <c r="BD45" s="1243" t="s">
        <v>677</v>
      </c>
    </row>
    <row r="46" spans="1:56" s="422" customFormat="1" ht="25.5" x14ac:dyDescent="0.25">
      <c r="A46" s="2639"/>
      <c r="B46" s="2641"/>
      <c r="C46" s="1967"/>
      <c r="D46" s="1967"/>
      <c r="E46" s="1967"/>
      <c r="F46" s="1967"/>
      <c r="G46" s="1972"/>
      <c r="H46" s="2496"/>
      <c r="I46" s="2050"/>
      <c r="J46" s="1967"/>
      <c r="K46" s="1973"/>
      <c r="L46" s="2638"/>
      <c r="M46" s="1972"/>
      <c r="N46" s="2337"/>
      <c r="O46" s="2337"/>
      <c r="P46" s="2024"/>
      <c r="Q46" s="2024"/>
      <c r="R46" s="2024"/>
      <c r="S46" s="2024"/>
      <c r="T46" s="2024"/>
      <c r="U46" s="1340" t="s">
        <v>6788</v>
      </c>
      <c r="V46" s="1332">
        <v>41148</v>
      </c>
      <c r="W46" s="1338">
        <v>10877</v>
      </c>
      <c r="X46" s="1268" t="s">
        <v>6789</v>
      </c>
      <c r="Y46" s="1332">
        <v>41183</v>
      </c>
      <c r="Z46" s="1332">
        <v>41274</v>
      </c>
      <c r="AA46" s="703">
        <v>0</v>
      </c>
      <c r="AB46" s="1246" t="s">
        <v>6790</v>
      </c>
      <c r="AC46" s="703">
        <v>0</v>
      </c>
      <c r="AD46" s="703">
        <v>29783.01</v>
      </c>
      <c r="AE46" s="187">
        <f>(AE45)-(AD46)+(AC46)</f>
        <v>284980.39</v>
      </c>
      <c r="AF46" s="1319"/>
      <c r="AG46" s="1242"/>
      <c r="AH46" s="1242">
        <v>0</v>
      </c>
      <c r="AI46" s="1243"/>
      <c r="AJ46" s="1243"/>
      <c r="AK46" s="1243"/>
      <c r="AL46" s="1243"/>
      <c r="AM46" s="1248"/>
      <c r="AN46" s="1248"/>
      <c r="AO46" s="1248"/>
      <c r="AP46" s="1248"/>
      <c r="AQ46" s="1248"/>
      <c r="AR46" s="1248"/>
      <c r="AS46" s="1243"/>
      <c r="AT46" s="1243"/>
      <c r="AU46" s="1243"/>
      <c r="AV46" s="1243"/>
      <c r="AW46" s="1243"/>
      <c r="AX46" s="1243"/>
      <c r="AY46" s="1243"/>
      <c r="AZ46" s="1243"/>
      <c r="BA46" s="1243"/>
      <c r="BB46" s="1243"/>
      <c r="BC46" s="1243"/>
      <c r="BD46" s="1243"/>
    </row>
    <row r="47" spans="1:56" s="422" customFormat="1" ht="25.5" x14ac:dyDescent="0.25">
      <c r="A47" s="2639"/>
      <c r="B47" s="2641"/>
      <c r="C47" s="1967"/>
      <c r="D47" s="1967"/>
      <c r="E47" s="1967"/>
      <c r="F47" s="1967"/>
      <c r="G47" s="1972"/>
      <c r="H47" s="2496"/>
      <c r="I47" s="2050"/>
      <c r="J47" s="1967"/>
      <c r="K47" s="1973"/>
      <c r="L47" s="2638"/>
      <c r="M47" s="1972"/>
      <c r="N47" s="2337"/>
      <c r="O47" s="2337"/>
      <c r="P47" s="2024"/>
      <c r="Q47" s="2024"/>
      <c r="R47" s="2024"/>
      <c r="S47" s="2024"/>
      <c r="T47" s="2024"/>
      <c r="U47" s="1340" t="s">
        <v>6791</v>
      </c>
      <c r="V47" s="1332">
        <v>41264</v>
      </c>
      <c r="W47" s="1338">
        <v>10953</v>
      </c>
      <c r="X47" s="1268" t="s">
        <v>6792</v>
      </c>
      <c r="Y47" s="1244">
        <v>41275</v>
      </c>
      <c r="Z47" s="1244">
        <v>41639</v>
      </c>
      <c r="AA47" s="1319">
        <v>0</v>
      </c>
      <c r="AB47" s="1319">
        <v>0</v>
      </c>
      <c r="AC47" s="1319">
        <v>0</v>
      </c>
      <c r="AD47" s="1319">
        <v>0</v>
      </c>
      <c r="AE47" s="1319">
        <v>0</v>
      </c>
      <c r="AF47" s="1242"/>
      <c r="AG47" s="1242"/>
      <c r="AH47" s="1242">
        <f t="shared" si="2"/>
        <v>0</v>
      </c>
      <c r="AI47" s="1243" t="s">
        <v>677</v>
      </c>
      <c r="AJ47" s="1243" t="s">
        <v>677</v>
      </c>
      <c r="AK47" s="1243" t="s">
        <v>677</v>
      </c>
      <c r="AL47" s="1243" t="s">
        <v>677</v>
      </c>
      <c r="AM47" s="1248" t="s">
        <v>677</v>
      </c>
      <c r="AN47" s="1248" t="s">
        <v>677</v>
      </c>
      <c r="AO47" s="1248" t="s">
        <v>677</v>
      </c>
      <c r="AP47" s="1248" t="s">
        <v>677</v>
      </c>
      <c r="AQ47" s="1248" t="s">
        <v>677</v>
      </c>
      <c r="AR47" s="1248" t="s">
        <v>677</v>
      </c>
      <c r="AS47" s="1243" t="s">
        <v>677</v>
      </c>
      <c r="AT47" s="1243" t="s">
        <v>677</v>
      </c>
      <c r="AU47" s="1243" t="s">
        <v>677</v>
      </c>
      <c r="AV47" s="1243" t="s">
        <v>677</v>
      </c>
      <c r="AW47" s="1243" t="s">
        <v>677</v>
      </c>
      <c r="AX47" s="1243" t="s">
        <v>677</v>
      </c>
      <c r="AY47" s="1243" t="s">
        <v>677</v>
      </c>
      <c r="AZ47" s="1243" t="s">
        <v>677</v>
      </c>
      <c r="BA47" s="1243" t="s">
        <v>677</v>
      </c>
      <c r="BB47" s="1243" t="s">
        <v>677</v>
      </c>
      <c r="BC47" s="1243" t="s">
        <v>677</v>
      </c>
      <c r="BD47" s="1243" t="s">
        <v>677</v>
      </c>
    </row>
    <row r="48" spans="1:56" s="422" customFormat="1" x14ac:dyDescent="0.25">
      <c r="A48" s="2639"/>
      <c r="B48" s="2641"/>
      <c r="C48" s="1967"/>
      <c r="D48" s="1967"/>
      <c r="E48" s="1967"/>
      <c r="F48" s="1967"/>
      <c r="G48" s="1972"/>
      <c r="H48" s="2496"/>
      <c r="I48" s="2050"/>
      <c r="J48" s="1967"/>
      <c r="K48" s="1973"/>
      <c r="L48" s="2638"/>
      <c r="M48" s="1972"/>
      <c r="N48" s="2337"/>
      <c r="O48" s="2337"/>
      <c r="P48" s="2024"/>
      <c r="Q48" s="2024"/>
      <c r="R48" s="2024"/>
      <c r="S48" s="2024"/>
      <c r="T48" s="2024"/>
      <c r="U48" s="1340" t="s">
        <v>6752</v>
      </c>
      <c r="V48" s="1332">
        <v>41396</v>
      </c>
      <c r="W48" s="1338">
        <v>11059</v>
      </c>
      <c r="X48" s="1268" t="s">
        <v>6793</v>
      </c>
      <c r="Y48" s="1244">
        <v>41395</v>
      </c>
      <c r="Z48" s="1244">
        <v>41639</v>
      </c>
      <c r="AA48" s="1246" t="s">
        <v>6794</v>
      </c>
      <c r="AB48" s="1319">
        <v>0</v>
      </c>
      <c r="AC48" s="1319">
        <v>31805.88</v>
      </c>
      <c r="AD48" s="1319">
        <v>0</v>
      </c>
      <c r="AE48" s="187">
        <f>AE46-AD48+AC48</f>
        <v>316786.27</v>
      </c>
      <c r="AF48" s="1242"/>
      <c r="AG48" s="1242"/>
      <c r="AH48" s="1242">
        <f t="shared" si="2"/>
        <v>0</v>
      </c>
      <c r="AI48" s="1243" t="s">
        <v>677</v>
      </c>
      <c r="AJ48" s="1243" t="s">
        <v>677</v>
      </c>
      <c r="AK48" s="1243" t="s">
        <v>677</v>
      </c>
      <c r="AL48" s="1243" t="s">
        <v>677</v>
      </c>
      <c r="AM48" s="1248" t="s">
        <v>677</v>
      </c>
      <c r="AN48" s="1248" t="s">
        <v>677</v>
      </c>
      <c r="AO48" s="1248" t="s">
        <v>677</v>
      </c>
      <c r="AP48" s="1248" t="s">
        <v>677</v>
      </c>
      <c r="AQ48" s="1248" t="s">
        <v>677</v>
      </c>
      <c r="AR48" s="1248" t="s">
        <v>677</v>
      </c>
      <c r="AS48" s="1243" t="s">
        <v>677</v>
      </c>
      <c r="AT48" s="1243" t="s">
        <v>677</v>
      </c>
      <c r="AU48" s="1243" t="s">
        <v>677</v>
      </c>
      <c r="AV48" s="1243" t="s">
        <v>677</v>
      </c>
      <c r="AW48" s="1243" t="s">
        <v>677</v>
      </c>
      <c r="AX48" s="1243" t="s">
        <v>677</v>
      </c>
      <c r="AY48" s="1243" t="s">
        <v>677</v>
      </c>
      <c r="AZ48" s="1243" t="s">
        <v>677</v>
      </c>
      <c r="BA48" s="1243" t="s">
        <v>677</v>
      </c>
      <c r="BB48" s="1243" t="s">
        <v>677</v>
      </c>
      <c r="BC48" s="1243" t="s">
        <v>677</v>
      </c>
      <c r="BD48" s="1243" t="s">
        <v>677</v>
      </c>
    </row>
    <row r="49" spans="1:56" s="422" customFormat="1" x14ac:dyDescent="0.25">
      <c r="A49" s="2639"/>
      <c r="B49" s="2641"/>
      <c r="C49" s="1967"/>
      <c r="D49" s="1967"/>
      <c r="E49" s="1967"/>
      <c r="F49" s="1967"/>
      <c r="G49" s="1972"/>
      <c r="H49" s="2496"/>
      <c r="I49" s="2050"/>
      <c r="J49" s="1967"/>
      <c r="K49" s="1973"/>
      <c r="L49" s="2638"/>
      <c r="M49" s="1972"/>
      <c r="N49" s="2337"/>
      <c r="O49" s="2337"/>
      <c r="P49" s="2024"/>
      <c r="Q49" s="2024"/>
      <c r="R49" s="2024"/>
      <c r="S49" s="2024"/>
      <c r="T49" s="2024"/>
      <c r="U49" s="1340" t="s">
        <v>6755</v>
      </c>
      <c r="V49" s="1332">
        <v>41487</v>
      </c>
      <c r="W49" s="1338">
        <v>11120</v>
      </c>
      <c r="X49" s="1268" t="s">
        <v>6795</v>
      </c>
      <c r="Y49" s="1244">
        <v>41487</v>
      </c>
      <c r="Z49" s="1244">
        <v>41639</v>
      </c>
      <c r="AA49" s="1319" t="s">
        <v>677</v>
      </c>
      <c r="AB49" s="1319" t="s">
        <v>677</v>
      </c>
      <c r="AC49" s="1319">
        <v>12599.21</v>
      </c>
      <c r="AD49" s="1319">
        <v>0</v>
      </c>
      <c r="AE49" s="187">
        <f>AE48+AC49-AD49</f>
        <v>329385.48000000004</v>
      </c>
      <c r="AF49" s="1319"/>
      <c r="AG49" s="1242"/>
      <c r="AH49" s="1242">
        <v>0</v>
      </c>
      <c r="AI49" s="1243" t="s">
        <v>677</v>
      </c>
      <c r="AJ49" s="1243" t="s">
        <v>677</v>
      </c>
      <c r="AK49" s="1243" t="s">
        <v>677</v>
      </c>
      <c r="AL49" s="1243" t="s">
        <v>677</v>
      </c>
      <c r="AM49" s="1248" t="s">
        <v>677</v>
      </c>
      <c r="AN49" s="1248" t="s">
        <v>677</v>
      </c>
      <c r="AO49" s="1248" t="s">
        <v>677</v>
      </c>
      <c r="AP49" s="1248" t="s">
        <v>677</v>
      </c>
      <c r="AQ49" s="1248" t="s">
        <v>677</v>
      </c>
      <c r="AR49" s="1248" t="s">
        <v>677</v>
      </c>
      <c r="AS49" s="1243" t="s">
        <v>677</v>
      </c>
      <c r="AT49" s="1243" t="s">
        <v>677</v>
      </c>
      <c r="AU49" s="1243" t="s">
        <v>677</v>
      </c>
      <c r="AV49" s="1243" t="s">
        <v>677</v>
      </c>
      <c r="AW49" s="1243" t="s">
        <v>677</v>
      </c>
      <c r="AX49" s="1243" t="s">
        <v>677</v>
      </c>
      <c r="AY49" s="1243" t="s">
        <v>677</v>
      </c>
      <c r="AZ49" s="1243" t="s">
        <v>677</v>
      </c>
      <c r="BA49" s="1243" t="s">
        <v>677</v>
      </c>
      <c r="BB49" s="1243" t="s">
        <v>677</v>
      </c>
      <c r="BC49" s="1243" t="s">
        <v>677</v>
      </c>
      <c r="BD49" s="1243" t="s">
        <v>677</v>
      </c>
    </row>
    <row r="50" spans="1:56" s="422" customFormat="1" ht="25.5" x14ac:dyDescent="0.25">
      <c r="A50" s="2639"/>
      <c r="B50" s="2641"/>
      <c r="C50" s="1967"/>
      <c r="D50" s="1967"/>
      <c r="E50" s="1967"/>
      <c r="F50" s="1967"/>
      <c r="G50" s="1972"/>
      <c r="H50" s="2496"/>
      <c r="I50" s="2050"/>
      <c r="J50" s="1967"/>
      <c r="K50" s="1973"/>
      <c r="L50" s="2638"/>
      <c r="M50" s="1972"/>
      <c r="N50" s="2337"/>
      <c r="O50" s="2337"/>
      <c r="P50" s="2024"/>
      <c r="Q50" s="2024"/>
      <c r="R50" s="2024"/>
      <c r="S50" s="2024"/>
      <c r="T50" s="2024"/>
      <c r="U50" s="1340" t="s">
        <v>6756</v>
      </c>
      <c r="V50" s="1332">
        <v>41634</v>
      </c>
      <c r="W50" s="1338">
        <v>11210</v>
      </c>
      <c r="X50" s="1268" t="s">
        <v>6796</v>
      </c>
      <c r="Y50" s="1244">
        <v>41640</v>
      </c>
      <c r="Z50" s="1244">
        <v>42004</v>
      </c>
      <c r="AA50" s="1319" t="s">
        <v>677</v>
      </c>
      <c r="AB50" s="1319" t="s">
        <v>677</v>
      </c>
      <c r="AC50" s="1319">
        <v>0</v>
      </c>
      <c r="AD50" s="1319">
        <v>0</v>
      </c>
      <c r="AE50" s="1319">
        <v>0</v>
      </c>
      <c r="AF50" s="1319"/>
      <c r="AG50" s="1319"/>
      <c r="AH50" s="1242">
        <f>AF49+AG50</f>
        <v>0</v>
      </c>
      <c r="AI50" s="1243"/>
      <c r="AJ50" s="1243"/>
      <c r="AK50" s="1243"/>
      <c r="AL50" s="1243"/>
      <c r="AM50" s="1248"/>
      <c r="AN50" s="1248"/>
      <c r="AO50" s="1248"/>
      <c r="AP50" s="1248"/>
      <c r="AQ50" s="1248"/>
      <c r="AR50" s="1248"/>
      <c r="AS50" s="1243"/>
      <c r="AT50" s="1243"/>
      <c r="AU50" s="1243"/>
      <c r="AV50" s="1243"/>
      <c r="AW50" s="1243"/>
      <c r="AX50" s="1243"/>
      <c r="AY50" s="1243"/>
      <c r="AZ50" s="1243"/>
      <c r="BA50" s="1243"/>
      <c r="BB50" s="1243"/>
      <c r="BC50" s="1243"/>
      <c r="BD50" s="1243"/>
    </row>
    <row r="51" spans="1:56" s="422" customFormat="1" ht="25.5" x14ac:dyDescent="0.25">
      <c r="A51" s="2639"/>
      <c r="B51" s="2641"/>
      <c r="C51" s="1967"/>
      <c r="D51" s="1967"/>
      <c r="E51" s="1967"/>
      <c r="F51" s="1967"/>
      <c r="G51" s="1972"/>
      <c r="H51" s="2496"/>
      <c r="I51" s="2050"/>
      <c r="J51" s="1967"/>
      <c r="K51" s="1973"/>
      <c r="L51" s="2638"/>
      <c r="M51" s="1972"/>
      <c r="N51" s="2337"/>
      <c r="O51" s="2337"/>
      <c r="P51" s="2024"/>
      <c r="Q51" s="2024"/>
      <c r="R51" s="2024"/>
      <c r="S51" s="2024"/>
      <c r="T51" s="2024"/>
      <c r="U51" s="1340" t="s">
        <v>6765</v>
      </c>
      <c r="V51" s="1332">
        <v>41990</v>
      </c>
      <c r="W51" s="1338" t="s">
        <v>6797</v>
      </c>
      <c r="X51" s="1268" t="s">
        <v>6798</v>
      </c>
      <c r="Y51" s="1244">
        <v>42005</v>
      </c>
      <c r="Z51" s="1244">
        <v>42216</v>
      </c>
      <c r="AA51" s="1319">
        <v>0</v>
      </c>
      <c r="AB51" s="1319">
        <v>0</v>
      </c>
      <c r="AC51" s="1319">
        <v>0</v>
      </c>
      <c r="AD51" s="1319">
        <v>0</v>
      </c>
      <c r="AE51" s="1319">
        <v>0</v>
      </c>
      <c r="AF51" s="187">
        <v>753537.67</v>
      </c>
      <c r="AG51" s="187">
        <v>273592.2</v>
      </c>
      <c r="AH51" s="187">
        <f>AF51+AG51</f>
        <v>1027129.8700000001</v>
      </c>
      <c r="AI51" s="1243" t="s">
        <v>677</v>
      </c>
      <c r="AJ51" s="1243" t="s">
        <v>677</v>
      </c>
      <c r="AK51" s="1243" t="s">
        <v>677</v>
      </c>
      <c r="AL51" s="1243" t="s">
        <v>677</v>
      </c>
      <c r="AM51" s="1248" t="s">
        <v>677</v>
      </c>
      <c r="AN51" s="1248" t="s">
        <v>677</v>
      </c>
      <c r="AO51" s="1248" t="s">
        <v>677</v>
      </c>
      <c r="AP51" s="1248" t="s">
        <v>677</v>
      </c>
      <c r="AQ51" s="1248" t="s">
        <v>677</v>
      </c>
      <c r="AR51" s="1248" t="s">
        <v>677</v>
      </c>
      <c r="AS51" s="1243" t="s">
        <v>677</v>
      </c>
      <c r="AT51" s="1243" t="s">
        <v>677</v>
      </c>
      <c r="AU51" s="1243" t="s">
        <v>677</v>
      </c>
      <c r="AV51" s="1243" t="s">
        <v>677</v>
      </c>
      <c r="AW51" s="1243" t="s">
        <v>677</v>
      </c>
      <c r="AX51" s="1243" t="s">
        <v>677</v>
      </c>
      <c r="AY51" s="1243" t="s">
        <v>677</v>
      </c>
      <c r="AZ51" s="1243" t="s">
        <v>677</v>
      </c>
      <c r="BA51" s="1243" t="s">
        <v>677</v>
      </c>
      <c r="BB51" s="1243" t="s">
        <v>677</v>
      </c>
      <c r="BC51" s="1243" t="s">
        <v>677</v>
      </c>
      <c r="BD51" s="1243" t="s">
        <v>677</v>
      </c>
    </row>
    <row r="52" spans="1:56" s="422" customFormat="1" ht="38.25" x14ac:dyDescent="0.25">
      <c r="A52" s="2639">
        <v>7</v>
      </c>
      <c r="B52" s="2641" t="s">
        <v>823</v>
      </c>
      <c r="C52" s="1967" t="s">
        <v>6799</v>
      </c>
      <c r="D52" s="1967" t="s">
        <v>6800</v>
      </c>
      <c r="E52" s="1967" t="s">
        <v>5811</v>
      </c>
      <c r="F52" s="1967" t="s">
        <v>6801</v>
      </c>
      <c r="G52" s="1972">
        <v>10456</v>
      </c>
      <c r="H52" s="2496" t="s">
        <v>6802</v>
      </c>
      <c r="I52" s="2050" t="s">
        <v>6784</v>
      </c>
      <c r="J52" s="1967" t="s">
        <v>197</v>
      </c>
      <c r="K52" s="1973">
        <v>41135</v>
      </c>
      <c r="L52" s="2638">
        <v>221907.42</v>
      </c>
      <c r="M52" s="1972">
        <v>10865</v>
      </c>
      <c r="N52" s="1973">
        <v>41137</v>
      </c>
      <c r="O52" s="1973">
        <v>41274</v>
      </c>
      <c r="P52" s="1967" t="s">
        <v>6772</v>
      </c>
      <c r="Q52" s="1967" t="s">
        <v>677</v>
      </c>
      <c r="R52" s="1967" t="s">
        <v>677</v>
      </c>
      <c r="S52" s="1967" t="s">
        <v>677</v>
      </c>
      <c r="T52" s="1967" t="s">
        <v>208</v>
      </c>
      <c r="U52" s="1246" t="s">
        <v>267</v>
      </c>
      <c r="V52" s="1244">
        <v>41263</v>
      </c>
      <c r="W52" s="1246" t="s">
        <v>6803</v>
      </c>
      <c r="X52" s="1239" t="s">
        <v>6804</v>
      </c>
      <c r="Y52" s="1244">
        <v>41275</v>
      </c>
      <c r="Z52" s="1244">
        <v>41424</v>
      </c>
      <c r="AA52" s="1319">
        <v>0</v>
      </c>
      <c r="AB52" s="1246"/>
      <c r="AC52" s="1266">
        <v>24656.38</v>
      </c>
      <c r="AD52" s="1319">
        <v>0</v>
      </c>
      <c r="AE52" s="1319">
        <f>L52-AD52+AC52</f>
        <v>246563.80000000002</v>
      </c>
      <c r="AF52" s="1319"/>
      <c r="AG52" s="1242"/>
      <c r="AH52" s="1242">
        <f t="shared" si="2"/>
        <v>0</v>
      </c>
      <c r="AI52" s="1967" t="s">
        <v>6805</v>
      </c>
      <c r="AJ52" s="1972" t="s">
        <v>6806</v>
      </c>
      <c r="AK52" s="1967" t="s">
        <v>6807</v>
      </c>
      <c r="AL52" s="1972">
        <v>10852</v>
      </c>
      <c r="AM52" s="1248" t="s">
        <v>677</v>
      </c>
      <c r="AN52" s="1248" t="s">
        <v>677</v>
      </c>
      <c r="AO52" s="1248" t="s">
        <v>677</v>
      </c>
      <c r="AP52" s="1248" t="s">
        <v>677</v>
      </c>
      <c r="AQ52" s="1248" t="s">
        <v>677</v>
      </c>
      <c r="AR52" s="1248" t="s">
        <v>677</v>
      </c>
      <c r="AS52" s="1243" t="s">
        <v>677</v>
      </c>
      <c r="AT52" s="1243" t="s">
        <v>677</v>
      </c>
      <c r="AU52" s="1243" t="s">
        <v>677</v>
      </c>
      <c r="AV52" s="1243" t="s">
        <v>677</v>
      </c>
      <c r="AW52" s="1243" t="s">
        <v>677</v>
      </c>
      <c r="AX52" s="1243" t="s">
        <v>677</v>
      </c>
      <c r="AY52" s="1243" t="s">
        <v>677</v>
      </c>
      <c r="AZ52" s="1243" t="s">
        <v>677</v>
      </c>
      <c r="BA52" s="1243" t="s">
        <v>677</v>
      </c>
      <c r="BB52" s="1243" t="s">
        <v>677</v>
      </c>
      <c r="BC52" s="1243" t="s">
        <v>677</v>
      </c>
      <c r="BD52" s="1243" t="s">
        <v>677</v>
      </c>
    </row>
    <row r="53" spans="1:56" s="422" customFormat="1" ht="25.5" x14ac:dyDescent="0.25">
      <c r="A53" s="2639"/>
      <c r="B53" s="2641"/>
      <c r="C53" s="1967"/>
      <c r="D53" s="1967"/>
      <c r="E53" s="1967"/>
      <c r="F53" s="1967"/>
      <c r="G53" s="1972"/>
      <c r="H53" s="2496"/>
      <c r="I53" s="2050"/>
      <c r="J53" s="1967"/>
      <c r="K53" s="1973">
        <v>41137</v>
      </c>
      <c r="L53" s="2638"/>
      <c r="M53" s="1972"/>
      <c r="N53" s="1973">
        <v>41137</v>
      </c>
      <c r="O53" s="1973">
        <v>41274</v>
      </c>
      <c r="P53" s="1967"/>
      <c r="Q53" s="1967"/>
      <c r="R53" s="1967"/>
      <c r="S53" s="1967"/>
      <c r="T53" s="1967"/>
      <c r="U53" s="1246" t="s">
        <v>6808</v>
      </c>
      <c r="V53" s="1244">
        <v>41306</v>
      </c>
      <c r="W53" s="1246" t="s">
        <v>6809</v>
      </c>
      <c r="X53" s="1239" t="s">
        <v>6810</v>
      </c>
      <c r="Y53" s="1244">
        <v>41306</v>
      </c>
      <c r="Z53" s="1244">
        <v>41424</v>
      </c>
      <c r="AA53" s="1319">
        <v>0</v>
      </c>
      <c r="AB53" s="1246" t="s">
        <v>6811</v>
      </c>
      <c r="AC53" s="1266">
        <v>0</v>
      </c>
      <c r="AD53" s="1319">
        <v>14089.36</v>
      </c>
      <c r="AE53" s="1319">
        <f>AE52-AD53</f>
        <v>232474.44</v>
      </c>
      <c r="AF53" s="1242"/>
      <c r="AG53" s="1242"/>
      <c r="AH53" s="1242">
        <f t="shared" si="2"/>
        <v>0</v>
      </c>
      <c r="AI53" s="1967"/>
      <c r="AJ53" s="1972"/>
      <c r="AK53" s="1967"/>
      <c r="AL53" s="1972"/>
      <c r="AM53" s="1248" t="s">
        <v>677</v>
      </c>
      <c r="AN53" s="1248" t="s">
        <v>677</v>
      </c>
      <c r="AO53" s="1248" t="s">
        <v>677</v>
      </c>
      <c r="AP53" s="1248" t="s">
        <v>677</v>
      </c>
      <c r="AQ53" s="1248" t="s">
        <v>677</v>
      </c>
      <c r="AR53" s="1248" t="s">
        <v>677</v>
      </c>
      <c r="AS53" s="1243" t="s">
        <v>677</v>
      </c>
      <c r="AT53" s="1243" t="s">
        <v>677</v>
      </c>
      <c r="AU53" s="1243" t="s">
        <v>677</v>
      </c>
      <c r="AV53" s="1243" t="s">
        <v>677</v>
      </c>
      <c r="AW53" s="1243" t="s">
        <v>677</v>
      </c>
      <c r="AX53" s="1243" t="s">
        <v>677</v>
      </c>
      <c r="AY53" s="1243" t="s">
        <v>677</v>
      </c>
      <c r="AZ53" s="1243" t="s">
        <v>677</v>
      </c>
      <c r="BA53" s="1243" t="s">
        <v>677</v>
      </c>
      <c r="BB53" s="1243" t="s">
        <v>677</v>
      </c>
      <c r="BC53" s="1243" t="s">
        <v>677</v>
      </c>
      <c r="BD53" s="1243" t="s">
        <v>677</v>
      </c>
    </row>
    <row r="54" spans="1:56" s="422" customFormat="1" ht="25.5" x14ac:dyDescent="0.25">
      <c r="A54" s="2639"/>
      <c r="B54" s="2641"/>
      <c r="C54" s="1967"/>
      <c r="D54" s="1967"/>
      <c r="E54" s="1967"/>
      <c r="F54" s="1967"/>
      <c r="G54" s="1972"/>
      <c r="H54" s="2496"/>
      <c r="I54" s="2050"/>
      <c r="J54" s="1967"/>
      <c r="K54" s="1973">
        <v>41137</v>
      </c>
      <c r="L54" s="2638"/>
      <c r="M54" s="1972"/>
      <c r="N54" s="1973">
        <v>41137</v>
      </c>
      <c r="O54" s="1973">
        <v>41274</v>
      </c>
      <c r="P54" s="1967"/>
      <c r="Q54" s="1967"/>
      <c r="R54" s="1967"/>
      <c r="S54" s="1967"/>
      <c r="T54" s="1967"/>
      <c r="U54" s="1246" t="s">
        <v>6750</v>
      </c>
      <c r="V54" s="1244">
        <v>41415</v>
      </c>
      <c r="W54" s="1246" t="s">
        <v>6809</v>
      </c>
      <c r="X54" s="1239" t="s">
        <v>6812</v>
      </c>
      <c r="Y54" s="1244">
        <v>41426</v>
      </c>
      <c r="Z54" s="1244">
        <v>41639</v>
      </c>
      <c r="AA54" s="1319">
        <v>0</v>
      </c>
      <c r="AB54" s="1319">
        <v>0</v>
      </c>
      <c r="AC54" s="1266">
        <v>0</v>
      </c>
      <c r="AD54" s="1319">
        <v>0</v>
      </c>
      <c r="AE54" s="1319">
        <f>'[3]2014'!AF46</f>
        <v>320532.94</v>
      </c>
      <c r="AF54" s="1242"/>
      <c r="AG54" s="1242"/>
      <c r="AH54" s="1242">
        <f t="shared" si="2"/>
        <v>0</v>
      </c>
      <c r="AI54" s="1967"/>
      <c r="AJ54" s="1972"/>
      <c r="AK54" s="1967"/>
      <c r="AL54" s="1972"/>
      <c r="AM54" s="1248" t="s">
        <v>677</v>
      </c>
      <c r="AN54" s="1248" t="s">
        <v>677</v>
      </c>
      <c r="AO54" s="1248" t="s">
        <v>677</v>
      </c>
      <c r="AP54" s="1248" t="s">
        <v>677</v>
      </c>
      <c r="AQ54" s="1248" t="s">
        <v>677</v>
      </c>
      <c r="AR54" s="1248" t="s">
        <v>677</v>
      </c>
      <c r="AS54" s="1243" t="s">
        <v>677</v>
      </c>
      <c r="AT54" s="1243" t="s">
        <v>677</v>
      </c>
      <c r="AU54" s="1243" t="s">
        <v>677</v>
      </c>
      <c r="AV54" s="1243" t="s">
        <v>677</v>
      </c>
      <c r="AW54" s="1243" t="s">
        <v>677</v>
      </c>
      <c r="AX54" s="1243" t="s">
        <v>677</v>
      </c>
      <c r="AY54" s="1243" t="s">
        <v>677</v>
      </c>
      <c r="AZ54" s="1243" t="s">
        <v>677</v>
      </c>
      <c r="BA54" s="1243" t="s">
        <v>677</v>
      </c>
      <c r="BB54" s="1243" t="s">
        <v>677</v>
      </c>
      <c r="BC54" s="1243" t="s">
        <v>677</v>
      </c>
      <c r="BD54" s="1243" t="s">
        <v>677</v>
      </c>
    </row>
    <row r="55" spans="1:56" s="422" customFormat="1" ht="25.5" x14ac:dyDescent="0.25">
      <c r="A55" s="2639"/>
      <c r="B55" s="2641"/>
      <c r="C55" s="1967"/>
      <c r="D55" s="1967"/>
      <c r="E55" s="1967"/>
      <c r="F55" s="1967"/>
      <c r="G55" s="1972"/>
      <c r="H55" s="2496"/>
      <c r="I55" s="2050"/>
      <c r="J55" s="1967"/>
      <c r="K55" s="1973">
        <v>41137</v>
      </c>
      <c r="L55" s="2638"/>
      <c r="M55" s="1972"/>
      <c r="N55" s="1973">
        <v>41137</v>
      </c>
      <c r="O55" s="1973">
        <v>41274</v>
      </c>
      <c r="P55" s="1967"/>
      <c r="Q55" s="1967"/>
      <c r="R55" s="1967"/>
      <c r="S55" s="1967"/>
      <c r="T55" s="1967"/>
      <c r="U55" s="1246" t="s">
        <v>6752</v>
      </c>
      <c r="V55" s="1244">
        <v>41417</v>
      </c>
      <c r="W55" s="1246" t="s">
        <v>6809</v>
      </c>
      <c r="X55" s="1239" t="s">
        <v>6813</v>
      </c>
      <c r="Y55" s="1244">
        <v>41418</v>
      </c>
      <c r="Z55" s="1244">
        <v>41639</v>
      </c>
      <c r="AA55" s="1246" t="s">
        <v>6814</v>
      </c>
      <c r="AB55" s="1319">
        <v>0</v>
      </c>
      <c r="AC55" s="1266">
        <v>50252.04</v>
      </c>
      <c r="AD55" s="1319">
        <v>0</v>
      </c>
      <c r="AE55" s="1319">
        <f>'[3]2014'!AF47</f>
        <v>370784.98</v>
      </c>
      <c r="AF55" s="1242"/>
      <c r="AG55" s="1242"/>
      <c r="AH55" s="1242">
        <f t="shared" si="2"/>
        <v>0</v>
      </c>
      <c r="AI55" s="1967"/>
      <c r="AJ55" s="1972"/>
      <c r="AK55" s="1967"/>
      <c r="AL55" s="1972"/>
      <c r="AM55" s="1248" t="s">
        <v>677</v>
      </c>
      <c r="AN55" s="1248" t="s">
        <v>677</v>
      </c>
      <c r="AO55" s="1248" t="s">
        <v>677</v>
      </c>
      <c r="AP55" s="1248" t="s">
        <v>677</v>
      </c>
      <c r="AQ55" s="1248" t="s">
        <v>677</v>
      </c>
      <c r="AR55" s="1248" t="s">
        <v>677</v>
      </c>
      <c r="AS55" s="1243" t="s">
        <v>677</v>
      </c>
      <c r="AT55" s="1243" t="s">
        <v>677</v>
      </c>
      <c r="AU55" s="1243" t="s">
        <v>677</v>
      </c>
      <c r="AV55" s="1243" t="s">
        <v>677</v>
      </c>
      <c r="AW55" s="1243" t="s">
        <v>677</v>
      </c>
      <c r="AX55" s="1243" t="s">
        <v>677</v>
      </c>
      <c r="AY55" s="1243" t="s">
        <v>677</v>
      </c>
      <c r="AZ55" s="1243" t="s">
        <v>677</v>
      </c>
      <c r="BA55" s="1243" t="s">
        <v>677</v>
      </c>
      <c r="BB55" s="1243" t="s">
        <v>677</v>
      </c>
      <c r="BC55" s="1243" t="s">
        <v>677</v>
      </c>
      <c r="BD55" s="1243" t="s">
        <v>677</v>
      </c>
    </row>
    <row r="56" spans="1:56" s="422" customFormat="1" x14ac:dyDescent="0.25">
      <c r="A56" s="2639"/>
      <c r="B56" s="2641"/>
      <c r="C56" s="1967"/>
      <c r="D56" s="1967"/>
      <c r="E56" s="1967"/>
      <c r="F56" s="1967"/>
      <c r="G56" s="1972"/>
      <c r="H56" s="2496"/>
      <c r="I56" s="2050"/>
      <c r="J56" s="1967"/>
      <c r="K56" s="1973"/>
      <c r="L56" s="2638"/>
      <c r="M56" s="1972"/>
      <c r="N56" s="1973"/>
      <c r="O56" s="1973"/>
      <c r="P56" s="1967"/>
      <c r="Q56" s="1967"/>
      <c r="R56" s="1967"/>
      <c r="S56" s="1967"/>
      <c r="T56" s="1967"/>
      <c r="U56" s="1246" t="s">
        <v>6755</v>
      </c>
      <c r="V56" s="1244">
        <v>41634</v>
      </c>
      <c r="W56" s="1246" t="s">
        <v>6815</v>
      </c>
      <c r="X56" s="1239" t="s">
        <v>6749</v>
      </c>
      <c r="Y56" s="1244">
        <v>41640</v>
      </c>
      <c r="Z56" s="1244">
        <v>42004</v>
      </c>
      <c r="AA56" s="1319">
        <v>0</v>
      </c>
      <c r="AB56" s="1319">
        <v>0</v>
      </c>
      <c r="AC56" s="1266">
        <v>0</v>
      </c>
      <c r="AD56" s="1319">
        <v>0</v>
      </c>
      <c r="AE56" s="187">
        <f>'[3]2014'!AF48</f>
        <v>634021.19999999995</v>
      </c>
      <c r="AF56" s="1242"/>
      <c r="AG56" s="1242"/>
      <c r="AH56" s="1242">
        <f t="shared" si="2"/>
        <v>0</v>
      </c>
      <c r="AI56" s="1967"/>
      <c r="AJ56" s="1972"/>
      <c r="AK56" s="1967"/>
      <c r="AL56" s="1972"/>
      <c r="AM56" s="1248"/>
      <c r="AN56" s="1248"/>
      <c r="AO56" s="1248"/>
      <c r="AP56" s="1248"/>
      <c r="AQ56" s="1248"/>
      <c r="AR56" s="1248"/>
      <c r="AS56" s="1243"/>
      <c r="AT56" s="1243"/>
      <c r="AU56" s="1243"/>
      <c r="AV56" s="1243"/>
      <c r="AW56" s="1243"/>
      <c r="AX56" s="1243"/>
      <c r="AY56" s="1243"/>
      <c r="AZ56" s="1243"/>
      <c r="BA56" s="1243"/>
      <c r="BB56" s="1243"/>
      <c r="BC56" s="1243"/>
      <c r="BD56" s="1243"/>
    </row>
    <row r="57" spans="1:56" s="422" customFormat="1" x14ac:dyDescent="0.25">
      <c r="A57" s="2639"/>
      <c r="B57" s="2641"/>
      <c r="C57" s="1967"/>
      <c r="D57" s="1967"/>
      <c r="E57" s="1967"/>
      <c r="F57" s="1967"/>
      <c r="G57" s="1972"/>
      <c r="H57" s="2496"/>
      <c r="I57" s="2050"/>
      <c r="J57" s="1967"/>
      <c r="K57" s="1973">
        <v>41137</v>
      </c>
      <c r="L57" s="2638"/>
      <c r="M57" s="1972"/>
      <c r="N57" s="1973">
        <v>41137</v>
      </c>
      <c r="O57" s="1973">
        <v>41274</v>
      </c>
      <c r="P57" s="1967"/>
      <c r="Q57" s="1967"/>
      <c r="R57" s="1967"/>
      <c r="S57" s="1967"/>
      <c r="T57" s="1967"/>
      <c r="U57" s="1246" t="s">
        <v>6756</v>
      </c>
      <c r="V57" s="1244">
        <v>41990</v>
      </c>
      <c r="W57" s="1246" t="s">
        <v>6797</v>
      </c>
      <c r="X57" s="1239" t="s">
        <v>6749</v>
      </c>
      <c r="Y57" s="1244">
        <v>42005</v>
      </c>
      <c r="Z57" s="1244">
        <v>42216</v>
      </c>
      <c r="AA57" s="1319">
        <v>0</v>
      </c>
      <c r="AB57" s="1319">
        <v>0</v>
      </c>
      <c r="AC57" s="1266">
        <v>0</v>
      </c>
      <c r="AD57" s="1319">
        <v>0</v>
      </c>
      <c r="AE57" s="1319">
        <f>'[3]2014'!AF49</f>
        <v>369845.7</v>
      </c>
      <c r="AF57" s="187">
        <v>603259.42000000004</v>
      </c>
      <c r="AG57" s="187">
        <v>634021.19999999995</v>
      </c>
      <c r="AH57" s="187">
        <f t="shared" si="2"/>
        <v>1237280.6200000001</v>
      </c>
      <c r="AI57" s="1967"/>
      <c r="AJ57" s="1972"/>
      <c r="AK57" s="1967"/>
      <c r="AL57" s="1972"/>
      <c r="AM57" s="1248" t="s">
        <v>677</v>
      </c>
      <c r="AN57" s="1248" t="s">
        <v>677</v>
      </c>
      <c r="AO57" s="1248" t="s">
        <v>677</v>
      </c>
      <c r="AP57" s="1248" t="s">
        <v>677</v>
      </c>
      <c r="AQ57" s="1248" t="s">
        <v>677</v>
      </c>
      <c r="AR57" s="1248" t="s">
        <v>677</v>
      </c>
      <c r="AS57" s="1243" t="s">
        <v>677</v>
      </c>
      <c r="AT57" s="1243" t="s">
        <v>677</v>
      </c>
      <c r="AU57" s="1243" t="s">
        <v>677</v>
      </c>
      <c r="AV57" s="1243" t="s">
        <v>677</v>
      </c>
      <c r="AW57" s="1243" t="s">
        <v>677</v>
      </c>
      <c r="AX57" s="1243" t="s">
        <v>677</v>
      </c>
      <c r="AY57" s="1243" t="s">
        <v>677</v>
      </c>
      <c r="AZ57" s="1243" t="s">
        <v>677</v>
      </c>
      <c r="BA57" s="1243" t="s">
        <v>677</v>
      </c>
      <c r="BB57" s="1243" t="s">
        <v>677</v>
      </c>
      <c r="BC57" s="1243" t="s">
        <v>677</v>
      </c>
      <c r="BD57" s="1243" t="s">
        <v>677</v>
      </c>
    </row>
    <row r="58" spans="1:56" s="422" customFormat="1" x14ac:dyDescent="0.25">
      <c r="A58" s="2639">
        <v>8</v>
      </c>
      <c r="B58" s="2641" t="s">
        <v>817</v>
      </c>
      <c r="C58" s="1967" t="s">
        <v>6799</v>
      </c>
      <c r="D58" s="1967" t="s">
        <v>6800</v>
      </c>
      <c r="E58" s="1967" t="s">
        <v>5811</v>
      </c>
      <c r="F58" s="2171" t="s">
        <v>6801</v>
      </c>
      <c r="G58" s="1972">
        <v>10456</v>
      </c>
      <c r="H58" s="2496" t="s">
        <v>6816</v>
      </c>
      <c r="I58" s="2050" t="s">
        <v>6784</v>
      </c>
      <c r="J58" s="1967" t="s">
        <v>197</v>
      </c>
      <c r="K58" s="1973">
        <v>41183</v>
      </c>
      <c r="L58" s="2638">
        <v>29919.599999999999</v>
      </c>
      <c r="M58" s="1978" t="s">
        <v>6817</v>
      </c>
      <c r="N58" s="1973">
        <v>41183</v>
      </c>
      <c r="O58" s="1973">
        <v>41274</v>
      </c>
      <c r="P58" s="1967" t="s">
        <v>6772</v>
      </c>
      <c r="Q58" s="1967" t="s">
        <v>677</v>
      </c>
      <c r="R58" s="1967" t="s">
        <v>677</v>
      </c>
      <c r="S58" s="1967" t="s">
        <v>677</v>
      </c>
      <c r="T58" s="1967" t="s">
        <v>208</v>
      </c>
      <c r="U58" s="1246" t="s">
        <v>267</v>
      </c>
      <c r="V58" s="1244">
        <v>41263</v>
      </c>
      <c r="W58" s="1246" t="s">
        <v>6803</v>
      </c>
      <c r="X58" s="1239" t="s">
        <v>6749</v>
      </c>
      <c r="Y58" s="1244">
        <v>41275</v>
      </c>
      <c r="Z58" s="1244">
        <v>41424</v>
      </c>
      <c r="AA58" s="1246" t="s">
        <v>677</v>
      </c>
      <c r="AB58" s="1246" t="s">
        <v>677</v>
      </c>
      <c r="AC58" s="1266">
        <v>0</v>
      </c>
      <c r="AD58" s="1319">
        <v>0</v>
      </c>
      <c r="AE58" s="1319">
        <f>'[3]2014'!AF50</f>
        <v>49866</v>
      </c>
      <c r="AF58" s="1242"/>
      <c r="AG58" s="1242"/>
      <c r="AH58" s="1242">
        <f t="shared" si="2"/>
        <v>0</v>
      </c>
      <c r="AI58" s="1967" t="s">
        <v>6805</v>
      </c>
      <c r="AJ58" s="1972" t="s">
        <v>6806</v>
      </c>
      <c r="AK58" s="1967" t="s">
        <v>6807</v>
      </c>
      <c r="AL58" s="1972">
        <v>10899</v>
      </c>
      <c r="AM58" s="1248" t="s">
        <v>677</v>
      </c>
      <c r="AN58" s="1248" t="s">
        <v>677</v>
      </c>
      <c r="AO58" s="1248" t="s">
        <v>677</v>
      </c>
      <c r="AP58" s="1248" t="s">
        <v>677</v>
      </c>
      <c r="AQ58" s="1248" t="s">
        <v>677</v>
      </c>
      <c r="AR58" s="1248" t="s">
        <v>677</v>
      </c>
      <c r="AS58" s="1243" t="s">
        <v>677</v>
      </c>
      <c r="AT58" s="1243" t="s">
        <v>677</v>
      </c>
      <c r="AU58" s="1243" t="s">
        <v>677</v>
      </c>
      <c r="AV58" s="1243" t="s">
        <v>677</v>
      </c>
      <c r="AW58" s="1243" t="s">
        <v>677</v>
      </c>
      <c r="AX58" s="1243" t="s">
        <v>677</v>
      </c>
      <c r="AY58" s="1243" t="s">
        <v>677</v>
      </c>
      <c r="AZ58" s="1243" t="s">
        <v>677</v>
      </c>
      <c r="BA58" s="1243" t="s">
        <v>677</v>
      </c>
      <c r="BB58" s="1243" t="s">
        <v>677</v>
      </c>
      <c r="BC58" s="1243" t="s">
        <v>677</v>
      </c>
      <c r="BD58" s="1243" t="s">
        <v>677</v>
      </c>
    </row>
    <row r="59" spans="1:56" s="422" customFormat="1" x14ac:dyDescent="0.25">
      <c r="A59" s="2639"/>
      <c r="B59" s="2641"/>
      <c r="C59" s="1967"/>
      <c r="D59" s="1967"/>
      <c r="E59" s="1967"/>
      <c r="F59" s="2171"/>
      <c r="G59" s="1972"/>
      <c r="H59" s="2496"/>
      <c r="I59" s="2050"/>
      <c r="J59" s="1967"/>
      <c r="K59" s="1973"/>
      <c r="L59" s="2638"/>
      <c r="M59" s="1978"/>
      <c r="N59" s="1973"/>
      <c r="O59" s="1973"/>
      <c r="P59" s="1967"/>
      <c r="Q59" s="1967"/>
      <c r="R59" s="1967"/>
      <c r="S59" s="1967"/>
      <c r="T59" s="1967"/>
      <c r="U59" s="1246" t="s">
        <v>6748</v>
      </c>
      <c r="V59" s="1244">
        <v>41415</v>
      </c>
      <c r="W59" s="1246" t="s">
        <v>6809</v>
      </c>
      <c r="X59" s="1239" t="s">
        <v>6749</v>
      </c>
      <c r="Y59" s="1244">
        <v>41426</v>
      </c>
      <c r="Z59" s="1244">
        <v>41639</v>
      </c>
      <c r="AA59" s="1246" t="s">
        <v>677</v>
      </c>
      <c r="AB59" s="1246" t="s">
        <v>677</v>
      </c>
      <c r="AC59" s="1266">
        <v>0</v>
      </c>
      <c r="AD59" s="1319">
        <v>0</v>
      </c>
      <c r="AE59" s="1319">
        <f>'[3]2014'!AF51</f>
        <v>69812.399999999994</v>
      </c>
      <c r="AF59" s="1242"/>
      <c r="AG59" s="1242"/>
      <c r="AH59" s="1242">
        <f t="shared" si="2"/>
        <v>0</v>
      </c>
      <c r="AI59" s="1967"/>
      <c r="AJ59" s="1972"/>
      <c r="AK59" s="1967"/>
      <c r="AL59" s="1972"/>
      <c r="AM59" s="1248" t="s">
        <v>677</v>
      </c>
      <c r="AN59" s="1248" t="s">
        <v>677</v>
      </c>
      <c r="AO59" s="1248" t="s">
        <v>677</v>
      </c>
      <c r="AP59" s="1248" t="s">
        <v>677</v>
      </c>
      <c r="AQ59" s="1248" t="s">
        <v>677</v>
      </c>
      <c r="AR59" s="1248" t="s">
        <v>677</v>
      </c>
      <c r="AS59" s="1243" t="s">
        <v>677</v>
      </c>
      <c r="AT59" s="1243" t="s">
        <v>677</v>
      </c>
      <c r="AU59" s="1243" t="s">
        <v>677</v>
      </c>
      <c r="AV59" s="1243" t="s">
        <v>677</v>
      </c>
      <c r="AW59" s="1243" t="s">
        <v>677</v>
      </c>
      <c r="AX59" s="1243" t="s">
        <v>677</v>
      </c>
      <c r="AY59" s="1243" t="s">
        <v>677</v>
      </c>
      <c r="AZ59" s="1243" t="s">
        <v>677</v>
      </c>
      <c r="BA59" s="1243" t="s">
        <v>677</v>
      </c>
      <c r="BB59" s="1243" t="s">
        <v>677</v>
      </c>
      <c r="BC59" s="1243" t="s">
        <v>677</v>
      </c>
      <c r="BD59" s="1243" t="s">
        <v>677</v>
      </c>
    </row>
    <row r="60" spans="1:56" s="422" customFormat="1" x14ac:dyDescent="0.25">
      <c r="A60" s="2639"/>
      <c r="B60" s="2641"/>
      <c r="C60" s="1967"/>
      <c r="D60" s="1967"/>
      <c r="E60" s="1967"/>
      <c r="F60" s="2171"/>
      <c r="G60" s="1972"/>
      <c r="H60" s="2496"/>
      <c r="I60" s="2050"/>
      <c r="J60" s="1967"/>
      <c r="K60" s="1973"/>
      <c r="L60" s="2638"/>
      <c r="M60" s="1978"/>
      <c r="N60" s="1973"/>
      <c r="O60" s="1973"/>
      <c r="P60" s="1967"/>
      <c r="Q60" s="1967"/>
      <c r="R60" s="1967"/>
      <c r="S60" s="1967"/>
      <c r="T60" s="1967"/>
      <c r="U60" s="1246" t="s">
        <v>6750</v>
      </c>
      <c r="V60" s="1244">
        <v>41634</v>
      </c>
      <c r="W60" s="1246" t="s">
        <v>6815</v>
      </c>
      <c r="X60" s="1239" t="s">
        <v>6749</v>
      </c>
      <c r="Y60" s="1244">
        <v>41640</v>
      </c>
      <c r="Z60" s="1244">
        <v>42004</v>
      </c>
      <c r="AA60" s="1246" t="s">
        <v>677</v>
      </c>
      <c r="AB60" s="1246" t="s">
        <v>677</v>
      </c>
      <c r="AC60" s="1266">
        <v>0</v>
      </c>
      <c r="AD60" s="1319">
        <v>0</v>
      </c>
      <c r="AE60" s="1319">
        <f>'[3]2014'!AF52</f>
        <v>119678.39999999999</v>
      </c>
      <c r="AF60" s="1242"/>
      <c r="AG60" s="1242"/>
      <c r="AH60" s="1242">
        <f t="shared" si="2"/>
        <v>0</v>
      </c>
      <c r="AI60" s="1967"/>
      <c r="AJ60" s="1972"/>
      <c r="AK60" s="1967"/>
      <c r="AL60" s="1972"/>
      <c r="AM60" s="1248"/>
      <c r="AN60" s="1248"/>
      <c r="AO60" s="1248"/>
      <c r="AP60" s="1248"/>
      <c r="AQ60" s="1248"/>
      <c r="AR60" s="1248"/>
      <c r="AS60" s="1243"/>
      <c r="AT60" s="1243"/>
      <c r="AU60" s="1243"/>
      <c r="AV60" s="1243"/>
      <c r="AW60" s="1243"/>
      <c r="AX60" s="1243"/>
      <c r="AY60" s="1243"/>
      <c r="AZ60" s="1243"/>
      <c r="BA60" s="1243"/>
      <c r="BB60" s="1243"/>
      <c r="BC60" s="1243"/>
      <c r="BD60" s="1243"/>
    </row>
    <row r="61" spans="1:56" s="422" customFormat="1" x14ac:dyDescent="0.25">
      <c r="A61" s="2639"/>
      <c r="B61" s="2641"/>
      <c r="C61" s="1967"/>
      <c r="D61" s="1967"/>
      <c r="E61" s="1967"/>
      <c r="F61" s="2171"/>
      <c r="G61" s="1972"/>
      <c r="H61" s="2496"/>
      <c r="I61" s="2050"/>
      <c r="J61" s="1967"/>
      <c r="K61" s="1973"/>
      <c r="L61" s="2638"/>
      <c r="M61" s="1978"/>
      <c r="N61" s="1973"/>
      <c r="O61" s="1973"/>
      <c r="P61" s="1967"/>
      <c r="Q61" s="1967"/>
      <c r="R61" s="1967"/>
      <c r="S61" s="1967"/>
      <c r="T61" s="1967"/>
      <c r="U61" s="1246" t="s">
        <v>6752</v>
      </c>
      <c r="V61" s="1244">
        <v>41990</v>
      </c>
      <c r="W61" s="1246" t="s">
        <v>6818</v>
      </c>
      <c r="X61" s="1239" t="s">
        <v>6749</v>
      </c>
      <c r="Y61" s="1244">
        <v>42005</v>
      </c>
      <c r="Z61" s="1244">
        <v>42216</v>
      </c>
      <c r="AA61" s="1246" t="s">
        <v>677</v>
      </c>
      <c r="AB61" s="1246" t="s">
        <v>677</v>
      </c>
      <c r="AC61" s="1266">
        <v>0</v>
      </c>
      <c r="AD61" s="1319">
        <v>0</v>
      </c>
      <c r="AE61" s="1319">
        <f>'[3]2014'!AF53</f>
        <v>69812.399999999994</v>
      </c>
      <c r="AF61" s="187">
        <f>AE58+AE59+L58</f>
        <v>149598</v>
      </c>
      <c r="AG61" s="187">
        <v>119678.39999999999</v>
      </c>
      <c r="AH61" s="187">
        <f t="shared" si="2"/>
        <v>269276.40000000002</v>
      </c>
      <c r="AI61" s="1967"/>
      <c r="AJ61" s="1972"/>
      <c r="AK61" s="1967"/>
      <c r="AL61" s="1972"/>
      <c r="AM61" s="1248" t="s">
        <v>677</v>
      </c>
      <c r="AN61" s="1248" t="s">
        <v>677</v>
      </c>
      <c r="AO61" s="1248" t="s">
        <v>677</v>
      </c>
      <c r="AP61" s="1248" t="s">
        <v>677</v>
      </c>
      <c r="AQ61" s="1248" t="s">
        <v>677</v>
      </c>
      <c r="AR61" s="1248" t="s">
        <v>677</v>
      </c>
      <c r="AS61" s="1243" t="s">
        <v>677</v>
      </c>
      <c r="AT61" s="1243" t="s">
        <v>677</v>
      </c>
      <c r="AU61" s="1243" t="s">
        <v>677</v>
      </c>
      <c r="AV61" s="1243" t="s">
        <v>677</v>
      </c>
      <c r="AW61" s="1243" t="s">
        <v>677</v>
      </c>
      <c r="AX61" s="1243" t="s">
        <v>677</v>
      </c>
      <c r="AY61" s="1243" t="s">
        <v>677</v>
      </c>
      <c r="AZ61" s="1243" t="s">
        <v>677</v>
      </c>
      <c r="BA61" s="1243" t="s">
        <v>677</v>
      </c>
      <c r="BB61" s="1243" t="s">
        <v>677</v>
      </c>
      <c r="BC61" s="1243" t="s">
        <v>677</v>
      </c>
      <c r="BD61" s="1243" t="s">
        <v>677</v>
      </c>
    </row>
    <row r="62" spans="1:56" s="422" customFormat="1" x14ac:dyDescent="0.25">
      <c r="A62" s="2639">
        <v>9</v>
      </c>
      <c r="B62" s="2641" t="s">
        <v>381</v>
      </c>
      <c r="C62" s="1967" t="s">
        <v>6819</v>
      </c>
      <c r="D62" s="1967" t="s">
        <v>6800</v>
      </c>
      <c r="E62" s="1967" t="s">
        <v>5811</v>
      </c>
      <c r="F62" s="2171" t="s">
        <v>6820</v>
      </c>
      <c r="G62" s="1972">
        <v>10711</v>
      </c>
      <c r="H62" s="2496" t="s">
        <v>967</v>
      </c>
      <c r="I62" s="2050" t="s">
        <v>6784</v>
      </c>
      <c r="J62" s="1967" t="s">
        <v>197</v>
      </c>
      <c r="K62" s="1973">
        <v>41276</v>
      </c>
      <c r="L62" s="2638">
        <v>584163.36</v>
      </c>
      <c r="M62" s="1978" t="s">
        <v>6821</v>
      </c>
      <c r="N62" s="1973">
        <v>41276</v>
      </c>
      <c r="O62" s="1973">
        <v>41639</v>
      </c>
      <c r="P62" s="1967" t="s">
        <v>6763</v>
      </c>
      <c r="Q62" s="1967" t="s">
        <v>677</v>
      </c>
      <c r="R62" s="1967" t="s">
        <v>677</v>
      </c>
      <c r="S62" s="1967" t="s">
        <v>677</v>
      </c>
      <c r="T62" s="1967" t="s">
        <v>208</v>
      </c>
      <c r="U62" s="1246" t="s">
        <v>267</v>
      </c>
      <c r="V62" s="1244">
        <v>41325</v>
      </c>
      <c r="W62" s="1246" t="s">
        <v>6822</v>
      </c>
      <c r="X62" s="1239" t="s">
        <v>6823</v>
      </c>
      <c r="Y62" s="1244">
        <v>41334</v>
      </c>
      <c r="Z62" s="1244">
        <v>41639</v>
      </c>
      <c r="AA62" s="1246" t="s">
        <v>677</v>
      </c>
      <c r="AB62" s="1246" t="s">
        <v>6824</v>
      </c>
      <c r="AC62" s="1266">
        <v>0</v>
      </c>
      <c r="AD62" s="1266">
        <f>'[3]2014'!AE54</f>
        <v>128106</v>
      </c>
      <c r="AE62" s="1319">
        <f>L62-AD62</f>
        <v>456057.36</v>
      </c>
      <c r="AF62" s="1242"/>
      <c r="AG62" s="1242"/>
      <c r="AH62" s="1242">
        <f t="shared" si="2"/>
        <v>0</v>
      </c>
      <c r="AI62" s="1967" t="s">
        <v>950</v>
      </c>
      <c r="AJ62" s="1978" t="s">
        <v>6825</v>
      </c>
      <c r="AK62" s="1967" t="s">
        <v>981</v>
      </c>
      <c r="AL62" s="1972">
        <v>10974</v>
      </c>
      <c r="AM62" s="1248" t="s">
        <v>677</v>
      </c>
      <c r="AN62" s="1248" t="s">
        <v>677</v>
      </c>
      <c r="AO62" s="1248" t="s">
        <v>677</v>
      </c>
      <c r="AP62" s="1248" t="s">
        <v>677</v>
      </c>
      <c r="AQ62" s="1248" t="s">
        <v>677</v>
      </c>
      <c r="AR62" s="1248" t="s">
        <v>677</v>
      </c>
      <c r="AS62" s="1243" t="s">
        <v>677</v>
      </c>
      <c r="AT62" s="1243" t="s">
        <v>677</v>
      </c>
      <c r="AU62" s="1243" t="s">
        <v>677</v>
      </c>
      <c r="AV62" s="1243" t="s">
        <v>677</v>
      </c>
      <c r="AW62" s="1243" t="s">
        <v>677</v>
      </c>
      <c r="AX62" s="1243" t="s">
        <v>677</v>
      </c>
      <c r="AY62" s="1243" t="s">
        <v>677</v>
      </c>
      <c r="AZ62" s="1243" t="s">
        <v>677</v>
      </c>
      <c r="BA62" s="1243" t="s">
        <v>677</v>
      </c>
      <c r="BB62" s="1243" t="s">
        <v>677</v>
      </c>
      <c r="BC62" s="1243" t="s">
        <v>677</v>
      </c>
      <c r="BD62" s="1243" t="s">
        <v>677</v>
      </c>
    </row>
    <row r="63" spans="1:56" s="422" customFormat="1" ht="25.5" x14ac:dyDescent="0.25">
      <c r="A63" s="2639"/>
      <c r="B63" s="2641"/>
      <c r="C63" s="1967"/>
      <c r="D63" s="1967"/>
      <c r="E63" s="1967"/>
      <c r="F63" s="2171"/>
      <c r="G63" s="1972"/>
      <c r="H63" s="2496"/>
      <c r="I63" s="2050"/>
      <c r="J63" s="1967"/>
      <c r="K63" s="1973"/>
      <c r="L63" s="2638"/>
      <c r="M63" s="1978"/>
      <c r="N63" s="1973"/>
      <c r="O63" s="1973"/>
      <c r="P63" s="1967"/>
      <c r="Q63" s="1967"/>
      <c r="R63" s="1967"/>
      <c r="S63" s="1967"/>
      <c r="T63" s="1967"/>
      <c r="U63" s="1246" t="s">
        <v>6748</v>
      </c>
      <c r="V63" s="1244">
        <v>41634</v>
      </c>
      <c r="W63" s="1246" t="s">
        <v>6815</v>
      </c>
      <c r="X63" s="1239" t="s">
        <v>6796</v>
      </c>
      <c r="Y63" s="1244">
        <v>41640</v>
      </c>
      <c r="Z63" s="1244">
        <v>42004</v>
      </c>
      <c r="AA63" s="1246" t="s">
        <v>677</v>
      </c>
      <c r="AB63" s="1246" t="s">
        <v>677</v>
      </c>
      <c r="AC63" s="1266">
        <v>0</v>
      </c>
      <c r="AD63" s="1319">
        <v>0</v>
      </c>
      <c r="AE63" s="1319">
        <f>'[3]2014'!AF55</f>
        <v>430436.16</v>
      </c>
      <c r="AF63" s="1242"/>
      <c r="AG63" s="1242"/>
      <c r="AH63" s="1242">
        <f t="shared" si="2"/>
        <v>0</v>
      </c>
      <c r="AI63" s="1967"/>
      <c r="AJ63" s="1978"/>
      <c r="AK63" s="1967"/>
      <c r="AL63" s="1972"/>
      <c r="AM63" s="1248"/>
      <c r="AN63" s="1248"/>
      <c r="AO63" s="1248"/>
      <c r="AP63" s="1248"/>
      <c r="AQ63" s="1248"/>
      <c r="AR63" s="1248"/>
      <c r="AS63" s="1243"/>
      <c r="AT63" s="1243"/>
      <c r="AU63" s="1243"/>
      <c r="AV63" s="1243"/>
      <c r="AW63" s="1243"/>
      <c r="AX63" s="1243"/>
      <c r="AY63" s="1243"/>
      <c r="AZ63" s="1243"/>
      <c r="BA63" s="1243"/>
      <c r="BB63" s="1243"/>
      <c r="BC63" s="1243"/>
      <c r="BD63" s="1243"/>
    </row>
    <row r="64" spans="1:56" s="422" customFormat="1" x14ac:dyDescent="0.25">
      <c r="A64" s="2639"/>
      <c r="B64" s="2641"/>
      <c r="C64" s="1967"/>
      <c r="D64" s="1967"/>
      <c r="E64" s="1967"/>
      <c r="F64" s="2171"/>
      <c r="G64" s="1972"/>
      <c r="H64" s="2496"/>
      <c r="I64" s="2050"/>
      <c r="J64" s="1967"/>
      <c r="K64" s="1973"/>
      <c r="L64" s="2638"/>
      <c r="M64" s="1978"/>
      <c r="N64" s="1973"/>
      <c r="O64" s="1973"/>
      <c r="P64" s="1967"/>
      <c r="Q64" s="1967"/>
      <c r="R64" s="1967"/>
      <c r="S64" s="1967"/>
      <c r="T64" s="1967"/>
      <c r="U64" s="1246" t="s">
        <v>6750</v>
      </c>
      <c r="V64" s="1244">
        <v>41730</v>
      </c>
      <c r="W64" s="1246" t="s">
        <v>6826</v>
      </c>
      <c r="X64" s="1239" t="s">
        <v>6827</v>
      </c>
      <c r="Y64" s="1244">
        <v>41730</v>
      </c>
      <c r="Z64" s="1244">
        <v>42004</v>
      </c>
      <c r="AA64" s="1246" t="s">
        <v>6828</v>
      </c>
      <c r="AB64" s="1246" t="s">
        <v>677</v>
      </c>
      <c r="AC64" s="1266">
        <f>'[3]2014'!AD56</f>
        <v>69177.240000000005</v>
      </c>
      <c r="AD64" s="1319">
        <v>0</v>
      </c>
      <c r="AE64" s="1319">
        <f>AE63+AC64</f>
        <v>499613.39999999997</v>
      </c>
      <c r="AF64" s="1242"/>
      <c r="AG64" s="1242"/>
      <c r="AH64" s="1242">
        <f t="shared" si="2"/>
        <v>0</v>
      </c>
      <c r="AI64" s="1967"/>
      <c r="AJ64" s="1978"/>
      <c r="AK64" s="1967"/>
      <c r="AL64" s="1972"/>
      <c r="AM64" s="1248"/>
      <c r="AN64" s="1248"/>
      <c r="AO64" s="1248"/>
      <c r="AP64" s="1248"/>
      <c r="AQ64" s="1248"/>
      <c r="AR64" s="1248"/>
      <c r="AS64" s="1243"/>
      <c r="AT64" s="1243"/>
      <c r="AU64" s="1243"/>
      <c r="AV64" s="1243"/>
      <c r="AW64" s="1243"/>
      <c r="AX64" s="1243"/>
      <c r="AY64" s="1243"/>
      <c r="AZ64" s="1243"/>
      <c r="BA64" s="1243"/>
      <c r="BB64" s="1243"/>
      <c r="BC64" s="1243"/>
      <c r="BD64" s="1243"/>
    </row>
    <row r="65" spans="1:56" s="422" customFormat="1" ht="25.5" x14ac:dyDescent="0.25">
      <c r="A65" s="2639"/>
      <c r="B65" s="2641"/>
      <c r="C65" s="1967"/>
      <c r="D65" s="1967"/>
      <c r="E65" s="1967"/>
      <c r="F65" s="2171"/>
      <c r="G65" s="1972"/>
      <c r="H65" s="2496"/>
      <c r="I65" s="2050"/>
      <c r="J65" s="1967"/>
      <c r="K65" s="1973"/>
      <c r="L65" s="2638"/>
      <c r="M65" s="1978"/>
      <c r="N65" s="1973"/>
      <c r="O65" s="1973"/>
      <c r="P65" s="1967"/>
      <c r="Q65" s="1967"/>
      <c r="R65" s="1967"/>
      <c r="S65" s="1967"/>
      <c r="T65" s="1967"/>
      <c r="U65" s="1246" t="s">
        <v>6752</v>
      </c>
      <c r="V65" s="1244">
        <v>41990</v>
      </c>
      <c r="W65" s="1246" t="s">
        <v>6829</v>
      </c>
      <c r="X65" s="1239" t="s">
        <v>6798</v>
      </c>
      <c r="Y65" s="1244">
        <v>42005</v>
      </c>
      <c r="Z65" s="1244">
        <v>42216</v>
      </c>
      <c r="AA65" s="1246" t="s">
        <v>677</v>
      </c>
      <c r="AB65" s="1246" t="s">
        <v>677</v>
      </c>
      <c r="AC65" s="1266">
        <v>0</v>
      </c>
      <c r="AD65" s="1319">
        <v>0</v>
      </c>
      <c r="AE65" s="1319">
        <f>'[3]2014'!AF57</f>
        <v>304892.28000000003</v>
      </c>
      <c r="AF65" s="187">
        <v>983854.07999999996</v>
      </c>
      <c r="AG65" s="187">
        <f>AE64</f>
        <v>499613.39999999997</v>
      </c>
      <c r="AH65" s="187">
        <f t="shared" si="2"/>
        <v>1483467.48</v>
      </c>
      <c r="AI65" s="1967"/>
      <c r="AJ65" s="1978"/>
      <c r="AK65" s="1967"/>
      <c r="AL65" s="1972"/>
      <c r="AM65" s="1248" t="s">
        <v>677</v>
      </c>
      <c r="AN65" s="1248" t="s">
        <v>677</v>
      </c>
      <c r="AO65" s="1248" t="s">
        <v>677</v>
      </c>
      <c r="AP65" s="1248" t="s">
        <v>677</v>
      </c>
      <c r="AQ65" s="1248" t="s">
        <v>677</v>
      </c>
      <c r="AR65" s="1248" t="s">
        <v>677</v>
      </c>
      <c r="AS65" s="1243" t="s">
        <v>677</v>
      </c>
      <c r="AT65" s="1243" t="s">
        <v>677</v>
      </c>
      <c r="AU65" s="1243" t="s">
        <v>677</v>
      </c>
      <c r="AV65" s="1243" t="s">
        <v>677</v>
      </c>
      <c r="AW65" s="1243" t="s">
        <v>677</v>
      </c>
      <c r="AX65" s="1243" t="s">
        <v>677</v>
      </c>
      <c r="AY65" s="1243" t="s">
        <v>677</v>
      </c>
      <c r="AZ65" s="1243" t="s">
        <v>677</v>
      </c>
      <c r="BA65" s="1243" t="s">
        <v>677</v>
      </c>
      <c r="BB65" s="1243" t="s">
        <v>677</v>
      </c>
      <c r="BC65" s="1243" t="s">
        <v>677</v>
      </c>
      <c r="BD65" s="1243" t="s">
        <v>677</v>
      </c>
    </row>
    <row r="66" spans="1:56" s="422" customFormat="1" ht="38.25" x14ac:dyDescent="0.25">
      <c r="A66" s="1879">
        <v>10</v>
      </c>
      <c r="B66" s="1276" t="s">
        <v>744</v>
      </c>
      <c r="C66" s="1239" t="s">
        <v>6830</v>
      </c>
      <c r="D66" s="1239" t="s">
        <v>6800</v>
      </c>
      <c r="E66" s="1239" t="s">
        <v>5811</v>
      </c>
      <c r="F66" s="1291" t="s">
        <v>6831</v>
      </c>
      <c r="G66" s="1243">
        <v>10756</v>
      </c>
      <c r="H66" s="1340" t="s">
        <v>986</v>
      </c>
      <c r="I66" s="1273" t="s">
        <v>6832</v>
      </c>
      <c r="J66" s="1239" t="s">
        <v>4189</v>
      </c>
      <c r="K66" s="1244">
        <v>41284</v>
      </c>
      <c r="L66" s="187">
        <v>59178.28</v>
      </c>
      <c r="M66" s="1246" t="s">
        <v>6821</v>
      </c>
      <c r="N66" s="1244">
        <v>41284</v>
      </c>
      <c r="O66" s="1244">
        <v>41639</v>
      </c>
      <c r="P66" s="1239" t="s">
        <v>6772</v>
      </c>
      <c r="Q66" s="1239" t="s">
        <v>677</v>
      </c>
      <c r="R66" s="1239" t="s">
        <v>677</v>
      </c>
      <c r="S66" s="1239" t="s">
        <v>677</v>
      </c>
      <c r="T66" s="1239" t="s">
        <v>208</v>
      </c>
      <c r="U66" s="1246" t="s">
        <v>267</v>
      </c>
      <c r="V66" s="1244">
        <v>41634</v>
      </c>
      <c r="W66" s="1246" t="s">
        <v>6815</v>
      </c>
      <c r="X66" s="1239" t="s">
        <v>6749</v>
      </c>
      <c r="Y66" s="1244">
        <v>41640</v>
      </c>
      <c r="Z66" s="1244">
        <v>41670</v>
      </c>
      <c r="AA66" s="1242" t="s">
        <v>677</v>
      </c>
      <c r="AB66" s="1239" t="s">
        <v>677</v>
      </c>
      <c r="AC66" s="1242">
        <v>0</v>
      </c>
      <c r="AD66" s="1242">
        <v>0</v>
      </c>
      <c r="AE66" s="187">
        <f>L66</f>
        <v>59178.28</v>
      </c>
      <c r="AF66" s="187">
        <v>59178.28</v>
      </c>
      <c r="AG66" s="187">
        <v>5043.4799999999996</v>
      </c>
      <c r="AH66" s="1242">
        <f t="shared" si="2"/>
        <v>64221.759999999995</v>
      </c>
      <c r="AI66" s="1239" t="s">
        <v>950</v>
      </c>
      <c r="AJ66" s="1246" t="s">
        <v>6825</v>
      </c>
      <c r="AK66" s="1239" t="s">
        <v>981</v>
      </c>
      <c r="AL66" s="1243">
        <v>10974</v>
      </c>
      <c r="AM66" s="1248" t="s">
        <v>677</v>
      </c>
      <c r="AN66" s="1248" t="s">
        <v>677</v>
      </c>
      <c r="AO66" s="1248" t="s">
        <v>677</v>
      </c>
      <c r="AP66" s="1248" t="s">
        <v>677</v>
      </c>
      <c r="AQ66" s="1248" t="s">
        <v>677</v>
      </c>
      <c r="AR66" s="1248" t="s">
        <v>677</v>
      </c>
      <c r="AS66" s="1243" t="s">
        <v>677</v>
      </c>
      <c r="AT66" s="1243" t="s">
        <v>677</v>
      </c>
      <c r="AU66" s="1243" t="s">
        <v>677</v>
      </c>
      <c r="AV66" s="1243" t="s">
        <v>677</v>
      </c>
      <c r="AW66" s="1243" t="s">
        <v>677</v>
      </c>
      <c r="AX66" s="1243" t="s">
        <v>677</v>
      </c>
      <c r="AY66" s="1243" t="s">
        <v>677</v>
      </c>
      <c r="AZ66" s="1243" t="s">
        <v>677</v>
      </c>
      <c r="BA66" s="1243" t="s">
        <v>677</v>
      </c>
      <c r="BB66" s="1243" t="s">
        <v>677</v>
      </c>
      <c r="BC66" s="1243" t="s">
        <v>677</v>
      </c>
      <c r="BD66" s="1243" t="s">
        <v>677</v>
      </c>
    </row>
    <row r="67" spans="1:56" s="422" customFormat="1" ht="25.5" x14ac:dyDescent="0.25">
      <c r="A67" s="2639">
        <v>11</v>
      </c>
      <c r="B67" s="2641" t="s">
        <v>680</v>
      </c>
      <c r="C67" s="1967" t="s">
        <v>6833</v>
      </c>
      <c r="D67" s="1967" t="s">
        <v>6800</v>
      </c>
      <c r="E67" s="1967" t="s">
        <v>5811</v>
      </c>
      <c r="F67" s="2171" t="s">
        <v>6834</v>
      </c>
      <c r="G67" s="1972">
        <v>10769</v>
      </c>
      <c r="H67" s="2496" t="s">
        <v>993</v>
      </c>
      <c r="I67" s="2050" t="s">
        <v>6835</v>
      </c>
      <c r="J67" s="1967" t="s">
        <v>4813</v>
      </c>
      <c r="K67" s="1973">
        <v>41283</v>
      </c>
      <c r="L67" s="2638">
        <v>212824.69</v>
      </c>
      <c r="M67" s="1972">
        <v>10981</v>
      </c>
      <c r="N67" s="1973">
        <v>41283</v>
      </c>
      <c r="O67" s="1973">
        <v>41639</v>
      </c>
      <c r="P67" s="1967" t="s">
        <v>6735</v>
      </c>
      <c r="Q67" s="1967" t="s">
        <v>677</v>
      </c>
      <c r="R67" s="1967" t="s">
        <v>677</v>
      </c>
      <c r="S67" s="1967" t="s">
        <v>677</v>
      </c>
      <c r="T67" s="1967" t="s">
        <v>208</v>
      </c>
      <c r="U67" s="1246" t="s">
        <v>267</v>
      </c>
      <c r="V67" s="1244">
        <v>41386</v>
      </c>
      <c r="W67" s="1246" t="s">
        <v>6836</v>
      </c>
      <c r="X67" s="1239" t="s">
        <v>6837</v>
      </c>
      <c r="Y67" s="1244">
        <v>41386</v>
      </c>
      <c r="Z67" s="1244">
        <v>41639</v>
      </c>
      <c r="AA67" s="1246" t="s">
        <v>6838</v>
      </c>
      <c r="AB67" s="1239" t="s">
        <v>677</v>
      </c>
      <c r="AC67" s="1319">
        <v>2276.16</v>
      </c>
      <c r="AD67" s="1319">
        <v>0</v>
      </c>
      <c r="AE67" s="1319">
        <v>215100.85</v>
      </c>
      <c r="AF67" s="1242"/>
      <c r="AG67" s="1242"/>
      <c r="AH67" s="1242">
        <f t="shared" si="2"/>
        <v>0</v>
      </c>
      <c r="AI67" s="1967" t="s">
        <v>4814</v>
      </c>
      <c r="AJ67" s="1972">
        <v>10850</v>
      </c>
      <c r="AK67" s="1967" t="s">
        <v>5497</v>
      </c>
      <c r="AL67" s="1972">
        <v>10981</v>
      </c>
      <c r="AM67" s="1248" t="s">
        <v>677</v>
      </c>
      <c r="AN67" s="1248" t="s">
        <v>677</v>
      </c>
      <c r="AO67" s="1248" t="s">
        <v>677</v>
      </c>
      <c r="AP67" s="1248" t="s">
        <v>677</v>
      </c>
      <c r="AQ67" s="1248" t="s">
        <v>677</v>
      </c>
      <c r="AR67" s="1248" t="s">
        <v>677</v>
      </c>
      <c r="AS67" s="1243" t="s">
        <v>677</v>
      </c>
      <c r="AT67" s="1243" t="s">
        <v>677</v>
      </c>
      <c r="AU67" s="1243" t="s">
        <v>677</v>
      </c>
      <c r="AV67" s="1243" t="s">
        <v>677</v>
      </c>
      <c r="AW67" s="1243" t="s">
        <v>677</v>
      </c>
      <c r="AX67" s="1243" t="s">
        <v>677</v>
      </c>
      <c r="AY67" s="1243" t="s">
        <v>677</v>
      </c>
      <c r="AZ67" s="1243" t="s">
        <v>677</v>
      </c>
      <c r="BA67" s="1243" t="s">
        <v>677</v>
      </c>
      <c r="BB67" s="1243" t="s">
        <v>677</v>
      </c>
      <c r="BC67" s="1243" t="s">
        <v>677</v>
      </c>
      <c r="BD67" s="1243" t="s">
        <v>677</v>
      </c>
    </row>
    <row r="68" spans="1:56" s="422" customFormat="1" x14ac:dyDescent="0.25">
      <c r="A68" s="2639"/>
      <c r="B68" s="2641"/>
      <c r="C68" s="1967"/>
      <c r="D68" s="1967"/>
      <c r="E68" s="1967"/>
      <c r="F68" s="2171"/>
      <c r="G68" s="1972"/>
      <c r="H68" s="2496"/>
      <c r="I68" s="2050"/>
      <c r="J68" s="1967"/>
      <c r="K68" s="1973"/>
      <c r="L68" s="2638"/>
      <c r="M68" s="1972"/>
      <c r="N68" s="1973"/>
      <c r="O68" s="1973"/>
      <c r="P68" s="1967"/>
      <c r="Q68" s="1967"/>
      <c r="R68" s="1967"/>
      <c r="S68" s="1967"/>
      <c r="T68" s="1967"/>
      <c r="U68" s="1246" t="s">
        <v>6748</v>
      </c>
      <c r="V68" s="1244">
        <v>41396</v>
      </c>
      <c r="W68" s="1246" t="s">
        <v>6839</v>
      </c>
      <c r="X68" s="1239" t="s">
        <v>6840</v>
      </c>
      <c r="Y68" s="1244">
        <v>41396</v>
      </c>
      <c r="Z68" s="1244">
        <v>41639</v>
      </c>
      <c r="AA68" s="1246" t="s">
        <v>6787</v>
      </c>
      <c r="AB68" s="1239" t="s">
        <v>677</v>
      </c>
      <c r="AC68" s="1319">
        <v>13105.12</v>
      </c>
      <c r="AD68" s="1319">
        <v>0</v>
      </c>
      <c r="AE68" s="1319">
        <v>228205.97</v>
      </c>
      <c r="AF68" s="1242"/>
      <c r="AG68" s="1242"/>
      <c r="AH68" s="1242">
        <f t="shared" si="2"/>
        <v>0</v>
      </c>
      <c r="AI68" s="1967"/>
      <c r="AJ68" s="1972"/>
      <c r="AK68" s="1967"/>
      <c r="AL68" s="1972"/>
      <c r="AM68" s="1248" t="s">
        <v>677</v>
      </c>
      <c r="AN68" s="1248" t="s">
        <v>677</v>
      </c>
      <c r="AO68" s="1248" t="s">
        <v>677</v>
      </c>
      <c r="AP68" s="1248" t="s">
        <v>677</v>
      </c>
      <c r="AQ68" s="1248" t="s">
        <v>677</v>
      </c>
      <c r="AR68" s="1248" t="s">
        <v>677</v>
      </c>
      <c r="AS68" s="1243" t="s">
        <v>677</v>
      </c>
      <c r="AT68" s="1243" t="s">
        <v>677</v>
      </c>
      <c r="AU68" s="1243" t="s">
        <v>677</v>
      </c>
      <c r="AV68" s="1243" t="s">
        <v>677</v>
      </c>
      <c r="AW68" s="1243" t="s">
        <v>677</v>
      </c>
      <c r="AX68" s="1243" t="s">
        <v>677</v>
      </c>
      <c r="AY68" s="1243" t="s">
        <v>677</v>
      </c>
      <c r="AZ68" s="1243" t="s">
        <v>677</v>
      </c>
      <c r="BA68" s="1243" t="s">
        <v>677</v>
      </c>
      <c r="BB68" s="1243" t="s">
        <v>677</v>
      </c>
      <c r="BC68" s="1243" t="s">
        <v>677</v>
      </c>
      <c r="BD68" s="1243" t="s">
        <v>677</v>
      </c>
    </row>
    <row r="69" spans="1:56" s="422" customFormat="1" x14ac:dyDescent="0.25">
      <c r="A69" s="2639"/>
      <c r="B69" s="2641"/>
      <c r="C69" s="1967"/>
      <c r="D69" s="1967"/>
      <c r="E69" s="1967"/>
      <c r="F69" s="2171"/>
      <c r="G69" s="1972"/>
      <c r="H69" s="2496"/>
      <c r="I69" s="2050"/>
      <c r="J69" s="1967"/>
      <c r="K69" s="1973"/>
      <c r="L69" s="2638"/>
      <c r="M69" s="1972"/>
      <c r="N69" s="1973"/>
      <c r="O69" s="1973"/>
      <c r="P69" s="1967"/>
      <c r="Q69" s="1967"/>
      <c r="R69" s="1967"/>
      <c r="S69" s="1967"/>
      <c r="T69" s="1967"/>
      <c r="U69" s="1246" t="s">
        <v>6750</v>
      </c>
      <c r="V69" s="1244">
        <v>41519</v>
      </c>
      <c r="W69" s="1246" t="s">
        <v>6841</v>
      </c>
      <c r="X69" s="1239" t="s">
        <v>6842</v>
      </c>
      <c r="Y69" s="1244">
        <v>41519</v>
      </c>
      <c r="Z69" s="1244">
        <v>41639</v>
      </c>
      <c r="AA69" s="1246" t="s">
        <v>6843</v>
      </c>
      <c r="AB69" s="1239" t="s">
        <v>677</v>
      </c>
      <c r="AC69" s="1319">
        <v>9313.7999999999993</v>
      </c>
      <c r="AD69" s="1319">
        <v>0</v>
      </c>
      <c r="AE69" s="1319">
        <f>AE68+AC69</f>
        <v>237519.77</v>
      </c>
      <c r="AF69" s="1242"/>
      <c r="AG69" s="1242"/>
      <c r="AH69" s="1242">
        <f t="shared" si="2"/>
        <v>0</v>
      </c>
      <c r="AI69" s="1967"/>
      <c r="AJ69" s="1972"/>
      <c r="AK69" s="1967"/>
      <c r="AL69" s="1972"/>
      <c r="AM69" s="1248" t="s">
        <v>677</v>
      </c>
      <c r="AN69" s="1248" t="s">
        <v>677</v>
      </c>
      <c r="AO69" s="1248" t="s">
        <v>677</v>
      </c>
      <c r="AP69" s="1248" t="s">
        <v>677</v>
      </c>
      <c r="AQ69" s="1248" t="s">
        <v>677</v>
      </c>
      <c r="AR69" s="1248" t="s">
        <v>677</v>
      </c>
      <c r="AS69" s="1243" t="s">
        <v>677</v>
      </c>
      <c r="AT69" s="1243" t="s">
        <v>677</v>
      </c>
      <c r="AU69" s="1243" t="s">
        <v>677</v>
      </c>
      <c r="AV69" s="1243" t="s">
        <v>677</v>
      </c>
      <c r="AW69" s="1243" t="s">
        <v>677</v>
      </c>
      <c r="AX69" s="1243" t="s">
        <v>677</v>
      </c>
      <c r="AY69" s="1243" t="s">
        <v>677</v>
      </c>
      <c r="AZ69" s="1243" t="s">
        <v>677</v>
      </c>
      <c r="BA69" s="1243" t="s">
        <v>677</v>
      </c>
      <c r="BB69" s="1243" t="s">
        <v>677</v>
      </c>
      <c r="BC69" s="1243" t="s">
        <v>677</v>
      </c>
      <c r="BD69" s="1243" t="s">
        <v>677</v>
      </c>
    </row>
    <row r="70" spans="1:56" s="422" customFormat="1" ht="38.25" x14ac:dyDescent="0.25">
      <c r="A70" s="2639"/>
      <c r="B70" s="2641"/>
      <c r="C70" s="1967"/>
      <c r="D70" s="1967"/>
      <c r="E70" s="1967"/>
      <c r="F70" s="2171"/>
      <c r="G70" s="1972"/>
      <c r="H70" s="2496"/>
      <c r="I70" s="2050"/>
      <c r="J70" s="1967"/>
      <c r="K70" s="1973"/>
      <c r="L70" s="2638"/>
      <c r="M70" s="1972"/>
      <c r="N70" s="1973"/>
      <c r="O70" s="1973"/>
      <c r="P70" s="1967"/>
      <c r="Q70" s="1967"/>
      <c r="R70" s="1967"/>
      <c r="S70" s="1967"/>
      <c r="T70" s="1967"/>
      <c r="U70" s="1246" t="s">
        <v>6844</v>
      </c>
      <c r="V70" s="1244">
        <v>41634</v>
      </c>
      <c r="W70" s="1246" t="s">
        <v>6845</v>
      </c>
      <c r="X70" s="1243" t="s">
        <v>6846</v>
      </c>
      <c r="Y70" s="1244">
        <v>41640</v>
      </c>
      <c r="Z70" s="1244">
        <v>41698</v>
      </c>
      <c r="AA70" s="1242" t="s">
        <v>677</v>
      </c>
      <c r="AB70" s="1239" t="s">
        <v>677</v>
      </c>
      <c r="AC70" s="1319">
        <v>0</v>
      </c>
      <c r="AD70" s="1319">
        <v>0</v>
      </c>
      <c r="AE70" s="1319">
        <v>39159.86</v>
      </c>
      <c r="AF70" s="1242"/>
      <c r="AG70" s="1242"/>
      <c r="AH70" s="1242">
        <f t="shared" si="2"/>
        <v>0</v>
      </c>
      <c r="AI70" s="1967"/>
      <c r="AJ70" s="1972"/>
      <c r="AK70" s="1967"/>
      <c r="AL70" s="1972"/>
      <c r="AM70" s="1248" t="s">
        <v>677</v>
      </c>
      <c r="AN70" s="1248" t="s">
        <v>677</v>
      </c>
      <c r="AO70" s="1248" t="s">
        <v>677</v>
      </c>
      <c r="AP70" s="1248" t="s">
        <v>677</v>
      </c>
      <c r="AQ70" s="1248" t="s">
        <v>677</v>
      </c>
      <c r="AR70" s="1248" t="s">
        <v>677</v>
      </c>
      <c r="AS70" s="1243" t="s">
        <v>677</v>
      </c>
      <c r="AT70" s="1243" t="s">
        <v>677</v>
      </c>
      <c r="AU70" s="1243" t="s">
        <v>677</v>
      </c>
      <c r="AV70" s="1243" t="s">
        <v>677</v>
      </c>
      <c r="AW70" s="1243" t="s">
        <v>677</v>
      </c>
      <c r="AX70" s="1243" t="s">
        <v>677</v>
      </c>
      <c r="AY70" s="1243" t="s">
        <v>677</v>
      </c>
      <c r="AZ70" s="1243" t="s">
        <v>677</v>
      </c>
      <c r="BA70" s="1243" t="s">
        <v>677</v>
      </c>
      <c r="BB70" s="1243" t="s">
        <v>677</v>
      </c>
      <c r="BC70" s="1243" t="s">
        <v>677</v>
      </c>
      <c r="BD70" s="1243" t="s">
        <v>677</v>
      </c>
    </row>
    <row r="71" spans="1:56" s="422" customFormat="1" ht="25.5" x14ac:dyDescent="0.25">
      <c r="A71" s="2639"/>
      <c r="B71" s="2641"/>
      <c r="C71" s="1967"/>
      <c r="D71" s="1967"/>
      <c r="E71" s="1967"/>
      <c r="F71" s="2171"/>
      <c r="G71" s="1972"/>
      <c r="H71" s="2496"/>
      <c r="I71" s="2050"/>
      <c r="J71" s="1967"/>
      <c r="K71" s="1973"/>
      <c r="L71" s="2638"/>
      <c r="M71" s="1972"/>
      <c r="N71" s="1973"/>
      <c r="O71" s="1973"/>
      <c r="P71" s="1967"/>
      <c r="Q71" s="1967"/>
      <c r="R71" s="1967"/>
      <c r="S71" s="1967"/>
      <c r="T71" s="1967"/>
      <c r="U71" s="1246" t="s">
        <v>6755</v>
      </c>
      <c r="V71" s="1244">
        <v>41696</v>
      </c>
      <c r="W71" s="1246" t="s">
        <v>6847</v>
      </c>
      <c r="X71" s="1239" t="s">
        <v>6848</v>
      </c>
      <c r="Y71" s="1244">
        <v>41699</v>
      </c>
      <c r="Z71" s="1244">
        <v>41759</v>
      </c>
      <c r="AA71" s="1242" t="s">
        <v>677</v>
      </c>
      <c r="AB71" s="1239" t="s">
        <v>677</v>
      </c>
      <c r="AC71" s="1319">
        <v>0</v>
      </c>
      <c r="AD71" s="1319">
        <v>0</v>
      </c>
      <c r="AE71" s="1319">
        <v>71758.16</v>
      </c>
      <c r="AF71" s="1242"/>
      <c r="AG71" s="1242"/>
      <c r="AH71" s="1242">
        <f t="shared" si="2"/>
        <v>0</v>
      </c>
      <c r="AI71" s="1967"/>
      <c r="AJ71" s="1972"/>
      <c r="AK71" s="1967"/>
      <c r="AL71" s="1972"/>
      <c r="AM71" s="1248" t="s">
        <v>677</v>
      </c>
      <c r="AN71" s="1248" t="s">
        <v>677</v>
      </c>
      <c r="AO71" s="1248" t="s">
        <v>677</v>
      </c>
      <c r="AP71" s="1248" t="s">
        <v>677</v>
      </c>
      <c r="AQ71" s="1248" t="s">
        <v>677</v>
      </c>
      <c r="AR71" s="1248" t="s">
        <v>677</v>
      </c>
      <c r="AS71" s="1243" t="s">
        <v>677</v>
      </c>
      <c r="AT71" s="1243" t="s">
        <v>677</v>
      </c>
      <c r="AU71" s="1243" t="s">
        <v>677</v>
      </c>
      <c r="AV71" s="1243" t="s">
        <v>677</v>
      </c>
      <c r="AW71" s="1243" t="s">
        <v>677</v>
      </c>
      <c r="AX71" s="1243" t="s">
        <v>677</v>
      </c>
      <c r="AY71" s="1243" t="s">
        <v>677</v>
      </c>
      <c r="AZ71" s="1243" t="s">
        <v>677</v>
      </c>
      <c r="BA71" s="1243" t="s">
        <v>677</v>
      </c>
      <c r="BB71" s="1243" t="s">
        <v>677</v>
      </c>
      <c r="BC71" s="1243" t="s">
        <v>677</v>
      </c>
      <c r="BD71" s="1243" t="s">
        <v>677</v>
      </c>
    </row>
    <row r="72" spans="1:56" s="422" customFormat="1" x14ac:dyDescent="0.25">
      <c r="A72" s="2639"/>
      <c r="B72" s="2641"/>
      <c r="C72" s="1967"/>
      <c r="D72" s="1967"/>
      <c r="E72" s="1967"/>
      <c r="F72" s="2171"/>
      <c r="G72" s="1972"/>
      <c r="H72" s="2496"/>
      <c r="I72" s="2050"/>
      <c r="J72" s="1967"/>
      <c r="K72" s="1973"/>
      <c r="L72" s="2638"/>
      <c r="M72" s="1972"/>
      <c r="N72" s="1973"/>
      <c r="O72" s="1973"/>
      <c r="P72" s="1967"/>
      <c r="Q72" s="1967"/>
      <c r="R72" s="1967"/>
      <c r="S72" s="1967"/>
      <c r="T72" s="1967"/>
      <c r="U72" s="1246" t="s">
        <v>6756</v>
      </c>
      <c r="V72" s="1244">
        <v>41701</v>
      </c>
      <c r="W72" s="1246" t="s">
        <v>6849</v>
      </c>
      <c r="X72" s="1239" t="s">
        <v>6850</v>
      </c>
      <c r="Y72" s="1244">
        <v>41701</v>
      </c>
      <c r="Z72" s="1244">
        <v>41759</v>
      </c>
      <c r="AA72" s="1246" t="s">
        <v>6787</v>
      </c>
      <c r="AB72" s="1242" t="s">
        <v>677</v>
      </c>
      <c r="AC72" s="1319">
        <v>0</v>
      </c>
      <c r="AD72" s="1319">
        <v>4656.8999999999996</v>
      </c>
      <c r="AE72" s="1319">
        <v>67101.259999999995</v>
      </c>
      <c r="AF72" s="1242"/>
      <c r="AG72" s="1242"/>
      <c r="AH72" s="1242">
        <v>0</v>
      </c>
      <c r="AI72" s="1967"/>
      <c r="AJ72" s="1972"/>
      <c r="AK72" s="1967"/>
      <c r="AL72" s="1972"/>
      <c r="AM72" s="1248"/>
      <c r="AN72" s="1248"/>
      <c r="AO72" s="1248"/>
      <c r="AP72" s="1248"/>
      <c r="AQ72" s="1248"/>
      <c r="AR72" s="1248"/>
      <c r="AS72" s="1243"/>
      <c r="AT72" s="1243"/>
      <c r="AU72" s="1243"/>
      <c r="AV72" s="1243"/>
      <c r="AW72" s="1243"/>
      <c r="AX72" s="1243"/>
      <c r="AY72" s="1243"/>
      <c r="AZ72" s="1243"/>
      <c r="BA72" s="1243"/>
      <c r="BB72" s="1243"/>
      <c r="BC72" s="1243"/>
      <c r="BD72" s="1243"/>
    </row>
    <row r="73" spans="1:56" s="422" customFormat="1" ht="33.75" x14ac:dyDescent="0.25">
      <c r="A73" s="2639"/>
      <c r="B73" s="2641"/>
      <c r="C73" s="1967"/>
      <c r="D73" s="1967"/>
      <c r="E73" s="1967"/>
      <c r="F73" s="2171"/>
      <c r="G73" s="1972"/>
      <c r="H73" s="2496"/>
      <c r="I73" s="2050"/>
      <c r="J73" s="1967"/>
      <c r="K73" s="1973"/>
      <c r="L73" s="2638"/>
      <c r="M73" s="1972"/>
      <c r="N73" s="1973"/>
      <c r="O73" s="1973"/>
      <c r="P73" s="1967"/>
      <c r="Q73" s="1967"/>
      <c r="R73" s="1967"/>
      <c r="S73" s="1967"/>
      <c r="T73" s="1967"/>
      <c r="U73" s="1246" t="s">
        <v>6765</v>
      </c>
      <c r="V73" s="1244">
        <v>41730</v>
      </c>
      <c r="W73" s="1876" t="s">
        <v>6851</v>
      </c>
      <c r="X73" s="1239" t="s">
        <v>6852</v>
      </c>
      <c r="Y73" s="1244">
        <v>41730</v>
      </c>
      <c r="Z73" s="1244">
        <v>42004</v>
      </c>
      <c r="AA73" s="1246" t="s">
        <v>677</v>
      </c>
      <c r="AB73" s="1242" t="s">
        <v>677</v>
      </c>
      <c r="AC73" s="1319">
        <v>0</v>
      </c>
      <c r="AD73" s="1319">
        <v>0</v>
      </c>
      <c r="AE73" s="1319">
        <v>174209.96</v>
      </c>
      <c r="AF73" s="187">
        <v>215543.65</v>
      </c>
      <c r="AG73" s="187">
        <v>178857.86</v>
      </c>
      <c r="AH73" s="1242">
        <f>AF73+AG73</f>
        <v>394401.51</v>
      </c>
      <c r="AI73" s="1967"/>
      <c r="AJ73" s="1972"/>
      <c r="AK73" s="1967"/>
      <c r="AL73" s="1972"/>
      <c r="AM73" s="1248"/>
      <c r="AN73" s="1248"/>
      <c r="AO73" s="1248"/>
      <c r="AP73" s="1248"/>
      <c r="AQ73" s="1248"/>
      <c r="AR73" s="1248"/>
      <c r="AS73" s="1243"/>
      <c r="AT73" s="1243"/>
      <c r="AU73" s="1243"/>
      <c r="AV73" s="1243"/>
      <c r="AW73" s="1243"/>
      <c r="AX73" s="1243"/>
      <c r="AY73" s="1243"/>
      <c r="AZ73" s="1243"/>
      <c r="BA73" s="1243"/>
      <c r="BB73" s="1243"/>
      <c r="BC73" s="1243"/>
      <c r="BD73" s="1243"/>
    </row>
    <row r="74" spans="1:56" s="422" customFormat="1" x14ac:dyDescent="0.25">
      <c r="A74" s="2639">
        <v>12</v>
      </c>
      <c r="B74" s="2641" t="s">
        <v>724</v>
      </c>
      <c r="C74" s="1967" t="s">
        <v>6853</v>
      </c>
      <c r="D74" s="1967" t="s">
        <v>6800</v>
      </c>
      <c r="E74" s="1967" t="s">
        <v>5811</v>
      </c>
      <c r="F74" s="2171" t="s">
        <v>6854</v>
      </c>
      <c r="G74" s="1972">
        <v>10792</v>
      </c>
      <c r="H74" s="1978" t="s">
        <v>975</v>
      </c>
      <c r="I74" s="2050" t="s">
        <v>6855</v>
      </c>
      <c r="J74" s="1967" t="s">
        <v>6856</v>
      </c>
      <c r="K74" s="1973">
        <v>41291</v>
      </c>
      <c r="L74" s="2638">
        <v>20695.599999999999</v>
      </c>
      <c r="M74" s="1972">
        <v>10990</v>
      </c>
      <c r="N74" s="1973">
        <v>41291</v>
      </c>
      <c r="O74" s="1973">
        <v>41639</v>
      </c>
      <c r="P74" s="1967" t="s">
        <v>6772</v>
      </c>
      <c r="Q74" s="1967" t="s">
        <v>677</v>
      </c>
      <c r="R74" s="1967" t="s">
        <v>677</v>
      </c>
      <c r="S74" s="1967" t="s">
        <v>677</v>
      </c>
      <c r="T74" s="1967" t="s">
        <v>208</v>
      </c>
      <c r="U74" s="1246" t="s">
        <v>267</v>
      </c>
      <c r="V74" s="1332">
        <v>41634</v>
      </c>
      <c r="W74" s="1243">
        <v>11210</v>
      </c>
      <c r="X74" s="1239" t="s">
        <v>6749</v>
      </c>
      <c r="Y74" s="1244">
        <v>41640</v>
      </c>
      <c r="Z74" s="1244">
        <v>41820</v>
      </c>
      <c r="AA74" s="1242"/>
      <c r="AB74" s="1239" t="s">
        <v>677</v>
      </c>
      <c r="AC74" s="1319">
        <v>0</v>
      </c>
      <c r="AD74" s="1319">
        <v>0</v>
      </c>
      <c r="AE74" s="1319">
        <f>L74-AD74+AC74</f>
        <v>20695.599999999999</v>
      </c>
      <c r="AF74" s="1319"/>
      <c r="AG74" s="1319"/>
      <c r="AH74" s="1319"/>
      <c r="AI74" s="1967" t="s">
        <v>614</v>
      </c>
      <c r="AJ74" s="1972">
        <v>10792</v>
      </c>
      <c r="AK74" s="1967" t="s">
        <v>6857</v>
      </c>
      <c r="AL74" s="1972">
        <v>10990</v>
      </c>
      <c r="AM74" s="1248" t="s">
        <v>677</v>
      </c>
      <c r="AN74" s="1248" t="s">
        <v>677</v>
      </c>
      <c r="AO74" s="1248" t="s">
        <v>677</v>
      </c>
      <c r="AP74" s="1248" t="s">
        <v>677</v>
      </c>
      <c r="AQ74" s="1248" t="s">
        <v>677</v>
      </c>
      <c r="AR74" s="1248" t="s">
        <v>677</v>
      </c>
      <c r="AS74" s="1243" t="s">
        <v>677</v>
      </c>
      <c r="AT74" s="1243" t="s">
        <v>677</v>
      </c>
      <c r="AU74" s="1243" t="s">
        <v>677</v>
      </c>
      <c r="AV74" s="1243" t="s">
        <v>677</v>
      </c>
      <c r="AW74" s="1243" t="s">
        <v>677</v>
      </c>
      <c r="AX74" s="1243" t="s">
        <v>677</v>
      </c>
      <c r="AY74" s="1243" t="s">
        <v>677</v>
      </c>
      <c r="AZ74" s="1243" t="s">
        <v>677</v>
      </c>
      <c r="BA74" s="1243" t="s">
        <v>677</v>
      </c>
      <c r="BB74" s="1243" t="s">
        <v>677</v>
      </c>
      <c r="BC74" s="1243" t="s">
        <v>677</v>
      </c>
      <c r="BD74" s="1243" t="s">
        <v>677</v>
      </c>
    </row>
    <row r="75" spans="1:56" s="422" customFormat="1" x14ac:dyDescent="0.25">
      <c r="A75" s="2639"/>
      <c r="B75" s="2641"/>
      <c r="C75" s="1967"/>
      <c r="D75" s="1967"/>
      <c r="E75" s="1967"/>
      <c r="F75" s="2171"/>
      <c r="G75" s="1972"/>
      <c r="H75" s="1978"/>
      <c r="I75" s="2050"/>
      <c r="J75" s="1967"/>
      <c r="K75" s="1973"/>
      <c r="L75" s="2638"/>
      <c r="M75" s="1972"/>
      <c r="N75" s="1973"/>
      <c r="O75" s="1973"/>
      <c r="P75" s="1967"/>
      <c r="Q75" s="1967"/>
      <c r="R75" s="1967"/>
      <c r="S75" s="1967"/>
      <c r="T75" s="1967"/>
      <c r="U75" s="1246" t="s">
        <v>6748</v>
      </c>
      <c r="V75" s="1332">
        <v>41820</v>
      </c>
      <c r="W75" s="1243">
        <v>11340</v>
      </c>
      <c r="X75" s="1239" t="s">
        <v>6749</v>
      </c>
      <c r="Y75" s="1244">
        <v>41821</v>
      </c>
      <c r="Z75" s="1244">
        <v>42004</v>
      </c>
      <c r="AA75" s="1242" t="s">
        <v>677</v>
      </c>
      <c r="AB75" s="1239" t="s">
        <v>677</v>
      </c>
      <c r="AC75" s="1319">
        <v>0</v>
      </c>
      <c r="AD75" s="1319">
        <v>0</v>
      </c>
      <c r="AE75" s="1319">
        <f>L75-AD75+AC75</f>
        <v>0</v>
      </c>
      <c r="AF75" s="187">
        <v>20695.599999999999</v>
      </c>
      <c r="AG75" s="187">
        <v>10797.6</v>
      </c>
      <c r="AH75" s="1319">
        <f t="shared" si="2"/>
        <v>31493.199999999997</v>
      </c>
      <c r="AI75" s="1967"/>
      <c r="AJ75" s="1972"/>
      <c r="AK75" s="1967"/>
      <c r="AL75" s="1972"/>
      <c r="AM75" s="1248" t="s">
        <v>677</v>
      </c>
      <c r="AN75" s="1248" t="s">
        <v>677</v>
      </c>
      <c r="AO75" s="1248" t="s">
        <v>677</v>
      </c>
      <c r="AP75" s="1248" t="s">
        <v>677</v>
      </c>
      <c r="AQ75" s="1248" t="s">
        <v>677</v>
      </c>
      <c r="AR75" s="1248" t="s">
        <v>677</v>
      </c>
      <c r="AS75" s="1243" t="s">
        <v>677</v>
      </c>
      <c r="AT75" s="1243" t="s">
        <v>677</v>
      </c>
      <c r="AU75" s="1243" t="s">
        <v>677</v>
      </c>
      <c r="AV75" s="1243" t="s">
        <v>677</v>
      </c>
      <c r="AW75" s="1243" t="s">
        <v>677</v>
      </c>
      <c r="AX75" s="1243" t="s">
        <v>677</v>
      </c>
      <c r="AY75" s="1243" t="s">
        <v>677</v>
      </c>
      <c r="AZ75" s="1243" t="s">
        <v>677</v>
      </c>
      <c r="BA75" s="1243" t="s">
        <v>677</v>
      </c>
      <c r="BB75" s="1243" t="s">
        <v>677</v>
      </c>
      <c r="BC75" s="1243" t="s">
        <v>677</v>
      </c>
      <c r="BD75" s="1243" t="s">
        <v>677</v>
      </c>
    </row>
    <row r="76" spans="1:56" s="422" customFormat="1" x14ac:dyDescent="0.25">
      <c r="A76" s="2639">
        <v>13</v>
      </c>
      <c r="B76" s="2641" t="s">
        <v>716</v>
      </c>
      <c r="C76" s="1967" t="s">
        <v>6858</v>
      </c>
      <c r="D76" s="1967" t="s">
        <v>6800</v>
      </c>
      <c r="E76" s="1967" t="s">
        <v>5811</v>
      </c>
      <c r="F76" s="2171" t="s">
        <v>6859</v>
      </c>
      <c r="G76" s="1972">
        <v>10769</v>
      </c>
      <c r="H76" s="1978" t="s">
        <v>1019</v>
      </c>
      <c r="I76" s="2050" t="s">
        <v>6860</v>
      </c>
      <c r="J76" s="1967" t="s">
        <v>6438</v>
      </c>
      <c r="K76" s="1973">
        <v>41306</v>
      </c>
      <c r="L76" s="2638">
        <v>68200</v>
      </c>
      <c r="M76" s="1972">
        <v>10984</v>
      </c>
      <c r="N76" s="1973">
        <v>41306</v>
      </c>
      <c r="O76" s="1973">
        <v>41639</v>
      </c>
      <c r="P76" s="1967" t="s">
        <v>6772</v>
      </c>
      <c r="Q76" s="1967" t="s">
        <v>677</v>
      </c>
      <c r="R76" s="1967" t="s">
        <v>677</v>
      </c>
      <c r="S76" s="1967" t="s">
        <v>677</v>
      </c>
      <c r="T76" s="1967" t="s">
        <v>208</v>
      </c>
      <c r="U76" s="1246" t="s">
        <v>267</v>
      </c>
      <c r="V76" s="1244">
        <v>41634</v>
      </c>
      <c r="W76" s="1243">
        <v>11210</v>
      </c>
      <c r="X76" s="1239" t="s">
        <v>6749</v>
      </c>
      <c r="Y76" s="1244">
        <v>41640</v>
      </c>
      <c r="Z76" s="1244">
        <v>41820</v>
      </c>
      <c r="AA76" s="1242" t="s">
        <v>677</v>
      </c>
      <c r="AB76" s="1239" t="s">
        <v>677</v>
      </c>
      <c r="AC76" s="1319">
        <v>0</v>
      </c>
      <c r="AD76" s="1319">
        <v>0</v>
      </c>
      <c r="AE76" s="1319">
        <f>L76-AD76+AC76</f>
        <v>68200</v>
      </c>
      <c r="AF76" s="187"/>
      <c r="AG76" s="1319"/>
      <c r="AH76" s="1319">
        <f t="shared" si="2"/>
        <v>0</v>
      </c>
      <c r="AI76" s="1967" t="s">
        <v>2536</v>
      </c>
      <c r="AJ76" s="1972">
        <v>10831</v>
      </c>
      <c r="AK76" s="1967" t="s">
        <v>6861</v>
      </c>
      <c r="AL76" s="1972">
        <v>10984</v>
      </c>
      <c r="AM76" s="1248" t="s">
        <v>677</v>
      </c>
      <c r="AN76" s="1248" t="s">
        <v>677</v>
      </c>
      <c r="AO76" s="1248" t="s">
        <v>677</v>
      </c>
      <c r="AP76" s="1248" t="s">
        <v>677</v>
      </c>
      <c r="AQ76" s="1248" t="s">
        <v>677</v>
      </c>
      <c r="AR76" s="1248" t="s">
        <v>677</v>
      </c>
      <c r="AS76" s="1243" t="s">
        <v>677</v>
      </c>
      <c r="AT76" s="1243" t="s">
        <v>677</v>
      </c>
      <c r="AU76" s="1243" t="s">
        <v>677</v>
      </c>
      <c r="AV76" s="1243" t="s">
        <v>677</v>
      </c>
      <c r="AW76" s="1243" t="s">
        <v>677</v>
      </c>
      <c r="AX76" s="1243" t="s">
        <v>677</v>
      </c>
      <c r="AY76" s="1243" t="s">
        <v>677</v>
      </c>
      <c r="AZ76" s="1243" t="s">
        <v>677</v>
      </c>
      <c r="BA76" s="1243" t="s">
        <v>677</v>
      </c>
      <c r="BB76" s="1243" t="s">
        <v>677</v>
      </c>
      <c r="BC76" s="1243" t="s">
        <v>677</v>
      </c>
      <c r="BD76" s="1243" t="s">
        <v>677</v>
      </c>
    </row>
    <row r="77" spans="1:56" s="422" customFormat="1" x14ac:dyDescent="0.25">
      <c r="A77" s="2639"/>
      <c r="B77" s="2641"/>
      <c r="C77" s="1967"/>
      <c r="D77" s="1967"/>
      <c r="E77" s="1967"/>
      <c r="F77" s="2171"/>
      <c r="G77" s="1972"/>
      <c r="H77" s="1978"/>
      <c r="I77" s="2050"/>
      <c r="J77" s="1967"/>
      <c r="K77" s="1973">
        <v>41306</v>
      </c>
      <c r="L77" s="2638"/>
      <c r="M77" s="1972"/>
      <c r="N77" s="1973">
        <v>41306</v>
      </c>
      <c r="O77" s="1973">
        <v>41639</v>
      </c>
      <c r="P77" s="1967"/>
      <c r="Q77" s="1967"/>
      <c r="R77" s="1967"/>
      <c r="S77" s="1967"/>
      <c r="T77" s="1967"/>
      <c r="U77" s="1246" t="s">
        <v>6748</v>
      </c>
      <c r="V77" s="1244">
        <v>41820</v>
      </c>
      <c r="W77" s="1243">
        <v>11343</v>
      </c>
      <c r="X77" s="1239" t="s">
        <v>6749</v>
      </c>
      <c r="Y77" s="1244">
        <v>41821</v>
      </c>
      <c r="Z77" s="1244">
        <v>42004</v>
      </c>
      <c r="AA77" s="1242" t="s">
        <v>677</v>
      </c>
      <c r="AB77" s="1239" t="s">
        <v>677</v>
      </c>
      <c r="AC77" s="1319">
        <v>0</v>
      </c>
      <c r="AD77" s="1319">
        <v>0</v>
      </c>
      <c r="AE77" s="1319"/>
      <c r="AF77" s="187">
        <v>68200</v>
      </c>
      <c r="AG77" s="187">
        <v>37200</v>
      </c>
      <c r="AH77" s="1319">
        <f t="shared" si="2"/>
        <v>105400</v>
      </c>
      <c r="AI77" s="1967"/>
      <c r="AJ77" s="1972"/>
      <c r="AK77" s="1967"/>
      <c r="AL77" s="1972"/>
      <c r="AM77" s="1248" t="s">
        <v>677</v>
      </c>
      <c r="AN77" s="1248" t="s">
        <v>677</v>
      </c>
      <c r="AO77" s="1248" t="s">
        <v>677</v>
      </c>
      <c r="AP77" s="1248" t="s">
        <v>677</v>
      </c>
      <c r="AQ77" s="1248" t="s">
        <v>677</v>
      </c>
      <c r="AR77" s="1248" t="s">
        <v>677</v>
      </c>
      <c r="AS77" s="1243" t="s">
        <v>677</v>
      </c>
      <c r="AT77" s="1243" t="s">
        <v>677</v>
      </c>
      <c r="AU77" s="1243" t="s">
        <v>677</v>
      </c>
      <c r="AV77" s="1243" t="s">
        <v>677</v>
      </c>
      <c r="AW77" s="1243" t="s">
        <v>677</v>
      </c>
      <c r="AX77" s="1243" t="s">
        <v>677</v>
      </c>
      <c r="AY77" s="1243" t="s">
        <v>677</v>
      </c>
      <c r="AZ77" s="1243" t="s">
        <v>677</v>
      </c>
      <c r="BA77" s="1243" t="s">
        <v>677</v>
      </c>
      <c r="BB77" s="1243" t="s">
        <v>677</v>
      </c>
      <c r="BC77" s="1243" t="s">
        <v>677</v>
      </c>
      <c r="BD77" s="1243" t="s">
        <v>677</v>
      </c>
    </row>
    <row r="78" spans="1:56" s="422" customFormat="1" ht="38.25" x14ac:dyDescent="0.25">
      <c r="A78" s="1899">
        <v>14</v>
      </c>
      <c r="B78" s="637" t="s">
        <v>741</v>
      </c>
      <c r="C78" s="1239" t="s">
        <v>6830</v>
      </c>
      <c r="D78" s="1239" t="s">
        <v>6800</v>
      </c>
      <c r="E78" s="1239" t="s">
        <v>5811</v>
      </c>
      <c r="F78" s="1291" t="s">
        <v>6831</v>
      </c>
      <c r="G78" s="1243">
        <v>10756</v>
      </c>
      <c r="H78" s="1340" t="s">
        <v>1486</v>
      </c>
      <c r="I78" s="1273" t="s">
        <v>6832</v>
      </c>
      <c r="J78" s="1239" t="s">
        <v>4189</v>
      </c>
      <c r="K78" s="1244">
        <v>41334</v>
      </c>
      <c r="L78" s="187">
        <v>50434.8</v>
      </c>
      <c r="M78" s="1243">
        <v>11000</v>
      </c>
      <c r="N78" s="1244">
        <v>41334</v>
      </c>
      <c r="O78" s="1244">
        <v>41639</v>
      </c>
      <c r="P78" s="1239" t="s">
        <v>6772</v>
      </c>
      <c r="Q78" s="1239" t="s">
        <v>677</v>
      </c>
      <c r="R78" s="1239" t="s">
        <v>677</v>
      </c>
      <c r="S78" s="1239" t="s">
        <v>677</v>
      </c>
      <c r="T78" s="1239" t="s">
        <v>208</v>
      </c>
      <c r="U78" s="1246" t="s">
        <v>267</v>
      </c>
      <c r="V78" s="1244">
        <v>41634</v>
      </c>
      <c r="W78" s="1243">
        <v>11315</v>
      </c>
      <c r="X78" s="1239" t="s">
        <v>6749</v>
      </c>
      <c r="Y78" s="1244">
        <v>41634</v>
      </c>
      <c r="Z78" s="1244">
        <v>41670</v>
      </c>
      <c r="AA78" s="1242" t="s">
        <v>677</v>
      </c>
      <c r="AB78" s="1239" t="s">
        <v>677</v>
      </c>
      <c r="AC78" s="1319">
        <v>0</v>
      </c>
      <c r="AD78" s="1319">
        <v>0</v>
      </c>
      <c r="AE78" s="1319">
        <v>64221.760000000002</v>
      </c>
      <c r="AF78" s="187">
        <v>59178.28</v>
      </c>
      <c r="AG78" s="187">
        <v>5043.4799999999996</v>
      </c>
      <c r="AH78" s="1319">
        <f t="shared" si="2"/>
        <v>64221.759999999995</v>
      </c>
      <c r="AI78" s="1239" t="s">
        <v>950</v>
      </c>
      <c r="AJ78" s="1243">
        <v>10829</v>
      </c>
      <c r="AK78" s="1239" t="s">
        <v>981</v>
      </c>
      <c r="AL78" s="1243">
        <v>11000</v>
      </c>
      <c r="AM78" s="1248" t="s">
        <v>677</v>
      </c>
      <c r="AN78" s="1248" t="s">
        <v>677</v>
      </c>
      <c r="AO78" s="1248" t="s">
        <v>677</v>
      </c>
      <c r="AP78" s="1248" t="s">
        <v>677</v>
      </c>
      <c r="AQ78" s="1248" t="s">
        <v>677</v>
      </c>
      <c r="AR78" s="1248" t="s">
        <v>677</v>
      </c>
      <c r="AS78" s="1243" t="s">
        <v>677</v>
      </c>
      <c r="AT78" s="1243" t="s">
        <v>677</v>
      </c>
      <c r="AU78" s="1243" t="s">
        <v>677</v>
      </c>
      <c r="AV78" s="1243" t="s">
        <v>677</v>
      </c>
      <c r="AW78" s="1243" t="s">
        <v>677</v>
      </c>
      <c r="AX78" s="1243" t="s">
        <v>677</v>
      </c>
      <c r="AY78" s="1243" t="s">
        <v>677</v>
      </c>
      <c r="AZ78" s="1243" t="s">
        <v>677</v>
      </c>
      <c r="BA78" s="1243" t="s">
        <v>677</v>
      </c>
      <c r="BB78" s="1243" t="s">
        <v>677</v>
      </c>
      <c r="BC78" s="1243" t="s">
        <v>677</v>
      </c>
      <c r="BD78" s="1243" t="s">
        <v>677</v>
      </c>
    </row>
    <row r="79" spans="1:56" s="422" customFormat="1" x14ac:dyDescent="0.25">
      <c r="A79" s="2639">
        <v>15</v>
      </c>
      <c r="B79" s="2641" t="s">
        <v>780</v>
      </c>
      <c r="C79" s="1967" t="s">
        <v>6862</v>
      </c>
      <c r="D79" s="1967" t="s">
        <v>6800</v>
      </c>
      <c r="E79" s="1967" t="s">
        <v>5811</v>
      </c>
      <c r="F79" s="1967" t="s">
        <v>6863</v>
      </c>
      <c r="G79" s="1972">
        <v>10836</v>
      </c>
      <c r="H79" s="1978" t="s">
        <v>1837</v>
      </c>
      <c r="I79" s="2050" t="s">
        <v>6864</v>
      </c>
      <c r="J79" s="1967" t="s">
        <v>5062</v>
      </c>
      <c r="K79" s="1973">
        <v>41395</v>
      </c>
      <c r="L79" s="2637">
        <v>10800</v>
      </c>
      <c r="M79" s="1972">
        <v>11039</v>
      </c>
      <c r="N79" s="1973">
        <v>41395</v>
      </c>
      <c r="O79" s="1973">
        <v>41759</v>
      </c>
      <c r="P79" s="1967" t="s">
        <v>6735</v>
      </c>
      <c r="Q79" s="1967" t="s">
        <v>677</v>
      </c>
      <c r="R79" s="1967" t="s">
        <v>677</v>
      </c>
      <c r="S79" s="1967" t="s">
        <v>677</v>
      </c>
      <c r="T79" s="1967" t="s">
        <v>208</v>
      </c>
      <c r="U79" s="1246" t="s">
        <v>267</v>
      </c>
      <c r="V79" s="1244">
        <v>41745</v>
      </c>
      <c r="W79" s="1243" t="s">
        <v>6865</v>
      </c>
      <c r="X79" s="1239" t="s">
        <v>6749</v>
      </c>
      <c r="Y79" s="1244">
        <v>41790</v>
      </c>
      <c r="Z79" s="1244">
        <v>42004</v>
      </c>
      <c r="AA79" s="1242" t="s">
        <v>677</v>
      </c>
      <c r="AB79" s="1239" t="s">
        <v>677</v>
      </c>
      <c r="AC79" s="1319">
        <v>0</v>
      </c>
      <c r="AD79" s="1319">
        <v>0</v>
      </c>
      <c r="AE79" s="1319">
        <f>(L79)-(AD79)+AC79</f>
        <v>10800</v>
      </c>
      <c r="AF79" s="187">
        <v>7200</v>
      </c>
      <c r="AG79" s="187">
        <v>10800</v>
      </c>
      <c r="AH79" s="1319">
        <f t="shared" si="2"/>
        <v>18000</v>
      </c>
      <c r="AI79" s="1967" t="s">
        <v>614</v>
      </c>
      <c r="AJ79" s="1972">
        <v>10862</v>
      </c>
      <c r="AK79" s="1967" t="s">
        <v>6866</v>
      </c>
      <c r="AL79" s="1972">
        <v>11029</v>
      </c>
      <c r="AM79" s="1982" t="s">
        <v>677</v>
      </c>
      <c r="AN79" s="1982" t="s">
        <v>677</v>
      </c>
      <c r="AO79" s="1982" t="s">
        <v>677</v>
      </c>
      <c r="AP79" s="1982" t="s">
        <v>677</v>
      </c>
      <c r="AQ79" s="1982" t="s">
        <v>677</v>
      </c>
      <c r="AR79" s="1982" t="s">
        <v>677</v>
      </c>
      <c r="AS79" s="1972" t="s">
        <v>677</v>
      </c>
      <c r="AT79" s="1972" t="s">
        <v>677</v>
      </c>
      <c r="AU79" s="1972" t="s">
        <v>677</v>
      </c>
      <c r="AV79" s="1972" t="s">
        <v>677</v>
      </c>
      <c r="AW79" s="1972" t="s">
        <v>677</v>
      </c>
      <c r="AX79" s="1972" t="s">
        <v>677</v>
      </c>
      <c r="AY79" s="1972" t="s">
        <v>677</v>
      </c>
      <c r="AZ79" s="1972" t="s">
        <v>677</v>
      </c>
      <c r="BA79" s="1972" t="s">
        <v>677</v>
      </c>
      <c r="BB79" s="1972" t="s">
        <v>677</v>
      </c>
      <c r="BC79" s="1972" t="s">
        <v>677</v>
      </c>
      <c r="BD79" s="1972" t="s">
        <v>677</v>
      </c>
    </row>
    <row r="80" spans="1:56" s="422" customFormat="1" ht="25.5" x14ac:dyDescent="0.25">
      <c r="A80" s="2639"/>
      <c r="B80" s="2641"/>
      <c r="C80" s="1967"/>
      <c r="D80" s="1967"/>
      <c r="E80" s="1967"/>
      <c r="F80" s="1967"/>
      <c r="G80" s="1972"/>
      <c r="H80" s="1978"/>
      <c r="I80" s="2050"/>
      <c r="J80" s="1967"/>
      <c r="K80" s="1973"/>
      <c r="L80" s="2637"/>
      <c r="M80" s="1972"/>
      <c r="N80" s="1973"/>
      <c r="O80" s="1973"/>
      <c r="P80" s="1967"/>
      <c r="Q80" s="1967"/>
      <c r="R80" s="1967"/>
      <c r="S80" s="1967"/>
      <c r="T80" s="1967"/>
      <c r="U80" s="1246" t="s">
        <v>6748</v>
      </c>
      <c r="V80" s="1244">
        <v>41982</v>
      </c>
      <c r="W80" s="1243" t="s">
        <v>6867</v>
      </c>
      <c r="X80" s="1239" t="s">
        <v>6868</v>
      </c>
      <c r="Y80" s="1244">
        <v>42005</v>
      </c>
      <c r="Z80" s="1244">
        <v>42369</v>
      </c>
      <c r="AA80" s="1242" t="s">
        <v>677</v>
      </c>
      <c r="AB80" s="1239" t="s">
        <v>677</v>
      </c>
      <c r="AC80" s="1319">
        <v>0</v>
      </c>
      <c r="AD80" s="1319">
        <v>0</v>
      </c>
      <c r="AE80" s="1319">
        <v>10800</v>
      </c>
      <c r="AF80" s="1319">
        <v>0</v>
      </c>
      <c r="AG80" s="1319">
        <v>0</v>
      </c>
      <c r="AH80" s="1319">
        <f t="shared" si="2"/>
        <v>0</v>
      </c>
      <c r="AI80" s="1967"/>
      <c r="AJ80" s="1972"/>
      <c r="AK80" s="1967"/>
      <c r="AL80" s="1972"/>
      <c r="AM80" s="1982"/>
      <c r="AN80" s="1982"/>
      <c r="AO80" s="1982"/>
      <c r="AP80" s="1982"/>
      <c r="AQ80" s="1982"/>
      <c r="AR80" s="1982"/>
      <c r="AS80" s="1972"/>
      <c r="AT80" s="1972"/>
      <c r="AU80" s="1972"/>
      <c r="AV80" s="1972"/>
      <c r="AW80" s="1972"/>
      <c r="AX80" s="1972"/>
      <c r="AY80" s="1972"/>
      <c r="AZ80" s="1972"/>
      <c r="BA80" s="1972"/>
      <c r="BB80" s="1972"/>
      <c r="BC80" s="1972"/>
      <c r="BD80" s="1972"/>
    </row>
    <row r="81" spans="1:56" s="422" customFormat="1" ht="51" x14ac:dyDescent="0.25">
      <c r="A81" s="1879">
        <v>16</v>
      </c>
      <c r="B81" s="637" t="s">
        <v>395</v>
      </c>
      <c r="C81" s="1239" t="s">
        <v>6869</v>
      </c>
      <c r="D81" s="1239" t="s">
        <v>6800</v>
      </c>
      <c r="E81" s="1239" t="s">
        <v>5811</v>
      </c>
      <c r="F81" s="1291" t="s">
        <v>6870</v>
      </c>
      <c r="G81" s="1243">
        <v>10881</v>
      </c>
      <c r="H81" s="1246" t="s">
        <v>2729</v>
      </c>
      <c r="I81" s="1273" t="s">
        <v>1032</v>
      </c>
      <c r="J81" s="1239" t="s">
        <v>1033</v>
      </c>
      <c r="K81" s="1244">
        <v>41436</v>
      </c>
      <c r="L81" s="187">
        <v>23208.09</v>
      </c>
      <c r="M81" s="1243">
        <v>11077</v>
      </c>
      <c r="N81" s="1244">
        <v>41436</v>
      </c>
      <c r="O81" s="1244">
        <v>41820</v>
      </c>
      <c r="P81" s="1239" t="s">
        <v>6772</v>
      </c>
      <c r="Q81" s="1239" t="s">
        <v>677</v>
      </c>
      <c r="R81" s="1239" t="s">
        <v>677</v>
      </c>
      <c r="S81" s="1239" t="s">
        <v>677</v>
      </c>
      <c r="T81" s="1239" t="s">
        <v>208</v>
      </c>
      <c r="U81" s="1246" t="s">
        <v>267</v>
      </c>
      <c r="V81" s="1244">
        <v>41799</v>
      </c>
      <c r="W81" s="1243">
        <v>11349</v>
      </c>
      <c r="X81" s="1239" t="s">
        <v>6749</v>
      </c>
      <c r="Y81" s="1244">
        <v>41801</v>
      </c>
      <c r="Z81" s="1244">
        <v>42004</v>
      </c>
      <c r="AA81" s="1242" t="s">
        <v>677</v>
      </c>
      <c r="AB81" s="1239" t="s">
        <v>677</v>
      </c>
      <c r="AC81" s="1319">
        <v>0</v>
      </c>
      <c r="AD81" s="1319">
        <v>0</v>
      </c>
      <c r="AE81" s="1319">
        <f>L81-AD81+AC81</f>
        <v>23208.09</v>
      </c>
      <c r="AF81" s="187">
        <v>12893.32</v>
      </c>
      <c r="AG81" s="187">
        <v>23788.31</v>
      </c>
      <c r="AH81" s="1319">
        <f t="shared" si="2"/>
        <v>36681.630000000005</v>
      </c>
      <c r="AI81" s="1239" t="s">
        <v>973</v>
      </c>
      <c r="AJ81" s="1243">
        <v>10935</v>
      </c>
      <c r="AK81" s="1239" t="s">
        <v>6871</v>
      </c>
      <c r="AL81" s="1243">
        <v>11069</v>
      </c>
      <c r="AM81" s="1248" t="s">
        <v>677</v>
      </c>
      <c r="AN81" s="1248" t="s">
        <v>677</v>
      </c>
      <c r="AO81" s="1248" t="s">
        <v>677</v>
      </c>
      <c r="AP81" s="1248" t="s">
        <v>677</v>
      </c>
      <c r="AQ81" s="1248" t="s">
        <v>677</v>
      </c>
      <c r="AR81" s="1248" t="s">
        <v>677</v>
      </c>
      <c r="AS81" s="1243" t="s">
        <v>677</v>
      </c>
      <c r="AT81" s="1243" t="s">
        <v>677</v>
      </c>
      <c r="AU81" s="1243" t="s">
        <v>677</v>
      </c>
      <c r="AV81" s="1243" t="s">
        <v>677</v>
      </c>
      <c r="AW81" s="1243" t="s">
        <v>677</v>
      </c>
      <c r="AX81" s="1243" t="s">
        <v>677</v>
      </c>
      <c r="AY81" s="1243" t="s">
        <v>677</v>
      </c>
      <c r="AZ81" s="1243" t="s">
        <v>677</v>
      </c>
      <c r="BA81" s="1243" t="s">
        <v>677</v>
      </c>
      <c r="BB81" s="1243" t="s">
        <v>677</v>
      </c>
      <c r="BC81" s="1243" t="s">
        <v>677</v>
      </c>
      <c r="BD81" s="1243" t="s">
        <v>677</v>
      </c>
    </row>
    <row r="82" spans="1:56" s="422" customFormat="1" x14ac:dyDescent="0.25">
      <c r="A82" s="2639">
        <v>17</v>
      </c>
      <c r="B82" s="2641" t="s">
        <v>757</v>
      </c>
      <c r="C82" s="1967" t="s">
        <v>6872</v>
      </c>
      <c r="D82" s="1967" t="s">
        <v>6800</v>
      </c>
      <c r="E82" s="1967" t="s">
        <v>5811</v>
      </c>
      <c r="F82" s="2171" t="s">
        <v>6873</v>
      </c>
      <c r="G82" s="1972">
        <v>11023</v>
      </c>
      <c r="H82" s="1978" t="s">
        <v>1360</v>
      </c>
      <c r="I82" s="2050" t="s">
        <v>6874</v>
      </c>
      <c r="J82" s="1967" t="s">
        <v>759</v>
      </c>
      <c r="K82" s="1973">
        <v>41487</v>
      </c>
      <c r="L82" s="2638">
        <v>122400</v>
      </c>
      <c r="M82" s="1972">
        <v>11121</v>
      </c>
      <c r="N82" s="1973">
        <v>41487</v>
      </c>
      <c r="O82" s="1973">
        <v>41851</v>
      </c>
      <c r="P82" s="1967" t="s">
        <v>6763</v>
      </c>
      <c r="Q82" s="1967" t="s">
        <v>677</v>
      </c>
      <c r="R82" s="1967" t="s">
        <v>677</v>
      </c>
      <c r="S82" s="1967" t="s">
        <v>677</v>
      </c>
      <c r="T82" s="1967" t="s">
        <v>208</v>
      </c>
      <c r="U82" s="1246" t="s">
        <v>267</v>
      </c>
      <c r="V82" s="1244">
        <v>41813</v>
      </c>
      <c r="W82" s="1243">
        <v>11356</v>
      </c>
      <c r="X82" s="1239" t="s">
        <v>6749</v>
      </c>
      <c r="Y82" s="1244">
        <v>41852</v>
      </c>
      <c r="Z82" s="1244">
        <v>42004</v>
      </c>
      <c r="AA82" s="1242" t="s">
        <v>677</v>
      </c>
      <c r="AB82" s="1239" t="s">
        <v>677</v>
      </c>
      <c r="AC82" s="1319">
        <v>0</v>
      </c>
      <c r="AD82" s="1319">
        <v>0</v>
      </c>
      <c r="AE82" s="1319">
        <f>L82-AD82+AC82</f>
        <v>122400</v>
      </c>
      <c r="AF82" s="187"/>
      <c r="AG82" s="187"/>
      <c r="AH82" s="1319">
        <f t="shared" si="2"/>
        <v>0</v>
      </c>
      <c r="AI82" s="1967" t="s">
        <v>403</v>
      </c>
      <c r="AJ82" s="1972">
        <v>11023</v>
      </c>
      <c r="AK82" s="1967" t="s">
        <v>761</v>
      </c>
      <c r="AL82" s="1972">
        <v>11121</v>
      </c>
      <c r="AM82" s="1248" t="s">
        <v>677</v>
      </c>
      <c r="AN82" s="1248" t="s">
        <v>677</v>
      </c>
      <c r="AO82" s="1248" t="s">
        <v>677</v>
      </c>
      <c r="AP82" s="1248" t="s">
        <v>677</v>
      </c>
      <c r="AQ82" s="1248" t="s">
        <v>677</v>
      </c>
      <c r="AR82" s="1248" t="s">
        <v>677</v>
      </c>
      <c r="AS82" s="1243" t="s">
        <v>677</v>
      </c>
      <c r="AT82" s="1243" t="s">
        <v>677</v>
      </c>
      <c r="AU82" s="1243" t="s">
        <v>677</v>
      </c>
      <c r="AV82" s="1243" t="s">
        <v>677</v>
      </c>
      <c r="AW82" s="1243" t="s">
        <v>677</v>
      </c>
      <c r="AX82" s="1243" t="s">
        <v>677</v>
      </c>
      <c r="AY82" s="1243" t="s">
        <v>677</v>
      </c>
      <c r="AZ82" s="1243" t="s">
        <v>677</v>
      </c>
      <c r="BA82" s="1243" t="s">
        <v>677</v>
      </c>
      <c r="BB82" s="1243" t="s">
        <v>677</v>
      </c>
      <c r="BC82" s="1243" t="s">
        <v>677</v>
      </c>
      <c r="BD82" s="1243" t="s">
        <v>677</v>
      </c>
    </row>
    <row r="83" spans="1:56" s="422" customFormat="1" x14ac:dyDescent="0.25">
      <c r="A83" s="2639"/>
      <c r="B83" s="2641"/>
      <c r="C83" s="1967"/>
      <c r="D83" s="1967"/>
      <c r="E83" s="1967"/>
      <c r="F83" s="2171"/>
      <c r="G83" s="1972"/>
      <c r="H83" s="1978"/>
      <c r="I83" s="2050"/>
      <c r="J83" s="1967"/>
      <c r="K83" s="1973"/>
      <c r="L83" s="2638"/>
      <c r="M83" s="1972"/>
      <c r="N83" s="1973"/>
      <c r="O83" s="1973"/>
      <c r="P83" s="1967"/>
      <c r="Q83" s="1967"/>
      <c r="R83" s="1967"/>
      <c r="S83" s="1967"/>
      <c r="T83" s="1967"/>
      <c r="U83" s="1246" t="s">
        <v>6748</v>
      </c>
      <c r="V83" s="1244" t="s">
        <v>6875</v>
      </c>
      <c r="W83" s="1243">
        <v>11389</v>
      </c>
      <c r="X83" s="1239" t="s">
        <v>6795</v>
      </c>
      <c r="Y83" s="1244">
        <v>41640</v>
      </c>
      <c r="Z83" s="1244">
        <v>42004</v>
      </c>
      <c r="AA83" s="1242"/>
      <c r="AB83" s="1239"/>
      <c r="AC83" s="1319">
        <v>7470.12</v>
      </c>
      <c r="AD83" s="1319">
        <v>0</v>
      </c>
      <c r="AE83" s="1319">
        <f>AE82+AC83</f>
        <v>129870.12</v>
      </c>
      <c r="AF83" s="187">
        <v>51000</v>
      </c>
      <c r="AG83" s="187">
        <f>AE83</f>
        <v>129870.12</v>
      </c>
      <c r="AH83" s="1319">
        <f>AH82+AG83</f>
        <v>129870.12</v>
      </c>
      <c r="AI83" s="1967"/>
      <c r="AJ83" s="1972"/>
      <c r="AK83" s="1967"/>
      <c r="AL83" s="1972"/>
      <c r="AM83" s="1248" t="s">
        <v>677</v>
      </c>
      <c r="AN83" s="1248" t="s">
        <v>677</v>
      </c>
      <c r="AO83" s="1248" t="s">
        <v>677</v>
      </c>
      <c r="AP83" s="1248" t="s">
        <v>677</v>
      </c>
      <c r="AQ83" s="1248" t="s">
        <v>677</v>
      </c>
      <c r="AR83" s="1248" t="s">
        <v>677</v>
      </c>
      <c r="AS83" s="1243" t="s">
        <v>677</v>
      </c>
      <c r="AT83" s="1243" t="s">
        <v>677</v>
      </c>
      <c r="AU83" s="1243" t="s">
        <v>677</v>
      </c>
      <c r="AV83" s="1243" t="s">
        <v>677</v>
      </c>
      <c r="AW83" s="1243" t="s">
        <v>677</v>
      </c>
      <c r="AX83" s="1243" t="s">
        <v>677</v>
      </c>
      <c r="AY83" s="1243" t="s">
        <v>677</v>
      </c>
      <c r="AZ83" s="1243" t="s">
        <v>677</v>
      </c>
      <c r="BA83" s="1243" t="s">
        <v>677</v>
      </c>
      <c r="BB83" s="1243" t="s">
        <v>677</v>
      </c>
      <c r="BC83" s="1243" t="s">
        <v>677</v>
      </c>
      <c r="BD83" s="1243" t="s">
        <v>677</v>
      </c>
    </row>
    <row r="84" spans="1:56" s="422" customFormat="1" x14ac:dyDescent="0.25">
      <c r="A84" s="2639">
        <v>18</v>
      </c>
      <c r="B84" s="2641" t="s">
        <v>683</v>
      </c>
      <c r="C84" s="1967" t="s">
        <v>6876</v>
      </c>
      <c r="D84" s="1967" t="s">
        <v>6800</v>
      </c>
      <c r="E84" s="1967" t="s">
        <v>5811</v>
      </c>
      <c r="F84" s="2171" t="s">
        <v>1589</v>
      </c>
      <c r="G84" s="1978" t="s">
        <v>6877</v>
      </c>
      <c r="H84" s="1978" t="s">
        <v>1400</v>
      </c>
      <c r="I84" s="2050" t="s">
        <v>6878</v>
      </c>
      <c r="J84" s="1967" t="s">
        <v>639</v>
      </c>
      <c r="K84" s="1973">
        <v>41542</v>
      </c>
      <c r="L84" s="2637">
        <v>3240</v>
      </c>
      <c r="M84" s="1978" t="s">
        <v>6879</v>
      </c>
      <c r="N84" s="1973">
        <v>41542</v>
      </c>
      <c r="O84" s="1973">
        <v>41639</v>
      </c>
      <c r="P84" s="1967" t="s">
        <v>6735</v>
      </c>
      <c r="Q84" s="1967" t="s">
        <v>677</v>
      </c>
      <c r="R84" s="1967" t="s">
        <v>677</v>
      </c>
      <c r="S84" s="1967" t="s">
        <v>677</v>
      </c>
      <c r="T84" s="1967" t="s">
        <v>208</v>
      </c>
      <c r="U84" s="1978" t="s">
        <v>267</v>
      </c>
      <c r="V84" s="1973">
        <v>41635</v>
      </c>
      <c r="W84" s="1972">
        <v>11210</v>
      </c>
      <c r="X84" s="1967" t="s">
        <v>6880</v>
      </c>
      <c r="Y84" s="1973">
        <v>41640</v>
      </c>
      <c r="Z84" s="1973">
        <v>42004</v>
      </c>
      <c r="AA84" s="1971" t="s">
        <v>677</v>
      </c>
      <c r="AB84" s="1971" t="s">
        <v>677</v>
      </c>
      <c r="AC84" s="2423">
        <v>0</v>
      </c>
      <c r="AD84" s="2423">
        <v>0</v>
      </c>
      <c r="AE84" s="2423">
        <v>16200</v>
      </c>
      <c r="AF84" s="2638">
        <v>3240</v>
      </c>
      <c r="AG84" s="2638">
        <v>12960</v>
      </c>
      <c r="AH84" s="2423">
        <v>16200</v>
      </c>
      <c r="AI84" s="1967" t="s">
        <v>1430</v>
      </c>
      <c r="AJ84" s="1972">
        <v>11107</v>
      </c>
      <c r="AK84" s="1967" t="s">
        <v>1182</v>
      </c>
      <c r="AL84" s="1972">
        <v>11142</v>
      </c>
      <c r="AM84" s="1982" t="s">
        <v>677</v>
      </c>
      <c r="AN84" s="1982" t="s">
        <v>677</v>
      </c>
      <c r="AO84" s="1982" t="s">
        <v>677</v>
      </c>
      <c r="AP84" s="1982" t="s">
        <v>677</v>
      </c>
      <c r="AQ84" s="1982" t="s">
        <v>677</v>
      </c>
      <c r="AR84" s="1982" t="s">
        <v>677</v>
      </c>
      <c r="AS84" s="1972" t="s">
        <v>677</v>
      </c>
      <c r="AT84" s="1972" t="s">
        <v>677</v>
      </c>
      <c r="AU84" s="1972" t="s">
        <v>677</v>
      </c>
      <c r="AV84" s="1972" t="s">
        <v>677</v>
      </c>
      <c r="AW84" s="1972" t="s">
        <v>677</v>
      </c>
      <c r="AX84" s="1972" t="s">
        <v>677</v>
      </c>
      <c r="AY84" s="1972" t="s">
        <v>677</v>
      </c>
      <c r="AZ84" s="1972" t="s">
        <v>677</v>
      </c>
      <c r="BA84" s="1972" t="s">
        <v>677</v>
      </c>
      <c r="BB84" s="1972" t="s">
        <v>677</v>
      </c>
      <c r="BC84" s="1972" t="s">
        <v>677</v>
      </c>
      <c r="BD84" s="1972" t="s">
        <v>677</v>
      </c>
    </row>
    <row r="85" spans="1:56" s="422" customFormat="1" x14ac:dyDescent="0.25">
      <c r="A85" s="2639"/>
      <c r="B85" s="2641"/>
      <c r="C85" s="1967"/>
      <c r="D85" s="1967"/>
      <c r="E85" s="1967"/>
      <c r="F85" s="2171"/>
      <c r="G85" s="1978"/>
      <c r="H85" s="1978"/>
      <c r="I85" s="2050"/>
      <c r="J85" s="1967"/>
      <c r="K85" s="1973"/>
      <c r="L85" s="2637"/>
      <c r="M85" s="1978"/>
      <c r="N85" s="1973"/>
      <c r="O85" s="1973"/>
      <c r="P85" s="1967"/>
      <c r="Q85" s="1967"/>
      <c r="R85" s="1967"/>
      <c r="S85" s="1967"/>
      <c r="T85" s="1967"/>
      <c r="U85" s="1978"/>
      <c r="V85" s="1973"/>
      <c r="W85" s="1972"/>
      <c r="X85" s="1967"/>
      <c r="Y85" s="1973"/>
      <c r="Z85" s="1973"/>
      <c r="AA85" s="1971"/>
      <c r="AB85" s="1971"/>
      <c r="AC85" s="2423"/>
      <c r="AD85" s="2423"/>
      <c r="AE85" s="2423"/>
      <c r="AF85" s="2638"/>
      <c r="AG85" s="2638"/>
      <c r="AH85" s="2423"/>
      <c r="AI85" s="1967"/>
      <c r="AJ85" s="1972"/>
      <c r="AK85" s="1967"/>
      <c r="AL85" s="1972"/>
      <c r="AM85" s="1982"/>
      <c r="AN85" s="1982"/>
      <c r="AO85" s="1982"/>
      <c r="AP85" s="1982"/>
      <c r="AQ85" s="1982"/>
      <c r="AR85" s="1982"/>
      <c r="AS85" s="1972"/>
      <c r="AT85" s="1972"/>
      <c r="AU85" s="1972"/>
      <c r="AV85" s="1972"/>
      <c r="AW85" s="1972"/>
      <c r="AX85" s="1972"/>
      <c r="AY85" s="1972"/>
      <c r="AZ85" s="1972"/>
      <c r="BA85" s="1972"/>
      <c r="BB85" s="1972"/>
      <c r="BC85" s="1972"/>
      <c r="BD85" s="1972"/>
    </row>
    <row r="86" spans="1:56" s="422" customFormat="1" ht="25.5" x14ac:dyDescent="0.25">
      <c r="A86" s="2639"/>
      <c r="B86" s="2641"/>
      <c r="C86" s="1967"/>
      <c r="D86" s="1967"/>
      <c r="E86" s="1967"/>
      <c r="F86" s="2171"/>
      <c r="G86" s="1978"/>
      <c r="H86" s="1978"/>
      <c r="I86" s="2050"/>
      <c r="J86" s="1967"/>
      <c r="K86" s="1973"/>
      <c r="L86" s="2637"/>
      <c r="M86" s="1978"/>
      <c r="N86" s="1973"/>
      <c r="O86" s="1973"/>
      <c r="P86" s="1967"/>
      <c r="Q86" s="1967"/>
      <c r="R86" s="1967"/>
      <c r="S86" s="1967"/>
      <c r="T86" s="1967"/>
      <c r="U86" s="1246" t="s">
        <v>6748</v>
      </c>
      <c r="V86" s="1244">
        <v>41974</v>
      </c>
      <c r="W86" s="1243" t="s">
        <v>6881</v>
      </c>
      <c r="X86" s="1239" t="s">
        <v>6880</v>
      </c>
      <c r="Y86" s="1244">
        <v>42005</v>
      </c>
      <c r="Z86" s="1244">
        <v>42369</v>
      </c>
      <c r="AA86" s="1266"/>
      <c r="AB86" s="1266"/>
      <c r="AC86" s="1319"/>
      <c r="AD86" s="1319"/>
      <c r="AE86" s="1319">
        <v>12960</v>
      </c>
      <c r="AF86" s="1319">
        <v>0</v>
      </c>
      <c r="AG86" s="1319">
        <v>0</v>
      </c>
      <c r="AH86" s="1319">
        <v>0</v>
      </c>
      <c r="AI86" s="1967"/>
      <c r="AJ86" s="1972"/>
      <c r="AK86" s="1967"/>
      <c r="AL86" s="1972"/>
      <c r="AM86" s="1982"/>
      <c r="AN86" s="1982"/>
      <c r="AO86" s="1982"/>
      <c r="AP86" s="1982"/>
      <c r="AQ86" s="1982"/>
      <c r="AR86" s="1982"/>
      <c r="AS86" s="1972"/>
      <c r="AT86" s="1972"/>
      <c r="AU86" s="1972"/>
      <c r="AV86" s="1972"/>
      <c r="AW86" s="1972"/>
      <c r="AX86" s="1972"/>
      <c r="AY86" s="1972"/>
      <c r="AZ86" s="1972"/>
      <c r="BA86" s="1972"/>
      <c r="BB86" s="1972"/>
      <c r="BC86" s="1972"/>
      <c r="BD86" s="1972"/>
    </row>
    <row r="87" spans="1:56" s="422" customFormat="1" ht="63.75" x14ac:dyDescent="0.25">
      <c r="A87" s="1879">
        <v>19</v>
      </c>
      <c r="B87" s="637" t="s">
        <v>777</v>
      </c>
      <c r="C87" s="1239" t="s">
        <v>6872</v>
      </c>
      <c r="D87" s="1239" t="s">
        <v>6800</v>
      </c>
      <c r="E87" s="1239" t="s">
        <v>5811</v>
      </c>
      <c r="F87" s="1291" t="s">
        <v>6873</v>
      </c>
      <c r="G87" s="1243" t="s">
        <v>6882</v>
      </c>
      <c r="H87" s="1246" t="s">
        <v>4286</v>
      </c>
      <c r="I87" s="1273" t="s">
        <v>6874</v>
      </c>
      <c r="J87" s="1239" t="s">
        <v>759</v>
      </c>
      <c r="K87" s="1244">
        <v>41618</v>
      </c>
      <c r="L87" s="187">
        <v>8756.7900000000009</v>
      </c>
      <c r="M87" s="1243">
        <v>11202</v>
      </c>
      <c r="N87" s="1244">
        <v>41618</v>
      </c>
      <c r="O87" s="1244">
        <v>41654</v>
      </c>
      <c r="P87" s="1239" t="s">
        <v>6735</v>
      </c>
      <c r="Q87" s="1239" t="s">
        <v>677</v>
      </c>
      <c r="R87" s="1239" t="s">
        <v>677</v>
      </c>
      <c r="S87" s="1239" t="s">
        <v>677</v>
      </c>
      <c r="T87" s="1239" t="s">
        <v>208</v>
      </c>
      <c r="U87" s="1246" t="s">
        <v>677</v>
      </c>
      <c r="V87" s="1239" t="s">
        <v>677</v>
      </c>
      <c r="W87" s="1243" t="s">
        <v>677</v>
      </c>
      <c r="X87" s="1262"/>
      <c r="Y87" s="1244" t="s">
        <v>677</v>
      </c>
      <c r="Z87" s="1244" t="s">
        <v>677</v>
      </c>
      <c r="AA87" s="1242" t="s">
        <v>677</v>
      </c>
      <c r="AB87" s="1239" t="s">
        <v>677</v>
      </c>
      <c r="AC87" s="1319">
        <v>0</v>
      </c>
      <c r="AD87" s="1319">
        <v>0</v>
      </c>
      <c r="AE87" s="1319">
        <f>L87-AD87+AC87</f>
        <v>8756.7900000000009</v>
      </c>
      <c r="AF87" s="187">
        <v>5206.74</v>
      </c>
      <c r="AG87" s="187">
        <v>3550.05</v>
      </c>
      <c r="AH87" s="1319">
        <f t="shared" si="2"/>
        <v>8756.7900000000009</v>
      </c>
      <c r="AI87" s="1239" t="s">
        <v>403</v>
      </c>
      <c r="AJ87" s="1243">
        <v>11023</v>
      </c>
      <c r="AK87" s="1239" t="s">
        <v>761</v>
      </c>
      <c r="AL87" s="1243">
        <v>11121</v>
      </c>
      <c r="AM87" s="1248" t="s">
        <v>677</v>
      </c>
      <c r="AN87" s="1248" t="s">
        <v>677</v>
      </c>
      <c r="AO87" s="1248" t="s">
        <v>677</v>
      </c>
      <c r="AP87" s="1248" t="s">
        <v>677</v>
      </c>
      <c r="AQ87" s="1248" t="s">
        <v>677</v>
      </c>
      <c r="AR87" s="1248" t="s">
        <v>677</v>
      </c>
      <c r="AS87" s="1243" t="s">
        <v>677</v>
      </c>
      <c r="AT87" s="1243" t="s">
        <v>677</v>
      </c>
      <c r="AU87" s="1243" t="s">
        <v>677</v>
      </c>
      <c r="AV87" s="1243" t="s">
        <v>677</v>
      </c>
      <c r="AW87" s="1243" t="s">
        <v>677</v>
      </c>
      <c r="AX87" s="1243" t="s">
        <v>677</v>
      </c>
      <c r="AY87" s="1243" t="s">
        <v>677</v>
      </c>
      <c r="AZ87" s="1243" t="s">
        <v>677</v>
      </c>
      <c r="BA87" s="1243" t="s">
        <v>677</v>
      </c>
      <c r="BB87" s="1243" t="s">
        <v>677</v>
      </c>
      <c r="BC87" s="1243" t="s">
        <v>677</v>
      </c>
      <c r="BD87" s="1243" t="s">
        <v>677</v>
      </c>
    </row>
    <row r="88" spans="1:56" s="422" customFormat="1" ht="25.5" x14ac:dyDescent="0.25">
      <c r="A88" s="2639">
        <v>20</v>
      </c>
      <c r="B88" s="2641" t="s">
        <v>675</v>
      </c>
      <c r="C88" s="1967" t="s">
        <v>677</v>
      </c>
      <c r="D88" s="1967" t="s">
        <v>690</v>
      </c>
      <c r="E88" s="1967" t="s">
        <v>677</v>
      </c>
      <c r="F88" s="1967" t="s">
        <v>6883</v>
      </c>
      <c r="G88" s="1972" t="s">
        <v>6884</v>
      </c>
      <c r="H88" s="1978" t="s">
        <v>2455</v>
      </c>
      <c r="I88" s="2050" t="s">
        <v>6885</v>
      </c>
      <c r="J88" s="1967" t="s">
        <v>6886</v>
      </c>
      <c r="K88" s="1973">
        <v>39818</v>
      </c>
      <c r="L88" s="2637">
        <v>96000</v>
      </c>
      <c r="M88" s="1972" t="s">
        <v>6887</v>
      </c>
      <c r="N88" s="1973">
        <v>39818</v>
      </c>
      <c r="O88" s="1973">
        <v>40183</v>
      </c>
      <c r="P88" s="1967" t="s">
        <v>6763</v>
      </c>
      <c r="Q88" s="1967" t="s">
        <v>677</v>
      </c>
      <c r="R88" s="1967" t="s">
        <v>677</v>
      </c>
      <c r="S88" s="1967" t="s">
        <v>677</v>
      </c>
      <c r="T88" s="1967" t="s">
        <v>158</v>
      </c>
      <c r="U88" s="1246" t="s">
        <v>267</v>
      </c>
      <c r="V88" s="1244">
        <v>40165</v>
      </c>
      <c r="W88" s="1243">
        <v>10202</v>
      </c>
      <c r="X88" s="1239" t="s">
        <v>6880</v>
      </c>
      <c r="Y88" s="1244">
        <v>40183</v>
      </c>
      <c r="Z88" s="1244">
        <v>40548</v>
      </c>
      <c r="AA88" s="1242" t="s">
        <v>677</v>
      </c>
      <c r="AB88" s="1239" t="s">
        <v>677</v>
      </c>
      <c r="AC88" s="1319">
        <v>0</v>
      </c>
      <c r="AD88" s="1319">
        <v>0</v>
      </c>
      <c r="AE88" s="1319">
        <f>L88-AD88+AC88</f>
        <v>96000</v>
      </c>
      <c r="AF88" s="1319"/>
      <c r="AG88" s="1319"/>
      <c r="AH88" s="1242">
        <v>96000</v>
      </c>
      <c r="AI88" s="1243" t="s">
        <v>677</v>
      </c>
      <c r="AJ88" s="1243" t="s">
        <v>677</v>
      </c>
      <c r="AK88" s="1243" t="s">
        <v>677</v>
      </c>
      <c r="AL88" s="1243" t="s">
        <v>677</v>
      </c>
      <c r="AM88" s="2135" t="s">
        <v>690</v>
      </c>
      <c r="AN88" s="1967" t="s">
        <v>6888</v>
      </c>
      <c r="AO88" s="1984" t="s">
        <v>6887</v>
      </c>
      <c r="AP88" s="1982" t="s">
        <v>6889</v>
      </c>
      <c r="AQ88" s="1984" t="s">
        <v>6887</v>
      </c>
      <c r="AR88" s="1982" t="s">
        <v>677</v>
      </c>
      <c r="AS88" s="1243" t="s">
        <v>677</v>
      </c>
      <c r="AT88" s="1243" t="s">
        <v>677</v>
      </c>
      <c r="AU88" s="1243" t="s">
        <v>677</v>
      </c>
      <c r="AV88" s="1243" t="s">
        <v>677</v>
      </c>
      <c r="AW88" s="1243" t="s">
        <v>677</v>
      </c>
      <c r="AX88" s="1243" t="s">
        <v>677</v>
      </c>
      <c r="AY88" s="1243" t="s">
        <v>677</v>
      </c>
      <c r="AZ88" s="1243" t="s">
        <v>677</v>
      </c>
      <c r="BA88" s="1243" t="s">
        <v>677</v>
      </c>
      <c r="BB88" s="1243" t="s">
        <v>677</v>
      </c>
      <c r="BC88" s="1243" t="s">
        <v>677</v>
      </c>
      <c r="BD88" s="1243" t="s">
        <v>677</v>
      </c>
    </row>
    <row r="89" spans="1:56" s="422" customFormat="1" ht="25.5" x14ac:dyDescent="0.25">
      <c r="A89" s="2639"/>
      <c r="B89" s="2641"/>
      <c r="C89" s="1967"/>
      <c r="D89" s="1967"/>
      <c r="E89" s="1967"/>
      <c r="F89" s="1967"/>
      <c r="G89" s="1972"/>
      <c r="H89" s="1978"/>
      <c r="I89" s="2050"/>
      <c r="J89" s="1967"/>
      <c r="K89" s="1973"/>
      <c r="L89" s="2637"/>
      <c r="M89" s="1972"/>
      <c r="N89" s="1973"/>
      <c r="O89" s="1973"/>
      <c r="P89" s="1967"/>
      <c r="Q89" s="1967"/>
      <c r="R89" s="1967"/>
      <c r="S89" s="1967"/>
      <c r="T89" s="1967"/>
      <c r="U89" s="1246" t="s">
        <v>6890</v>
      </c>
      <c r="V89" s="1244">
        <v>40525</v>
      </c>
      <c r="W89" s="1243">
        <v>10443</v>
      </c>
      <c r="X89" s="1239" t="s">
        <v>6880</v>
      </c>
      <c r="Y89" s="1244">
        <v>40548</v>
      </c>
      <c r="Z89" s="1244">
        <v>40913</v>
      </c>
      <c r="AA89" s="1242" t="s">
        <v>677</v>
      </c>
      <c r="AB89" s="1239" t="s">
        <v>677</v>
      </c>
      <c r="AC89" s="1319">
        <v>0</v>
      </c>
      <c r="AD89" s="1319">
        <v>0</v>
      </c>
      <c r="AE89" s="1319">
        <v>106869.12</v>
      </c>
      <c r="AF89" s="1319"/>
      <c r="AG89" s="1242"/>
      <c r="AH89" s="1242">
        <f>AH88+AF89</f>
        <v>96000</v>
      </c>
      <c r="AI89" s="1243" t="s">
        <v>677</v>
      </c>
      <c r="AJ89" s="1243" t="s">
        <v>677</v>
      </c>
      <c r="AK89" s="1243" t="s">
        <v>677</v>
      </c>
      <c r="AL89" s="1243" t="s">
        <v>677</v>
      </c>
      <c r="AM89" s="2135"/>
      <c r="AN89" s="1967"/>
      <c r="AO89" s="1984"/>
      <c r="AP89" s="1982"/>
      <c r="AQ89" s="1984"/>
      <c r="AR89" s="1982"/>
      <c r="AS89" s="1243" t="s">
        <v>677</v>
      </c>
      <c r="AT89" s="1243" t="s">
        <v>677</v>
      </c>
      <c r="AU89" s="1243" t="s">
        <v>677</v>
      </c>
      <c r="AV89" s="1243" t="s">
        <v>677</v>
      </c>
      <c r="AW89" s="1243" t="s">
        <v>677</v>
      </c>
      <c r="AX89" s="1243" t="s">
        <v>677</v>
      </c>
      <c r="AY89" s="1243" t="s">
        <v>677</v>
      </c>
      <c r="AZ89" s="1243" t="s">
        <v>677</v>
      </c>
      <c r="BA89" s="1243" t="s">
        <v>677</v>
      </c>
      <c r="BB89" s="1243" t="s">
        <v>677</v>
      </c>
      <c r="BC89" s="1243" t="s">
        <v>677</v>
      </c>
      <c r="BD89" s="1243" t="s">
        <v>677</v>
      </c>
    </row>
    <row r="90" spans="1:56" s="422" customFormat="1" ht="25.5" x14ac:dyDescent="0.25">
      <c r="A90" s="2639"/>
      <c r="B90" s="2641"/>
      <c r="C90" s="1967"/>
      <c r="D90" s="1967"/>
      <c r="E90" s="1967"/>
      <c r="F90" s="1967"/>
      <c r="G90" s="1972"/>
      <c r="H90" s="1978"/>
      <c r="I90" s="2050"/>
      <c r="J90" s="1967"/>
      <c r="K90" s="1973"/>
      <c r="L90" s="2637"/>
      <c r="M90" s="1972"/>
      <c r="N90" s="1973"/>
      <c r="O90" s="1973"/>
      <c r="P90" s="1967"/>
      <c r="Q90" s="1967"/>
      <c r="R90" s="1967"/>
      <c r="S90" s="1967"/>
      <c r="T90" s="1967"/>
      <c r="U90" s="1246" t="s">
        <v>6750</v>
      </c>
      <c r="V90" s="1244">
        <v>40889</v>
      </c>
      <c r="W90" s="1243">
        <v>10695</v>
      </c>
      <c r="X90" s="1239" t="s">
        <v>6880</v>
      </c>
      <c r="Y90" s="1244">
        <v>40913</v>
      </c>
      <c r="Z90" s="1244">
        <v>41279</v>
      </c>
      <c r="AA90" s="1242" t="s">
        <v>677</v>
      </c>
      <c r="AB90" s="1239" t="s">
        <v>677</v>
      </c>
      <c r="AC90" s="1319">
        <v>0</v>
      </c>
      <c r="AD90" s="1319">
        <v>0</v>
      </c>
      <c r="AE90" s="1319">
        <v>112317.03</v>
      </c>
      <c r="AF90" s="1319"/>
      <c r="AG90" s="1242"/>
      <c r="AH90" s="1242">
        <f>AH89+AF90</f>
        <v>96000</v>
      </c>
      <c r="AI90" s="1243" t="s">
        <v>677</v>
      </c>
      <c r="AJ90" s="1243" t="s">
        <v>677</v>
      </c>
      <c r="AK90" s="1243" t="s">
        <v>677</v>
      </c>
      <c r="AL90" s="1243" t="s">
        <v>677</v>
      </c>
      <c r="AM90" s="2135"/>
      <c r="AN90" s="1967"/>
      <c r="AO90" s="1984"/>
      <c r="AP90" s="1982"/>
      <c r="AQ90" s="1984"/>
      <c r="AR90" s="1982"/>
      <c r="AS90" s="1243" t="s">
        <v>677</v>
      </c>
      <c r="AT90" s="1243" t="s">
        <v>677</v>
      </c>
      <c r="AU90" s="1243" t="s">
        <v>677</v>
      </c>
      <c r="AV90" s="1243" t="s">
        <v>677</v>
      </c>
      <c r="AW90" s="1243" t="s">
        <v>677</v>
      </c>
      <c r="AX90" s="1243" t="s">
        <v>677</v>
      </c>
      <c r="AY90" s="1243" t="s">
        <v>677</v>
      </c>
      <c r="AZ90" s="1243" t="s">
        <v>677</v>
      </c>
      <c r="BA90" s="1243" t="s">
        <v>677</v>
      </c>
      <c r="BB90" s="1243" t="s">
        <v>677</v>
      </c>
      <c r="BC90" s="1243" t="s">
        <v>677</v>
      </c>
      <c r="BD90" s="1243" t="s">
        <v>677</v>
      </c>
    </row>
    <row r="91" spans="1:56" s="422" customFormat="1" ht="25.5" x14ac:dyDescent="0.25">
      <c r="A91" s="2639"/>
      <c r="B91" s="2641"/>
      <c r="C91" s="1967"/>
      <c r="D91" s="1967"/>
      <c r="E91" s="1967"/>
      <c r="F91" s="1967"/>
      <c r="G91" s="1972"/>
      <c r="H91" s="1978"/>
      <c r="I91" s="2050"/>
      <c r="J91" s="1967"/>
      <c r="K91" s="1973"/>
      <c r="L91" s="2637"/>
      <c r="M91" s="1972"/>
      <c r="N91" s="1973"/>
      <c r="O91" s="1973"/>
      <c r="P91" s="1967"/>
      <c r="Q91" s="1967"/>
      <c r="R91" s="1967"/>
      <c r="S91" s="1967"/>
      <c r="T91" s="1967"/>
      <c r="U91" s="1246" t="s">
        <v>6752</v>
      </c>
      <c r="V91" s="1244">
        <v>41264</v>
      </c>
      <c r="W91" s="1243">
        <v>10953</v>
      </c>
      <c r="X91" s="1239" t="s">
        <v>6880</v>
      </c>
      <c r="Y91" s="1244">
        <v>41279</v>
      </c>
      <c r="Z91" s="1244">
        <v>41644</v>
      </c>
      <c r="AA91" s="1242" t="s">
        <v>677</v>
      </c>
      <c r="AB91" s="1239" t="s">
        <v>677</v>
      </c>
      <c r="AC91" s="1319">
        <v>0</v>
      </c>
      <c r="AD91" s="1319">
        <v>0</v>
      </c>
      <c r="AE91" s="1319">
        <v>121091.16</v>
      </c>
      <c r="AF91" s="1319"/>
      <c r="AG91" s="1242"/>
      <c r="AH91" s="1242">
        <f>AH90+AG91</f>
        <v>96000</v>
      </c>
      <c r="AI91" s="1243" t="s">
        <v>677</v>
      </c>
      <c r="AJ91" s="1243" t="s">
        <v>677</v>
      </c>
      <c r="AK91" s="1243" t="s">
        <v>677</v>
      </c>
      <c r="AL91" s="1243" t="s">
        <v>677</v>
      </c>
      <c r="AM91" s="2135"/>
      <c r="AN91" s="1967"/>
      <c r="AO91" s="1984"/>
      <c r="AP91" s="1982"/>
      <c r="AQ91" s="1984"/>
      <c r="AR91" s="1982"/>
      <c r="AS91" s="1243" t="s">
        <v>677</v>
      </c>
      <c r="AT91" s="1243" t="s">
        <v>677</v>
      </c>
      <c r="AU91" s="1243" t="s">
        <v>677</v>
      </c>
      <c r="AV91" s="1243" t="s">
        <v>677</v>
      </c>
      <c r="AW91" s="1243" t="s">
        <v>677</v>
      </c>
      <c r="AX91" s="1243" t="s">
        <v>677</v>
      </c>
      <c r="AY91" s="1243" t="s">
        <v>677</v>
      </c>
      <c r="AZ91" s="1243" t="s">
        <v>677</v>
      </c>
      <c r="BA91" s="1243" t="s">
        <v>677</v>
      </c>
      <c r="BB91" s="1243" t="s">
        <v>677</v>
      </c>
      <c r="BC91" s="1243" t="s">
        <v>677</v>
      </c>
      <c r="BD91" s="1243" t="s">
        <v>677</v>
      </c>
    </row>
    <row r="92" spans="1:56" s="422" customFormat="1" ht="25.5" x14ac:dyDescent="0.25">
      <c r="A92" s="2639"/>
      <c r="B92" s="2641"/>
      <c r="C92" s="1967"/>
      <c r="D92" s="1967"/>
      <c r="E92" s="1967"/>
      <c r="F92" s="1967"/>
      <c r="G92" s="1972"/>
      <c r="H92" s="1978"/>
      <c r="I92" s="2050"/>
      <c r="J92" s="1967"/>
      <c r="K92" s="1973"/>
      <c r="L92" s="2637"/>
      <c r="M92" s="1972"/>
      <c r="N92" s="1973"/>
      <c r="O92" s="1973"/>
      <c r="P92" s="1967"/>
      <c r="Q92" s="1967"/>
      <c r="R92" s="1967"/>
      <c r="S92" s="1967"/>
      <c r="T92" s="1967"/>
      <c r="U92" s="1246" t="s">
        <v>6755</v>
      </c>
      <c r="V92" s="1244">
        <v>41634</v>
      </c>
      <c r="W92" s="1243">
        <v>11210</v>
      </c>
      <c r="X92" s="1239" t="s">
        <v>6880</v>
      </c>
      <c r="Y92" s="1244">
        <v>41644</v>
      </c>
      <c r="Z92" s="1244">
        <v>42009</v>
      </c>
      <c r="AA92" s="1242" t="s">
        <v>677</v>
      </c>
      <c r="AB92" s="1239" t="s">
        <v>677</v>
      </c>
      <c r="AC92" s="1319">
        <v>0</v>
      </c>
      <c r="AD92" s="1319">
        <v>0</v>
      </c>
      <c r="AE92" s="1319">
        <v>127782.24</v>
      </c>
      <c r="AF92" s="1619">
        <f>AE88+AE89+AE90+AE91</f>
        <v>436277.31000000006</v>
      </c>
      <c r="AG92" s="1619">
        <v>127782.24</v>
      </c>
      <c r="AH92" s="1242">
        <f>AH91+AG92</f>
        <v>223782.24</v>
      </c>
      <c r="AI92" s="1243" t="s">
        <v>677</v>
      </c>
      <c r="AJ92" s="1243" t="s">
        <v>677</v>
      </c>
      <c r="AK92" s="1243" t="s">
        <v>677</v>
      </c>
      <c r="AL92" s="1243" t="s">
        <v>677</v>
      </c>
      <c r="AM92" s="2135"/>
      <c r="AN92" s="1967"/>
      <c r="AO92" s="1984"/>
      <c r="AP92" s="1982"/>
      <c r="AQ92" s="1984"/>
      <c r="AR92" s="1982"/>
      <c r="AS92" s="1243" t="s">
        <v>677</v>
      </c>
      <c r="AT92" s="1243" t="s">
        <v>677</v>
      </c>
      <c r="AU92" s="1243" t="s">
        <v>677</v>
      </c>
      <c r="AV92" s="1243" t="s">
        <v>677</v>
      </c>
      <c r="AW92" s="1243" t="s">
        <v>677</v>
      </c>
      <c r="AX92" s="1243" t="s">
        <v>677</v>
      </c>
      <c r="AY92" s="1243" t="s">
        <v>677</v>
      </c>
      <c r="AZ92" s="1243" t="s">
        <v>677</v>
      </c>
      <c r="BA92" s="1243" t="s">
        <v>677</v>
      </c>
      <c r="BB92" s="1243" t="s">
        <v>677</v>
      </c>
      <c r="BC92" s="1243" t="s">
        <v>677</v>
      </c>
      <c r="BD92" s="1243" t="s">
        <v>677</v>
      </c>
    </row>
    <row r="93" spans="1:56" s="422" customFormat="1" ht="25.5" x14ac:dyDescent="0.25">
      <c r="A93" s="2639"/>
      <c r="B93" s="2641"/>
      <c r="C93" s="1967"/>
      <c r="D93" s="1967"/>
      <c r="E93" s="1967"/>
      <c r="F93" s="1967"/>
      <c r="G93" s="1972"/>
      <c r="H93" s="1978"/>
      <c r="I93" s="2050"/>
      <c r="J93" s="1967"/>
      <c r="K93" s="1973"/>
      <c r="L93" s="2637"/>
      <c r="M93" s="1972"/>
      <c r="N93" s="1973"/>
      <c r="O93" s="1973"/>
      <c r="P93" s="1967"/>
      <c r="Q93" s="1967"/>
      <c r="R93" s="1967"/>
      <c r="S93" s="1967"/>
      <c r="T93" s="1967"/>
      <c r="U93" s="1246" t="s">
        <v>6756</v>
      </c>
      <c r="V93" s="1244">
        <v>41970</v>
      </c>
      <c r="W93" s="1243" t="s">
        <v>6881</v>
      </c>
      <c r="X93" s="1239" t="s">
        <v>6891</v>
      </c>
      <c r="Y93" s="1244">
        <v>42009</v>
      </c>
      <c r="Z93" s="1244">
        <v>42190</v>
      </c>
      <c r="AA93" s="1242" t="s">
        <v>677</v>
      </c>
      <c r="AB93" s="1239" t="s">
        <v>677</v>
      </c>
      <c r="AC93" s="1319">
        <v>0</v>
      </c>
      <c r="AD93" s="1319">
        <v>0</v>
      </c>
      <c r="AE93" s="1319">
        <v>63891.12</v>
      </c>
      <c r="AF93" s="1266"/>
      <c r="AG93" s="1266"/>
      <c r="AH93" s="1242"/>
      <c r="AI93" s="1243"/>
      <c r="AJ93" s="1243"/>
      <c r="AK93" s="1243"/>
      <c r="AL93" s="1243"/>
      <c r="AM93" s="1284"/>
      <c r="AN93" s="1239"/>
      <c r="AO93" s="1249"/>
      <c r="AP93" s="1248"/>
      <c r="AQ93" s="1249"/>
      <c r="AR93" s="1248"/>
      <c r="AS93" s="1243"/>
      <c r="AT93" s="1243"/>
      <c r="AU93" s="1243"/>
      <c r="AV93" s="1243"/>
      <c r="AW93" s="1243"/>
      <c r="AX93" s="1243"/>
      <c r="AY93" s="1243"/>
      <c r="AZ93" s="1243"/>
      <c r="BA93" s="1243"/>
      <c r="BB93" s="1243"/>
      <c r="BC93" s="1243"/>
      <c r="BD93" s="1243"/>
    </row>
    <row r="94" spans="1:56" s="422" customFormat="1" ht="25.5" x14ac:dyDescent="0.25">
      <c r="A94" s="1879">
        <v>21</v>
      </c>
      <c r="B94" s="1276" t="s">
        <v>787</v>
      </c>
      <c r="C94" s="1239" t="s">
        <v>6892</v>
      </c>
      <c r="D94" s="1239" t="s">
        <v>6730</v>
      </c>
      <c r="E94" s="1239" t="s">
        <v>5982</v>
      </c>
      <c r="F94" s="1291" t="s">
        <v>6893</v>
      </c>
      <c r="G94" s="1243" t="s">
        <v>6894</v>
      </c>
      <c r="H94" s="1246" t="s">
        <v>675</v>
      </c>
      <c r="I94" s="1273" t="s">
        <v>6895</v>
      </c>
      <c r="J94" s="1239" t="s">
        <v>1551</v>
      </c>
      <c r="K94" s="1244">
        <v>41641</v>
      </c>
      <c r="L94" s="187">
        <v>5000</v>
      </c>
      <c r="M94" s="1243">
        <v>11223</v>
      </c>
      <c r="N94" s="1244">
        <v>41641</v>
      </c>
      <c r="O94" s="1244">
        <v>42004</v>
      </c>
      <c r="P94" s="1239" t="s">
        <v>6763</v>
      </c>
      <c r="Q94" s="1239" t="s">
        <v>677</v>
      </c>
      <c r="R94" s="1239" t="s">
        <v>677</v>
      </c>
      <c r="S94" s="1239" t="s">
        <v>677</v>
      </c>
      <c r="T94" s="1239" t="s">
        <v>208</v>
      </c>
      <c r="U94" s="1246" t="s">
        <v>677</v>
      </c>
      <c r="V94" s="1239" t="s">
        <v>677</v>
      </c>
      <c r="W94" s="1243" t="s">
        <v>677</v>
      </c>
      <c r="X94" s="1239" t="s">
        <v>677</v>
      </c>
      <c r="Y94" s="1244" t="s">
        <v>677</v>
      </c>
      <c r="Z94" s="1244" t="s">
        <v>677</v>
      </c>
      <c r="AA94" s="1242" t="s">
        <v>677</v>
      </c>
      <c r="AB94" s="1239" t="s">
        <v>677</v>
      </c>
      <c r="AC94" s="1319">
        <v>0</v>
      </c>
      <c r="AD94" s="1319">
        <v>0</v>
      </c>
      <c r="AE94" s="1319">
        <f>L94-AD94+AC94</f>
        <v>5000</v>
      </c>
      <c r="AF94" s="1242"/>
      <c r="AG94" s="187">
        <v>5000</v>
      </c>
      <c r="AH94" s="1319">
        <f>AF94+AG94</f>
        <v>5000</v>
      </c>
      <c r="AI94" s="1243" t="s">
        <v>677</v>
      </c>
      <c r="AJ94" s="1243" t="s">
        <v>677</v>
      </c>
      <c r="AK94" s="1243" t="s">
        <v>677</v>
      </c>
      <c r="AL94" s="1243" t="s">
        <v>677</v>
      </c>
      <c r="AM94" s="1248" t="s">
        <v>677</v>
      </c>
      <c r="AN94" s="1248" t="s">
        <v>677</v>
      </c>
      <c r="AO94" s="1248" t="s">
        <v>677</v>
      </c>
      <c r="AP94" s="1248" t="s">
        <v>677</v>
      </c>
      <c r="AQ94" s="1248" t="s">
        <v>677</v>
      </c>
      <c r="AR94" s="1248" t="s">
        <v>677</v>
      </c>
      <c r="AS94" s="1243" t="s">
        <v>677</v>
      </c>
      <c r="AT94" s="1243" t="s">
        <v>677</v>
      </c>
      <c r="AU94" s="1243" t="s">
        <v>677</v>
      </c>
      <c r="AV94" s="1243" t="s">
        <v>677</v>
      </c>
      <c r="AW94" s="1243" t="s">
        <v>677</v>
      </c>
      <c r="AX94" s="1243" t="s">
        <v>677</v>
      </c>
      <c r="AY94" s="1243" t="s">
        <v>677</v>
      </c>
      <c r="AZ94" s="1243" t="s">
        <v>677</v>
      </c>
      <c r="BA94" s="1243" t="s">
        <v>677</v>
      </c>
      <c r="BB94" s="1243" t="s">
        <v>677</v>
      </c>
      <c r="BC94" s="1243" t="s">
        <v>677</v>
      </c>
      <c r="BD94" s="1243" t="s">
        <v>677</v>
      </c>
    </row>
    <row r="95" spans="1:56" s="422" customFormat="1" ht="25.5" x14ac:dyDescent="0.25">
      <c r="A95" s="1879">
        <v>22</v>
      </c>
      <c r="B95" s="1276" t="s">
        <v>780</v>
      </c>
      <c r="C95" s="1239" t="s">
        <v>6896</v>
      </c>
      <c r="D95" s="1239" t="s">
        <v>6730</v>
      </c>
      <c r="E95" s="1239" t="s">
        <v>5811</v>
      </c>
      <c r="F95" s="1291" t="s">
        <v>6897</v>
      </c>
      <c r="G95" s="1243" t="s">
        <v>6898</v>
      </c>
      <c r="H95" s="1246" t="s">
        <v>683</v>
      </c>
      <c r="I95" s="1273" t="s">
        <v>6899</v>
      </c>
      <c r="J95" s="1239" t="s">
        <v>2333</v>
      </c>
      <c r="K95" s="1244">
        <v>41641</v>
      </c>
      <c r="L95" s="187">
        <v>11705.25</v>
      </c>
      <c r="M95" s="1243">
        <v>11230</v>
      </c>
      <c r="N95" s="1244">
        <v>41641</v>
      </c>
      <c r="O95" s="1244">
        <v>42004</v>
      </c>
      <c r="P95" s="1239" t="s">
        <v>6763</v>
      </c>
      <c r="Q95" s="1239" t="s">
        <v>677</v>
      </c>
      <c r="R95" s="1239" t="s">
        <v>677</v>
      </c>
      <c r="S95" s="1239" t="s">
        <v>677</v>
      </c>
      <c r="T95" s="1239" t="s">
        <v>208</v>
      </c>
      <c r="U95" s="1246" t="s">
        <v>677</v>
      </c>
      <c r="V95" s="1239" t="s">
        <v>677</v>
      </c>
      <c r="W95" s="1243" t="s">
        <v>677</v>
      </c>
      <c r="X95" s="1239" t="s">
        <v>677</v>
      </c>
      <c r="Y95" s="1244" t="s">
        <v>677</v>
      </c>
      <c r="Z95" s="1244" t="s">
        <v>677</v>
      </c>
      <c r="AA95" s="1242" t="s">
        <v>677</v>
      </c>
      <c r="AB95" s="1239" t="s">
        <v>677</v>
      </c>
      <c r="AC95" s="1319">
        <v>0</v>
      </c>
      <c r="AD95" s="1319">
        <v>0</v>
      </c>
      <c r="AE95" s="1319">
        <f>L95-AD95+AC95</f>
        <v>11705.25</v>
      </c>
      <c r="AF95" s="1242"/>
      <c r="AG95" s="187">
        <v>11705.25</v>
      </c>
      <c r="AH95" s="1319">
        <f t="shared" ref="AH95:AH178" si="3">AF95+AG95</f>
        <v>11705.25</v>
      </c>
      <c r="AI95" s="1243" t="s">
        <v>677</v>
      </c>
      <c r="AJ95" s="1243" t="s">
        <v>677</v>
      </c>
      <c r="AK95" s="1243" t="s">
        <v>677</v>
      </c>
      <c r="AL95" s="1243" t="s">
        <v>677</v>
      </c>
      <c r="AM95" s="1248" t="s">
        <v>677</v>
      </c>
      <c r="AN95" s="1248" t="s">
        <v>677</v>
      </c>
      <c r="AO95" s="1248" t="s">
        <v>677</v>
      </c>
      <c r="AP95" s="1248" t="s">
        <v>677</v>
      </c>
      <c r="AQ95" s="1248" t="s">
        <v>677</v>
      </c>
      <c r="AR95" s="1248" t="s">
        <v>677</v>
      </c>
      <c r="AS95" s="1243" t="s">
        <v>677</v>
      </c>
      <c r="AT95" s="1243" t="s">
        <v>677</v>
      </c>
      <c r="AU95" s="1243" t="s">
        <v>677</v>
      </c>
      <c r="AV95" s="1243" t="s">
        <v>677</v>
      </c>
      <c r="AW95" s="1243" t="s">
        <v>677</v>
      </c>
      <c r="AX95" s="1243" t="s">
        <v>677</v>
      </c>
      <c r="AY95" s="1243" t="s">
        <v>677</v>
      </c>
      <c r="AZ95" s="1243" t="s">
        <v>677</v>
      </c>
      <c r="BA95" s="1243" t="s">
        <v>677</v>
      </c>
      <c r="BB95" s="1243" t="s">
        <v>677</v>
      </c>
      <c r="BC95" s="1243" t="s">
        <v>677</v>
      </c>
      <c r="BD95" s="1243" t="s">
        <v>677</v>
      </c>
    </row>
    <row r="96" spans="1:56" s="422" customFormat="1" x14ac:dyDescent="0.25">
      <c r="A96" s="2639">
        <v>23</v>
      </c>
      <c r="B96" s="2080" t="s">
        <v>792</v>
      </c>
      <c r="C96" s="1967" t="s">
        <v>6900</v>
      </c>
      <c r="D96" s="1967" t="s">
        <v>6730</v>
      </c>
      <c r="E96" s="1967" t="s">
        <v>6901</v>
      </c>
      <c r="F96" s="2171" t="s">
        <v>6902</v>
      </c>
      <c r="G96" s="1972" t="s">
        <v>6903</v>
      </c>
      <c r="H96" s="1978" t="s">
        <v>686</v>
      </c>
      <c r="I96" s="2050" t="s">
        <v>6904</v>
      </c>
      <c r="J96" s="1967" t="s">
        <v>4332</v>
      </c>
      <c r="K96" s="1973">
        <v>41641</v>
      </c>
      <c r="L96" s="187">
        <v>15000</v>
      </c>
      <c r="M96" s="1972">
        <v>11223</v>
      </c>
      <c r="N96" s="1973">
        <v>41641</v>
      </c>
      <c r="O96" s="1973">
        <v>42004</v>
      </c>
      <c r="P96" s="1967" t="s">
        <v>6763</v>
      </c>
      <c r="Q96" s="1967" t="s">
        <v>677</v>
      </c>
      <c r="R96" s="1967" t="s">
        <v>677</v>
      </c>
      <c r="S96" s="1967" t="s">
        <v>677</v>
      </c>
      <c r="T96" s="1239" t="s">
        <v>316</v>
      </c>
      <c r="U96" s="1978" t="s">
        <v>6905</v>
      </c>
      <c r="V96" s="1973">
        <v>41974</v>
      </c>
      <c r="W96" s="1972">
        <v>11449</v>
      </c>
      <c r="X96" s="1967" t="s">
        <v>6906</v>
      </c>
      <c r="Y96" s="1973">
        <v>41974</v>
      </c>
      <c r="Z96" s="1973">
        <v>42004</v>
      </c>
      <c r="AA96" s="2640">
        <v>0.25</v>
      </c>
      <c r="AB96" s="1967" t="s">
        <v>677</v>
      </c>
      <c r="AC96" s="2423">
        <v>5500</v>
      </c>
      <c r="AD96" s="2423">
        <v>0</v>
      </c>
      <c r="AE96" s="2423">
        <v>27500</v>
      </c>
      <c r="AF96" s="2423"/>
      <c r="AG96" s="2638">
        <v>26005.3</v>
      </c>
      <c r="AH96" s="2423">
        <f t="shared" si="3"/>
        <v>26005.3</v>
      </c>
      <c r="AI96" s="1243" t="s">
        <v>677</v>
      </c>
      <c r="AJ96" s="1243" t="s">
        <v>677</v>
      </c>
      <c r="AK96" s="1243" t="s">
        <v>677</v>
      </c>
      <c r="AL96" s="1243" t="s">
        <v>677</v>
      </c>
      <c r="AM96" s="1248" t="s">
        <v>677</v>
      </c>
      <c r="AN96" s="1248" t="s">
        <v>677</v>
      </c>
      <c r="AO96" s="1248" t="s">
        <v>677</v>
      </c>
      <c r="AP96" s="1248" t="s">
        <v>677</v>
      </c>
      <c r="AQ96" s="1248" t="s">
        <v>677</v>
      </c>
      <c r="AR96" s="1248" t="s">
        <v>677</v>
      </c>
      <c r="AS96" s="1243" t="s">
        <v>677</v>
      </c>
      <c r="AT96" s="1243" t="s">
        <v>677</v>
      </c>
      <c r="AU96" s="1243" t="s">
        <v>677</v>
      </c>
      <c r="AV96" s="1243" t="s">
        <v>677</v>
      </c>
      <c r="AW96" s="1243" t="s">
        <v>677</v>
      </c>
      <c r="AX96" s="1243" t="s">
        <v>677</v>
      </c>
      <c r="AY96" s="1243" t="s">
        <v>677</v>
      </c>
      <c r="AZ96" s="1243" t="s">
        <v>677</v>
      </c>
      <c r="BA96" s="1243" t="s">
        <v>677</v>
      </c>
      <c r="BB96" s="1243" t="s">
        <v>677</v>
      </c>
      <c r="BC96" s="1243" t="s">
        <v>677</v>
      </c>
      <c r="BD96" s="1243" t="s">
        <v>677</v>
      </c>
    </row>
    <row r="97" spans="1:56" s="422" customFormat="1" x14ac:dyDescent="0.25">
      <c r="A97" s="2639"/>
      <c r="B97" s="2080"/>
      <c r="C97" s="1967"/>
      <c r="D97" s="1967"/>
      <c r="E97" s="1967"/>
      <c r="F97" s="2171"/>
      <c r="G97" s="1972"/>
      <c r="H97" s="1978"/>
      <c r="I97" s="2050"/>
      <c r="J97" s="1967"/>
      <c r="K97" s="1973"/>
      <c r="L97" s="187">
        <v>7000</v>
      </c>
      <c r="M97" s="1972"/>
      <c r="N97" s="1973"/>
      <c r="O97" s="1973"/>
      <c r="P97" s="1967"/>
      <c r="Q97" s="1967"/>
      <c r="R97" s="1967"/>
      <c r="S97" s="1967"/>
      <c r="T97" s="1239" t="s">
        <v>208</v>
      </c>
      <c r="U97" s="1978"/>
      <c r="V97" s="1973"/>
      <c r="W97" s="1972"/>
      <c r="X97" s="1967"/>
      <c r="Y97" s="1973"/>
      <c r="Z97" s="1973"/>
      <c r="AA97" s="2640"/>
      <c r="AB97" s="1967"/>
      <c r="AC97" s="2423"/>
      <c r="AD97" s="2423"/>
      <c r="AE97" s="2423"/>
      <c r="AF97" s="2423"/>
      <c r="AG97" s="2638"/>
      <c r="AH97" s="2423"/>
      <c r="AI97" s="1243" t="s">
        <v>677</v>
      </c>
      <c r="AJ97" s="1243" t="s">
        <v>677</v>
      </c>
      <c r="AK97" s="1243" t="s">
        <v>677</v>
      </c>
      <c r="AL97" s="1243" t="s">
        <v>677</v>
      </c>
      <c r="AM97" s="1248" t="s">
        <v>677</v>
      </c>
      <c r="AN97" s="1248" t="s">
        <v>677</v>
      </c>
      <c r="AO97" s="1248" t="s">
        <v>677</v>
      </c>
      <c r="AP97" s="1248" t="s">
        <v>677</v>
      </c>
      <c r="AQ97" s="1248" t="s">
        <v>677</v>
      </c>
      <c r="AR97" s="1248" t="s">
        <v>677</v>
      </c>
      <c r="AS97" s="1243" t="s">
        <v>677</v>
      </c>
      <c r="AT97" s="1243" t="s">
        <v>677</v>
      </c>
      <c r="AU97" s="1243" t="s">
        <v>677</v>
      </c>
      <c r="AV97" s="1243" t="s">
        <v>677</v>
      </c>
      <c r="AW97" s="1243" t="s">
        <v>677</v>
      </c>
      <c r="AX97" s="1243" t="s">
        <v>677</v>
      </c>
      <c r="AY97" s="1243" t="s">
        <v>677</v>
      </c>
      <c r="AZ97" s="1243" t="s">
        <v>677</v>
      </c>
      <c r="BA97" s="1243" t="s">
        <v>677</v>
      </c>
      <c r="BB97" s="1243" t="s">
        <v>677</v>
      </c>
      <c r="BC97" s="1243" t="s">
        <v>677</v>
      </c>
      <c r="BD97" s="1243" t="s">
        <v>677</v>
      </c>
    </row>
    <row r="98" spans="1:56" s="422" customFormat="1" x14ac:dyDescent="0.25">
      <c r="A98" s="2639">
        <v>24</v>
      </c>
      <c r="B98" s="2080" t="s">
        <v>795</v>
      </c>
      <c r="C98" s="1967" t="s">
        <v>6900</v>
      </c>
      <c r="D98" s="1967" t="s">
        <v>6730</v>
      </c>
      <c r="E98" s="1967" t="s">
        <v>6901</v>
      </c>
      <c r="F98" s="2171" t="s">
        <v>6902</v>
      </c>
      <c r="G98" s="1972">
        <v>11183</v>
      </c>
      <c r="H98" s="1978" t="s">
        <v>704</v>
      </c>
      <c r="I98" s="2050" t="s">
        <v>6907</v>
      </c>
      <c r="J98" s="1967" t="s">
        <v>2709</v>
      </c>
      <c r="K98" s="1973">
        <v>41641</v>
      </c>
      <c r="L98" s="187">
        <v>6000</v>
      </c>
      <c r="M98" s="1972">
        <v>11223</v>
      </c>
      <c r="N98" s="1973">
        <v>41641</v>
      </c>
      <c r="O98" s="1973">
        <v>42004</v>
      </c>
      <c r="P98" s="1967" t="s">
        <v>6763</v>
      </c>
      <c r="Q98" s="1967" t="s">
        <v>677</v>
      </c>
      <c r="R98" s="1967" t="s">
        <v>677</v>
      </c>
      <c r="S98" s="1967" t="s">
        <v>677</v>
      </c>
      <c r="T98" s="1239" t="s">
        <v>316</v>
      </c>
      <c r="U98" s="1978" t="s">
        <v>6905</v>
      </c>
      <c r="V98" s="1973">
        <v>41974</v>
      </c>
      <c r="W98" s="1972">
        <v>11449</v>
      </c>
      <c r="X98" s="1967" t="s">
        <v>6908</v>
      </c>
      <c r="Y98" s="1973">
        <v>41974</v>
      </c>
      <c r="Z98" s="1973">
        <v>42004</v>
      </c>
      <c r="AA98" s="2640">
        <v>0.15</v>
      </c>
      <c r="AB98" s="1967" t="s">
        <v>677</v>
      </c>
      <c r="AC98" s="2423">
        <v>1200</v>
      </c>
      <c r="AD98" s="2423">
        <v>0</v>
      </c>
      <c r="AE98" s="2423">
        <v>9200</v>
      </c>
      <c r="AF98" s="2423"/>
      <c r="AG98" s="2638">
        <v>8559.25</v>
      </c>
      <c r="AH98" s="2423">
        <f t="shared" ref="AH98" si="4">AF98+AG98</f>
        <v>8559.25</v>
      </c>
      <c r="AI98" s="1243" t="s">
        <v>677</v>
      </c>
      <c r="AJ98" s="1243" t="s">
        <v>677</v>
      </c>
      <c r="AK98" s="1243" t="s">
        <v>677</v>
      </c>
      <c r="AL98" s="1243" t="s">
        <v>677</v>
      </c>
      <c r="AM98" s="1248" t="s">
        <v>677</v>
      </c>
      <c r="AN98" s="1248" t="s">
        <v>677</v>
      </c>
      <c r="AO98" s="1248" t="s">
        <v>677</v>
      </c>
      <c r="AP98" s="1248" t="s">
        <v>677</v>
      </c>
      <c r="AQ98" s="1248" t="s">
        <v>677</v>
      </c>
      <c r="AR98" s="1248" t="s">
        <v>677</v>
      </c>
      <c r="AS98" s="1243" t="s">
        <v>677</v>
      </c>
      <c r="AT98" s="1243" t="s">
        <v>677</v>
      </c>
      <c r="AU98" s="1243" t="s">
        <v>677</v>
      </c>
      <c r="AV98" s="1243" t="s">
        <v>677</v>
      </c>
      <c r="AW98" s="1243" t="s">
        <v>677</v>
      </c>
      <c r="AX98" s="1243" t="s">
        <v>677</v>
      </c>
      <c r="AY98" s="1243" t="s">
        <v>677</v>
      </c>
      <c r="AZ98" s="1243" t="s">
        <v>677</v>
      </c>
      <c r="BA98" s="1243" t="s">
        <v>677</v>
      </c>
      <c r="BB98" s="1243" t="s">
        <v>677</v>
      </c>
      <c r="BC98" s="1243" t="s">
        <v>677</v>
      </c>
      <c r="BD98" s="1243" t="s">
        <v>677</v>
      </c>
    </row>
    <row r="99" spans="1:56" s="422" customFormat="1" x14ac:dyDescent="0.25">
      <c r="A99" s="2639"/>
      <c r="B99" s="2080"/>
      <c r="C99" s="1967"/>
      <c r="D99" s="1967"/>
      <c r="E99" s="1967"/>
      <c r="F99" s="2171"/>
      <c r="G99" s="1972"/>
      <c r="H99" s="1978"/>
      <c r="I99" s="2050"/>
      <c r="J99" s="1967"/>
      <c r="K99" s="1973"/>
      <c r="L99" s="187">
        <v>2000</v>
      </c>
      <c r="M99" s="1972"/>
      <c r="N99" s="1973"/>
      <c r="O99" s="1973"/>
      <c r="P99" s="1967"/>
      <c r="Q99" s="1967"/>
      <c r="R99" s="1967"/>
      <c r="S99" s="1967"/>
      <c r="T99" s="1239" t="s">
        <v>208</v>
      </c>
      <c r="U99" s="1978"/>
      <c r="V99" s="1973"/>
      <c r="W99" s="1972"/>
      <c r="X99" s="1967"/>
      <c r="Y99" s="1973"/>
      <c r="Z99" s="1973"/>
      <c r="AA99" s="2640"/>
      <c r="AB99" s="1967"/>
      <c r="AC99" s="2423"/>
      <c r="AD99" s="2423"/>
      <c r="AE99" s="2423"/>
      <c r="AF99" s="2423"/>
      <c r="AG99" s="2638"/>
      <c r="AH99" s="2423"/>
      <c r="AI99" s="1243" t="s">
        <v>677</v>
      </c>
      <c r="AJ99" s="1243" t="s">
        <v>677</v>
      </c>
      <c r="AK99" s="1243" t="s">
        <v>677</v>
      </c>
      <c r="AL99" s="1243" t="s">
        <v>677</v>
      </c>
      <c r="AM99" s="1248" t="s">
        <v>677</v>
      </c>
      <c r="AN99" s="1248" t="s">
        <v>677</v>
      </c>
      <c r="AO99" s="1248" t="s">
        <v>677</v>
      </c>
      <c r="AP99" s="1248" t="s">
        <v>677</v>
      </c>
      <c r="AQ99" s="1248" t="s">
        <v>677</v>
      </c>
      <c r="AR99" s="1248" t="s">
        <v>677</v>
      </c>
      <c r="AS99" s="1243" t="s">
        <v>677</v>
      </c>
      <c r="AT99" s="1243" t="s">
        <v>677</v>
      </c>
      <c r="AU99" s="1243" t="s">
        <v>677</v>
      </c>
      <c r="AV99" s="1243" t="s">
        <v>677</v>
      </c>
      <c r="AW99" s="1243" t="s">
        <v>677</v>
      </c>
      <c r="AX99" s="1243" t="s">
        <v>677</v>
      </c>
      <c r="AY99" s="1243" t="s">
        <v>677</v>
      </c>
      <c r="AZ99" s="1243" t="s">
        <v>677</v>
      </c>
      <c r="BA99" s="1243" t="s">
        <v>677</v>
      </c>
      <c r="BB99" s="1243" t="s">
        <v>677</v>
      </c>
      <c r="BC99" s="1243" t="s">
        <v>677</v>
      </c>
      <c r="BD99" s="1243" t="s">
        <v>677</v>
      </c>
    </row>
    <row r="100" spans="1:56" s="422" customFormat="1" ht="38.25" x14ac:dyDescent="0.25">
      <c r="A100" s="1879">
        <v>25</v>
      </c>
      <c r="B100" s="1276" t="s">
        <v>1738</v>
      </c>
      <c r="C100" s="1239" t="s">
        <v>677</v>
      </c>
      <c r="D100" s="1239" t="s">
        <v>690</v>
      </c>
      <c r="E100" s="1262" t="s">
        <v>6901</v>
      </c>
      <c r="F100" s="1880" t="s">
        <v>6909</v>
      </c>
      <c r="G100" s="1243">
        <v>11218</v>
      </c>
      <c r="H100" s="1246" t="s">
        <v>716</v>
      </c>
      <c r="I100" s="1273" t="s">
        <v>1567</v>
      </c>
      <c r="J100" s="1239" t="s">
        <v>1568</v>
      </c>
      <c r="K100" s="1244">
        <v>41640</v>
      </c>
      <c r="L100" s="187">
        <v>6480</v>
      </c>
      <c r="M100" s="1243">
        <v>11232</v>
      </c>
      <c r="N100" s="1244">
        <v>41640</v>
      </c>
      <c r="O100" s="1244">
        <v>41698</v>
      </c>
      <c r="P100" s="1239" t="s">
        <v>6772</v>
      </c>
      <c r="Q100" s="1239" t="s">
        <v>677</v>
      </c>
      <c r="R100" s="1239" t="s">
        <v>677</v>
      </c>
      <c r="S100" s="1239" t="s">
        <v>677</v>
      </c>
      <c r="T100" s="1239" t="s">
        <v>208</v>
      </c>
      <c r="U100" s="1246" t="s">
        <v>677</v>
      </c>
      <c r="V100" s="1239" t="s">
        <v>677</v>
      </c>
      <c r="W100" s="1243" t="s">
        <v>677</v>
      </c>
      <c r="X100" s="1239" t="s">
        <v>677</v>
      </c>
      <c r="Y100" s="1244" t="s">
        <v>677</v>
      </c>
      <c r="Z100" s="1244" t="s">
        <v>677</v>
      </c>
      <c r="AA100" s="1242" t="s">
        <v>677</v>
      </c>
      <c r="AB100" s="1239" t="s">
        <v>677</v>
      </c>
      <c r="AC100" s="1319">
        <v>0</v>
      </c>
      <c r="AD100" s="1319">
        <v>0</v>
      </c>
      <c r="AE100" s="1319">
        <f>L100-AD100+AC100</f>
        <v>6480</v>
      </c>
      <c r="AF100" s="1319"/>
      <c r="AG100" s="187">
        <v>6480</v>
      </c>
      <c r="AH100" s="1319">
        <f>AF100+AG100</f>
        <v>6480</v>
      </c>
      <c r="AI100" s="1243" t="s">
        <v>677</v>
      </c>
      <c r="AJ100" s="1243" t="s">
        <v>677</v>
      </c>
      <c r="AK100" s="1243" t="s">
        <v>677</v>
      </c>
      <c r="AL100" s="1243" t="s">
        <v>677</v>
      </c>
      <c r="AM100" s="1284" t="s">
        <v>690</v>
      </c>
      <c r="AN100" s="1239" t="s">
        <v>6888</v>
      </c>
      <c r="AO100" s="1243">
        <v>11218</v>
      </c>
      <c r="AP100" s="1246" t="s">
        <v>6910</v>
      </c>
      <c r="AQ100" s="1243">
        <v>11218</v>
      </c>
      <c r="AR100" s="1244">
        <v>41648</v>
      </c>
      <c r="AS100" s="1243" t="s">
        <v>677</v>
      </c>
      <c r="AT100" s="1243" t="s">
        <v>677</v>
      </c>
      <c r="AU100" s="1243" t="s">
        <v>677</v>
      </c>
      <c r="AV100" s="1243" t="s">
        <v>677</v>
      </c>
      <c r="AW100" s="1243" t="s">
        <v>677</v>
      </c>
      <c r="AX100" s="1243" t="s">
        <v>677</v>
      </c>
      <c r="AY100" s="1243" t="s">
        <v>677</v>
      </c>
      <c r="AZ100" s="1243" t="s">
        <v>677</v>
      </c>
      <c r="BA100" s="1243" t="s">
        <v>677</v>
      </c>
      <c r="BB100" s="1243" t="s">
        <v>677</v>
      </c>
      <c r="BC100" s="1243" t="s">
        <v>677</v>
      </c>
      <c r="BD100" s="1243" t="s">
        <v>677</v>
      </c>
    </row>
    <row r="101" spans="1:56" s="422" customFormat="1" ht="38.25" x14ac:dyDescent="0.25">
      <c r="A101" s="1899">
        <v>26</v>
      </c>
      <c r="B101" s="1276" t="s">
        <v>6911</v>
      </c>
      <c r="C101" s="1239" t="s">
        <v>6912</v>
      </c>
      <c r="D101" s="1239" t="s">
        <v>6730</v>
      </c>
      <c r="E101" s="1262" t="s">
        <v>5903</v>
      </c>
      <c r="F101" s="1291" t="s">
        <v>6913</v>
      </c>
      <c r="G101" s="1246" t="s">
        <v>6914</v>
      </c>
      <c r="H101" s="1246" t="s">
        <v>381</v>
      </c>
      <c r="I101" s="1273" t="s">
        <v>6915</v>
      </c>
      <c r="J101" s="1239" t="s">
        <v>5266</v>
      </c>
      <c r="K101" s="1244">
        <v>41641</v>
      </c>
      <c r="L101" s="187">
        <v>119997.64</v>
      </c>
      <c r="M101" s="1243">
        <v>11238</v>
      </c>
      <c r="N101" s="1244">
        <v>41641</v>
      </c>
      <c r="O101" s="1244">
        <v>42004</v>
      </c>
      <c r="P101" s="1239" t="s">
        <v>6772</v>
      </c>
      <c r="Q101" s="1239" t="s">
        <v>677</v>
      </c>
      <c r="R101" s="1239" t="s">
        <v>677</v>
      </c>
      <c r="S101" s="1239" t="s">
        <v>677</v>
      </c>
      <c r="T101" s="1239" t="s">
        <v>316</v>
      </c>
      <c r="U101" s="1246" t="s">
        <v>677</v>
      </c>
      <c r="V101" s="1239" t="s">
        <v>677</v>
      </c>
      <c r="W101" s="1243" t="s">
        <v>677</v>
      </c>
      <c r="X101" s="1239" t="s">
        <v>677</v>
      </c>
      <c r="Y101" s="1244" t="s">
        <v>677</v>
      </c>
      <c r="Z101" s="1244" t="s">
        <v>677</v>
      </c>
      <c r="AA101" s="1242" t="s">
        <v>677</v>
      </c>
      <c r="AB101" s="1239" t="s">
        <v>677</v>
      </c>
      <c r="AC101" s="1319">
        <v>0</v>
      </c>
      <c r="AD101" s="1319">
        <v>0</v>
      </c>
      <c r="AE101" s="1319">
        <f>L101-AD101+AC101</f>
        <v>119997.64</v>
      </c>
      <c r="AF101" s="1319"/>
      <c r="AG101" s="187">
        <f>AH101</f>
        <v>119997.64</v>
      </c>
      <c r="AH101" s="1319">
        <f>AE101</f>
        <v>119997.64</v>
      </c>
      <c r="AI101" s="1243" t="s">
        <v>677</v>
      </c>
      <c r="AJ101" s="1243" t="s">
        <v>677</v>
      </c>
      <c r="AK101" s="1243" t="s">
        <v>677</v>
      </c>
      <c r="AL101" s="1243" t="s">
        <v>677</v>
      </c>
      <c r="AM101" s="1248" t="s">
        <v>677</v>
      </c>
      <c r="AN101" s="1248" t="s">
        <v>677</v>
      </c>
      <c r="AO101" s="1248" t="s">
        <v>677</v>
      </c>
      <c r="AP101" s="1248" t="s">
        <v>677</v>
      </c>
      <c r="AQ101" s="1248" t="s">
        <v>677</v>
      </c>
      <c r="AR101" s="1248" t="s">
        <v>677</v>
      </c>
      <c r="AS101" s="1243" t="s">
        <v>677</v>
      </c>
      <c r="AT101" s="1243" t="s">
        <v>677</v>
      </c>
      <c r="AU101" s="1243" t="s">
        <v>677</v>
      </c>
      <c r="AV101" s="1243" t="s">
        <v>677</v>
      </c>
      <c r="AW101" s="1243" t="s">
        <v>677</v>
      </c>
      <c r="AX101" s="1243" t="s">
        <v>677</v>
      </c>
      <c r="AY101" s="1243" t="s">
        <v>677</v>
      </c>
      <c r="AZ101" s="1243" t="s">
        <v>677</v>
      </c>
      <c r="BA101" s="1243" t="s">
        <v>677</v>
      </c>
      <c r="BB101" s="1243" t="s">
        <v>677</v>
      </c>
      <c r="BC101" s="1243" t="s">
        <v>677</v>
      </c>
      <c r="BD101" s="1243" t="s">
        <v>677</v>
      </c>
    </row>
    <row r="102" spans="1:56" s="422" customFormat="1" ht="38.25" x14ac:dyDescent="0.25">
      <c r="A102" s="1879">
        <v>27</v>
      </c>
      <c r="B102" s="1276" t="s">
        <v>835</v>
      </c>
      <c r="C102" s="1239" t="s">
        <v>6916</v>
      </c>
      <c r="D102" s="1239" t="s">
        <v>6730</v>
      </c>
      <c r="E102" s="1239" t="s">
        <v>5811</v>
      </c>
      <c r="F102" s="1291" t="s">
        <v>6917</v>
      </c>
      <c r="G102" s="1246" t="s">
        <v>6918</v>
      </c>
      <c r="H102" s="1246" t="s">
        <v>680</v>
      </c>
      <c r="I102" s="1273" t="s">
        <v>6919</v>
      </c>
      <c r="J102" s="1239" t="s">
        <v>4427</v>
      </c>
      <c r="K102" s="1244">
        <v>41661</v>
      </c>
      <c r="L102" s="187">
        <v>15260</v>
      </c>
      <c r="M102" s="1243">
        <v>11238</v>
      </c>
      <c r="N102" s="1244">
        <v>41661</v>
      </c>
      <c r="O102" s="1244">
        <v>42004</v>
      </c>
      <c r="P102" s="1239" t="s">
        <v>6772</v>
      </c>
      <c r="Q102" s="1239" t="s">
        <v>677</v>
      </c>
      <c r="R102" s="1239" t="s">
        <v>677</v>
      </c>
      <c r="S102" s="1239" t="s">
        <v>677</v>
      </c>
      <c r="T102" s="1239" t="s">
        <v>316</v>
      </c>
      <c r="U102" s="1246" t="s">
        <v>677</v>
      </c>
      <c r="V102" s="1239" t="s">
        <v>677</v>
      </c>
      <c r="W102" s="1243" t="s">
        <v>677</v>
      </c>
      <c r="X102" s="1239" t="s">
        <v>677</v>
      </c>
      <c r="Y102" s="1244" t="s">
        <v>677</v>
      </c>
      <c r="Z102" s="1244" t="s">
        <v>677</v>
      </c>
      <c r="AA102" s="1242" t="s">
        <v>677</v>
      </c>
      <c r="AB102" s="1239" t="s">
        <v>677</v>
      </c>
      <c r="AC102" s="1319">
        <v>0</v>
      </c>
      <c r="AD102" s="1319">
        <v>0</v>
      </c>
      <c r="AE102" s="1319">
        <f>L102-AD102+AC102</f>
        <v>15260</v>
      </c>
      <c r="AF102" s="1319"/>
      <c r="AG102" s="187">
        <v>9722</v>
      </c>
      <c r="AH102" s="1319">
        <f t="shared" si="3"/>
        <v>9722</v>
      </c>
      <c r="AI102" s="1243" t="s">
        <v>677</v>
      </c>
      <c r="AJ102" s="1243" t="s">
        <v>677</v>
      </c>
      <c r="AK102" s="1243" t="s">
        <v>677</v>
      </c>
      <c r="AL102" s="1243" t="s">
        <v>677</v>
      </c>
      <c r="AM102" s="1248" t="s">
        <v>677</v>
      </c>
      <c r="AN102" s="1248" t="s">
        <v>677</v>
      </c>
      <c r="AO102" s="1248" t="s">
        <v>677</v>
      </c>
      <c r="AP102" s="1248" t="s">
        <v>677</v>
      </c>
      <c r="AQ102" s="1248" t="s">
        <v>677</v>
      </c>
      <c r="AR102" s="1248" t="s">
        <v>677</v>
      </c>
      <c r="AS102" s="1243" t="s">
        <v>677</v>
      </c>
      <c r="AT102" s="1243" t="s">
        <v>677</v>
      </c>
      <c r="AU102" s="1243" t="s">
        <v>677</v>
      </c>
      <c r="AV102" s="1243" t="s">
        <v>677</v>
      </c>
      <c r="AW102" s="1243" t="s">
        <v>677</v>
      </c>
      <c r="AX102" s="1243" t="s">
        <v>677</v>
      </c>
      <c r="AY102" s="1243" t="s">
        <v>677</v>
      </c>
      <c r="AZ102" s="1243" t="s">
        <v>677</v>
      </c>
      <c r="BA102" s="1243" t="s">
        <v>677</v>
      </c>
      <c r="BB102" s="1243" t="s">
        <v>677</v>
      </c>
      <c r="BC102" s="1243" t="s">
        <v>677</v>
      </c>
      <c r="BD102" s="1243" t="s">
        <v>677</v>
      </c>
    </row>
    <row r="103" spans="1:56" s="422" customFormat="1" x14ac:dyDescent="0.25">
      <c r="A103" s="2639">
        <v>28</v>
      </c>
      <c r="B103" s="2080" t="s">
        <v>1677</v>
      </c>
      <c r="C103" s="1967" t="s">
        <v>6920</v>
      </c>
      <c r="D103" s="1967" t="s">
        <v>6730</v>
      </c>
      <c r="E103" s="1967" t="s">
        <v>5834</v>
      </c>
      <c r="F103" s="1967" t="s">
        <v>6921</v>
      </c>
      <c r="G103" s="1978" t="s">
        <v>6922</v>
      </c>
      <c r="H103" s="1978" t="s">
        <v>724</v>
      </c>
      <c r="I103" s="2050" t="s">
        <v>6923</v>
      </c>
      <c r="J103" s="1967" t="s">
        <v>6924</v>
      </c>
      <c r="K103" s="1973">
        <v>41661</v>
      </c>
      <c r="L103" s="2638">
        <v>858071.04000000004</v>
      </c>
      <c r="M103" s="1978" t="s">
        <v>6925</v>
      </c>
      <c r="N103" s="1973">
        <v>41661</v>
      </c>
      <c r="O103" s="1973">
        <v>42026</v>
      </c>
      <c r="P103" s="1967" t="s">
        <v>6926</v>
      </c>
      <c r="Q103" s="1967" t="s">
        <v>677</v>
      </c>
      <c r="R103" s="1967" t="s">
        <v>677</v>
      </c>
      <c r="S103" s="1967" t="s">
        <v>677</v>
      </c>
      <c r="T103" s="1967" t="s">
        <v>233</v>
      </c>
      <c r="U103" s="1246" t="s">
        <v>677</v>
      </c>
      <c r="V103" s="1239" t="s">
        <v>677</v>
      </c>
      <c r="W103" s="1243" t="s">
        <v>677</v>
      </c>
      <c r="X103" s="1239" t="s">
        <v>677</v>
      </c>
      <c r="Y103" s="1244" t="s">
        <v>677</v>
      </c>
      <c r="Z103" s="1244" t="s">
        <v>677</v>
      </c>
      <c r="AA103" s="1242" t="s">
        <v>677</v>
      </c>
      <c r="AB103" s="1239" t="s">
        <v>677</v>
      </c>
      <c r="AC103" s="1319">
        <v>0</v>
      </c>
      <c r="AD103" s="1319">
        <v>0</v>
      </c>
      <c r="AE103" s="1319">
        <f>L103-AD103+AC103</f>
        <v>858071.04000000004</v>
      </c>
      <c r="AF103" s="1319"/>
      <c r="AG103" s="187"/>
      <c r="AH103" s="1319"/>
      <c r="AI103" s="1243" t="s">
        <v>677</v>
      </c>
      <c r="AJ103" s="1243" t="s">
        <v>677</v>
      </c>
      <c r="AK103" s="1243" t="s">
        <v>677</v>
      </c>
      <c r="AL103" s="1243" t="s">
        <v>677</v>
      </c>
      <c r="AM103" s="1248" t="s">
        <v>677</v>
      </c>
      <c r="AN103" s="1248" t="s">
        <v>677</v>
      </c>
      <c r="AO103" s="1248" t="s">
        <v>677</v>
      </c>
      <c r="AP103" s="1248" t="s">
        <v>677</v>
      </c>
      <c r="AQ103" s="1248" t="s">
        <v>677</v>
      </c>
      <c r="AR103" s="1248" t="s">
        <v>677</v>
      </c>
      <c r="AS103" s="1243" t="s">
        <v>677</v>
      </c>
      <c r="AT103" s="1243" t="s">
        <v>677</v>
      </c>
      <c r="AU103" s="1243" t="s">
        <v>677</v>
      </c>
      <c r="AV103" s="1243" t="s">
        <v>677</v>
      </c>
      <c r="AW103" s="1243" t="s">
        <v>677</v>
      </c>
      <c r="AX103" s="1243" t="s">
        <v>677</v>
      </c>
      <c r="AY103" s="1243" t="s">
        <v>677</v>
      </c>
      <c r="AZ103" s="1243" t="s">
        <v>677</v>
      </c>
      <c r="BA103" s="1243" t="s">
        <v>677</v>
      </c>
      <c r="BB103" s="1243" t="s">
        <v>677</v>
      </c>
      <c r="BC103" s="1243" t="s">
        <v>677</v>
      </c>
      <c r="BD103" s="1243" t="s">
        <v>677</v>
      </c>
    </row>
    <row r="104" spans="1:56" s="422" customFormat="1" ht="25.5" x14ac:dyDescent="0.25">
      <c r="A104" s="2639"/>
      <c r="B104" s="2080"/>
      <c r="C104" s="1967"/>
      <c r="D104" s="1967"/>
      <c r="E104" s="1967"/>
      <c r="F104" s="1967"/>
      <c r="G104" s="1978"/>
      <c r="H104" s="1978"/>
      <c r="I104" s="2050"/>
      <c r="J104" s="1967"/>
      <c r="K104" s="1973"/>
      <c r="L104" s="2638"/>
      <c r="M104" s="1978"/>
      <c r="N104" s="1973"/>
      <c r="O104" s="1973"/>
      <c r="P104" s="1967"/>
      <c r="Q104" s="1967"/>
      <c r="R104" s="1967"/>
      <c r="S104" s="1967"/>
      <c r="T104" s="1967"/>
      <c r="U104" s="1246" t="s">
        <v>267</v>
      </c>
      <c r="V104" s="1244">
        <v>41988</v>
      </c>
      <c r="W104" s="1243" t="s">
        <v>6927</v>
      </c>
      <c r="X104" s="1239" t="s">
        <v>6928</v>
      </c>
      <c r="Y104" s="1244">
        <v>42005</v>
      </c>
      <c r="Z104" s="1244">
        <v>42369</v>
      </c>
      <c r="AA104" s="1242"/>
      <c r="AB104" s="1239"/>
      <c r="AC104" s="1319"/>
      <c r="AD104" s="1319"/>
      <c r="AE104" s="703">
        <v>0</v>
      </c>
      <c r="AF104" s="1319"/>
      <c r="AG104" s="1894">
        <v>800389.78</v>
      </c>
      <c r="AH104" s="1319">
        <v>800389.78</v>
      </c>
      <c r="AI104" s="1243"/>
      <c r="AJ104" s="1243"/>
      <c r="AK104" s="1243"/>
      <c r="AL104" s="1243"/>
      <c r="AM104" s="1248"/>
      <c r="AN104" s="1248"/>
      <c r="AO104" s="1248"/>
      <c r="AP104" s="1248"/>
      <c r="AQ104" s="1248"/>
      <c r="AR104" s="1248"/>
      <c r="AS104" s="1243"/>
      <c r="AT104" s="1243"/>
      <c r="AU104" s="1243"/>
      <c r="AV104" s="1243"/>
      <c r="AW104" s="1243"/>
      <c r="AX104" s="1243"/>
      <c r="AY104" s="1243"/>
      <c r="AZ104" s="1243"/>
      <c r="BA104" s="1243"/>
      <c r="BB104" s="1243"/>
      <c r="BC104" s="1243"/>
      <c r="BD104" s="1243"/>
    </row>
    <row r="105" spans="1:56" s="422" customFormat="1" ht="38.25" x14ac:dyDescent="0.25">
      <c r="A105" s="2639">
        <v>29</v>
      </c>
      <c r="B105" s="2080" t="s">
        <v>841</v>
      </c>
      <c r="C105" s="1967" t="s">
        <v>6929</v>
      </c>
      <c r="D105" s="1967" t="s">
        <v>1431</v>
      </c>
      <c r="E105" s="1967" t="s">
        <v>6768</v>
      </c>
      <c r="F105" s="1967" t="s">
        <v>6930</v>
      </c>
      <c r="G105" s="1978">
        <v>11177</v>
      </c>
      <c r="H105" s="1978" t="s">
        <v>388</v>
      </c>
      <c r="I105" s="2050" t="s">
        <v>6931</v>
      </c>
      <c r="J105" s="1967" t="s">
        <v>6932</v>
      </c>
      <c r="K105" s="1973">
        <v>41666</v>
      </c>
      <c r="L105" s="2638">
        <v>28288.36</v>
      </c>
      <c r="M105" s="1978">
        <v>11232</v>
      </c>
      <c r="N105" s="1973">
        <v>41641</v>
      </c>
      <c r="O105" s="1973">
        <v>41698</v>
      </c>
      <c r="P105" s="1967" t="s">
        <v>6763</v>
      </c>
      <c r="Q105" s="1967" t="s">
        <v>677</v>
      </c>
      <c r="R105" s="1967" t="s">
        <v>677</v>
      </c>
      <c r="S105" s="1967" t="s">
        <v>677</v>
      </c>
      <c r="T105" s="1967" t="s">
        <v>6933</v>
      </c>
      <c r="U105" s="1239" t="s">
        <v>1224</v>
      </c>
      <c r="V105" s="1244">
        <v>41696</v>
      </c>
      <c r="W105" s="1243">
        <v>11253</v>
      </c>
      <c r="X105" s="1291" t="s">
        <v>6934</v>
      </c>
      <c r="Y105" s="1244">
        <v>41696</v>
      </c>
      <c r="Z105" s="1244">
        <v>41754</v>
      </c>
      <c r="AA105" s="1242" t="s">
        <v>677</v>
      </c>
      <c r="AB105" s="1242" t="s">
        <v>677</v>
      </c>
      <c r="AC105" s="1319">
        <v>0</v>
      </c>
      <c r="AD105" s="1319">
        <v>0</v>
      </c>
      <c r="AE105" s="2423">
        <f>L105-AD105+AC105</f>
        <v>28288.36</v>
      </c>
      <c r="AF105" s="2423"/>
      <c r="AG105" s="2638">
        <v>27897.81</v>
      </c>
      <c r="AH105" s="2423">
        <f t="shared" si="3"/>
        <v>27897.81</v>
      </c>
      <c r="AI105" s="1243" t="s">
        <v>677</v>
      </c>
      <c r="AJ105" s="1243" t="s">
        <v>677</v>
      </c>
      <c r="AK105" s="1243" t="s">
        <v>677</v>
      </c>
      <c r="AL105" s="1243" t="s">
        <v>677</v>
      </c>
      <c r="AM105" s="1248" t="s">
        <v>677</v>
      </c>
      <c r="AN105" s="1248" t="s">
        <v>677</v>
      </c>
      <c r="AO105" s="1248" t="s">
        <v>677</v>
      </c>
      <c r="AP105" s="1248" t="s">
        <v>677</v>
      </c>
      <c r="AQ105" s="1248" t="s">
        <v>677</v>
      </c>
      <c r="AR105" s="1248" t="s">
        <v>677</v>
      </c>
      <c r="AS105" s="1972" t="s">
        <v>153</v>
      </c>
      <c r="AT105" s="1972" t="s">
        <v>1457</v>
      </c>
      <c r="AU105" s="1978" t="s">
        <v>6935</v>
      </c>
      <c r="AV105" s="1978" t="s">
        <v>6936</v>
      </c>
      <c r="AW105" s="1972" t="s">
        <v>677</v>
      </c>
      <c r="AX105" s="1972" t="s">
        <v>6777</v>
      </c>
      <c r="AY105" s="1978" t="s">
        <v>6937</v>
      </c>
      <c r="AZ105" s="1978" t="s">
        <v>6936</v>
      </c>
      <c r="BA105" s="1972" t="s">
        <v>677</v>
      </c>
      <c r="BB105" s="1972"/>
      <c r="BC105" s="1972"/>
      <c r="BD105" s="1972" t="s">
        <v>6938</v>
      </c>
    </row>
    <row r="106" spans="1:56" s="422" customFormat="1" ht="38.25" x14ac:dyDescent="0.25">
      <c r="A106" s="2639"/>
      <c r="B106" s="2080"/>
      <c r="C106" s="1967"/>
      <c r="D106" s="1967"/>
      <c r="E106" s="1967"/>
      <c r="F106" s="1967"/>
      <c r="G106" s="1978"/>
      <c r="H106" s="1978"/>
      <c r="I106" s="2050"/>
      <c r="J106" s="1967"/>
      <c r="K106" s="1973"/>
      <c r="L106" s="2638"/>
      <c r="M106" s="1978"/>
      <c r="N106" s="1973"/>
      <c r="O106" s="1973"/>
      <c r="P106" s="1967"/>
      <c r="Q106" s="1967"/>
      <c r="R106" s="1967"/>
      <c r="S106" s="1967"/>
      <c r="T106" s="1967"/>
      <c r="U106" s="1239" t="s">
        <v>1226</v>
      </c>
      <c r="V106" s="1244">
        <v>41754</v>
      </c>
      <c r="W106" s="1243">
        <v>11292</v>
      </c>
      <c r="X106" s="1291" t="s">
        <v>6939</v>
      </c>
      <c r="Y106" s="1244">
        <v>41754</v>
      </c>
      <c r="Z106" s="1244">
        <v>41784</v>
      </c>
      <c r="AA106" s="1242" t="s">
        <v>677</v>
      </c>
      <c r="AB106" s="1242" t="s">
        <v>677</v>
      </c>
      <c r="AC106" s="1319">
        <v>0</v>
      </c>
      <c r="AD106" s="1319">
        <v>0</v>
      </c>
      <c r="AE106" s="2423"/>
      <c r="AF106" s="2423"/>
      <c r="AG106" s="2638"/>
      <c r="AH106" s="2423"/>
      <c r="AI106" s="1243" t="s">
        <v>677</v>
      </c>
      <c r="AJ106" s="1243" t="s">
        <v>677</v>
      </c>
      <c r="AK106" s="1243" t="s">
        <v>677</v>
      </c>
      <c r="AL106" s="1243" t="s">
        <v>677</v>
      </c>
      <c r="AM106" s="1248" t="s">
        <v>677</v>
      </c>
      <c r="AN106" s="1248" t="s">
        <v>677</v>
      </c>
      <c r="AO106" s="1248" t="s">
        <v>677</v>
      </c>
      <c r="AP106" s="1248" t="s">
        <v>677</v>
      </c>
      <c r="AQ106" s="1248" t="s">
        <v>677</v>
      </c>
      <c r="AR106" s="1248" t="s">
        <v>677</v>
      </c>
      <c r="AS106" s="1972"/>
      <c r="AT106" s="1972"/>
      <c r="AU106" s="1978"/>
      <c r="AV106" s="1978"/>
      <c r="AW106" s="1972"/>
      <c r="AX106" s="1972"/>
      <c r="AY106" s="1978"/>
      <c r="AZ106" s="1978"/>
      <c r="BA106" s="1972"/>
      <c r="BB106" s="1972"/>
      <c r="BC106" s="1972"/>
      <c r="BD106" s="1972"/>
    </row>
    <row r="107" spans="1:56" s="422" customFormat="1" ht="38.25" x14ac:dyDescent="0.25">
      <c r="A107" s="1879">
        <v>30</v>
      </c>
      <c r="B107" s="1276" t="s">
        <v>1862</v>
      </c>
      <c r="C107" s="1239" t="s">
        <v>6940</v>
      </c>
      <c r="D107" s="1239" t="s">
        <v>6730</v>
      </c>
      <c r="E107" s="1239" t="s">
        <v>5811</v>
      </c>
      <c r="F107" s="1291" t="s">
        <v>6941</v>
      </c>
      <c r="G107" s="1246" t="s">
        <v>6637</v>
      </c>
      <c r="H107" s="1246" t="s">
        <v>741</v>
      </c>
      <c r="I107" s="1273" t="s">
        <v>6942</v>
      </c>
      <c r="J107" s="1239" t="s">
        <v>5708</v>
      </c>
      <c r="K107" s="1244">
        <v>41667</v>
      </c>
      <c r="L107" s="187">
        <v>11087.65</v>
      </c>
      <c r="M107" s="1246">
        <v>11249</v>
      </c>
      <c r="N107" s="1244">
        <v>41667</v>
      </c>
      <c r="O107" s="1244">
        <v>41726</v>
      </c>
      <c r="P107" s="1239" t="s">
        <v>6763</v>
      </c>
      <c r="Q107" s="1239" t="s">
        <v>677</v>
      </c>
      <c r="R107" s="1239" t="s">
        <v>677</v>
      </c>
      <c r="S107" s="1239" t="s">
        <v>677</v>
      </c>
      <c r="T107" s="1239" t="s">
        <v>316</v>
      </c>
      <c r="U107" s="1246" t="s">
        <v>677</v>
      </c>
      <c r="V107" s="1239" t="s">
        <v>677</v>
      </c>
      <c r="W107" s="1243" t="s">
        <v>677</v>
      </c>
      <c r="X107" s="1239" t="s">
        <v>677</v>
      </c>
      <c r="Y107" s="1244" t="s">
        <v>677</v>
      </c>
      <c r="Z107" s="1244" t="s">
        <v>677</v>
      </c>
      <c r="AA107" s="1242" t="s">
        <v>677</v>
      </c>
      <c r="AB107" s="1239" t="s">
        <v>677</v>
      </c>
      <c r="AC107" s="1319">
        <v>0</v>
      </c>
      <c r="AD107" s="1319">
        <v>0</v>
      </c>
      <c r="AE107" s="1319">
        <f t="shared" ref="AE107:AE114" si="5">L107-AD107+AC107</f>
        <v>11087.65</v>
      </c>
      <c r="AF107" s="1319"/>
      <c r="AG107" s="187">
        <v>11087.65</v>
      </c>
      <c r="AH107" s="1319">
        <f t="shared" si="3"/>
        <v>11087.65</v>
      </c>
      <c r="AI107" s="1243" t="s">
        <v>677</v>
      </c>
      <c r="AJ107" s="1243" t="s">
        <v>677</v>
      </c>
      <c r="AK107" s="1243" t="s">
        <v>677</v>
      </c>
      <c r="AL107" s="1243" t="s">
        <v>677</v>
      </c>
      <c r="AM107" s="1248" t="s">
        <v>677</v>
      </c>
      <c r="AN107" s="1248" t="s">
        <v>677</v>
      </c>
      <c r="AO107" s="1248" t="s">
        <v>677</v>
      </c>
      <c r="AP107" s="1248" t="s">
        <v>677</v>
      </c>
      <c r="AQ107" s="1248" t="s">
        <v>677</v>
      </c>
      <c r="AR107" s="1248" t="s">
        <v>677</v>
      </c>
      <c r="AS107" s="1243" t="s">
        <v>677</v>
      </c>
      <c r="AT107" s="1243" t="s">
        <v>677</v>
      </c>
      <c r="AU107" s="1243" t="s">
        <v>677</v>
      </c>
      <c r="AV107" s="1243" t="s">
        <v>677</v>
      </c>
      <c r="AW107" s="1243" t="s">
        <v>677</v>
      </c>
      <c r="AX107" s="1243" t="s">
        <v>677</v>
      </c>
      <c r="AY107" s="1243" t="s">
        <v>677</v>
      </c>
      <c r="AZ107" s="1243" t="s">
        <v>677</v>
      </c>
      <c r="BA107" s="1243" t="s">
        <v>677</v>
      </c>
      <c r="BB107" s="1243" t="s">
        <v>677</v>
      </c>
      <c r="BC107" s="1243" t="s">
        <v>677</v>
      </c>
      <c r="BD107" s="1243" t="s">
        <v>677</v>
      </c>
    </row>
    <row r="108" spans="1:56" s="422" customFormat="1" ht="38.25" x14ac:dyDescent="0.25">
      <c r="A108" s="1879">
        <v>31</v>
      </c>
      <c r="B108" s="1276" t="s">
        <v>1690</v>
      </c>
      <c r="C108" s="1239" t="s">
        <v>6943</v>
      </c>
      <c r="D108" s="1239" t="s">
        <v>6730</v>
      </c>
      <c r="E108" s="1239" t="s">
        <v>5811</v>
      </c>
      <c r="F108" s="1291" t="s">
        <v>6944</v>
      </c>
      <c r="G108" s="1246" t="s">
        <v>6637</v>
      </c>
      <c r="H108" s="1246" t="s">
        <v>744</v>
      </c>
      <c r="I108" s="1273" t="s">
        <v>1958</v>
      </c>
      <c r="J108" s="1239" t="s">
        <v>746</v>
      </c>
      <c r="K108" s="1244">
        <v>41669</v>
      </c>
      <c r="L108" s="187">
        <v>6611.97</v>
      </c>
      <c r="M108" s="1246">
        <v>11249</v>
      </c>
      <c r="N108" s="1244">
        <v>41669</v>
      </c>
      <c r="O108" s="1244">
        <v>41728</v>
      </c>
      <c r="P108" s="1239" t="s">
        <v>6735</v>
      </c>
      <c r="Q108" s="1239" t="s">
        <v>677</v>
      </c>
      <c r="R108" s="1239" t="s">
        <v>677</v>
      </c>
      <c r="S108" s="1239" t="s">
        <v>677</v>
      </c>
      <c r="T108" s="1239" t="s">
        <v>316</v>
      </c>
      <c r="U108" s="1246" t="s">
        <v>677</v>
      </c>
      <c r="V108" s="1239" t="s">
        <v>677</v>
      </c>
      <c r="W108" s="1243" t="s">
        <v>677</v>
      </c>
      <c r="X108" s="1239" t="s">
        <v>677</v>
      </c>
      <c r="Y108" s="1244" t="s">
        <v>677</v>
      </c>
      <c r="Z108" s="1244" t="s">
        <v>677</v>
      </c>
      <c r="AA108" s="1242" t="s">
        <v>677</v>
      </c>
      <c r="AB108" s="1239" t="s">
        <v>677</v>
      </c>
      <c r="AC108" s="1319">
        <v>0</v>
      </c>
      <c r="AD108" s="1319">
        <v>0</v>
      </c>
      <c r="AE108" s="1319">
        <f t="shared" si="5"/>
        <v>6611.97</v>
      </c>
      <c r="AF108" s="1319"/>
      <c r="AG108" s="187">
        <v>6611.97</v>
      </c>
      <c r="AH108" s="1319">
        <f t="shared" si="3"/>
        <v>6611.97</v>
      </c>
      <c r="AI108" s="1243" t="s">
        <v>677</v>
      </c>
      <c r="AJ108" s="1243" t="s">
        <v>677</v>
      </c>
      <c r="AK108" s="1243" t="s">
        <v>677</v>
      </c>
      <c r="AL108" s="1243" t="s">
        <v>677</v>
      </c>
      <c r="AM108" s="1248" t="s">
        <v>677</v>
      </c>
      <c r="AN108" s="1248" t="s">
        <v>677</v>
      </c>
      <c r="AO108" s="1248" t="s">
        <v>677</v>
      </c>
      <c r="AP108" s="1248" t="s">
        <v>677</v>
      </c>
      <c r="AQ108" s="1248" t="s">
        <v>677</v>
      </c>
      <c r="AR108" s="1248" t="s">
        <v>677</v>
      </c>
      <c r="AS108" s="1243" t="s">
        <v>677</v>
      </c>
      <c r="AT108" s="1243" t="s">
        <v>677</v>
      </c>
      <c r="AU108" s="1243" t="s">
        <v>677</v>
      </c>
      <c r="AV108" s="1243" t="s">
        <v>677</v>
      </c>
      <c r="AW108" s="1243" t="s">
        <v>677</v>
      </c>
      <c r="AX108" s="1243" t="s">
        <v>677</v>
      </c>
      <c r="AY108" s="1243" t="s">
        <v>677</v>
      </c>
      <c r="AZ108" s="1243" t="s">
        <v>677</v>
      </c>
      <c r="BA108" s="1243" t="s">
        <v>677</v>
      </c>
      <c r="BB108" s="1243" t="s">
        <v>677</v>
      </c>
      <c r="BC108" s="1243" t="s">
        <v>677</v>
      </c>
      <c r="BD108" s="1243" t="s">
        <v>677</v>
      </c>
    </row>
    <row r="109" spans="1:56" s="422" customFormat="1" ht="38.25" x14ac:dyDescent="0.25">
      <c r="A109" s="1879">
        <v>32</v>
      </c>
      <c r="B109" s="1276" t="s">
        <v>1699</v>
      </c>
      <c r="C109" s="1239" t="s">
        <v>6943</v>
      </c>
      <c r="D109" s="1239" t="s">
        <v>6730</v>
      </c>
      <c r="E109" s="1239" t="s">
        <v>5811</v>
      </c>
      <c r="F109" s="1291" t="s">
        <v>6944</v>
      </c>
      <c r="G109" s="1246" t="s">
        <v>6637</v>
      </c>
      <c r="H109" s="1246" t="s">
        <v>747</v>
      </c>
      <c r="I109" s="1273" t="s">
        <v>2069</v>
      </c>
      <c r="J109" s="1239" t="s">
        <v>467</v>
      </c>
      <c r="K109" s="1244">
        <v>41669</v>
      </c>
      <c r="L109" s="187">
        <v>13727.45</v>
      </c>
      <c r="M109" s="1246">
        <v>11249</v>
      </c>
      <c r="N109" s="1244">
        <v>41669</v>
      </c>
      <c r="O109" s="1244">
        <v>41728</v>
      </c>
      <c r="P109" s="1239" t="s">
        <v>6735</v>
      </c>
      <c r="Q109" s="1239" t="s">
        <v>677</v>
      </c>
      <c r="R109" s="1239" t="s">
        <v>677</v>
      </c>
      <c r="S109" s="1239" t="s">
        <v>677</v>
      </c>
      <c r="T109" s="1239" t="s">
        <v>316</v>
      </c>
      <c r="U109" s="1246" t="s">
        <v>677</v>
      </c>
      <c r="V109" s="1239" t="s">
        <v>677</v>
      </c>
      <c r="W109" s="1243" t="s">
        <v>677</v>
      </c>
      <c r="X109" s="1239" t="s">
        <v>677</v>
      </c>
      <c r="Y109" s="1244" t="s">
        <v>677</v>
      </c>
      <c r="Z109" s="1244" t="s">
        <v>677</v>
      </c>
      <c r="AA109" s="1242" t="s">
        <v>677</v>
      </c>
      <c r="AB109" s="1239" t="s">
        <v>677</v>
      </c>
      <c r="AC109" s="1319">
        <v>0</v>
      </c>
      <c r="AD109" s="1319">
        <v>0</v>
      </c>
      <c r="AE109" s="1319">
        <f t="shared" si="5"/>
        <v>13727.45</v>
      </c>
      <c r="AF109" s="1319"/>
      <c r="AG109" s="187">
        <v>13727.45</v>
      </c>
      <c r="AH109" s="1319">
        <f t="shared" si="3"/>
        <v>13727.45</v>
      </c>
      <c r="AI109" s="1243" t="s">
        <v>677</v>
      </c>
      <c r="AJ109" s="1243" t="s">
        <v>677</v>
      </c>
      <c r="AK109" s="1243" t="s">
        <v>677</v>
      </c>
      <c r="AL109" s="1243" t="s">
        <v>677</v>
      </c>
      <c r="AM109" s="1248" t="s">
        <v>677</v>
      </c>
      <c r="AN109" s="1248" t="s">
        <v>677</v>
      </c>
      <c r="AO109" s="1248" t="s">
        <v>677</v>
      </c>
      <c r="AP109" s="1248" t="s">
        <v>677</v>
      </c>
      <c r="AQ109" s="1248" t="s">
        <v>677</v>
      </c>
      <c r="AR109" s="1248" t="s">
        <v>677</v>
      </c>
      <c r="AS109" s="1243" t="s">
        <v>677</v>
      </c>
      <c r="AT109" s="1243" t="s">
        <v>677</v>
      </c>
      <c r="AU109" s="1243" t="s">
        <v>677</v>
      </c>
      <c r="AV109" s="1243" t="s">
        <v>677</v>
      </c>
      <c r="AW109" s="1243" t="s">
        <v>677</v>
      </c>
      <c r="AX109" s="1243" t="s">
        <v>677</v>
      </c>
      <c r="AY109" s="1243" t="s">
        <v>677</v>
      </c>
      <c r="AZ109" s="1243" t="s">
        <v>677</v>
      </c>
      <c r="BA109" s="1243" t="s">
        <v>677</v>
      </c>
      <c r="BB109" s="1243" t="s">
        <v>677</v>
      </c>
      <c r="BC109" s="1243" t="s">
        <v>677</v>
      </c>
      <c r="BD109" s="1243" t="s">
        <v>677</v>
      </c>
    </row>
    <row r="110" spans="1:56" s="422" customFormat="1" ht="76.5" x14ac:dyDescent="0.25">
      <c r="A110" s="1879">
        <v>33</v>
      </c>
      <c r="B110" s="1276" t="s">
        <v>1705</v>
      </c>
      <c r="C110" s="1239" t="s">
        <v>6943</v>
      </c>
      <c r="D110" s="1239" t="s">
        <v>6730</v>
      </c>
      <c r="E110" s="1239" t="s">
        <v>5811</v>
      </c>
      <c r="F110" s="1291" t="s">
        <v>6944</v>
      </c>
      <c r="G110" s="1246" t="s">
        <v>6637</v>
      </c>
      <c r="H110" s="1246" t="s">
        <v>750</v>
      </c>
      <c r="I110" s="1273" t="s">
        <v>6945</v>
      </c>
      <c r="J110" s="1239" t="s">
        <v>779</v>
      </c>
      <c r="K110" s="1244">
        <v>41669</v>
      </c>
      <c r="L110" s="187">
        <v>3023.3</v>
      </c>
      <c r="M110" s="1246">
        <v>11249</v>
      </c>
      <c r="N110" s="1244">
        <v>41669</v>
      </c>
      <c r="O110" s="1244">
        <v>41728</v>
      </c>
      <c r="P110" s="1239" t="s">
        <v>6735</v>
      </c>
      <c r="Q110" s="1239" t="s">
        <v>677</v>
      </c>
      <c r="R110" s="1239" t="s">
        <v>677</v>
      </c>
      <c r="S110" s="1239" t="s">
        <v>677</v>
      </c>
      <c r="T110" s="1239" t="s">
        <v>316</v>
      </c>
      <c r="U110" s="1246" t="s">
        <v>677</v>
      </c>
      <c r="V110" s="1239" t="s">
        <v>677</v>
      </c>
      <c r="W110" s="1243" t="s">
        <v>677</v>
      </c>
      <c r="X110" s="1239" t="s">
        <v>677</v>
      </c>
      <c r="Y110" s="1244" t="s">
        <v>677</v>
      </c>
      <c r="Z110" s="1244" t="s">
        <v>677</v>
      </c>
      <c r="AA110" s="1242" t="s">
        <v>677</v>
      </c>
      <c r="AB110" s="1239" t="s">
        <v>677</v>
      </c>
      <c r="AC110" s="1319">
        <v>0</v>
      </c>
      <c r="AD110" s="1319">
        <v>0</v>
      </c>
      <c r="AE110" s="1319">
        <f t="shared" si="5"/>
        <v>3023.3</v>
      </c>
      <c r="AF110" s="1319"/>
      <c r="AG110" s="187">
        <v>3023.3</v>
      </c>
      <c r="AH110" s="1319">
        <f t="shared" si="3"/>
        <v>3023.3</v>
      </c>
      <c r="AI110" s="1243" t="s">
        <v>677</v>
      </c>
      <c r="AJ110" s="1243" t="s">
        <v>677</v>
      </c>
      <c r="AK110" s="1243" t="s">
        <v>677</v>
      </c>
      <c r="AL110" s="1243" t="s">
        <v>677</v>
      </c>
      <c r="AM110" s="1248" t="s">
        <v>677</v>
      </c>
      <c r="AN110" s="1248" t="s">
        <v>677</v>
      </c>
      <c r="AO110" s="1248" t="s">
        <v>677</v>
      </c>
      <c r="AP110" s="1248" t="s">
        <v>677</v>
      </c>
      <c r="AQ110" s="1248" t="s">
        <v>677</v>
      </c>
      <c r="AR110" s="1248" t="s">
        <v>677</v>
      </c>
      <c r="AS110" s="1243" t="s">
        <v>677</v>
      </c>
      <c r="AT110" s="1243" t="s">
        <v>677</v>
      </c>
      <c r="AU110" s="1243" t="s">
        <v>677</v>
      </c>
      <c r="AV110" s="1243" t="s">
        <v>677</v>
      </c>
      <c r="AW110" s="1243" t="s">
        <v>677</v>
      </c>
      <c r="AX110" s="1243" t="s">
        <v>677</v>
      </c>
      <c r="AY110" s="1243" t="s">
        <v>677</v>
      </c>
      <c r="AZ110" s="1243" t="s">
        <v>677</v>
      </c>
      <c r="BA110" s="1243" t="s">
        <v>677</v>
      </c>
      <c r="BB110" s="1243" t="s">
        <v>677</v>
      </c>
      <c r="BC110" s="1243" t="s">
        <v>677</v>
      </c>
      <c r="BD110" s="1243" t="s">
        <v>677</v>
      </c>
    </row>
    <row r="111" spans="1:56" s="422" customFormat="1" ht="38.25" x14ac:dyDescent="0.25">
      <c r="A111" s="1879">
        <v>34</v>
      </c>
      <c r="B111" s="1276" t="s">
        <v>1712</v>
      </c>
      <c r="C111" s="1239" t="s">
        <v>6943</v>
      </c>
      <c r="D111" s="1239" t="s">
        <v>6730</v>
      </c>
      <c r="E111" s="1239" t="s">
        <v>5811</v>
      </c>
      <c r="F111" s="1291" t="s">
        <v>6944</v>
      </c>
      <c r="G111" s="1246" t="s">
        <v>6637</v>
      </c>
      <c r="H111" s="1246" t="s">
        <v>757</v>
      </c>
      <c r="I111" s="1273" t="s">
        <v>2161</v>
      </c>
      <c r="J111" s="1239" t="s">
        <v>537</v>
      </c>
      <c r="K111" s="1244">
        <v>41669</v>
      </c>
      <c r="L111" s="187">
        <v>34799.300000000003</v>
      </c>
      <c r="M111" s="1246">
        <v>11249</v>
      </c>
      <c r="N111" s="1244">
        <v>41669</v>
      </c>
      <c r="O111" s="1244">
        <v>41728</v>
      </c>
      <c r="P111" s="1239" t="s">
        <v>6735</v>
      </c>
      <c r="Q111" s="1239" t="s">
        <v>677</v>
      </c>
      <c r="R111" s="1239" t="s">
        <v>677</v>
      </c>
      <c r="S111" s="1239" t="s">
        <v>677</v>
      </c>
      <c r="T111" s="1239" t="s">
        <v>316</v>
      </c>
      <c r="U111" s="1246" t="s">
        <v>677</v>
      </c>
      <c r="V111" s="1239" t="s">
        <v>677</v>
      </c>
      <c r="W111" s="1243" t="s">
        <v>677</v>
      </c>
      <c r="X111" s="1239" t="s">
        <v>677</v>
      </c>
      <c r="Y111" s="1244" t="s">
        <v>677</v>
      </c>
      <c r="Z111" s="1244" t="s">
        <v>677</v>
      </c>
      <c r="AA111" s="1242" t="s">
        <v>677</v>
      </c>
      <c r="AB111" s="1239" t="s">
        <v>677</v>
      </c>
      <c r="AC111" s="1319">
        <v>0</v>
      </c>
      <c r="AD111" s="1319">
        <v>0</v>
      </c>
      <c r="AE111" s="1319">
        <f t="shared" si="5"/>
        <v>34799.300000000003</v>
      </c>
      <c r="AF111" s="1319"/>
      <c r="AG111" s="187">
        <v>34799.300000000003</v>
      </c>
      <c r="AH111" s="1319">
        <f t="shared" si="3"/>
        <v>34799.300000000003</v>
      </c>
      <c r="AI111" s="1243" t="s">
        <v>677</v>
      </c>
      <c r="AJ111" s="1243" t="s">
        <v>677</v>
      </c>
      <c r="AK111" s="1243" t="s">
        <v>677</v>
      </c>
      <c r="AL111" s="1243" t="s">
        <v>677</v>
      </c>
      <c r="AM111" s="1248" t="s">
        <v>677</v>
      </c>
      <c r="AN111" s="1248" t="s">
        <v>677</v>
      </c>
      <c r="AO111" s="1248" t="s">
        <v>677</v>
      </c>
      <c r="AP111" s="1248" t="s">
        <v>677</v>
      </c>
      <c r="AQ111" s="1248" t="s">
        <v>677</v>
      </c>
      <c r="AR111" s="1248" t="s">
        <v>677</v>
      </c>
      <c r="AS111" s="1243" t="s">
        <v>677</v>
      </c>
      <c r="AT111" s="1243" t="s">
        <v>677</v>
      </c>
      <c r="AU111" s="1243" t="s">
        <v>677</v>
      </c>
      <c r="AV111" s="1243" t="s">
        <v>677</v>
      </c>
      <c r="AW111" s="1243" t="s">
        <v>677</v>
      </c>
      <c r="AX111" s="1243" t="s">
        <v>677</v>
      </c>
      <c r="AY111" s="1243" t="s">
        <v>677</v>
      </c>
      <c r="AZ111" s="1243" t="s">
        <v>677</v>
      </c>
      <c r="BA111" s="1243" t="s">
        <v>677</v>
      </c>
      <c r="BB111" s="1243" t="s">
        <v>677</v>
      </c>
      <c r="BC111" s="1243" t="s">
        <v>677</v>
      </c>
      <c r="BD111" s="1243" t="s">
        <v>677</v>
      </c>
    </row>
    <row r="112" spans="1:56" s="422" customFormat="1" ht="38.25" x14ac:dyDescent="0.25">
      <c r="A112" s="1879">
        <v>35</v>
      </c>
      <c r="B112" s="1276" t="s">
        <v>1719</v>
      </c>
      <c r="C112" s="1239" t="s">
        <v>6943</v>
      </c>
      <c r="D112" s="1239" t="s">
        <v>6730</v>
      </c>
      <c r="E112" s="1239" t="s">
        <v>5811</v>
      </c>
      <c r="F112" s="1291" t="s">
        <v>6944</v>
      </c>
      <c r="G112" s="1246" t="s">
        <v>6637</v>
      </c>
      <c r="H112" s="1246" t="s">
        <v>765</v>
      </c>
      <c r="I112" s="1273" t="s">
        <v>6946</v>
      </c>
      <c r="J112" s="1239" t="s">
        <v>6947</v>
      </c>
      <c r="K112" s="1244">
        <v>41669</v>
      </c>
      <c r="L112" s="187">
        <v>1571.14</v>
      </c>
      <c r="M112" s="1246">
        <v>11249</v>
      </c>
      <c r="N112" s="1244">
        <v>41669</v>
      </c>
      <c r="O112" s="1244">
        <v>41728</v>
      </c>
      <c r="P112" s="1239" t="s">
        <v>6735</v>
      </c>
      <c r="Q112" s="1239" t="s">
        <v>677</v>
      </c>
      <c r="R112" s="1239" t="s">
        <v>677</v>
      </c>
      <c r="S112" s="1239" t="s">
        <v>677</v>
      </c>
      <c r="T112" s="1239" t="s">
        <v>316</v>
      </c>
      <c r="U112" s="1246" t="s">
        <v>677</v>
      </c>
      <c r="V112" s="1239" t="s">
        <v>677</v>
      </c>
      <c r="W112" s="1243" t="s">
        <v>677</v>
      </c>
      <c r="X112" s="1239" t="s">
        <v>677</v>
      </c>
      <c r="Y112" s="1244" t="s">
        <v>677</v>
      </c>
      <c r="Z112" s="1244" t="s">
        <v>677</v>
      </c>
      <c r="AA112" s="1242" t="s">
        <v>677</v>
      </c>
      <c r="AB112" s="1239" t="s">
        <v>677</v>
      </c>
      <c r="AC112" s="1319">
        <v>0</v>
      </c>
      <c r="AD112" s="1319">
        <v>0</v>
      </c>
      <c r="AE112" s="1319">
        <f t="shared" si="5"/>
        <v>1571.14</v>
      </c>
      <c r="AF112" s="1319"/>
      <c r="AG112" s="187">
        <v>1571.14</v>
      </c>
      <c r="AH112" s="1319">
        <f t="shared" si="3"/>
        <v>1571.14</v>
      </c>
      <c r="AI112" s="1243" t="s">
        <v>677</v>
      </c>
      <c r="AJ112" s="1243" t="s">
        <v>677</v>
      </c>
      <c r="AK112" s="1243" t="s">
        <v>677</v>
      </c>
      <c r="AL112" s="1243" t="s">
        <v>677</v>
      </c>
      <c r="AM112" s="1248" t="s">
        <v>677</v>
      </c>
      <c r="AN112" s="1248" t="s">
        <v>677</v>
      </c>
      <c r="AO112" s="1248" t="s">
        <v>677</v>
      </c>
      <c r="AP112" s="1248" t="s">
        <v>677</v>
      </c>
      <c r="AQ112" s="1248" t="s">
        <v>677</v>
      </c>
      <c r="AR112" s="1248" t="s">
        <v>677</v>
      </c>
      <c r="AS112" s="1243" t="s">
        <v>677</v>
      </c>
      <c r="AT112" s="1243" t="s">
        <v>677</v>
      </c>
      <c r="AU112" s="1243" t="s">
        <v>677</v>
      </c>
      <c r="AV112" s="1243" t="s">
        <v>677</v>
      </c>
      <c r="AW112" s="1243" t="s">
        <v>677</v>
      </c>
      <c r="AX112" s="1243" t="s">
        <v>677</v>
      </c>
      <c r="AY112" s="1243" t="s">
        <v>677</v>
      </c>
      <c r="AZ112" s="1243" t="s">
        <v>677</v>
      </c>
      <c r="BA112" s="1243" t="s">
        <v>677</v>
      </c>
      <c r="BB112" s="1243" t="s">
        <v>677</v>
      </c>
      <c r="BC112" s="1243" t="s">
        <v>677</v>
      </c>
      <c r="BD112" s="1243" t="s">
        <v>677</v>
      </c>
    </row>
    <row r="113" spans="1:56" s="422" customFormat="1" ht="38.25" x14ac:dyDescent="0.25">
      <c r="A113" s="1879">
        <v>36</v>
      </c>
      <c r="B113" s="1276" t="s">
        <v>1759</v>
      </c>
      <c r="C113" s="1239" t="s">
        <v>6948</v>
      </c>
      <c r="D113" s="1239" t="s">
        <v>6730</v>
      </c>
      <c r="E113" s="1239" t="s">
        <v>5811</v>
      </c>
      <c r="F113" s="1291" t="s">
        <v>6949</v>
      </c>
      <c r="G113" s="1246" t="s">
        <v>6914</v>
      </c>
      <c r="H113" s="1246" t="s">
        <v>777</v>
      </c>
      <c r="I113" s="1273" t="s">
        <v>6950</v>
      </c>
      <c r="J113" s="1239" t="s">
        <v>455</v>
      </c>
      <c r="K113" s="1244">
        <v>41673</v>
      </c>
      <c r="L113" s="187">
        <v>3750</v>
      </c>
      <c r="M113" s="1243">
        <v>11274</v>
      </c>
      <c r="N113" s="1244">
        <v>41673</v>
      </c>
      <c r="O113" s="1244">
        <v>41732</v>
      </c>
      <c r="P113" s="1239" t="s">
        <v>6763</v>
      </c>
      <c r="Q113" s="1239" t="s">
        <v>677</v>
      </c>
      <c r="R113" s="1239" t="s">
        <v>677</v>
      </c>
      <c r="S113" s="1239" t="s">
        <v>677</v>
      </c>
      <c r="T113" s="1239" t="s">
        <v>1133</v>
      </c>
      <c r="U113" s="1246" t="s">
        <v>677</v>
      </c>
      <c r="V113" s="1239" t="s">
        <v>677</v>
      </c>
      <c r="W113" s="1243" t="s">
        <v>677</v>
      </c>
      <c r="X113" s="1239" t="s">
        <v>677</v>
      </c>
      <c r="Y113" s="1244" t="s">
        <v>677</v>
      </c>
      <c r="Z113" s="1244" t="s">
        <v>677</v>
      </c>
      <c r="AA113" s="1242" t="s">
        <v>677</v>
      </c>
      <c r="AB113" s="1239" t="s">
        <v>677</v>
      </c>
      <c r="AC113" s="1319">
        <v>0</v>
      </c>
      <c r="AD113" s="1319">
        <v>0</v>
      </c>
      <c r="AE113" s="1319">
        <f t="shared" si="5"/>
        <v>3750</v>
      </c>
      <c r="AF113" s="1319"/>
      <c r="AG113" s="187">
        <v>3750</v>
      </c>
      <c r="AH113" s="1319">
        <f t="shared" si="3"/>
        <v>3750</v>
      </c>
      <c r="AI113" s="1243" t="s">
        <v>677</v>
      </c>
      <c r="AJ113" s="1243" t="s">
        <v>677</v>
      </c>
      <c r="AK113" s="1243" t="s">
        <v>677</v>
      </c>
      <c r="AL113" s="1243" t="s">
        <v>677</v>
      </c>
      <c r="AM113" s="1248" t="s">
        <v>677</v>
      </c>
      <c r="AN113" s="1248" t="s">
        <v>677</v>
      </c>
      <c r="AO113" s="1248" t="s">
        <v>677</v>
      </c>
      <c r="AP113" s="1248" t="s">
        <v>677</v>
      </c>
      <c r="AQ113" s="1248" t="s">
        <v>677</v>
      </c>
      <c r="AR113" s="1248" t="s">
        <v>677</v>
      </c>
      <c r="AS113" s="1243" t="s">
        <v>677</v>
      </c>
      <c r="AT113" s="1243" t="s">
        <v>677</v>
      </c>
      <c r="AU113" s="1243" t="s">
        <v>677</v>
      </c>
      <c r="AV113" s="1243" t="s">
        <v>677</v>
      </c>
      <c r="AW113" s="1243" t="s">
        <v>677</v>
      </c>
      <c r="AX113" s="1243" t="s">
        <v>677</v>
      </c>
      <c r="AY113" s="1243" t="s">
        <v>677</v>
      </c>
      <c r="AZ113" s="1243" t="s">
        <v>677</v>
      </c>
      <c r="BA113" s="1243" t="s">
        <v>677</v>
      </c>
      <c r="BB113" s="1243" t="s">
        <v>677</v>
      </c>
      <c r="BC113" s="1243" t="s">
        <v>677</v>
      </c>
      <c r="BD113" s="1243" t="s">
        <v>677</v>
      </c>
    </row>
    <row r="114" spans="1:56" s="422" customFormat="1" ht="38.25" x14ac:dyDescent="0.25">
      <c r="A114" s="1879">
        <v>37</v>
      </c>
      <c r="B114" s="1276" t="s">
        <v>1081</v>
      </c>
      <c r="C114" s="1239" t="s">
        <v>6951</v>
      </c>
      <c r="D114" s="1239" t="s">
        <v>6730</v>
      </c>
      <c r="E114" s="1239" t="s">
        <v>5811</v>
      </c>
      <c r="F114" s="1291" t="s">
        <v>6952</v>
      </c>
      <c r="G114" s="1243">
        <v>10967</v>
      </c>
      <c r="H114" s="1246" t="s">
        <v>780</v>
      </c>
      <c r="I114" s="1273" t="s">
        <v>6953</v>
      </c>
      <c r="J114" s="1239" t="s">
        <v>6954</v>
      </c>
      <c r="K114" s="1244">
        <v>41673</v>
      </c>
      <c r="L114" s="187">
        <v>1700</v>
      </c>
      <c r="M114" s="1243">
        <v>11238</v>
      </c>
      <c r="N114" s="1244">
        <v>41673</v>
      </c>
      <c r="O114" s="1244">
        <v>41732</v>
      </c>
      <c r="P114" s="1239" t="s">
        <v>6763</v>
      </c>
      <c r="Q114" s="1239" t="s">
        <v>677</v>
      </c>
      <c r="R114" s="1239" t="s">
        <v>677</v>
      </c>
      <c r="S114" s="1239" t="s">
        <v>677</v>
      </c>
      <c r="T114" s="1239" t="s">
        <v>1133</v>
      </c>
      <c r="U114" s="1246" t="s">
        <v>677</v>
      </c>
      <c r="V114" s="1239" t="s">
        <v>677</v>
      </c>
      <c r="W114" s="1243" t="s">
        <v>677</v>
      </c>
      <c r="X114" s="1239" t="s">
        <v>677</v>
      </c>
      <c r="Y114" s="1244" t="s">
        <v>677</v>
      </c>
      <c r="Z114" s="1244" t="s">
        <v>677</v>
      </c>
      <c r="AA114" s="1242" t="s">
        <v>677</v>
      </c>
      <c r="AB114" s="1239" t="s">
        <v>677</v>
      </c>
      <c r="AC114" s="1319">
        <v>0</v>
      </c>
      <c r="AD114" s="1319">
        <v>0</v>
      </c>
      <c r="AE114" s="1319">
        <f t="shared" si="5"/>
        <v>1700</v>
      </c>
      <c r="AF114" s="1319"/>
      <c r="AG114" s="187">
        <v>1700</v>
      </c>
      <c r="AH114" s="1319">
        <f t="shared" si="3"/>
        <v>1700</v>
      </c>
      <c r="AI114" s="1243" t="s">
        <v>677</v>
      </c>
      <c r="AJ114" s="1243" t="s">
        <v>677</v>
      </c>
      <c r="AK114" s="1243" t="s">
        <v>677</v>
      </c>
      <c r="AL114" s="1243" t="s">
        <v>677</v>
      </c>
      <c r="AM114" s="1248" t="s">
        <v>677</v>
      </c>
      <c r="AN114" s="1248" t="s">
        <v>677</v>
      </c>
      <c r="AO114" s="1248" t="s">
        <v>677</v>
      </c>
      <c r="AP114" s="1248" t="s">
        <v>677</v>
      </c>
      <c r="AQ114" s="1248" t="s">
        <v>677</v>
      </c>
      <c r="AR114" s="1248" t="s">
        <v>677</v>
      </c>
      <c r="AS114" s="1243" t="s">
        <v>677</v>
      </c>
      <c r="AT114" s="1243" t="s">
        <v>677</v>
      </c>
      <c r="AU114" s="1243" t="s">
        <v>677</v>
      </c>
      <c r="AV114" s="1243" t="s">
        <v>677</v>
      </c>
      <c r="AW114" s="1243" t="s">
        <v>677</v>
      </c>
      <c r="AX114" s="1243" t="s">
        <v>677</v>
      </c>
      <c r="AY114" s="1243" t="s">
        <v>677</v>
      </c>
      <c r="AZ114" s="1243" t="s">
        <v>677</v>
      </c>
      <c r="BA114" s="1243" t="s">
        <v>677</v>
      </c>
      <c r="BB114" s="1243" t="s">
        <v>677</v>
      </c>
      <c r="BC114" s="1243" t="s">
        <v>677</v>
      </c>
      <c r="BD114" s="1243" t="s">
        <v>677</v>
      </c>
    </row>
    <row r="115" spans="1:56" s="422" customFormat="1" x14ac:dyDescent="0.25">
      <c r="A115" s="2639">
        <v>38</v>
      </c>
      <c r="B115" s="2080" t="s">
        <v>1780</v>
      </c>
      <c r="C115" s="1967" t="s">
        <v>6955</v>
      </c>
      <c r="D115" s="1967" t="s">
        <v>6730</v>
      </c>
      <c r="E115" s="1967" t="s">
        <v>5811</v>
      </c>
      <c r="F115" s="1967" t="s">
        <v>6956</v>
      </c>
      <c r="G115" s="1978" t="s">
        <v>6658</v>
      </c>
      <c r="H115" s="1978" t="s">
        <v>787</v>
      </c>
      <c r="I115" s="2050" t="s">
        <v>6957</v>
      </c>
      <c r="J115" s="1967" t="s">
        <v>639</v>
      </c>
      <c r="K115" s="1973">
        <v>41687</v>
      </c>
      <c r="L115" s="2638">
        <v>33572</v>
      </c>
      <c r="M115" s="1972">
        <v>11250</v>
      </c>
      <c r="N115" s="1973">
        <v>41687</v>
      </c>
      <c r="O115" s="1973">
        <v>42004</v>
      </c>
      <c r="P115" s="1967" t="s">
        <v>6772</v>
      </c>
      <c r="Q115" s="1967" t="s">
        <v>677</v>
      </c>
      <c r="R115" s="1967" t="s">
        <v>677</v>
      </c>
      <c r="S115" s="1967" t="s">
        <v>677</v>
      </c>
      <c r="T115" s="1967" t="s">
        <v>208</v>
      </c>
      <c r="U115" s="1978" t="s">
        <v>267</v>
      </c>
      <c r="V115" s="1973">
        <v>41732</v>
      </c>
      <c r="W115" s="1972">
        <v>11293</v>
      </c>
      <c r="X115" s="1967" t="s">
        <v>6958</v>
      </c>
      <c r="Y115" s="1973">
        <v>41732</v>
      </c>
      <c r="Z115" s="1973">
        <v>42004</v>
      </c>
      <c r="AA115" s="2640">
        <v>17</v>
      </c>
      <c r="AB115" s="1967" t="s">
        <v>677</v>
      </c>
      <c r="AC115" s="2423">
        <v>4868.66</v>
      </c>
      <c r="AD115" s="2423">
        <v>0</v>
      </c>
      <c r="AE115" s="2423">
        <f>L115-AD116+AC115</f>
        <v>38440.660000000003</v>
      </c>
      <c r="AF115" s="2423"/>
      <c r="AG115" s="2638">
        <v>38440.660000000003</v>
      </c>
      <c r="AH115" s="2423">
        <f>AF116+AG115</f>
        <v>38440.660000000003</v>
      </c>
      <c r="AI115" s="1978" t="s">
        <v>675</v>
      </c>
      <c r="AJ115" s="1972" t="s">
        <v>677</v>
      </c>
      <c r="AK115" s="1972" t="s">
        <v>6140</v>
      </c>
      <c r="AL115" s="1972" t="s">
        <v>6959</v>
      </c>
      <c r="AM115" s="1972" t="s">
        <v>677</v>
      </c>
      <c r="AN115" s="1972" t="s">
        <v>677</v>
      </c>
      <c r="AO115" s="1972" t="s">
        <v>677</v>
      </c>
      <c r="AP115" s="1972" t="s">
        <v>677</v>
      </c>
      <c r="AQ115" s="1972" t="s">
        <v>677</v>
      </c>
      <c r="AR115" s="1972" t="s">
        <v>677</v>
      </c>
      <c r="AS115" s="1972" t="s">
        <v>677</v>
      </c>
      <c r="AT115" s="1972" t="s">
        <v>677</v>
      </c>
      <c r="AU115" s="1972" t="s">
        <v>677</v>
      </c>
      <c r="AV115" s="1972" t="s">
        <v>677</v>
      </c>
      <c r="AW115" s="1972" t="s">
        <v>677</v>
      </c>
      <c r="AX115" s="1972" t="s">
        <v>677</v>
      </c>
      <c r="AY115" s="1972" t="s">
        <v>677</v>
      </c>
      <c r="AZ115" s="1972" t="s">
        <v>677</v>
      </c>
      <c r="BA115" s="1972" t="s">
        <v>677</v>
      </c>
      <c r="BB115" s="1972" t="s">
        <v>677</v>
      </c>
      <c r="BC115" s="1972"/>
      <c r="BD115" s="1972"/>
    </row>
    <row r="116" spans="1:56" s="422" customFormat="1" x14ac:dyDescent="0.25">
      <c r="A116" s="2639"/>
      <c r="B116" s="2080"/>
      <c r="C116" s="1967"/>
      <c r="D116" s="1967"/>
      <c r="E116" s="1967"/>
      <c r="F116" s="1967"/>
      <c r="G116" s="1978"/>
      <c r="H116" s="1978"/>
      <c r="I116" s="2050"/>
      <c r="J116" s="1967"/>
      <c r="K116" s="1973"/>
      <c r="L116" s="2638"/>
      <c r="M116" s="1972"/>
      <c r="N116" s="1973"/>
      <c r="O116" s="1973"/>
      <c r="P116" s="1967"/>
      <c r="Q116" s="1967"/>
      <c r="R116" s="1967"/>
      <c r="S116" s="1967"/>
      <c r="T116" s="1967"/>
      <c r="U116" s="1978"/>
      <c r="V116" s="1967"/>
      <c r="W116" s="1972"/>
      <c r="X116" s="1967"/>
      <c r="Y116" s="1973"/>
      <c r="Z116" s="1973"/>
      <c r="AA116" s="2640"/>
      <c r="AB116" s="1967"/>
      <c r="AC116" s="2423"/>
      <c r="AD116" s="2423"/>
      <c r="AE116" s="2423"/>
      <c r="AF116" s="2423"/>
      <c r="AG116" s="2638"/>
      <c r="AH116" s="2423"/>
      <c r="AI116" s="1978"/>
      <c r="AJ116" s="1972"/>
      <c r="AK116" s="1972"/>
      <c r="AL116" s="1972"/>
      <c r="AM116" s="1972"/>
      <c r="AN116" s="1972"/>
      <c r="AO116" s="1972"/>
      <c r="AP116" s="1972"/>
      <c r="AQ116" s="1972"/>
      <c r="AR116" s="1972"/>
      <c r="AS116" s="1972"/>
      <c r="AT116" s="1972"/>
      <c r="AU116" s="1972"/>
      <c r="AV116" s="1972"/>
      <c r="AW116" s="1972"/>
      <c r="AX116" s="1972"/>
      <c r="AY116" s="1972"/>
      <c r="AZ116" s="1972"/>
      <c r="BA116" s="1972"/>
      <c r="BB116" s="1972"/>
      <c r="BC116" s="1972" t="s">
        <v>677</v>
      </c>
      <c r="BD116" s="1972" t="s">
        <v>677</v>
      </c>
    </row>
    <row r="117" spans="1:56" s="422" customFormat="1" ht="38.25" x14ac:dyDescent="0.25">
      <c r="A117" s="1879">
        <v>39</v>
      </c>
      <c r="B117" s="1276" t="s">
        <v>1753</v>
      </c>
      <c r="C117" s="1239" t="s">
        <v>6960</v>
      </c>
      <c r="D117" s="1239" t="s">
        <v>6730</v>
      </c>
      <c r="E117" s="1239" t="s">
        <v>5811</v>
      </c>
      <c r="F117" s="1291" t="s">
        <v>6961</v>
      </c>
      <c r="G117" s="1246" t="s">
        <v>6962</v>
      </c>
      <c r="H117" s="1246" t="s">
        <v>792</v>
      </c>
      <c r="I117" s="1273" t="s">
        <v>6963</v>
      </c>
      <c r="J117" s="1239" t="s">
        <v>6964</v>
      </c>
      <c r="K117" s="1244">
        <v>41689</v>
      </c>
      <c r="L117" s="187">
        <v>1550</v>
      </c>
      <c r="M117" s="1243">
        <v>11249</v>
      </c>
      <c r="N117" s="1244">
        <v>41689</v>
      </c>
      <c r="O117" s="1244">
        <v>41777</v>
      </c>
      <c r="P117" s="1239" t="s">
        <v>6735</v>
      </c>
      <c r="Q117" s="1239" t="s">
        <v>677</v>
      </c>
      <c r="R117" s="1239" t="s">
        <v>677</v>
      </c>
      <c r="S117" s="1239" t="s">
        <v>677</v>
      </c>
      <c r="T117" s="1239" t="s">
        <v>316</v>
      </c>
      <c r="U117" s="1246" t="s">
        <v>677</v>
      </c>
      <c r="V117" s="1239" t="s">
        <v>677</v>
      </c>
      <c r="W117" s="1243" t="s">
        <v>677</v>
      </c>
      <c r="X117" s="1239" t="s">
        <v>677</v>
      </c>
      <c r="Y117" s="1244" t="s">
        <v>677</v>
      </c>
      <c r="Z117" s="1244" t="s">
        <v>677</v>
      </c>
      <c r="AA117" s="1242" t="s">
        <v>677</v>
      </c>
      <c r="AB117" s="1239" t="s">
        <v>677</v>
      </c>
      <c r="AC117" s="1319">
        <v>0</v>
      </c>
      <c r="AD117" s="1319">
        <v>0</v>
      </c>
      <c r="AE117" s="1319">
        <f t="shared" ref="AE117:AE142" si="6">L117-AD117+AC117</f>
        <v>1550</v>
      </c>
      <c r="AF117" s="1319"/>
      <c r="AG117" s="187">
        <v>1550</v>
      </c>
      <c r="AH117" s="1319">
        <f t="shared" si="3"/>
        <v>1550</v>
      </c>
      <c r="AI117" s="1243" t="s">
        <v>677</v>
      </c>
      <c r="AJ117" s="1243" t="s">
        <v>677</v>
      </c>
      <c r="AK117" s="1243" t="s">
        <v>677</v>
      </c>
      <c r="AL117" s="1243" t="s">
        <v>677</v>
      </c>
      <c r="AM117" s="1248" t="s">
        <v>677</v>
      </c>
      <c r="AN117" s="1248" t="s">
        <v>677</v>
      </c>
      <c r="AO117" s="1248" t="s">
        <v>677</v>
      </c>
      <c r="AP117" s="1248" t="s">
        <v>677</v>
      </c>
      <c r="AQ117" s="1248" t="s">
        <v>677</v>
      </c>
      <c r="AR117" s="1248" t="s">
        <v>677</v>
      </c>
      <c r="AS117" s="1243" t="s">
        <v>677</v>
      </c>
      <c r="AT117" s="1243" t="s">
        <v>677</v>
      </c>
      <c r="AU117" s="1243" t="s">
        <v>677</v>
      </c>
      <c r="AV117" s="1243" t="s">
        <v>677</v>
      </c>
      <c r="AW117" s="1243" t="s">
        <v>677</v>
      </c>
      <c r="AX117" s="1243" t="s">
        <v>677</v>
      </c>
      <c r="AY117" s="1243" t="s">
        <v>677</v>
      </c>
      <c r="AZ117" s="1243" t="s">
        <v>677</v>
      </c>
      <c r="BA117" s="1243" t="s">
        <v>677</v>
      </c>
      <c r="BB117" s="1243" t="s">
        <v>677</v>
      </c>
      <c r="BC117" s="1243" t="s">
        <v>677</v>
      </c>
      <c r="BD117" s="1243" t="s">
        <v>677</v>
      </c>
    </row>
    <row r="118" spans="1:56" s="422" customFormat="1" ht="38.25" x14ac:dyDescent="0.25">
      <c r="A118" s="1879">
        <v>40</v>
      </c>
      <c r="B118" s="1276" t="s">
        <v>383</v>
      </c>
      <c r="C118" s="1239" t="s">
        <v>6960</v>
      </c>
      <c r="D118" s="1239" t="s">
        <v>6730</v>
      </c>
      <c r="E118" s="1239" t="s">
        <v>5811</v>
      </c>
      <c r="F118" s="1291" t="s">
        <v>6961</v>
      </c>
      <c r="G118" s="1246" t="s">
        <v>6962</v>
      </c>
      <c r="H118" s="1246" t="s">
        <v>795</v>
      </c>
      <c r="I118" s="1273" t="s">
        <v>6965</v>
      </c>
      <c r="J118" s="1239" t="s">
        <v>836</v>
      </c>
      <c r="K118" s="1244">
        <v>41689</v>
      </c>
      <c r="L118" s="187">
        <v>4480</v>
      </c>
      <c r="M118" s="1243">
        <v>11249</v>
      </c>
      <c r="N118" s="1244">
        <v>41689</v>
      </c>
      <c r="O118" s="1244">
        <v>41777</v>
      </c>
      <c r="P118" s="1239" t="s">
        <v>6735</v>
      </c>
      <c r="Q118" s="1239" t="s">
        <v>677</v>
      </c>
      <c r="R118" s="1239" t="s">
        <v>677</v>
      </c>
      <c r="S118" s="1239" t="s">
        <v>677</v>
      </c>
      <c r="T118" s="1239" t="s">
        <v>316</v>
      </c>
      <c r="U118" s="1246" t="s">
        <v>677</v>
      </c>
      <c r="V118" s="1239" t="s">
        <v>677</v>
      </c>
      <c r="W118" s="1243" t="s">
        <v>677</v>
      </c>
      <c r="X118" s="1239" t="s">
        <v>677</v>
      </c>
      <c r="Y118" s="1244" t="s">
        <v>677</v>
      </c>
      <c r="Z118" s="1244" t="s">
        <v>677</v>
      </c>
      <c r="AA118" s="1242" t="s">
        <v>677</v>
      </c>
      <c r="AB118" s="1239" t="s">
        <v>677</v>
      </c>
      <c r="AC118" s="1319">
        <v>0</v>
      </c>
      <c r="AD118" s="1319">
        <v>0</v>
      </c>
      <c r="AE118" s="1319">
        <f t="shared" si="6"/>
        <v>4480</v>
      </c>
      <c r="AF118" s="1319"/>
      <c r="AG118" s="187">
        <v>4480</v>
      </c>
      <c r="AH118" s="1319">
        <f t="shared" si="3"/>
        <v>4480</v>
      </c>
      <c r="AI118" s="1243" t="s">
        <v>677</v>
      </c>
      <c r="AJ118" s="1243" t="s">
        <v>677</v>
      </c>
      <c r="AK118" s="1243" t="s">
        <v>677</v>
      </c>
      <c r="AL118" s="1243" t="s">
        <v>677</v>
      </c>
      <c r="AM118" s="1248" t="s">
        <v>677</v>
      </c>
      <c r="AN118" s="1248" t="s">
        <v>677</v>
      </c>
      <c r="AO118" s="1248" t="s">
        <v>677</v>
      </c>
      <c r="AP118" s="1248" t="s">
        <v>677</v>
      </c>
      <c r="AQ118" s="1248" t="s">
        <v>677</v>
      </c>
      <c r="AR118" s="1248" t="s">
        <v>677</v>
      </c>
      <c r="AS118" s="1243" t="s">
        <v>677</v>
      </c>
      <c r="AT118" s="1243" t="s">
        <v>677</v>
      </c>
      <c r="AU118" s="1243" t="s">
        <v>677</v>
      </c>
      <c r="AV118" s="1243" t="s">
        <v>677</v>
      </c>
      <c r="AW118" s="1243" t="s">
        <v>677</v>
      </c>
      <c r="AX118" s="1243" t="s">
        <v>677</v>
      </c>
      <c r="AY118" s="1243" t="s">
        <v>677</v>
      </c>
      <c r="AZ118" s="1243" t="s">
        <v>677</v>
      </c>
      <c r="BA118" s="1243" t="s">
        <v>677</v>
      </c>
      <c r="BB118" s="1243" t="s">
        <v>677</v>
      </c>
      <c r="BC118" s="1243" t="s">
        <v>677</v>
      </c>
      <c r="BD118" s="1243" t="s">
        <v>677</v>
      </c>
    </row>
    <row r="119" spans="1:56" s="422" customFormat="1" ht="38.25" x14ac:dyDescent="0.25">
      <c r="A119" s="1879">
        <v>41</v>
      </c>
      <c r="B119" s="1276" t="s">
        <v>1741</v>
      </c>
      <c r="C119" s="1239" t="s">
        <v>6960</v>
      </c>
      <c r="D119" s="1239" t="s">
        <v>6730</v>
      </c>
      <c r="E119" s="1239" t="s">
        <v>5811</v>
      </c>
      <c r="F119" s="1291" t="s">
        <v>6961</v>
      </c>
      <c r="G119" s="1246" t="s">
        <v>6962</v>
      </c>
      <c r="H119" s="1246" t="s">
        <v>798</v>
      </c>
      <c r="I119" s="1273" t="s">
        <v>6966</v>
      </c>
      <c r="J119" s="1239" t="s">
        <v>6967</v>
      </c>
      <c r="K119" s="1244">
        <v>41689</v>
      </c>
      <c r="L119" s="187">
        <v>28640</v>
      </c>
      <c r="M119" s="1243">
        <v>11249</v>
      </c>
      <c r="N119" s="1244">
        <v>41689</v>
      </c>
      <c r="O119" s="1244">
        <v>41777</v>
      </c>
      <c r="P119" s="1239" t="s">
        <v>6735</v>
      </c>
      <c r="Q119" s="1239" t="s">
        <v>677</v>
      </c>
      <c r="R119" s="1239" t="s">
        <v>677</v>
      </c>
      <c r="S119" s="1239" t="s">
        <v>677</v>
      </c>
      <c r="T119" s="1239" t="s">
        <v>316</v>
      </c>
      <c r="U119" s="1246" t="s">
        <v>677</v>
      </c>
      <c r="V119" s="1239" t="s">
        <v>677</v>
      </c>
      <c r="W119" s="1243" t="s">
        <v>677</v>
      </c>
      <c r="X119" s="1239" t="s">
        <v>677</v>
      </c>
      <c r="Y119" s="1244" t="s">
        <v>677</v>
      </c>
      <c r="Z119" s="1244" t="s">
        <v>677</v>
      </c>
      <c r="AA119" s="1242" t="s">
        <v>677</v>
      </c>
      <c r="AB119" s="1239" t="s">
        <v>677</v>
      </c>
      <c r="AC119" s="1319">
        <v>0</v>
      </c>
      <c r="AD119" s="1319">
        <v>0</v>
      </c>
      <c r="AE119" s="1319">
        <f t="shared" si="6"/>
        <v>28640</v>
      </c>
      <c r="AF119" s="1319"/>
      <c r="AG119" s="187">
        <v>28640</v>
      </c>
      <c r="AH119" s="1319">
        <f t="shared" si="3"/>
        <v>28640</v>
      </c>
      <c r="AI119" s="1243" t="s">
        <v>677</v>
      </c>
      <c r="AJ119" s="1243" t="s">
        <v>677</v>
      </c>
      <c r="AK119" s="1243" t="s">
        <v>677</v>
      </c>
      <c r="AL119" s="1243" t="s">
        <v>677</v>
      </c>
      <c r="AM119" s="1248" t="s">
        <v>677</v>
      </c>
      <c r="AN119" s="1248" t="s">
        <v>677</v>
      </c>
      <c r="AO119" s="1248" t="s">
        <v>677</v>
      </c>
      <c r="AP119" s="1248" t="s">
        <v>677</v>
      </c>
      <c r="AQ119" s="1248" t="s">
        <v>677</v>
      </c>
      <c r="AR119" s="1248" t="s">
        <v>677</v>
      </c>
      <c r="AS119" s="1243" t="s">
        <v>677</v>
      </c>
      <c r="AT119" s="1243" t="s">
        <v>677</v>
      </c>
      <c r="AU119" s="1243" t="s">
        <v>677</v>
      </c>
      <c r="AV119" s="1243" t="s">
        <v>677</v>
      </c>
      <c r="AW119" s="1243" t="s">
        <v>677</v>
      </c>
      <c r="AX119" s="1243" t="s">
        <v>677</v>
      </c>
      <c r="AY119" s="1243" t="s">
        <v>677</v>
      </c>
      <c r="AZ119" s="1243" t="s">
        <v>677</v>
      </c>
      <c r="BA119" s="1243" t="s">
        <v>677</v>
      </c>
      <c r="BB119" s="1243" t="s">
        <v>677</v>
      </c>
      <c r="BC119" s="1243" t="s">
        <v>677</v>
      </c>
      <c r="BD119" s="1243" t="s">
        <v>677</v>
      </c>
    </row>
    <row r="120" spans="1:56" s="422" customFormat="1" ht="38.25" x14ac:dyDescent="0.25">
      <c r="A120" s="1879">
        <v>42</v>
      </c>
      <c r="B120" s="1276" t="s">
        <v>1750</v>
      </c>
      <c r="C120" s="1239" t="s">
        <v>6960</v>
      </c>
      <c r="D120" s="1239" t="s">
        <v>6730</v>
      </c>
      <c r="E120" s="1239" t="s">
        <v>5811</v>
      </c>
      <c r="F120" s="1291" t="s">
        <v>6961</v>
      </c>
      <c r="G120" s="1246" t="s">
        <v>6962</v>
      </c>
      <c r="H120" s="1246" t="s">
        <v>804</v>
      </c>
      <c r="I120" s="1273" t="s">
        <v>6207</v>
      </c>
      <c r="J120" s="1239" t="s">
        <v>330</v>
      </c>
      <c r="K120" s="1244">
        <v>41689</v>
      </c>
      <c r="L120" s="187">
        <v>2380</v>
      </c>
      <c r="M120" s="1243">
        <v>11249</v>
      </c>
      <c r="N120" s="1244">
        <v>41689</v>
      </c>
      <c r="O120" s="1244">
        <v>41777</v>
      </c>
      <c r="P120" s="1239" t="s">
        <v>6735</v>
      </c>
      <c r="Q120" s="1239" t="s">
        <v>677</v>
      </c>
      <c r="R120" s="1239" t="s">
        <v>677</v>
      </c>
      <c r="S120" s="1239" t="s">
        <v>677</v>
      </c>
      <c r="T120" s="1239" t="s">
        <v>316</v>
      </c>
      <c r="U120" s="1246" t="s">
        <v>677</v>
      </c>
      <c r="V120" s="1239" t="s">
        <v>677</v>
      </c>
      <c r="W120" s="1243" t="s">
        <v>677</v>
      </c>
      <c r="X120" s="1239" t="s">
        <v>677</v>
      </c>
      <c r="Y120" s="1244" t="s">
        <v>677</v>
      </c>
      <c r="Z120" s="1244" t="s">
        <v>677</v>
      </c>
      <c r="AA120" s="1242" t="s">
        <v>677</v>
      </c>
      <c r="AB120" s="1239" t="s">
        <v>677</v>
      </c>
      <c r="AC120" s="1319">
        <v>0</v>
      </c>
      <c r="AD120" s="1319">
        <v>0</v>
      </c>
      <c r="AE120" s="1319">
        <f t="shared" si="6"/>
        <v>2380</v>
      </c>
      <c r="AF120" s="1319"/>
      <c r="AG120" s="187">
        <v>2380</v>
      </c>
      <c r="AH120" s="1319">
        <f t="shared" si="3"/>
        <v>2380</v>
      </c>
      <c r="AI120" s="1243" t="s">
        <v>677</v>
      </c>
      <c r="AJ120" s="1243" t="s">
        <v>677</v>
      </c>
      <c r="AK120" s="1243" t="s">
        <v>677</v>
      </c>
      <c r="AL120" s="1243" t="s">
        <v>677</v>
      </c>
      <c r="AM120" s="1248" t="s">
        <v>677</v>
      </c>
      <c r="AN120" s="1248" t="s">
        <v>677</v>
      </c>
      <c r="AO120" s="1248" t="s">
        <v>677</v>
      </c>
      <c r="AP120" s="1248" t="s">
        <v>677</v>
      </c>
      <c r="AQ120" s="1248" t="s">
        <v>677</v>
      </c>
      <c r="AR120" s="1248" t="s">
        <v>677</v>
      </c>
      <c r="AS120" s="1243" t="s">
        <v>677</v>
      </c>
      <c r="AT120" s="1243" t="s">
        <v>677</v>
      </c>
      <c r="AU120" s="1243" t="s">
        <v>677</v>
      </c>
      <c r="AV120" s="1243" t="s">
        <v>677</v>
      </c>
      <c r="AW120" s="1243" t="s">
        <v>677</v>
      </c>
      <c r="AX120" s="1243" t="s">
        <v>677</v>
      </c>
      <c r="AY120" s="1243" t="s">
        <v>677</v>
      </c>
      <c r="AZ120" s="1243" t="s">
        <v>677</v>
      </c>
      <c r="BA120" s="1243" t="s">
        <v>677</v>
      </c>
      <c r="BB120" s="1243" t="s">
        <v>677</v>
      </c>
      <c r="BC120" s="1243" t="s">
        <v>677</v>
      </c>
      <c r="BD120" s="1243" t="s">
        <v>677</v>
      </c>
    </row>
    <row r="121" spans="1:56" s="422" customFormat="1" ht="38.25" x14ac:dyDescent="0.25">
      <c r="A121" s="1879">
        <v>43</v>
      </c>
      <c r="B121" s="1276" t="s">
        <v>1738</v>
      </c>
      <c r="C121" s="1239" t="s">
        <v>6968</v>
      </c>
      <c r="D121" s="1239" t="s">
        <v>6730</v>
      </c>
      <c r="E121" s="1239" t="s">
        <v>5811</v>
      </c>
      <c r="F121" s="1291" t="s">
        <v>6969</v>
      </c>
      <c r="G121" s="1246" t="s">
        <v>6970</v>
      </c>
      <c r="H121" s="1246" t="s">
        <v>807</v>
      </c>
      <c r="I121" s="1273" t="s">
        <v>1567</v>
      </c>
      <c r="J121" s="1239" t="s">
        <v>1568</v>
      </c>
      <c r="K121" s="1244">
        <v>41690</v>
      </c>
      <c r="L121" s="187">
        <v>24147.200000000001</v>
      </c>
      <c r="M121" s="1243">
        <v>11250</v>
      </c>
      <c r="N121" s="1244">
        <v>41690</v>
      </c>
      <c r="O121" s="1244">
        <v>41749</v>
      </c>
      <c r="P121" s="1239" t="s">
        <v>6772</v>
      </c>
      <c r="Q121" s="1239" t="s">
        <v>677</v>
      </c>
      <c r="R121" s="1239" t="s">
        <v>677</v>
      </c>
      <c r="S121" s="1239" t="s">
        <v>677</v>
      </c>
      <c r="T121" s="1239" t="s">
        <v>1129</v>
      </c>
      <c r="U121" s="1246" t="s">
        <v>6971</v>
      </c>
      <c r="V121" s="1244">
        <v>41880</v>
      </c>
      <c r="W121" s="1243" t="s">
        <v>677</v>
      </c>
      <c r="X121" s="1239" t="s">
        <v>6972</v>
      </c>
      <c r="Y121" s="1244" t="s">
        <v>677</v>
      </c>
      <c r="Z121" s="1244" t="s">
        <v>677</v>
      </c>
      <c r="AA121" s="1242" t="s">
        <v>677</v>
      </c>
      <c r="AB121" s="1239" t="s">
        <v>677</v>
      </c>
      <c r="AC121" s="1319">
        <v>0</v>
      </c>
      <c r="AD121" s="1356">
        <v>24147.200000000001</v>
      </c>
      <c r="AE121" s="1319">
        <f t="shared" si="6"/>
        <v>0</v>
      </c>
      <c r="AF121" s="1319"/>
      <c r="AG121" s="1319">
        <v>0</v>
      </c>
      <c r="AH121" s="1319">
        <f t="shared" si="3"/>
        <v>0</v>
      </c>
      <c r="AI121" s="1243" t="s">
        <v>677</v>
      </c>
      <c r="AJ121" s="1243" t="s">
        <v>677</v>
      </c>
      <c r="AK121" s="1243" t="s">
        <v>677</v>
      </c>
      <c r="AL121" s="1243" t="s">
        <v>677</v>
      </c>
      <c r="AM121" s="1248" t="s">
        <v>677</v>
      </c>
      <c r="AN121" s="1248" t="s">
        <v>677</v>
      </c>
      <c r="AO121" s="1248" t="s">
        <v>677</v>
      </c>
      <c r="AP121" s="1248" t="s">
        <v>677</v>
      </c>
      <c r="AQ121" s="1248" t="s">
        <v>677</v>
      </c>
      <c r="AR121" s="1248" t="s">
        <v>677</v>
      </c>
      <c r="AS121" s="1243" t="s">
        <v>677</v>
      </c>
      <c r="AT121" s="1243" t="s">
        <v>677</v>
      </c>
      <c r="AU121" s="1243" t="s">
        <v>677</v>
      </c>
      <c r="AV121" s="1243" t="s">
        <v>677</v>
      </c>
      <c r="AW121" s="1243" t="s">
        <v>677</v>
      </c>
      <c r="AX121" s="1243" t="s">
        <v>677</v>
      </c>
      <c r="AY121" s="1243" t="s">
        <v>677</v>
      </c>
      <c r="AZ121" s="1243" t="s">
        <v>677</v>
      </c>
      <c r="BA121" s="1243" t="s">
        <v>677</v>
      </c>
      <c r="BB121" s="1243" t="s">
        <v>677</v>
      </c>
      <c r="BC121" s="1243" t="s">
        <v>677</v>
      </c>
      <c r="BD121" s="1243" t="s">
        <v>677</v>
      </c>
    </row>
    <row r="122" spans="1:56" s="422" customFormat="1" ht="38.25" x14ac:dyDescent="0.25">
      <c r="A122" s="1879">
        <v>44</v>
      </c>
      <c r="B122" s="1276" t="s">
        <v>1811</v>
      </c>
      <c r="C122" s="1239" t="s">
        <v>6973</v>
      </c>
      <c r="D122" s="1239" t="s">
        <v>6730</v>
      </c>
      <c r="E122" s="1239" t="s">
        <v>5811</v>
      </c>
      <c r="F122" s="1291" t="s">
        <v>6974</v>
      </c>
      <c r="G122" s="1246" t="s">
        <v>6018</v>
      </c>
      <c r="H122" s="1246" t="s">
        <v>810</v>
      </c>
      <c r="I122" s="1273" t="s">
        <v>3722</v>
      </c>
      <c r="J122" s="1239" t="s">
        <v>380</v>
      </c>
      <c r="K122" s="1244">
        <v>41690</v>
      </c>
      <c r="L122" s="187">
        <v>5768</v>
      </c>
      <c r="M122" s="1243">
        <v>11250</v>
      </c>
      <c r="N122" s="1244">
        <v>41690</v>
      </c>
      <c r="O122" s="1244">
        <v>41749</v>
      </c>
      <c r="P122" s="1239" t="s">
        <v>6763</v>
      </c>
      <c r="Q122" s="1239" t="s">
        <v>677</v>
      </c>
      <c r="R122" s="1239" t="s">
        <v>677</v>
      </c>
      <c r="S122" s="1239" t="s">
        <v>677</v>
      </c>
      <c r="T122" s="1239" t="s">
        <v>316</v>
      </c>
      <c r="U122" s="1246" t="s">
        <v>677</v>
      </c>
      <c r="V122" s="1239" t="s">
        <v>677</v>
      </c>
      <c r="W122" s="1243" t="s">
        <v>677</v>
      </c>
      <c r="X122" s="1239" t="s">
        <v>677</v>
      </c>
      <c r="Y122" s="1244" t="s">
        <v>677</v>
      </c>
      <c r="Z122" s="1244" t="s">
        <v>677</v>
      </c>
      <c r="AA122" s="1242" t="s">
        <v>677</v>
      </c>
      <c r="AB122" s="1239" t="s">
        <v>677</v>
      </c>
      <c r="AC122" s="1319">
        <v>0</v>
      </c>
      <c r="AD122" s="1319">
        <v>0</v>
      </c>
      <c r="AE122" s="1319">
        <f t="shared" si="6"/>
        <v>5768</v>
      </c>
      <c r="AF122" s="1319"/>
      <c r="AG122" s="187">
        <v>5768</v>
      </c>
      <c r="AH122" s="1319">
        <f t="shared" si="3"/>
        <v>5768</v>
      </c>
      <c r="AI122" s="1243" t="s">
        <v>677</v>
      </c>
      <c r="AJ122" s="1243" t="s">
        <v>677</v>
      </c>
      <c r="AK122" s="1243" t="s">
        <v>677</v>
      </c>
      <c r="AL122" s="1243" t="s">
        <v>677</v>
      </c>
      <c r="AM122" s="1248" t="s">
        <v>677</v>
      </c>
      <c r="AN122" s="1248" t="s">
        <v>677</v>
      </c>
      <c r="AO122" s="1248" t="s">
        <v>677</v>
      </c>
      <c r="AP122" s="1248" t="s">
        <v>677</v>
      </c>
      <c r="AQ122" s="1248" t="s">
        <v>677</v>
      </c>
      <c r="AR122" s="1248" t="s">
        <v>677</v>
      </c>
      <c r="AS122" s="1243" t="s">
        <v>677</v>
      </c>
      <c r="AT122" s="1243" t="s">
        <v>677</v>
      </c>
      <c r="AU122" s="1243" t="s">
        <v>677</v>
      </c>
      <c r="AV122" s="1243" t="s">
        <v>677</v>
      </c>
      <c r="AW122" s="1243" t="s">
        <v>677</v>
      </c>
      <c r="AX122" s="1243" t="s">
        <v>677</v>
      </c>
      <c r="AY122" s="1243" t="s">
        <v>677</v>
      </c>
      <c r="AZ122" s="1243" t="s">
        <v>677</v>
      </c>
      <c r="BA122" s="1243" t="s">
        <v>677</v>
      </c>
      <c r="BB122" s="1243" t="s">
        <v>677</v>
      </c>
      <c r="BC122" s="1243" t="s">
        <v>677</v>
      </c>
      <c r="BD122" s="1243" t="s">
        <v>677</v>
      </c>
    </row>
    <row r="123" spans="1:56" s="422" customFormat="1" ht="38.25" x14ac:dyDescent="0.25">
      <c r="A123" s="1879">
        <v>45</v>
      </c>
      <c r="B123" s="1276" t="s">
        <v>774</v>
      </c>
      <c r="C123" s="1239" t="s">
        <v>6975</v>
      </c>
      <c r="D123" s="1239" t="s">
        <v>6730</v>
      </c>
      <c r="E123" s="1239" t="s">
        <v>5811</v>
      </c>
      <c r="F123" s="1291" t="s">
        <v>6976</v>
      </c>
      <c r="G123" s="1246" t="s">
        <v>6977</v>
      </c>
      <c r="H123" s="1246" t="s">
        <v>811</v>
      </c>
      <c r="I123" s="1273" t="s">
        <v>6207</v>
      </c>
      <c r="J123" s="1239" t="s">
        <v>330</v>
      </c>
      <c r="K123" s="1244">
        <v>41691</v>
      </c>
      <c r="L123" s="187">
        <v>5926.8</v>
      </c>
      <c r="M123" s="1243">
        <v>11256</v>
      </c>
      <c r="N123" s="1244">
        <v>41691</v>
      </c>
      <c r="O123" s="1244">
        <v>41779</v>
      </c>
      <c r="P123" s="1239" t="s">
        <v>6735</v>
      </c>
      <c r="Q123" s="1239" t="s">
        <v>677</v>
      </c>
      <c r="R123" s="1239" t="s">
        <v>677</v>
      </c>
      <c r="S123" s="1239" t="s">
        <v>677</v>
      </c>
      <c r="T123" s="1239" t="s">
        <v>316</v>
      </c>
      <c r="U123" s="1246" t="s">
        <v>677</v>
      </c>
      <c r="V123" s="1239" t="s">
        <v>677</v>
      </c>
      <c r="W123" s="1243" t="s">
        <v>677</v>
      </c>
      <c r="X123" s="1239" t="s">
        <v>677</v>
      </c>
      <c r="Y123" s="1244" t="s">
        <v>677</v>
      </c>
      <c r="Z123" s="1244" t="s">
        <v>677</v>
      </c>
      <c r="AA123" s="1242" t="s">
        <v>677</v>
      </c>
      <c r="AB123" s="1239" t="s">
        <v>677</v>
      </c>
      <c r="AC123" s="1319">
        <v>0</v>
      </c>
      <c r="AD123" s="1319">
        <v>0</v>
      </c>
      <c r="AE123" s="1319">
        <f t="shared" si="6"/>
        <v>5926.8</v>
      </c>
      <c r="AF123" s="1319"/>
      <c r="AG123" s="187">
        <v>5926.8</v>
      </c>
      <c r="AH123" s="1319">
        <f t="shared" si="3"/>
        <v>5926.8</v>
      </c>
      <c r="AI123" s="1243" t="s">
        <v>677</v>
      </c>
      <c r="AJ123" s="1243" t="s">
        <v>677</v>
      </c>
      <c r="AK123" s="1243" t="s">
        <v>677</v>
      </c>
      <c r="AL123" s="1243" t="s">
        <v>677</v>
      </c>
      <c r="AM123" s="1248" t="s">
        <v>677</v>
      </c>
      <c r="AN123" s="1248" t="s">
        <v>677</v>
      </c>
      <c r="AO123" s="1248" t="s">
        <v>677</v>
      </c>
      <c r="AP123" s="1248" t="s">
        <v>677</v>
      </c>
      <c r="AQ123" s="1248" t="s">
        <v>677</v>
      </c>
      <c r="AR123" s="1248" t="s">
        <v>677</v>
      </c>
      <c r="AS123" s="1243" t="s">
        <v>677</v>
      </c>
      <c r="AT123" s="1243" t="s">
        <v>677</v>
      </c>
      <c r="AU123" s="1243" t="s">
        <v>677</v>
      </c>
      <c r="AV123" s="1243" t="s">
        <v>677</v>
      </c>
      <c r="AW123" s="1243" t="s">
        <v>677</v>
      </c>
      <c r="AX123" s="1243" t="s">
        <v>677</v>
      </c>
      <c r="AY123" s="1243" t="s">
        <v>677</v>
      </c>
      <c r="AZ123" s="1243" t="s">
        <v>677</v>
      </c>
      <c r="BA123" s="1243" t="s">
        <v>677</v>
      </c>
      <c r="BB123" s="1243" t="s">
        <v>677</v>
      </c>
      <c r="BC123" s="1243" t="s">
        <v>677</v>
      </c>
      <c r="BD123" s="1243" t="s">
        <v>677</v>
      </c>
    </row>
    <row r="124" spans="1:56" s="422" customFormat="1" ht="38.25" x14ac:dyDescent="0.25">
      <c r="A124" s="1879">
        <v>46</v>
      </c>
      <c r="B124" s="1276" t="s">
        <v>802</v>
      </c>
      <c r="C124" s="1239" t="s">
        <v>6975</v>
      </c>
      <c r="D124" s="1239" t="s">
        <v>6730</v>
      </c>
      <c r="E124" s="1239" t="s">
        <v>5811</v>
      </c>
      <c r="F124" s="1291" t="s">
        <v>6976</v>
      </c>
      <c r="G124" s="1246" t="s">
        <v>6977</v>
      </c>
      <c r="H124" s="1246" t="s">
        <v>814</v>
      </c>
      <c r="I124" s="1273" t="s">
        <v>2110</v>
      </c>
      <c r="J124" s="1239" t="s">
        <v>718</v>
      </c>
      <c r="K124" s="1244">
        <v>41691</v>
      </c>
      <c r="L124" s="187">
        <v>4585</v>
      </c>
      <c r="M124" s="1243">
        <v>11253</v>
      </c>
      <c r="N124" s="1244">
        <v>41691</v>
      </c>
      <c r="O124" s="1244">
        <v>41779</v>
      </c>
      <c r="P124" s="1239" t="s">
        <v>6735</v>
      </c>
      <c r="Q124" s="1239" t="s">
        <v>677</v>
      </c>
      <c r="R124" s="1239" t="s">
        <v>677</v>
      </c>
      <c r="S124" s="1239" t="s">
        <v>677</v>
      </c>
      <c r="T124" s="1239" t="s">
        <v>316</v>
      </c>
      <c r="U124" s="1246" t="s">
        <v>677</v>
      </c>
      <c r="V124" s="1239" t="s">
        <v>677</v>
      </c>
      <c r="W124" s="1243" t="s">
        <v>677</v>
      </c>
      <c r="X124" s="1239" t="s">
        <v>677</v>
      </c>
      <c r="Y124" s="1244" t="s">
        <v>677</v>
      </c>
      <c r="Z124" s="1244" t="s">
        <v>677</v>
      </c>
      <c r="AA124" s="1242" t="s">
        <v>677</v>
      </c>
      <c r="AB124" s="1239" t="s">
        <v>677</v>
      </c>
      <c r="AC124" s="1319">
        <v>0</v>
      </c>
      <c r="AD124" s="1319">
        <v>0</v>
      </c>
      <c r="AE124" s="1319">
        <f t="shared" si="6"/>
        <v>4585</v>
      </c>
      <c r="AF124" s="1319"/>
      <c r="AG124" s="187">
        <v>4585</v>
      </c>
      <c r="AH124" s="1319">
        <f t="shared" si="3"/>
        <v>4585</v>
      </c>
      <c r="AI124" s="1243" t="s">
        <v>677</v>
      </c>
      <c r="AJ124" s="1243" t="s">
        <v>677</v>
      </c>
      <c r="AK124" s="1243" t="s">
        <v>677</v>
      </c>
      <c r="AL124" s="1243" t="s">
        <v>677</v>
      </c>
      <c r="AM124" s="1248" t="s">
        <v>677</v>
      </c>
      <c r="AN124" s="1248" t="s">
        <v>677</v>
      </c>
      <c r="AO124" s="1248" t="s">
        <v>677</v>
      </c>
      <c r="AP124" s="1248" t="s">
        <v>677</v>
      </c>
      <c r="AQ124" s="1248" t="s">
        <v>677</v>
      </c>
      <c r="AR124" s="1248" t="s">
        <v>677</v>
      </c>
      <c r="AS124" s="1243" t="s">
        <v>677</v>
      </c>
      <c r="AT124" s="1243" t="s">
        <v>677</v>
      </c>
      <c r="AU124" s="1243" t="s">
        <v>677</v>
      </c>
      <c r="AV124" s="1243" t="s">
        <v>677</v>
      </c>
      <c r="AW124" s="1243" t="s">
        <v>677</v>
      </c>
      <c r="AX124" s="1243" t="s">
        <v>677</v>
      </c>
      <c r="AY124" s="1243" t="s">
        <v>677</v>
      </c>
      <c r="AZ124" s="1243" t="s">
        <v>677</v>
      </c>
      <c r="BA124" s="1243" t="s">
        <v>677</v>
      </c>
      <c r="BB124" s="1243" t="s">
        <v>677</v>
      </c>
      <c r="BC124" s="1243" t="s">
        <v>677</v>
      </c>
      <c r="BD124" s="1243" t="s">
        <v>677</v>
      </c>
    </row>
    <row r="125" spans="1:56" s="422" customFormat="1" ht="38.25" x14ac:dyDescent="0.25">
      <c r="A125" s="1879">
        <v>47</v>
      </c>
      <c r="B125" s="1276" t="s">
        <v>820</v>
      </c>
      <c r="C125" s="1239" t="s">
        <v>6975</v>
      </c>
      <c r="D125" s="1239" t="s">
        <v>6730</v>
      </c>
      <c r="E125" s="1239" t="s">
        <v>5811</v>
      </c>
      <c r="F125" s="1291" t="s">
        <v>6976</v>
      </c>
      <c r="G125" s="1246" t="s">
        <v>6977</v>
      </c>
      <c r="H125" s="1246" t="s">
        <v>817</v>
      </c>
      <c r="I125" s="1273" t="s">
        <v>6965</v>
      </c>
      <c r="J125" s="1239" t="s">
        <v>458</v>
      </c>
      <c r="K125" s="1244">
        <v>41691</v>
      </c>
      <c r="L125" s="187">
        <v>13815.2</v>
      </c>
      <c r="M125" s="1243">
        <v>11253</v>
      </c>
      <c r="N125" s="1244">
        <v>41691</v>
      </c>
      <c r="O125" s="1244">
        <v>41779</v>
      </c>
      <c r="P125" s="1239" t="s">
        <v>6735</v>
      </c>
      <c r="Q125" s="1239" t="s">
        <v>677</v>
      </c>
      <c r="R125" s="1239" t="s">
        <v>677</v>
      </c>
      <c r="S125" s="1239" t="s">
        <v>677</v>
      </c>
      <c r="T125" s="1239" t="s">
        <v>316</v>
      </c>
      <c r="U125" s="1246" t="s">
        <v>677</v>
      </c>
      <c r="V125" s="1239" t="s">
        <v>677</v>
      </c>
      <c r="W125" s="1243" t="s">
        <v>677</v>
      </c>
      <c r="X125" s="1239" t="s">
        <v>677</v>
      </c>
      <c r="Y125" s="1244" t="s">
        <v>677</v>
      </c>
      <c r="Z125" s="1244" t="s">
        <v>677</v>
      </c>
      <c r="AA125" s="1242" t="s">
        <v>677</v>
      </c>
      <c r="AB125" s="1239" t="s">
        <v>677</v>
      </c>
      <c r="AC125" s="1319">
        <v>0</v>
      </c>
      <c r="AD125" s="1319">
        <v>0</v>
      </c>
      <c r="AE125" s="1319">
        <f t="shared" si="6"/>
        <v>13815.2</v>
      </c>
      <c r="AF125" s="1242"/>
      <c r="AG125" s="1619">
        <v>13815.2</v>
      </c>
      <c r="AH125" s="1266">
        <f t="shared" si="3"/>
        <v>13815.2</v>
      </c>
      <c r="AI125" s="1243" t="s">
        <v>677</v>
      </c>
      <c r="AJ125" s="1243" t="s">
        <v>677</v>
      </c>
      <c r="AK125" s="1243" t="s">
        <v>677</v>
      </c>
      <c r="AL125" s="1243" t="s">
        <v>677</v>
      </c>
      <c r="AM125" s="1248" t="s">
        <v>677</v>
      </c>
      <c r="AN125" s="1248" t="s">
        <v>677</v>
      </c>
      <c r="AO125" s="1248" t="s">
        <v>677</v>
      </c>
      <c r="AP125" s="1248" t="s">
        <v>677</v>
      </c>
      <c r="AQ125" s="1248" t="s">
        <v>677</v>
      </c>
      <c r="AR125" s="1248" t="s">
        <v>677</v>
      </c>
      <c r="AS125" s="1243" t="s">
        <v>677</v>
      </c>
      <c r="AT125" s="1243" t="s">
        <v>677</v>
      </c>
      <c r="AU125" s="1243" t="s">
        <v>677</v>
      </c>
      <c r="AV125" s="1243" t="s">
        <v>677</v>
      </c>
      <c r="AW125" s="1243" t="s">
        <v>677</v>
      </c>
      <c r="AX125" s="1243" t="s">
        <v>677</v>
      </c>
      <c r="AY125" s="1243" t="s">
        <v>677</v>
      </c>
      <c r="AZ125" s="1243" t="s">
        <v>677</v>
      </c>
      <c r="BA125" s="1243" t="s">
        <v>677</v>
      </c>
      <c r="BB125" s="1243" t="s">
        <v>677</v>
      </c>
      <c r="BC125" s="1243" t="s">
        <v>677</v>
      </c>
      <c r="BD125" s="1243" t="s">
        <v>677</v>
      </c>
    </row>
    <row r="126" spans="1:56" s="422" customFormat="1" ht="38.25" x14ac:dyDescent="0.25">
      <c r="A126" s="1879">
        <v>48</v>
      </c>
      <c r="B126" s="1276" t="s">
        <v>1788</v>
      </c>
      <c r="C126" s="1239" t="s">
        <v>6975</v>
      </c>
      <c r="D126" s="1239" t="s">
        <v>6730</v>
      </c>
      <c r="E126" s="1239" t="s">
        <v>5811</v>
      </c>
      <c r="F126" s="1291" t="s">
        <v>6976</v>
      </c>
      <c r="G126" s="1246" t="s">
        <v>6977</v>
      </c>
      <c r="H126" s="1246" t="s">
        <v>823</v>
      </c>
      <c r="I126" s="1273" t="s">
        <v>6966</v>
      </c>
      <c r="J126" s="1239" t="s">
        <v>6967</v>
      </c>
      <c r="K126" s="1244">
        <v>41691</v>
      </c>
      <c r="L126" s="187">
        <v>925.93</v>
      </c>
      <c r="M126" s="1243">
        <v>11253</v>
      </c>
      <c r="N126" s="1244">
        <v>41691</v>
      </c>
      <c r="O126" s="1244">
        <v>41779</v>
      </c>
      <c r="P126" s="1239" t="s">
        <v>6735</v>
      </c>
      <c r="Q126" s="1239" t="s">
        <v>677</v>
      </c>
      <c r="R126" s="1239" t="s">
        <v>677</v>
      </c>
      <c r="S126" s="1239" t="s">
        <v>677</v>
      </c>
      <c r="T126" s="1239" t="s">
        <v>316</v>
      </c>
      <c r="U126" s="1246" t="s">
        <v>677</v>
      </c>
      <c r="V126" s="1239" t="s">
        <v>677</v>
      </c>
      <c r="W126" s="1243" t="s">
        <v>677</v>
      </c>
      <c r="X126" s="1239" t="s">
        <v>677</v>
      </c>
      <c r="Y126" s="1244" t="s">
        <v>677</v>
      </c>
      <c r="Z126" s="1244" t="s">
        <v>677</v>
      </c>
      <c r="AA126" s="1242" t="s">
        <v>677</v>
      </c>
      <c r="AB126" s="1239" t="s">
        <v>677</v>
      </c>
      <c r="AC126" s="1319">
        <v>0</v>
      </c>
      <c r="AD126" s="1319">
        <v>0</v>
      </c>
      <c r="AE126" s="1319">
        <f t="shared" si="6"/>
        <v>925.93</v>
      </c>
      <c r="AF126" s="1242"/>
      <c r="AG126" s="1619">
        <v>925.93</v>
      </c>
      <c r="AH126" s="1266">
        <f t="shared" si="3"/>
        <v>925.93</v>
      </c>
      <c r="AI126" s="1243" t="s">
        <v>677</v>
      </c>
      <c r="AJ126" s="1243" t="s">
        <v>677</v>
      </c>
      <c r="AK126" s="1243" t="s">
        <v>677</v>
      </c>
      <c r="AL126" s="1243" t="s">
        <v>677</v>
      </c>
      <c r="AM126" s="1248" t="s">
        <v>677</v>
      </c>
      <c r="AN126" s="1248" t="s">
        <v>677</v>
      </c>
      <c r="AO126" s="1248" t="s">
        <v>677</v>
      </c>
      <c r="AP126" s="1248" t="s">
        <v>677</v>
      </c>
      <c r="AQ126" s="1248" t="s">
        <v>677</v>
      </c>
      <c r="AR126" s="1248" t="s">
        <v>677</v>
      </c>
      <c r="AS126" s="1243" t="s">
        <v>677</v>
      </c>
      <c r="AT126" s="1243" t="s">
        <v>677</v>
      </c>
      <c r="AU126" s="1243" t="s">
        <v>677</v>
      </c>
      <c r="AV126" s="1243" t="s">
        <v>677</v>
      </c>
      <c r="AW126" s="1243" t="s">
        <v>677</v>
      </c>
      <c r="AX126" s="1243" t="s">
        <v>677</v>
      </c>
      <c r="AY126" s="1243" t="s">
        <v>677</v>
      </c>
      <c r="AZ126" s="1243" t="s">
        <v>677</v>
      </c>
      <c r="BA126" s="1243" t="s">
        <v>677</v>
      </c>
      <c r="BB126" s="1243" t="s">
        <v>677</v>
      </c>
      <c r="BC126" s="1243" t="s">
        <v>677</v>
      </c>
      <c r="BD126" s="1243" t="s">
        <v>677</v>
      </c>
    </row>
    <row r="127" spans="1:56" s="422" customFormat="1" ht="38.25" x14ac:dyDescent="0.25">
      <c r="A127" s="2639">
        <v>49</v>
      </c>
      <c r="B127" s="2080" t="s">
        <v>1948</v>
      </c>
      <c r="C127" s="1967" t="s">
        <v>6978</v>
      </c>
      <c r="D127" s="1967" t="s">
        <v>6800</v>
      </c>
      <c r="E127" s="1967" t="s">
        <v>5811</v>
      </c>
      <c r="F127" s="1967" t="s">
        <v>6979</v>
      </c>
      <c r="G127" s="1978" t="s">
        <v>6980</v>
      </c>
      <c r="H127" s="1978" t="s">
        <v>828</v>
      </c>
      <c r="I127" s="2050" t="s">
        <v>6957</v>
      </c>
      <c r="J127" s="1967" t="s">
        <v>639</v>
      </c>
      <c r="K127" s="1973">
        <v>41691</v>
      </c>
      <c r="L127" s="2637">
        <v>12000</v>
      </c>
      <c r="M127" s="1972">
        <v>11256</v>
      </c>
      <c r="N127" s="1973">
        <v>41691</v>
      </c>
      <c r="O127" s="1973">
        <v>42004</v>
      </c>
      <c r="P127" s="1967" t="s">
        <v>6772</v>
      </c>
      <c r="Q127" s="1967" t="s">
        <v>677</v>
      </c>
      <c r="R127" s="1967" t="s">
        <v>677</v>
      </c>
      <c r="S127" s="1967" t="s">
        <v>677</v>
      </c>
      <c r="T127" s="1967" t="s">
        <v>208</v>
      </c>
      <c r="U127" s="1246" t="s">
        <v>677</v>
      </c>
      <c r="V127" s="1239" t="s">
        <v>677</v>
      </c>
      <c r="W127" s="1243" t="s">
        <v>677</v>
      </c>
      <c r="X127" s="1239" t="s">
        <v>677</v>
      </c>
      <c r="Y127" s="1244" t="s">
        <v>677</v>
      </c>
      <c r="Z127" s="1244" t="s">
        <v>677</v>
      </c>
      <c r="AA127" s="1242" t="s">
        <v>677</v>
      </c>
      <c r="AB127" s="1239" t="s">
        <v>677</v>
      </c>
      <c r="AC127" s="1319">
        <v>0</v>
      </c>
      <c r="AD127" s="1319">
        <v>0</v>
      </c>
      <c r="AE127" s="1319">
        <f t="shared" si="6"/>
        <v>12000</v>
      </c>
      <c r="AF127" s="1242"/>
      <c r="AG127" s="2637">
        <f>L127</f>
        <v>12000</v>
      </c>
      <c r="AH127" s="2637">
        <f>AF128+AG127</f>
        <v>12000</v>
      </c>
      <c r="AI127" s="1265" t="s">
        <v>1430</v>
      </c>
      <c r="AJ127" s="1243">
        <v>11097</v>
      </c>
      <c r="AK127" s="1239" t="s">
        <v>1182</v>
      </c>
      <c r="AL127" s="1243">
        <v>11256</v>
      </c>
      <c r="AM127" s="1248" t="s">
        <v>677</v>
      </c>
      <c r="AN127" s="1248" t="s">
        <v>677</v>
      </c>
      <c r="AO127" s="1248" t="s">
        <v>677</v>
      </c>
      <c r="AP127" s="1248" t="s">
        <v>677</v>
      </c>
      <c r="AQ127" s="1248" t="s">
        <v>677</v>
      </c>
      <c r="AR127" s="1248" t="s">
        <v>677</v>
      </c>
      <c r="AS127" s="1243" t="s">
        <v>677</v>
      </c>
      <c r="AT127" s="1243" t="s">
        <v>677</v>
      </c>
      <c r="AU127" s="1243" t="s">
        <v>677</v>
      </c>
      <c r="AV127" s="1243" t="s">
        <v>677</v>
      </c>
      <c r="AW127" s="1243" t="s">
        <v>677</v>
      </c>
      <c r="AX127" s="1243" t="s">
        <v>677</v>
      </c>
      <c r="AY127" s="1243" t="s">
        <v>677</v>
      </c>
      <c r="AZ127" s="1243" t="s">
        <v>677</v>
      </c>
      <c r="BA127" s="1243" t="s">
        <v>677</v>
      </c>
      <c r="BB127" s="1243" t="s">
        <v>677</v>
      </c>
      <c r="BC127" s="1243" t="s">
        <v>677</v>
      </c>
      <c r="BD127" s="1243" t="s">
        <v>677</v>
      </c>
    </row>
    <row r="128" spans="1:56" s="422" customFormat="1" ht="25.5" x14ac:dyDescent="0.25">
      <c r="A128" s="2639"/>
      <c r="B128" s="2080"/>
      <c r="C128" s="1967"/>
      <c r="D128" s="1967"/>
      <c r="E128" s="1967"/>
      <c r="F128" s="1967"/>
      <c r="G128" s="1978"/>
      <c r="H128" s="1978"/>
      <c r="I128" s="2050"/>
      <c r="J128" s="1967"/>
      <c r="K128" s="1973"/>
      <c r="L128" s="2637"/>
      <c r="M128" s="1972"/>
      <c r="N128" s="1973"/>
      <c r="O128" s="1973"/>
      <c r="P128" s="1967"/>
      <c r="Q128" s="1967"/>
      <c r="R128" s="1967"/>
      <c r="S128" s="1967"/>
      <c r="T128" s="1967"/>
      <c r="U128" s="1246" t="s">
        <v>6981</v>
      </c>
      <c r="V128" s="1244">
        <v>41981</v>
      </c>
      <c r="W128" s="1243" t="s">
        <v>6867</v>
      </c>
      <c r="X128" s="1239" t="s">
        <v>6982</v>
      </c>
      <c r="Y128" s="1244">
        <v>42005</v>
      </c>
      <c r="Z128" s="1244">
        <v>42369</v>
      </c>
      <c r="AA128" s="1242"/>
      <c r="AB128" s="1239"/>
      <c r="AC128" s="1319">
        <v>0</v>
      </c>
      <c r="AD128" s="1319">
        <v>0</v>
      </c>
      <c r="AE128" s="1319">
        <v>14400</v>
      </c>
      <c r="AF128" s="1242"/>
      <c r="AG128" s="2637"/>
      <c r="AH128" s="2637"/>
      <c r="AI128" s="1265"/>
      <c r="AJ128" s="1243"/>
      <c r="AK128" s="1239"/>
      <c r="AL128" s="1243"/>
      <c r="AM128" s="1248"/>
      <c r="AN128" s="1248"/>
      <c r="AO128" s="1248"/>
      <c r="AP128" s="1248"/>
      <c r="AQ128" s="1248"/>
      <c r="AR128" s="1248"/>
      <c r="AS128" s="1243"/>
      <c r="AT128" s="1243"/>
      <c r="AU128" s="1243"/>
      <c r="AV128" s="1243"/>
      <c r="AW128" s="1243"/>
      <c r="AX128" s="1243"/>
      <c r="AY128" s="1243"/>
      <c r="AZ128" s="1243"/>
      <c r="BA128" s="1243"/>
      <c r="BB128" s="1243"/>
      <c r="BC128" s="1243"/>
      <c r="BD128" s="1243"/>
    </row>
    <row r="129" spans="1:56" s="422" customFormat="1" ht="38.25" x14ac:dyDescent="0.25">
      <c r="A129" s="1879">
        <v>50</v>
      </c>
      <c r="B129" s="1276" t="s">
        <v>505</v>
      </c>
      <c r="C129" s="1239" t="s">
        <v>6983</v>
      </c>
      <c r="D129" s="1239" t="s">
        <v>6730</v>
      </c>
      <c r="E129" s="1239" t="s">
        <v>5811</v>
      </c>
      <c r="F129" s="1291" t="s">
        <v>6984</v>
      </c>
      <c r="G129" s="1246" t="s">
        <v>6985</v>
      </c>
      <c r="H129" s="1246" t="s">
        <v>831</v>
      </c>
      <c r="I129" s="1273" t="s">
        <v>6986</v>
      </c>
      <c r="J129" s="1239" t="s">
        <v>265</v>
      </c>
      <c r="K129" s="1244">
        <v>41691</v>
      </c>
      <c r="L129" s="187">
        <v>25000</v>
      </c>
      <c r="M129" s="1243">
        <v>11251</v>
      </c>
      <c r="N129" s="1244">
        <v>41691</v>
      </c>
      <c r="O129" s="1244">
        <v>42004</v>
      </c>
      <c r="P129" s="1239" t="s">
        <v>6772</v>
      </c>
      <c r="Q129" s="1239" t="s">
        <v>677</v>
      </c>
      <c r="R129" s="1239" t="s">
        <v>677</v>
      </c>
      <c r="S129" s="1239" t="s">
        <v>677</v>
      </c>
      <c r="T129" s="1239" t="s">
        <v>130</v>
      </c>
      <c r="U129" s="1246" t="s">
        <v>6905</v>
      </c>
      <c r="V129" s="1244">
        <v>41964</v>
      </c>
      <c r="W129" s="1243">
        <v>11443</v>
      </c>
      <c r="X129" s="1239" t="s">
        <v>6987</v>
      </c>
      <c r="Y129" s="1244">
        <v>41964</v>
      </c>
      <c r="Z129" s="1244">
        <v>42004</v>
      </c>
      <c r="AA129" s="612">
        <v>0.25</v>
      </c>
      <c r="AB129" s="1239" t="s">
        <v>677</v>
      </c>
      <c r="AC129" s="1319">
        <v>6250</v>
      </c>
      <c r="AD129" s="1319">
        <v>0</v>
      </c>
      <c r="AE129" s="1319">
        <f t="shared" si="6"/>
        <v>31250</v>
      </c>
      <c r="AF129" s="1242"/>
      <c r="AG129" s="1619">
        <v>30072.14</v>
      </c>
      <c r="AH129" s="1619">
        <f t="shared" si="3"/>
        <v>30072.14</v>
      </c>
      <c r="AI129" s="1243" t="s">
        <v>677</v>
      </c>
      <c r="AJ129" s="1243" t="s">
        <v>677</v>
      </c>
      <c r="AK129" s="1243" t="s">
        <v>677</v>
      </c>
      <c r="AL129" s="1243" t="s">
        <v>677</v>
      </c>
      <c r="AM129" s="1248" t="s">
        <v>677</v>
      </c>
      <c r="AN129" s="1248" t="s">
        <v>677</v>
      </c>
      <c r="AO129" s="1248" t="s">
        <v>677</v>
      </c>
      <c r="AP129" s="1248" t="s">
        <v>677</v>
      </c>
      <c r="AQ129" s="1248" t="s">
        <v>677</v>
      </c>
      <c r="AR129" s="1248" t="s">
        <v>677</v>
      </c>
      <c r="AS129" s="1243" t="s">
        <v>677</v>
      </c>
      <c r="AT129" s="1243" t="s">
        <v>677</v>
      </c>
      <c r="AU129" s="1243" t="s">
        <v>677</v>
      </c>
      <c r="AV129" s="1243" t="s">
        <v>677</v>
      </c>
      <c r="AW129" s="1243" t="s">
        <v>677</v>
      </c>
      <c r="AX129" s="1243" t="s">
        <v>677</v>
      </c>
      <c r="AY129" s="1243" t="s">
        <v>677</v>
      </c>
      <c r="AZ129" s="1243" t="s">
        <v>677</v>
      </c>
      <c r="BA129" s="1243" t="s">
        <v>677</v>
      </c>
      <c r="BB129" s="1243" t="s">
        <v>677</v>
      </c>
      <c r="BC129" s="1243" t="s">
        <v>677</v>
      </c>
      <c r="BD129" s="1243" t="s">
        <v>677</v>
      </c>
    </row>
    <row r="130" spans="1:56" s="422" customFormat="1" ht="38.25" x14ac:dyDescent="0.25">
      <c r="A130" s="1879">
        <v>51</v>
      </c>
      <c r="B130" s="1276" t="s">
        <v>1911</v>
      </c>
      <c r="C130" s="1239" t="s">
        <v>6988</v>
      </c>
      <c r="D130" s="1239" t="s">
        <v>6730</v>
      </c>
      <c r="E130" s="1239" t="s">
        <v>5811</v>
      </c>
      <c r="F130" s="1291" t="s">
        <v>6989</v>
      </c>
      <c r="G130" s="1246" t="s">
        <v>6990</v>
      </c>
      <c r="H130" s="1246" t="s">
        <v>832</v>
      </c>
      <c r="I130" s="1273" t="s">
        <v>6991</v>
      </c>
      <c r="J130" s="1239" t="s">
        <v>749</v>
      </c>
      <c r="K130" s="1244">
        <v>41694</v>
      </c>
      <c r="L130" s="187">
        <v>1275.75</v>
      </c>
      <c r="M130" s="1243">
        <v>11261</v>
      </c>
      <c r="N130" s="1244">
        <v>41694</v>
      </c>
      <c r="O130" s="1244">
        <v>41752</v>
      </c>
      <c r="P130" s="1239" t="s">
        <v>6763</v>
      </c>
      <c r="Q130" s="1239" t="s">
        <v>677</v>
      </c>
      <c r="R130" s="1239" t="s">
        <v>677</v>
      </c>
      <c r="S130" s="1239" t="s">
        <v>677</v>
      </c>
      <c r="T130" s="1239" t="s">
        <v>316</v>
      </c>
      <c r="U130" s="1246" t="s">
        <v>677</v>
      </c>
      <c r="V130" s="1239" t="s">
        <v>677</v>
      </c>
      <c r="W130" s="1243" t="s">
        <v>677</v>
      </c>
      <c r="X130" s="1239" t="s">
        <v>677</v>
      </c>
      <c r="Y130" s="1244" t="s">
        <v>677</v>
      </c>
      <c r="Z130" s="1244" t="s">
        <v>677</v>
      </c>
      <c r="AA130" s="1242" t="s">
        <v>677</v>
      </c>
      <c r="AB130" s="1239" t="s">
        <v>677</v>
      </c>
      <c r="AC130" s="1319">
        <v>0</v>
      </c>
      <c r="AD130" s="1319">
        <v>0</v>
      </c>
      <c r="AE130" s="1319">
        <f t="shared" si="6"/>
        <v>1275.75</v>
      </c>
      <c r="AF130" s="1242"/>
      <c r="AG130" s="187">
        <v>1275.75</v>
      </c>
      <c r="AH130" s="187">
        <f t="shared" si="3"/>
        <v>1275.75</v>
      </c>
      <c r="AI130" s="1243" t="s">
        <v>677</v>
      </c>
      <c r="AJ130" s="1243" t="s">
        <v>677</v>
      </c>
      <c r="AK130" s="1243" t="s">
        <v>677</v>
      </c>
      <c r="AL130" s="1243" t="s">
        <v>677</v>
      </c>
      <c r="AM130" s="1248" t="s">
        <v>677</v>
      </c>
      <c r="AN130" s="1248" t="s">
        <v>677</v>
      </c>
      <c r="AO130" s="1248" t="s">
        <v>677</v>
      </c>
      <c r="AP130" s="1248" t="s">
        <v>677</v>
      </c>
      <c r="AQ130" s="1248" t="s">
        <v>677</v>
      </c>
      <c r="AR130" s="1248" t="s">
        <v>677</v>
      </c>
      <c r="AS130" s="1243" t="s">
        <v>677</v>
      </c>
      <c r="AT130" s="1243" t="s">
        <v>677</v>
      </c>
      <c r="AU130" s="1243" t="s">
        <v>677</v>
      </c>
      <c r="AV130" s="1243" t="s">
        <v>677</v>
      </c>
      <c r="AW130" s="1243" t="s">
        <v>677</v>
      </c>
      <c r="AX130" s="1243" t="s">
        <v>677</v>
      </c>
      <c r="AY130" s="1243" t="s">
        <v>677</v>
      </c>
      <c r="AZ130" s="1243" t="s">
        <v>677</v>
      </c>
      <c r="BA130" s="1243" t="s">
        <v>677</v>
      </c>
      <c r="BB130" s="1243" t="s">
        <v>677</v>
      </c>
      <c r="BC130" s="1243" t="s">
        <v>677</v>
      </c>
      <c r="BD130" s="1243" t="s">
        <v>677</v>
      </c>
    </row>
    <row r="131" spans="1:56" s="422" customFormat="1" ht="38.25" x14ac:dyDescent="0.25">
      <c r="A131" s="1879">
        <v>52</v>
      </c>
      <c r="B131" s="1276" t="s">
        <v>1943</v>
      </c>
      <c r="C131" s="1239" t="s">
        <v>6992</v>
      </c>
      <c r="D131" s="1239" t="s">
        <v>6730</v>
      </c>
      <c r="E131" s="1239" t="s">
        <v>5811</v>
      </c>
      <c r="F131" s="1291" t="s">
        <v>6993</v>
      </c>
      <c r="G131" s="1246" t="s">
        <v>6677</v>
      </c>
      <c r="H131" s="1246" t="s">
        <v>835</v>
      </c>
      <c r="I131" s="1273" t="s">
        <v>4178</v>
      </c>
      <c r="J131" s="1239" t="s">
        <v>4179</v>
      </c>
      <c r="K131" s="1244">
        <v>41701</v>
      </c>
      <c r="L131" s="187">
        <v>24970</v>
      </c>
      <c r="M131" s="1243">
        <v>11256</v>
      </c>
      <c r="N131" s="1244">
        <v>41701</v>
      </c>
      <c r="O131" s="1244">
        <v>42004</v>
      </c>
      <c r="P131" s="1239" t="s">
        <v>6763</v>
      </c>
      <c r="Q131" s="1239" t="s">
        <v>677</v>
      </c>
      <c r="R131" s="1239" t="s">
        <v>677</v>
      </c>
      <c r="S131" s="1239" t="s">
        <v>677</v>
      </c>
      <c r="T131" s="1239" t="s">
        <v>316</v>
      </c>
      <c r="U131" s="1246" t="s">
        <v>677</v>
      </c>
      <c r="V131" s="1239" t="s">
        <v>677</v>
      </c>
      <c r="W131" s="1243" t="s">
        <v>677</v>
      </c>
      <c r="X131" s="1239" t="s">
        <v>677</v>
      </c>
      <c r="Y131" s="1244" t="s">
        <v>677</v>
      </c>
      <c r="Z131" s="1244" t="s">
        <v>677</v>
      </c>
      <c r="AA131" s="1242" t="s">
        <v>677</v>
      </c>
      <c r="AB131" s="1239" t="s">
        <v>677</v>
      </c>
      <c r="AC131" s="1319">
        <v>0</v>
      </c>
      <c r="AD131" s="1319">
        <v>0</v>
      </c>
      <c r="AE131" s="1319">
        <f t="shared" si="6"/>
        <v>24970</v>
      </c>
      <c r="AF131" s="1242"/>
      <c r="AG131" s="187">
        <v>24970</v>
      </c>
      <c r="AH131" s="187">
        <f t="shared" si="3"/>
        <v>24970</v>
      </c>
      <c r="AI131" s="1243" t="s">
        <v>677</v>
      </c>
      <c r="AJ131" s="1243" t="s">
        <v>677</v>
      </c>
      <c r="AK131" s="1243" t="s">
        <v>677</v>
      </c>
      <c r="AL131" s="1243" t="s">
        <v>677</v>
      </c>
      <c r="AM131" s="1248" t="s">
        <v>677</v>
      </c>
      <c r="AN131" s="1248" t="s">
        <v>677</v>
      </c>
      <c r="AO131" s="1248" t="s">
        <v>677</v>
      </c>
      <c r="AP131" s="1248" t="s">
        <v>677</v>
      </c>
      <c r="AQ131" s="1248" t="s">
        <v>677</v>
      </c>
      <c r="AR131" s="1248" t="s">
        <v>677</v>
      </c>
      <c r="AS131" s="1243" t="s">
        <v>677</v>
      </c>
      <c r="AT131" s="1243" t="s">
        <v>677</v>
      </c>
      <c r="AU131" s="1243" t="s">
        <v>677</v>
      </c>
      <c r="AV131" s="1243" t="s">
        <v>677</v>
      </c>
      <c r="AW131" s="1243" t="s">
        <v>677</v>
      </c>
      <c r="AX131" s="1243" t="s">
        <v>677</v>
      </c>
      <c r="AY131" s="1243" t="s">
        <v>677</v>
      </c>
      <c r="AZ131" s="1243" t="s">
        <v>677</v>
      </c>
      <c r="BA131" s="1243" t="s">
        <v>677</v>
      </c>
      <c r="BB131" s="1243" t="s">
        <v>677</v>
      </c>
      <c r="BC131" s="1243" t="s">
        <v>677</v>
      </c>
      <c r="BD131" s="1243" t="s">
        <v>677</v>
      </c>
    </row>
    <row r="132" spans="1:56" s="422" customFormat="1" ht="38.25" x14ac:dyDescent="0.25">
      <c r="A132" s="1879">
        <v>53</v>
      </c>
      <c r="B132" s="1276" t="s">
        <v>1824</v>
      </c>
      <c r="C132" s="1239" t="s">
        <v>677</v>
      </c>
      <c r="D132" s="1239" t="s">
        <v>690</v>
      </c>
      <c r="E132" s="1239" t="s">
        <v>677</v>
      </c>
      <c r="F132" s="1880" t="s">
        <v>6994</v>
      </c>
      <c r="G132" s="1243">
        <v>11192</v>
      </c>
      <c r="H132" s="1246" t="s">
        <v>837</v>
      </c>
      <c r="I132" s="1273" t="s">
        <v>2110</v>
      </c>
      <c r="J132" s="1239" t="s">
        <v>718</v>
      </c>
      <c r="K132" s="1244">
        <v>41701</v>
      </c>
      <c r="L132" s="187">
        <v>2800</v>
      </c>
      <c r="M132" s="1243">
        <v>11256</v>
      </c>
      <c r="N132" s="1244">
        <v>41701</v>
      </c>
      <c r="O132" s="1244">
        <v>41762</v>
      </c>
      <c r="P132" s="1239" t="s">
        <v>6735</v>
      </c>
      <c r="Q132" s="1239" t="s">
        <v>677</v>
      </c>
      <c r="R132" s="1239" t="s">
        <v>677</v>
      </c>
      <c r="S132" s="1239" t="s">
        <v>677</v>
      </c>
      <c r="T132" s="1239" t="s">
        <v>316</v>
      </c>
      <c r="U132" s="1246" t="s">
        <v>677</v>
      </c>
      <c r="V132" s="1239" t="s">
        <v>677</v>
      </c>
      <c r="W132" s="1243" t="s">
        <v>677</v>
      </c>
      <c r="X132" s="1239" t="s">
        <v>677</v>
      </c>
      <c r="Y132" s="1244" t="s">
        <v>677</v>
      </c>
      <c r="Z132" s="1244" t="s">
        <v>677</v>
      </c>
      <c r="AA132" s="1242" t="s">
        <v>677</v>
      </c>
      <c r="AB132" s="1239" t="s">
        <v>677</v>
      </c>
      <c r="AC132" s="1319">
        <v>0</v>
      </c>
      <c r="AD132" s="1319">
        <v>0</v>
      </c>
      <c r="AE132" s="1319">
        <f t="shared" si="6"/>
        <v>2800</v>
      </c>
      <c r="AF132" s="1242"/>
      <c r="AG132" s="187">
        <v>2800</v>
      </c>
      <c r="AH132" s="187">
        <f>AF132+AG132</f>
        <v>2800</v>
      </c>
      <c r="AI132" s="1243" t="s">
        <v>677</v>
      </c>
      <c r="AJ132" s="1243" t="s">
        <v>677</v>
      </c>
      <c r="AK132" s="1243" t="s">
        <v>677</v>
      </c>
      <c r="AL132" s="1243" t="s">
        <v>677</v>
      </c>
      <c r="AM132" s="1284" t="s">
        <v>690</v>
      </c>
      <c r="AN132" s="1239" t="s">
        <v>6888</v>
      </c>
      <c r="AO132" s="1243">
        <v>11192</v>
      </c>
      <c r="AP132" s="1244">
        <v>41701</v>
      </c>
      <c r="AQ132" s="1243">
        <v>11192</v>
      </c>
      <c r="AR132" s="1244">
        <v>41701</v>
      </c>
      <c r="AS132" s="1243" t="s">
        <v>677</v>
      </c>
      <c r="AT132" s="1243" t="s">
        <v>677</v>
      </c>
      <c r="AU132" s="1243" t="s">
        <v>677</v>
      </c>
      <c r="AV132" s="1243" t="s">
        <v>677</v>
      </c>
      <c r="AW132" s="1243" t="s">
        <v>677</v>
      </c>
      <c r="AX132" s="1243" t="s">
        <v>677</v>
      </c>
      <c r="AY132" s="1243" t="s">
        <v>677</v>
      </c>
      <c r="AZ132" s="1243" t="s">
        <v>677</v>
      </c>
      <c r="BA132" s="1243" t="s">
        <v>677</v>
      </c>
      <c r="BB132" s="1243" t="s">
        <v>677</v>
      </c>
      <c r="BC132" s="1243" t="s">
        <v>677</v>
      </c>
      <c r="BD132" s="1243" t="s">
        <v>677</v>
      </c>
    </row>
    <row r="133" spans="1:56" s="422" customFormat="1" ht="38.25" x14ac:dyDescent="0.25">
      <c r="A133" s="1879">
        <v>54</v>
      </c>
      <c r="B133" s="1276" t="s">
        <v>1880</v>
      </c>
      <c r="C133" s="1239" t="s">
        <v>6995</v>
      </c>
      <c r="D133" s="1239" t="s">
        <v>6730</v>
      </c>
      <c r="E133" s="1239" t="s">
        <v>5811</v>
      </c>
      <c r="F133" s="1291" t="s">
        <v>6996</v>
      </c>
      <c r="G133" s="1246" t="s">
        <v>6990</v>
      </c>
      <c r="H133" s="1246" t="s">
        <v>840</v>
      </c>
      <c r="I133" s="1273" t="s">
        <v>6991</v>
      </c>
      <c r="J133" s="1239" t="s">
        <v>749</v>
      </c>
      <c r="K133" s="1244">
        <v>41710</v>
      </c>
      <c r="L133" s="187">
        <v>882</v>
      </c>
      <c r="M133" s="1243">
        <v>11261</v>
      </c>
      <c r="N133" s="1244">
        <v>41710</v>
      </c>
      <c r="O133" s="1244">
        <v>41771</v>
      </c>
      <c r="P133" s="1239" t="s">
        <v>6735</v>
      </c>
      <c r="Q133" s="1239" t="s">
        <v>677</v>
      </c>
      <c r="R133" s="1239" t="s">
        <v>677</v>
      </c>
      <c r="S133" s="1239" t="s">
        <v>677</v>
      </c>
      <c r="T133" s="1239" t="s">
        <v>316</v>
      </c>
      <c r="U133" s="1246" t="s">
        <v>677</v>
      </c>
      <c r="V133" s="1239" t="s">
        <v>677</v>
      </c>
      <c r="W133" s="1243" t="s">
        <v>677</v>
      </c>
      <c r="X133" s="1239" t="s">
        <v>677</v>
      </c>
      <c r="Y133" s="1244" t="s">
        <v>677</v>
      </c>
      <c r="Z133" s="1244" t="s">
        <v>677</v>
      </c>
      <c r="AA133" s="1242" t="s">
        <v>677</v>
      </c>
      <c r="AB133" s="1239" t="s">
        <v>677</v>
      </c>
      <c r="AC133" s="1319">
        <v>0</v>
      </c>
      <c r="AD133" s="1319">
        <v>0</v>
      </c>
      <c r="AE133" s="1319">
        <f t="shared" si="6"/>
        <v>882</v>
      </c>
      <c r="AF133" s="1242"/>
      <c r="AG133" s="187">
        <v>882</v>
      </c>
      <c r="AH133" s="187">
        <f t="shared" si="3"/>
        <v>882</v>
      </c>
      <c r="AI133" s="1243" t="s">
        <v>677</v>
      </c>
      <c r="AJ133" s="1243" t="s">
        <v>677</v>
      </c>
      <c r="AK133" s="1243" t="s">
        <v>677</v>
      </c>
      <c r="AL133" s="1243" t="s">
        <v>677</v>
      </c>
      <c r="AM133" s="1248" t="s">
        <v>677</v>
      </c>
      <c r="AN133" s="1248" t="s">
        <v>677</v>
      </c>
      <c r="AO133" s="1248" t="s">
        <v>677</v>
      </c>
      <c r="AP133" s="1248" t="s">
        <v>677</v>
      </c>
      <c r="AQ133" s="1248" t="s">
        <v>677</v>
      </c>
      <c r="AR133" s="1248" t="s">
        <v>677</v>
      </c>
      <c r="AS133" s="1243" t="s">
        <v>677</v>
      </c>
      <c r="AT133" s="1243" t="s">
        <v>677</v>
      </c>
      <c r="AU133" s="1243" t="s">
        <v>677</v>
      </c>
      <c r="AV133" s="1243" t="s">
        <v>677</v>
      </c>
      <c r="AW133" s="1243" t="s">
        <v>677</v>
      </c>
      <c r="AX133" s="1243" t="s">
        <v>677</v>
      </c>
      <c r="AY133" s="1243" t="s">
        <v>677</v>
      </c>
      <c r="AZ133" s="1243" t="s">
        <v>677</v>
      </c>
      <c r="BA133" s="1243" t="s">
        <v>677</v>
      </c>
      <c r="BB133" s="1243" t="s">
        <v>677</v>
      </c>
      <c r="BC133" s="1243" t="s">
        <v>677</v>
      </c>
      <c r="BD133" s="1243" t="s">
        <v>677</v>
      </c>
    </row>
    <row r="134" spans="1:56" s="422" customFormat="1" ht="38.25" x14ac:dyDescent="0.25">
      <c r="A134" s="1879">
        <v>55</v>
      </c>
      <c r="B134" s="1276" t="s">
        <v>460</v>
      </c>
      <c r="C134" s="1239" t="s">
        <v>6995</v>
      </c>
      <c r="D134" s="1239" t="s">
        <v>6730</v>
      </c>
      <c r="E134" s="1239" t="s">
        <v>5811</v>
      </c>
      <c r="F134" s="1291" t="s">
        <v>6997</v>
      </c>
      <c r="G134" s="1246" t="s">
        <v>6990</v>
      </c>
      <c r="H134" s="1246" t="s">
        <v>841</v>
      </c>
      <c r="I134" s="1273" t="s">
        <v>6998</v>
      </c>
      <c r="J134" s="1239" t="s">
        <v>1952</v>
      </c>
      <c r="K134" s="1244">
        <v>41710</v>
      </c>
      <c r="L134" s="187">
        <v>3650</v>
      </c>
      <c r="M134" s="1243">
        <v>11261</v>
      </c>
      <c r="N134" s="1244">
        <v>41710</v>
      </c>
      <c r="O134" s="1244">
        <v>41771</v>
      </c>
      <c r="P134" s="1239" t="s">
        <v>6735</v>
      </c>
      <c r="Q134" s="1239" t="s">
        <v>677</v>
      </c>
      <c r="R134" s="1239" t="s">
        <v>677</v>
      </c>
      <c r="S134" s="1239" t="s">
        <v>677</v>
      </c>
      <c r="T134" s="1239" t="s">
        <v>316</v>
      </c>
      <c r="U134" s="1246" t="s">
        <v>677</v>
      </c>
      <c r="V134" s="1239" t="s">
        <v>677</v>
      </c>
      <c r="W134" s="1243" t="s">
        <v>677</v>
      </c>
      <c r="X134" s="1239" t="s">
        <v>677</v>
      </c>
      <c r="Y134" s="1244" t="s">
        <v>677</v>
      </c>
      <c r="Z134" s="1244" t="s">
        <v>677</v>
      </c>
      <c r="AA134" s="1242" t="s">
        <v>677</v>
      </c>
      <c r="AB134" s="1239" t="s">
        <v>677</v>
      </c>
      <c r="AC134" s="1319">
        <v>0</v>
      </c>
      <c r="AD134" s="1319">
        <v>0</v>
      </c>
      <c r="AE134" s="1319">
        <f t="shared" si="6"/>
        <v>3650</v>
      </c>
      <c r="AF134" s="1242"/>
      <c r="AG134" s="187">
        <v>3650</v>
      </c>
      <c r="AH134" s="187">
        <f t="shared" si="3"/>
        <v>3650</v>
      </c>
      <c r="AI134" s="1243" t="s">
        <v>677</v>
      </c>
      <c r="AJ134" s="1243" t="s">
        <v>677</v>
      </c>
      <c r="AK134" s="1243" t="s">
        <v>677</v>
      </c>
      <c r="AL134" s="1243" t="s">
        <v>677</v>
      </c>
      <c r="AM134" s="1248" t="s">
        <v>677</v>
      </c>
      <c r="AN134" s="1248" t="s">
        <v>677</v>
      </c>
      <c r="AO134" s="1248" t="s">
        <v>677</v>
      </c>
      <c r="AP134" s="1248" t="s">
        <v>677</v>
      </c>
      <c r="AQ134" s="1248" t="s">
        <v>677</v>
      </c>
      <c r="AR134" s="1248" t="s">
        <v>677</v>
      </c>
      <c r="AS134" s="1243" t="s">
        <v>677</v>
      </c>
      <c r="AT134" s="1243" t="s">
        <v>677</v>
      </c>
      <c r="AU134" s="1243" t="s">
        <v>677</v>
      </c>
      <c r="AV134" s="1243" t="s">
        <v>677</v>
      </c>
      <c r="AW134" s="1243" t="s">
        <v>677</v>
      </c>
      <c r="AX134" s="1243" t="s">
        <v>677</v>
      </c>
      <c r="AY134" s="1243" t="s">
        <v>677</v>
      </c>
      <c r="AZ134" s="1243" t="s">
        <v>677</v>
      </c>
      <c r="BA134" s="1243" t="s">
        <v>677</v>
      </c>
      <c r="BB134" s="1243" t="s">
        <v>677</v>
      </c>
      <c r="BC134" s="1243" t="s">
        <v>677</v>
      </c>
      <c r="BD134" s="1243" t="s">
        <v>677</v>
      </c>
    </row>
    <row r="135" spans="1:56" s="422" customFormat="1" ht="38.25" x14ac:dyDescent="0.25">
      <c r="A135" s="1879">
        <v>56</v>
      </c>
      <c r="B135" s="1276" t="s">
        <v>1897</v>
      </c>
      <c r="C135" s="1239" t="s">
        <v>6995</v>
      </c>
      <c r="D135" s="1239" t="s">
        <v>6730</v>
      </c>
      <c r="E135" s="1239" t="s">
        <v>5811</v>
      </c>
      <c r="F135" s="1291" t="s">
        <v>6999</v>
      </c>
      <c r="G135" s="1246" t="s">
        <v>7000</v>
      </c>
      <c r="H135" s="1246" t="s">
        <v>1677</v>
      </c>
      <c r="I135" s="1273" t="s">
        <v>7001</v>
      </c>
      <c r="J135" s="1239" t="s">
        <v>7002</v>
      </c>
      <c r="K135" s="1244">
        <v>41710</v>
      </c>
      <c r="L135" s="187">
        <v>2400</v>
      </c>
      <c r="M135" s="1243">
        <v>11262</v>
      </c>
      <c r="N135" s="1244">
        <v>41710</v>
      </c>
      <c r="O135" s="1244">
        <v>41771</v>
      </c>
      <c r="P135" s="1239" t="s">
        <v>6735</v>
      </c>
      <c r="Q135" s="1239" t="s">
        <v>677</v>
      </c>
      <c r="R135" s="1239" t="s">
        <v>677</v>
      </c>
      <c r="S135" s="1239" t="s">
        <v>677</v>
      </c>
      <c r="T135" s="1239" t="s">
        <v>316</v>
      </c>
      <c r="U135" s="1246" t="s">
        <v>677</v>
      </c>
      <c r="V135" s="1239" t="s">
        <v>677</v>
      </c>
      <c r="W135" s="1243" t="s">
        <v>677</v>
      </c>
      <c r="X135" s="1239" t="s">
        <v>677</v>
      </c>
      <c r="Y135" s="1244" t="s">
        <v>677</v>
      </c>
      <c r="Z135" s="1244" t="s">
        <v>677</v>
      </c>
      <c r="AA135" s="1242" t="s">
        <v>677</v>
      </c>
      <c r="AB135" s="1239" t="s">
        <v>677</v>
      </c>
      <c r="AC135" s="1319">
        <v>0</v>
      </c>
      <c r="AD135" s="1319">
        <v>0</v>
      </c>
      <c r="AE135" s="1319">
        <f t="shared" si="6"/>
        <v>2400</v>
      </c>
      <c r="AF135" s="1319"/>
      <c r="AG135" s="187">
        <v>2400</v>
      </c>
      <c r="AH135" s="187">
        <f t="shared" si="3"/>
        <v>2400</v>
      </c>
      <c r="AI135" s="1243" t="s">
        <v>677</v>
      </c>
      <c r="AJ135" s="1243" t="s">
        <v>677</v>
      </c>
      <c r="AK135" s="1243" t="s">
        <v>677</v>
      </c>
      <c r="AL135" s="1243" t="s">
        <v>677</v>
      </c>
      <c r="AM135" s="1248" t="s">
        <v>677</v>
      </c>
      <c r="AN135" s="1248" t="s">
        <v>677</v>
      </c>
      <c r="AO135" s="1248" t="s">
        <v>677</v>
      </c>
      <c r="AP135" s="1248" t="s">
        <v>677</v>
      </c>
      <c r="AQ135" s="1248" t="s">
        <v>677</v>
      </c>
      <c r="AR135" s="1248" t="s">
        <v>677</v>
      </c>
      <c r="AS135" s="1243" t="s">
        <v>677</v>
      </c>
      <c r="AT135" s="1243" t="s">
        <v>677</v>
      </c>
      <c r="AU135" s="1243" t="s">
        <v>677</v>
      </c>
      <c r="AV135" s="1243" t="s">
        <v>677</v>
      </c>
      <c r="AW135" s="1243" t="s">
        <v>677</v>
      </c>
      <c r="AX135" s="1243" t="s">
        <v>677</v>
      </c>
      <c r="AY135" s="1243" t="s">
        <v>677</v>
      </c>
      <c r="AZ135" s="1243" t="s">
        <v>677</v>
      </c>
      <c r="BA135" s="1243" t="s">
        <v>677</v>
      </c>
      <c r="BB135" s="1243" t="s">
        <v>677</v>
      </c>
      <c r="BC135" s="1243" t="s">
        <v>677</v>
      </c>
      <c r="BD135" s="1243" t="s">
        <v>677</v>
      </c>
    </row>
    <row r="136" spans="1:56" s="422" customFormat="1" ht="38.25" x14ac:dyDescent="0.25">
      <c r="A136" s="1879">
        <v>57</v>
      </c>
      <c r="B136" s="1276" t="s">
        <v>1886</v>
      </c>
      <c r="C136" s="1239" t="s">
        <v>6995</v>
      </c>
      <c r="D136" s="1239" t="s">
        <v>6730</v>
      </c>
      <c r="E136" s="1239" t="s">
        <v>5811</v>
      </c>
      <c r="F136" s="1291" t="s">
        <v>7003</v>
      </c>
      <c r="G136" s="1246" t="s">
        <v>6637</v>
      </c>
      <c r="H136" s="1246" t="s">
        <v>1679</v>
      </c>
      <c r="I136" s="1273" t="s">
        <v>1958</v>
      </c>
      <c r="J136" s="1239" t="s">
        <v>746</v>
      </c>
      <c r="K136" s="1244">
        <v>41710</v>
      </c>
      <c r="L136" s="187">
        <v>3130</v>
      </c>
      <c r="M136" s="1243">
        <v>11261</v>
      </c>
      <c r="N136" s="1244">
        <v>41710</v>
      </c>
      <c r="O136" s="1244">
        <v>42004</v>
      </c>
      <c r="P136" s="1239" t="s">
        <v>6735</v>
      </c>
      <c r="Q136" s="1239" t="s">
        <v>677</v>
      </c>
      <c r="R136" s="1239" t="s">
        <v>677</v>
      </c>
      <c r="S136" s="1239" t="s">
        <v>677</v>
      </c>
      <c r="T136" s="1239" t="s">
        <v>316</v>
      </c>
      <c r="U136" s="1246" t="s">
        <v>677</v>
      </c>
      <c r="V136" s="1239" t="s">
        <v>677</v>
      </c>
      <c r="W136" s="1243" t="s">
        <v>677</v>
      </c>
      <c r="X136" s="1239" t="s">
        <v>677</v>
      </c>
      <c r="Y136" s="1244" t="s">
        <v>677</v>
      </c>
      <c r="Z136" s="1244" t="s">
        <v>677</v>
      </c>
      <c r="AA136" s="1242" t="s">
        <v>677</v>
      </c>
      <c r="AB136" s="1239" t="s">
        <v>677</v>
      </c>
      <c r="AC136" s="1319">
        <v>0</v>
      </c>
      <c r="AD136" s="1319">
        <v>0</v>
      </c>
      <c r="AE136" s="1319">
        <f t="shared" si="6"/>
        <v>3130</v>
      </c>
      <c r="AF136" s="1319"/>
      <c r="AG136" s="187">
        <v>3130</v>
      </c>
      <c r="AH136" s="187">
        <f t="shared" si="3"/>
        <v>3130</v>
      </c>
      <c r="AI136" s="1243" t="s">
        <v>677</v>
      </c>
      <c r="AJ136" s="1243" t="s">
        <v>677</v>
      </c>
      <c r="AK136" s="1243" t="s">
        <v>677</v>
      </c>
      <c r="AL136" s="1243" t="s">
        <v>677</v>
      </c>
      <c r="AM136" s="1248" t="s">
        <v>677</v>
      </c>
      <c r="AN136" s="1248" t="s">
        <v>677</v>
      </c>
      <c r="AO136" s="1248" t="s">
        <v>677</v>
      </c>
      <c r="AP136" s="1248" t="s">
        <v>677</v>
      </c>
      <c r="AQ136" s="1248" t="s">
        <v>677</v>
      </c>
      <c r="AR136" s="1248" t="s">
        <v>677</v>
      </c>
      <c r="AS136" s="1243" t="s">
        <v>677</v>
      </c>
      <c r="AT136" s="1243" t="s">
        <v>677</v>
      </c>
      <c r="AU136" s="1243" t="s">
        <v>677</v>
      </c>
      <c r="AV136" s="1243" t="s">
        <v>677</v>
      </c>
      <c r="AW136" s="1243" t="s">
        <v>677</v>
      </c>
      <c r="AX136" s="1243" t="s">
        <v>677</v>
      </c>
      <c r="AY136" s="1243" t="s">
        <v>677</v>
      </c>
      <c r="AZ136" s="1243" t="s">
        <v>677</v>
      </c>
      <c r="BA136" s="1243" t="s">
        <v>677</v>
      </c>
      <c r="BB136" s="1243" t="s">
        <v>677</v>
      </c>
      <c r="BC136" s="1243" t="s">
        <v>677</v>
      </c>
      <c r="BD136" s="1243" t="s">
        <v>677</v>
      </c>
    </row>
    <row r="137" spans="1:56" s="422" customFormat="1" ht="38.25" x14ac:dyDescent="0.25">
      <c r="A137" s="1879">
        <v>58</v>
      </c>
      <c r="B137" s="1276" t="s">
        <v>1957</v>
      </c>
      <c r="C137" s="1239" t="s">
        <v>677</v>
      </c>
      <c r="D137" s="1239" t="s">
        <v>690</v>
      </c>
      <c r="E137" s="1239" t="s">
        <v>677</v>
      </c>
      <c r="F137" s="1880" t="s">
        <v>7004</v>
      </c>
      <c r="G137" s="1243">
        <v>11262</v>
      </c>
      <c r="H137" s="1246" t="s">
        <v>1210</v>
      </c>
      <c r="I137" s="1273" t="s">
        <v>4932</v>
      </c>
      <c r="J137" s="1239" t="s">
        <v>639</v>
      </c>
      <c r="K137" s="1244">
        <v>41711</v>
      </c>
      <c r="L137" s="187">
        <v>1700</v>
      </c>
      <c r="M137" s="1243">
        <v>11263</v>
      </c>
      <c r="N137" s="1244">
        <v>41711</v>
      </c>
      <c r="O137" s="1244">
        <v>41772</v>
      </c>
      <c r="P137" s="1239" t="s">
        <v>6763</v>
      </c>
      <c r="Q137" s="1239" t="s">
        <v>677</v>
      </c>
      <c r="R137" s="1239" t="s">
        <v>677</v>
      </c>
      <c r="S137" s="1239" t="s">
        <v>677</v>
      </c>
      <c r="T137" s="1239" t="s">
        <v>408</v>
      </c>
      <c r="U137" s="1246" t="s">
        <v>677</v>
      </c>
      <c r="V137" s="1239" t="s">
        <v>677</v>
      </c>
      <c r="W137" s="1243" t="s">
        <v>677</v>
      </c>
      <c r="X137" s="1239" t="s">
        <v>677</v>
      </c>
      <c r="Y137" s="1244" t="s">
        <v>677</v>
      </c>
      <c r="Z137" s="1244" t="s">
        <v>677</v>
      </c>
      <c r="AA137" s="1242" t="s">
        <v>677</v>
      </c>
      <c r="AB137" s="1239" t="s">
        <v>677</v>
      </c>
      <c r="AC137" s="1319">
        <v>0</v>
      </c>
      <c r="AD137" s="1319">
        <v>0</v>
      </c>
      <c r="AE137" s="1319">
        <f t="shared" si="6"/>
        <v>1700</v>
      </c>
      <c r="AF137" s="1319"/>
      <c r="AG137" s="187">
        <v>1700</v>
      </c>
      <c r="AH137" s="187">
        <f>AF137+AG137</f>
        <v>1700</v>
      </c>
      <c r="AI137" s="1243" t="s">
        <v>677</v>
      </c>
      <c r="AJ137" s="1243" t="s">
        <v>677</v>
      </c>
      <c r="AK137" s="1243" t="s">
        <v>677</v>
      </c>
      <c r="AL137" s="1243" t="s">
        <v>677</v>
      </c>
      <c r="AM137" s="1284" t="s">
        <v>690</v>
      </c>
      <c r="AN137" s="1239" t="s">
        <v>6888</v>
      </c>
      <c r="AO137" s="1243">
        <v>11262</v>
      </c>
      <c r="AP137" s="1246" t="s">
        <v>7005</v>
      </c>
      <c r="AQ137" s="1243">
        <v>11262</v>
      </c>
      <c r="AR137" s="1244">
        <v>41712</v>
      </c>
      <c r="AS137" s="1243" t="s">
        <v>677</v>
      </c>
      <c r="AT137" s="1243" t="s">
        <v>677</v>
      </c>
      <c r="AU137" s="1243" t="s">
        <v>677</v>
      </c>
      <c r="AV137" s="1243" t="s">
        <v>677</v>
      </c>
      <c r="AW137" s="1243" t="s">
        <v>677</v>
      </c>
      <c r="AX137" s="1243" t="s">
        <v>677</v>
      </c>
      <c r="AY137" s="1243" t="s">
        <v>677</v>
      </c>
      <c r="AZ137" s="1243" t="s">
        <v>677</v>
      </c>
      <c r="BA137" s="1243" t="s">
        <v>677</v>
      </c>
      <c r="BB137" s="1243" t="s">
        <v>677</v>
      </c>
      <c r="BC137" s="1243" t="s">
        <v>677</v>
      </c>
      <c r="BD137" s="1243" t="s">
        <v>677</v>
      </c>
    </row>
    <row r="138" spans="1:56" s="422" customFormat="1" ht="38.25" x14ac:dyDescent="0.25">
      <c r="A138" s="1879">
        <v>59</v>
      </c>
      <c r="B138" s="1276" t="s">
        <v>2039</v>
      </c>
      <c r="C138" s="1239" t="s">
        <v>7006</v>
      </c>
      <c r="D138" s="1239" t="s">
        <v>6730</v>
      </c>
      <c r="E138" s="1239" t="s">
        <v>5811</v>
      </c>
      <c r="F138" s="1291" t="s">
        <v>6952</v>
      </c>
      <c r="G138" s="1243">
        <v>10967</v>
      </c>
      <c r="H138" s="1246" t="s">
        <v>1690</v>
      </c>
      <c r="I138" s="1273" t="s">
        <v>7007</v>
      </c>
      <c r="J138" s="1239" t="s">
        <v>4411</v>
      </c>
      <c r="K138" s="1244">
        <v>41715</v>
      </c>
      <c r="L138" s="187">
        <v>3210</v>
      </c>
      <c r="M138" s="1243">
        <v>11267</v>
      </c>
      <c r="N138" s="1244">
        <v>41715</v>
      </c>
      <c r="O138" s="1244">
        <v>41776</v>
      </c>
      <c r="P138" s="1239" t="s">
        <v>6763</v>
      </c>
      <c r="Q138" s="1239" t="s">
        <v>677</v>
      </c>
      <c r="R138" s="1239" t="s">
        <v>677</v>
      </c>
      <c r="S138" s="1239" t="s">
        <v>677</v>
      </c>
      <c r="T138" s="1239" t="s">
        <v>408</v>
      </c>
      <c r="U138" s="1246" t="s">
        <v>677</v>
      </c>
      <c r="V138" s="1239" t="s">
        <v>677</v>
      </c>
      <c r="W138" s="1243" t="s">
        <v>677</v>
      </c>
      <c r="X138" s="1239" t="s">
        <v>677</v>
      </c>
      <c r="Y138" s="1244" t="s">
        <v>677</v>
      </c>
      <c r="Z138" s="1244" t="s">
        <v>677</v>
      </c>
      <c r="AA138" s="1242" t="s">
        <v>677</v>
      </c>
      <c r="AB138" s="1239" t="s">
        <v>677</v>
      </c>
      <c r="AC138" s="1319">
        <v>0</v>
      </c>
      <c r="AD138" s="1319">
        <v>0</v>
      </c>
      <c r="AE138" s="1319">
        <f t="shared" si="6"/>
        <v>3210</v>
      </c>
      <c r="AF138" s="1319"/>
      <c r="AG138" s="187">
        <v>3210</v>
      </c>
      <c r="AH138" s="187">
        <f t="shared" ref="AH138:AH140" si="7">AF138+AG138</f>
        <v>3210</v>
      </c>
      <c r="AI138" s="1243" t="s">
        <v>677</v>
      </c>
      <c r="AJ138" s="1243" t="s">
        <v>677</v>
      </c>
      <c r="AK138" s="1243" t="s">
        <v>677</v>
      </c>
      <c r="AL138" s="1243" t="s">
        <v>677</v>
      </c>
      <c r="AM138" s="1248" t="s">
        <v>677</v>
      </c>
      <c r="AN138" s="1248" t="s">
        <v>677</v>
      </c>
      <c r="AO138" s="1248" t="s">
        <v>677</v>
      </c>
      <c r="AP138" s="1248" t="s">
        <v>677</v>
      </c>
      <c r="AQ138" s="1248" t="s">
        <v>677</v>
      </c>
      <c r="AR138" s="1248" t="s">
        <v>677</v>
      </c>
      <c r="AS138" s="1243" t="s">
        <v>677</v>
      </c>
      <c r="AT138" s="1243" t="s">
        <v>677</v>
      </c>
      <c r="AU138" s="1243" t="s">
        <v>677</v>
      </c>
      <c r="AV138" s="1243" t="s">
        <v>677</v>
      </c>
      <c r="AW138" s="1243" t="s">
        <v>677</v>
      </c>
      <c r="AX138" s="1243" t="s">
        <v>677</v>
      </c>
      <c r="AY138" s="1243" t="s">
        <v>677</v>
      </c>
      <c r="AZ138" s="1243" t="s">
        <v>677</v>
      </c>
      <c r="BA138" s="1243" t="s">
        <v>677</v>
      </c>
      <c r="BB138" s="1243" t="s">
        <v>677</v>
      </c>
      <c r="BC138" s="1243" t="s">
        <v>677</v>
      </c>
      <c r="BD138" s="1243" t="s">
        <v>677</v>
      </c>
    </row>
    <row r="139" spans="1:56" s="422" customFormat="1" ht="38.25" x14ac:dyDescent="0.25">
      <c r="A139" s="1879">
        <v>60</v>
      </c>
      <c r="B139" s="1276" t="s">
        <v>1081</v>
      </c>
      <c r="C139" s="1239" t="s">
        <v>7006</v>
      </c>
      <c r="D139" s="1239" t="s">
        <v>6730</v>
      </c>
      <c r="E139" s="1239" t="s">
        <v>5811</v>
      </c>
      <c r="F139" s="1291" t="s">
        <v>6952</v>
      </c>
      <c r="G139" s="1243">
        <v>10967</v>
      </c>
      <c r="H139" s="1246" t="s">
        <v>1699</v>
      </c>
      <c r="I139" s="1273" t="s">
        <v>6953</v>
      </c>
      <c r="J139" s="1239" t="s">
        <v>6954</v>
      </c>
      <c r="K139" s="1244">
        <v>41715</v>
      </c>
      <c r="L139" s="187">
        <v>7380</v>
      </c>
      <c r="M139" s="1243">
        <v>11267</v>
      </c>
      <c r="N139" s="1244">
        <v>41715</v>
      </c>
      <c r="O139" s="1244">
        <v>41776</v>
      </c>
      <c r="P139" s="1239" t="s">
        <v>6763</v>
      </c>
      <c r="Q139" s="1239" t="s">
        <v>677</v>
      </c>
      <c r="R139" s="1239" t="s">
        <v>677</v>
      </c>
      <c r="S139" s="1239" t="s">
        <v>677</v>
      </c>
      <c r="T139" s="1239" t="s">
        <v>408</v>
      </c>
      <c r="U139" s="1246" t="s">
        <v>677</v>
      </c>
      <c r="V139" s="1239" t="s">
        <v>677</v>
      </c>
      <c r="W139" s="1243" t="s">
        <v>677</v>
      </c>
      <c r="X139" s="1239" t="s">
        <v>677</v>
      </c>
      <c r="Y139" s="1244" t="s">
        <v>677</v>
      </c>
      <c r="Z139" s="1244" t="s">
        <v>677</v>
      </c>
      <c r="AA139" s="1242" t="s">
        <v>677</v>
      </c>
      <c r="AB139" s="1239" t="s">
        <v>677</v>
      </c>
      <c r="AC139" s="1319">
        <v>0</v>
      </c>
      <c r="AD139" s="1319">
        <v>0</v>
      </c>
      <c r="AE139" s="1319">
        <f t="shared" si="6"/>
        <v>7380</v>
      </c>
      <c r="AF139" s="1319"/>
      <c r="AG139" s="187">
        <v>7380</v>
      </c>
      <c r="AH139" s="187">
        <f t="shared" si="7"/>
        <v>7380</v>
      </c>
      <c r="AI139" s="1243" t="s">
        <v>677</v>
      </c>
      <c r="AJ139" s="1243" t="s">
        <v>677</v>
      </c>
      <c r="AK139" s="1243" t="s">
        <v>677</v>
      </c>
      <c r="AL139" s="1243" t="s">
        <v>677</v>
      </c>
      <c r="AM139" s="1248" t="s">
        <v>677</v>
      </c>
      <c r="AN139" s="1248" t="s">
        <v>677</v>
      </c>
      <c r="AO139" s="1248" t="s">
        <v>677</v>
      </c>
      <c r="AP139" s="1248" t="s">
        <v>677</v>
      </c>
      <c r="AQ139" s="1248" t="s">
        <v>677</v>
      </c>
      <c r="AR139" s="1248" t="s">
        <v>677</v>
      </c>
      <c r="AS139" s="1243" t="s">
        <v>677</v>
      </c>
      <c r="AT139" s="1243" t="s">
        <v>677</v>
      </c>
      <c r="AU139" s="1243" t="s">
        <v>677</v>
      </c>
      <c r="AV139" s="1243" t="s">
        <v>677</v>
      </c>
      <c r="AW139" s="1243" t="s">
        <v>677</v>
      </c>
      <c r="AX139" s="1243" t="s">
        <v>677</v>
      </c>
      <c r="AY139" s="1243" t="s">
        <v>677</v>
      </c>
      <c r="AZ139" s="1243" t="s">
        <v>677</v>
      </c>
      <c r="BA139" s="1243" t="s">
        <v>677</v>
      </c>
      <c r="BB139" s="1243" t="s">
        <v>677</v>
      </c>
      <c r="BC139" s="1243" t="s">
        <v>677</v>
      </c>
      <c r="BD139" s="1243" t="s">
        <v>677</v>
      </c>
    </row>
    <row r="140" spans="1:56" s="422" customFormat="1" ht="38.25" x14ac:dyDescent="0.25">
      <c r="A140" s="1879">
        <v>61</v>
      </c>
      <c r="B140" s="1276" t="s">
        <v>1756</v>
      </c>
      <c r="C140" s="1239" t="s">
        <v>7006</v>
      </c>
      <c r="D140" s="1239" t="s">
        <v>6730</v>
      </c>
      <c r="E140" s="1239" t="s">
        <v>5811</v>
      </c>
      <c r="F140" s="1291" t="s">
        <v>6952</v>
      </c>
      <c r="G140" s="1243">
        <v>10967</v>
      </c>
      <c r="H140" s="1246" t="s">
        <v>1705</v>
      </c>
      <c r="I140" s="1273" t="s">
        <v>7008</v>
      </c>
      <c r="J140" s="1239" t="s">
        <v>7009</v>
      </c>
      <c r="K140" s="1244">
        <v>41740</v>
      </c>
      <c r="L140" s="187">
        <v>540</v>
      </c>
      <c r="M140" s="1243">
        <v>11267</v>
      </c>
      <c r="N140" s="1244">
        <v>41740</v>
      </c>
      <c r="O140" s="1244">
        <v>41801</v>
      </c>
      <c r="P140" s="1239" t="s">
        <v>6735</v>
      </c>
      <c r="Q140" s="1239" t="s">
        <v>677</v>
      </c>
      <c r="R140" s="1239" t="s">
        <v>677</v>
      </c>
      <c r="S140" s="1239" t="s">
        <v>677</v>
      </c>
      <c r="T140" s="1239" t="s">
        <v>408</v>
      </c>
      <c r="U140" s="1246" t="s">
        <v>677</v>
      </c>
      <c r="V140" s="1239" t="s">
        <v>677</v>
      </c>
      <c r="W140" s="1243" t="s">
        <v>677</v>
      </c>
      <c r="X140" s="1239" t="s">
        <v>677</v>
      </c>
      <c r="Y140" s="1244" t="s">
        <v>677</v>
      </c>
      <c r="Z140" s="1244" t="s">
        <v>677</v>
      </c>
      <c r="AA140" s="1242" t="s">
        <v>677</v>
      </c>
      <c r="AB140" s="1239" t="s">
        <v>677</v>
      </c>
      <c r="AC140" s="1319">
        <v>0</v>
      </c>
      <c r="AD140" s="1319">
        <v>0</v>
      </c>
      <c r="AE140" s="1319">
        <f t="shared" si="6"/>
        <v>540</v>
      </c>
      <c r="AF140" s="1319"/>
      <c r="AG140" s="187">
        <v>540</v>
      </c>
      <c r="AH140" s="187">
        <f t="shared" si="7"/>
        <v>540</v>
      </c>
      <c r="AI140" s="1243" t="s">
        <v>677</v>
      </c>
      <c r="AJ140" s="1243" t="s">
        <v>677</v>
      </c>
      <c r="AK140" s="1243" t="s">
        <v>677</v>
      </c>
      <c r="AL140" s="1243" t="s">
        <v>677</v>
      </c>
      <c r="AM140" s="1248" t="s">
        <v>677</v>
      </c>
      <c r="AN140" s="1248" t="s">
        <v>677</v>
      </c>
      <c r="AO140" s="1248" t="s">
        <v>677</v>
      </c>
      <c r="AP140" s="1248" t="s">
        <v>677</v>
      </c>
      <c r="AQ140" s="1248" t="s">
        <v>677</v>
      </c>
      <c r="AR140" s="1248" t="s">
        <v>677</v>
      </c>
      <c r="AS140" s="1243" t="s">
        <v>677</v>
      </c>
      <c r="AT140" s="1243" t="s">
        <v>677</v>
      </c>
      <c r="AU140" s="1243" t="s">
        <v>677</v>
      </c>
      <c r="AV140" s="1243" t="s">
        <v>677</v>
      </c>
      <c r="AW140" s="1243" t="s">
        <v>677</v>
      </c>
      <c r="AX140" s="1243" t="s">
        <v>677</v>
      </c>
      <c r="AY140" s="1243" t="s">
        <v>677</v>
      </c>
      <c r="AZ140" s="1243" t="s">
        <v>677</v>
      </c>
      <c r="BA140" s="1243" t="s">
        <v>677</v>
      </c>
      <c r="BB140" s="1243" t="s">
        <v>677</v>
      </c>
      <c r="BC140" s="1243" t="s">
        <v>677</v>
      </c>
      <c r="BD140" s="1243" t="s">
        <v>677</v>
      </c>
    </row>
    <row r="141" spans="1:56" s="422" customFormat="1" ht="38.25" x14ac:dyDescent="0.25">
      <c r="A141" s="1879">
        <v>62</v>
      </c>
      <c r="B141" s="1276" t="s">
        <v>1872</v>
      </c>
      <c r="C141" s="1239" t="s">
        <v>677</v>
      </c>
      <c r="D141" s="1239" t="s">
        <v>690</v>
      </c>
      <c r="E141" s="1239" t="s">
        <v>5811</v>
      </c>
      <c r="F141" s="1880" t="s">
        <v>7010</v>
      </c>
      <c r="G141" s="1243">
        <v>11266</v>
      </c>
      <c r="H141" s="1246" t="s">
        <v>1712</v>
      </c>
      <c r="I141" s="1273" t="s">
        <v>7011</v>
      </c>
      <c r="J141" s="1239" t="s">
        <v>1159</v>
      </c>
      <c r="K141" s="1244">
        <v>41716</v>
      </c>
      <c r="L141" s="187">
        <v>1278.8</v>
      </c>
      <c r="M141" s="1243">
        <v>11266</v>
      </c>
      <c r="N141" s="1244">
        <v>41716</v>
      </c>
      <c r="O141" s="1244">
        <v>41777</v>
      </c>
      <c r="P141" s="1239" t="s">
        <v>6763</v>
      </c>
      <c r="Q141" s="1239" t="s">
        <v>677</v>
      </c>
      <c r="R141" s="1239" t="s">
        <v>677</v>
      </c>
      <c r="S141" s="1239" t="s">
        <v>677</v>
      </c>
      <c r="T141" s="1239" t="s">
        <v>316</v>
      </c>
      <c r="U141" s="1246" t="s">
        <v>677</v>
      </c>
      <c r="V141" s="1239" t="s">
        <v>677</v>
      </c>
      <c r="W141" s="1243" t="s">
        <v>677</v>
      </c>
      <c r="X141" s="1239" t="s">
        <v>677</v>
      </c>
      <c r="Y141" s="1244" t="s">
        <v>677</v>
      </c>
      <c r="Z141" s="1244" t="s">
        <v>677</v>
      </c>
      <c r="AA141" s="1242" t="s">
        <v>677</v>
      </c>
      <c r="AB141" s="1239" t="s">
        <v>677</v>
      </c>
      <c r="AC141" s="1319">
        <v>0</v>
      </c>
      <c r="AD141" s="1319">
        <v>0</v>
      </c>
      <c r="AE141" s="1319">
        <f t="shared" si="6"/>
        <v>1278.8</v>
      </c>
      <c r="AF141" s="1319"/>
      <c r="AG141" s="187">
        <v>1278.8</v>
      </c>
      <c r="AH141" s="187">
        <f>AF141+AG141</f>
        <v>1278.8</v>
      </c>
      <c r="AI141" s="1243" t="s">
        <v>677</v>
      </c>
      <c r="AJ141" s="1243" t="s">
        <v>677</v>
      </c>
      <c r="AK141" s="1243" t="s">
        <v>677</v>
      </c>
      <c r="AL141" s="1243" t="s">
        <v>677</v>
      </c>
      <c r="AM141" s="1284" t="s">
        <v>690</v>
      </c>
      <c r="AN141" s="1239" t="s">
        <v>6888</v>
      </c>
      <c r="AO141" s="1243">
        <v>11266</v>
      </c>
      <c r="AP141" s="1246" t="s">
        <v>7012</v>
      </c>
      <c r="AQ141" s="1243">
        <v>11266</v>
      </c>
      <c r="AR141" s="1244">
        <v>41718</v>
      </c>
      <c r="AS141" s="1243" t="s">
        <v>677</v>
      </c>
      <c r="AT141" s="1243" t="s">
        <v>677</v>
      </c>
      <c r="AU141" s="1243" t="s">
        <v>677</v>
      </c>
      <c r="AV141" s="1243" t="s">
        <v>677</v>
      </c>
      <c r="AW141" s="1243" t="s">
        <v>677</v>
      </c>
      <c r="AX141" s="1243" t="s">
        <v>677</v>
      </c>
      <c r="AY141" s="1243" t="s">
        <v>677</v>
      </c>
      <c r="AZ141" s="1243" t="s">
        <v>677</v>
      </c>
      <c r="BA141" s="1243" t="s">
        <v>677</v>
      </c>
      <c r="BB141" s="1243" t="s">
        <v>677</v>
      </c>
      <c r="BC141" s="1243" t="s">
        <v>677</v>
      </c>
      <c r="BD141" s="1243" t="s">
        <v>677</v>
      </c>
    </row>
    <row r="142" spans="1:56" s="422" customFormat="1" ht="38.25" x14ac:dyDescent="0.25">
      <c r="A142" s="1879">
        <v>63</v>
      </c>
      <c r="B142" s="1276" t="s">
        <v>1974</v>
      </c>
      <c r="C142" s="1239" t="s">
        <v>677</v>
      </c>
      <c r="D142" s="1239" t="s">
        <v>690</v>
      </c>
      <c r="E142" s="1239" t="s">
        <v>5811</v>
      </c>
      <c r="F142" s="1880" t="s">
        <v>7013</v>
      </c>
      <c r="G142" s="1243">
        <v>11268</v>
      </c>
      <c r="H142" s="1246" t="s">
        <v>1715</v>
      </c>
      <c r="I142" s="1273" t="s">
        <v>7014</v>
      </c>
      <c r="J142" s="1239" t="s">
        <v>4354</v>
      </c>
      <c r="K142" s="1244">
        <v>41716</v>
      </c>
      <c r="L142" s="187">
        <v>1890</v>
      </c>
      <c r="M142" s="1243">
        <v>11268</v>
      </c>
      <c r="N142" s="1244">
        <v>41716</v>
      </c>
      <c r="O142" s="1244">
        <v>41747</v>
      </c>
      <c r="P142" s="1239" t="s">
        <v>6763</v>
      </c>
      <c r="Q142" s="1239" t="s">
        <v>677</v>
      </c>
      <c r="R142" s="1239" t="s">
        <v>677</v>
      </c>
      <c r="S142" s="1239" t="s">
        <v>677</v>
      </c>
      <c r="T142" s="1239" t="s">
        <v>316</v>
      </c>
      <c r="U142" s="1246" t="s">
        <v>677</v>
      </c>
      <c r="V142" s="1239" t="s">
        <v>677</v>
      </c>
      <c r="W142" s="1243" t="s">
        <v>677</v>
      </c>
      <c r="X142" s="1239" t="s">
        <v>677</v>
      </c>
      <c r="Y142" s="1244" t="s">
        <v>677</v>
      </c>
      <c r="Z142" s="1244" t="s">
        <v>677</v>
      </c>
      <c r="AA142" s="1242" t="s">
        <v>677</v>
      </c>
      <c r="AB142" s="1239" t="s">
        <v>677</v>
      </c>
      <c r="AC142" s="1319">
        <v>0</v>
      </c>
      <c r="AD142" s="1319">
        <v>0</v>
      </c>
      <c r="AE142" s="1319">
        <f t="shared" si="6"/>
        <v>1890</v>
      </c>
      <c r="AF142" s="1319"/>
      <c r="AG142" s="187">
        <v>1890</v>
      </c>
      <c r="AH142" s="187">
        <f>AF142+AG142</f>
        <v>1890</v>
      </c>
      <c r="AI142" s="1243" t="s">
        <v>677</v>
      </c>
      <c r="AJ142" s="1243" t="s">
        <v>677</v>
      </c>
      <c r="AK142" s="1243" t="s">
        <v>677</v>
      </c>
      <c r="AL142" s="1243" t="s">
        <v>677</v>
      </c>
      <c r="AM142" s="1284" t="s">
        <v>690</v>
      </c>
      <c r="AN142" s="1239" t="s">
        <v>6888</v>
      </c>
      <c r="AO142" s="1243">
        <v>11263</v>
      </c>
      <c r="AP142" s="1244">
        <v>41715</v>
      </c>
      <c r="AQ142" s="1243">
        <v>11263</v>
      </c>
      <c r="AR142" s="1244">
        <v>41715</v>
      </c>
      <c r="AS142" s="1243" t="s">
        <v>677</v>
      </c>
      <c r="AT142" s="1243" t="s">
        <v>677</v>
      </c>
      <c r="AU142" s="1243" t="s">
        <v>677</v>
      </c>
      <c r="AV142" s="1243" t="s">
        <v>677</v>
      </c>
      <c r="AW142" s="1243" t="s">
        <v>677</v>
      </c>
      <c r="AX142" s="1243" t="s">
        <v>677</v>
      </c>
      <c r="AY142" s="1243" t="s">
        <v>677</v>
      </c>
      <c r="AZ142" s="1243" t="s">
        <v>677</v>
      </c>
      <c r="BA142" s="1243" t="s">
        <v>677</v>
      </c>
      <c r="BB142" s="1243" t="s">
        <v>677</v>
      </c>
      <c r="BC142" s="1243" t="s">
        <v>677</v>
      </c>
      <c r="BD142" s="1243" t="s">
        <v>677</v>
      </c>
    </row>
    <row r="143" spans="1:56" s="422" customFormat="1" ht="38.25" x14ac:dyDescent="0.25">
      <c r="A143" s="1879">
        <v>64</v>
      </c>
      <c r="B143" s="637" t="s">
        <v>1982</v>
      </c>
      <c r="C143" s="1239" t="s">
        <v>7015</v>
      </c>
      <c r="D143" s="1239" t="s">
        <v>6800</v>
      </c>
      <c r="E143" s="1239" t="s">
        <v>5811</v>
      </c>
      <c r="F143" s="1239" t="s">
        <v>7016</v>
      </c>
      <c r="G143" s="1243">
        <v>10967</v>
      </c>
      <c r="H143" s="1246" t="s">
        <v>1719</v>
      </c>
      <c r="I143" s="1273" t="s">
        <v>7017</v>
      </c>
      <c r="J143" s="1239" t="s">
        <v>7018</v>
      </c>
      <c r="K143" s="1244">
        <v>41722</v>
      </c>
      <c r="L143" s="187">
        <v>6870</v>
      </c>
      <c r="M143" s="1243">
        <v>11282</v>
      </c>
      <c r="N143" s="1244">
        <v>41722</v>
      </c>
      <c r="O143" s="1244">
        <v>42087</v>
      </c>
      <c r="P143" s="1239" t="s">
        <v>6763</v>
      </c>
      <c r="Q143" s="1239" t="s">
        <v>677</v>
      </c>
      <c r="R143" s="1239" t="s">
        <v>677</v>
      </c>
      <c r="S143" s="1239" t="s">
        <v>677</v>
      </c>
      <c r="T143" s="1239" t="s">
        <v>208</v>
      </c>
      <c r="U143" s="1239" t="s">
        <v>267</v>
      </c>
      <c r="V143" s="1244">
        <v>41814</v>
      </c>
      <c r="W143" s="1243">
        <v>11339</v>
      </c>
      <c r="X143" s="1239" t="s">
        <v>7019</v>
      </c>
      <c r="Y143" s="1244">
        <v>41814</v>
      </c>
      <c r="Z143" s="1244">
        <v>42004</v>
      </c>
      <c r="AA143" s="1239"/>
      <c r="AB143" s="1239"/>
      <c r="AC143" s="1319">
        <v>0</v>
      </c>
      <c r="AD143" s="1319">
        <v>0</v>
      </c>
      <c r="AE143" s="1319">
        <v>21144.33</v>
      </c>
      <c r="AF143" s="1319"/>
      <c r="AG143" s="187">
        <v>21144.33</v>
      </c>
      <c r="AH143" s="187">
        <f t="shared" ref="AH143" si="8">AF143+AG143</f>
        <v>21144.33</v>
      </c>
      <c r="AI143" s="1243" t="s">
        <v>677</v>
      </c>
      <c r="AJ143" s="1243" t="s">
        <v>677</v>
      </c>
      <c r="AK143" s="1243" t="s">
        <v>677</v>
      </c>
      <c r="AL143" s="1243" t="s">
        <v>677</v>
      </c>
      <c r="AM143" s="1248" t="s">
        <v>677</v>
      </c>
      <c r="AN143" s="1248" t="s">
        <v>677</v>
      </c>
      <c r="AO143" s="1248" t="s">
        <v>677</v>
      </c>
      <c r="AP143" s="1248" t="s">
        <v>677</v>
      </c>
      <c r="AQ143" s="1248" t="s">
        <v>677</v>
      </c>
      <c r="AR143" s="1248" t="s">
        <v>677</v>
      </c>
      <c r="AS143" s="1243" t="s">
        <v>677</v>
      </c>
      <c r="AT143" s="1243" t="s">
        <v>677</v>
      </c>
      <c r="AU143" s="1243" t="s">
        <v>677</v>
      </c>
      <c r="AV143" s="1243" t="s">
        <v>677</v>
      </c>
      <c r="AW143" s="1243" t="s">
        <v>677</v>
      </c>
      <c r="AX143" s="1243" t="s">
        <v>677</v>
      </c>
      <c r="AY143" s="1243" t="s">
        <v>677</v>
      </c>
      <c r="AZ143" s="1243" t="s">
        <v>677</v>
      </c>
      <c r="BA143" s="1243" t="s">
        <v>677</v>
      </c>
      <c r="BB143" s="1243" t="s">
        <v>677</v>
      </c>
      <c r="BC143" s="1243" t="s">
        <v>677</v>
      </c>
      <c r="BD143" s="1243" t="s">
        <v>677</v>
      </c>
    </row>
    <row r="144" spans="1:56" s="422" customFormat="1" ht="38.25" x14ac:dyDescent="0.25">
      <c r="A144" s="1879">
        <v>65</v>
      </c>
      <c r="B144" s="1276" t="s">
        <v>1759</v>
      </c>
      <c r="C144" s="1239" t="s">
        <v>7020</v>
      </c>
      <c r="D144" s="1239" t="s">
        <v>6730</v>
      </c>
      <c r="E144" s="1239" t="s">
        <v>5811</v>
      </c>
      <c r="F144" s="1291" t="s">
        <v>7021</v>
      </c>
      <c r="G144" s="1246" t="s">
        <v>6914</v>
      </c>
      <c r="H144" s="1246" t="s">
        <v>1723</v>
      </c>
      <c r="I144" s="1273" t="s">
        <v>6950</v>
      </c>
      <c r="J144" s="1239" t="s">
        <v>455</v>
      </c>
      <c r="K144" s="1244">
        <v>41723</v>
      </c>
      <c r="L144" s="187">
        <v>5950</v>
      </c>
      <c r="M144" s="1243">
        <v>11274</v>
      </c>
      <c r="N144" s="1244">
        <v>41723</v>
      </c>
      <c r="O144" s="1244">
        <v>41784</v>
      </c>
      <c r="P144" s="1239" t="s">
        <v>6735</v>
      </c>
      <c r="Q144" s="1239" t="s">
        <v>677</v>
      </c>
      <c r="R144" s="1239" t="s">
        <v>677</v>
      </c>
      <c r="S144" s="1239" t="s">
        <v>677</v>
      </c>
      <c r="T144" s="1239" t="s">
        <v>408</v>
      </c>
      <c r="U144" s="1246" t="s">
        <v>677</v>
      </c>
      <c r="V144" s="1239" t="s">
        <v>677</v>
      </c>
      <c r="W144" s="1243" t="s">
        <v>677</v>
      </c>
      <c r="X144" s="1239" t="s">
        <v>677</v>
      </c>
      <c r="Y144" s="1244" t="s">
        <v>677</v>
      </c>
      <c r="Z144" s="1244" t="s">
        <v>677</v>
      </c>
      <c r="AA144" s="1242" t="s">
        <v>677</v>
      </c>
      <c r="AB144" s="1239" t="s">
        <v>677</v>
      </c>
      <c r="AC144" s="1319">
        <v>0</v>
      </c>
      <c r="AD144" s="1319">
        <v>0</v>
      </c>
      <c r="AE144" s="1319">
        <f t="shared" ref="AE144:AE207" si="9">L144-AD144+AC144</f>
        <v>5950</v>
      </c>
      <c r="AF144" s="1319"/>
      <c r="AG144" s="187">
        <v>5950</v>
      </c>
      <c r="AH144" s="187">
        <f t="shared" si="3"/>
        <v>5950</v>
      </c>
      <c r="AI144" s="1243" t="s">
        <v>677</v>
      </c>
      <c r="AJ144" s="1243" t="s">
        <v>677</v>
      </c>
      <c r="AK144" s="1243" t="s">
        <v>677</v>
      </c>
      <c r="AL144" s="1243" t="s">
        <v>677</v>
      </c>
      <c r="AM144" s="1248" t="s">
        <v>677</v>
      </c>
      <c r="AN144" s="1248" t="s">
        <v>677</v>
      </c>
      <c r="AO144" s="1248" t="s">
        <v>677</v>
      </c>
      <c r="AP144" s="1248" t="s">
        <v>677</v>
      </c>
      <c r="AQ144" s="1248" t="s">
        <v>677</v>
      </c>
      <c r="AR144" s="1248" t="s">
        <v>677</v>
      </c>
      <c r="AS144" s="1243" t="s">
        <v>677</v>
      </c>
      <c r="AT144" s="1243" t="s">
        <v>677</v>
      </c>
      <c r="AU144" s="1243" t="s">
        <v>677</v>
      </c>
      <c r="AV144" s="1243" t="s">
        <v>677</v>
      </c>
      <c r="AW144" s="1243" t="s">
        <v>677</v>
      </c>
      <c r="AX144" s="1243" t="s">
        <v>677</v>
      </c>
      <c r="AY144" s="1243" t="s">
        <v>677</v>
      </c>
      <c r="AZ144" s="1243" t="s">
        <v>677</v>
      </c>
      <c r="BA144" s="1243" t="s">
        <v>677</v>
      </c>
      <c r="BB144" s="1243" t="s">
        <v>677</v>
      </c>
      <c r="BC144" s="1243" t="s">
        <v>677</v>
      </c>
      <c r="BD144" s="1243" t="s">
        <v>677</v>
      </c>
    </row>
    <row r="145" spans="1:56" s="422" customFormat="1" ht="38.25" x14ac:dyDescent="0.25">
      <c r="A145" s="1879">
        <v>66</v>
      </c>
      <c r="B145" s="1276" t="s">
        <v>2046</v>
      </c>
      <c r="C145" s="1239" t="s">
        <v>7022</v>
      </c>
      <c r="D145" s="1239" t="s">
        <v>6730</v>
      </c>
      <c r="E145" s="1239" t="s">
        <v>5811</v>
      </c>
      <c r="F145" s="1291" t="s">
        <v>7023</v>
      </c>
      <c r="G145" s="1246" t="s">
        <v>7024</v>
      </c>
      <c r="H145" s="1246" t="s">
        <v>1728</v>
      </c>
      <c r="I145" s="1273" t="s">
        <v>7025</v>
      </c>
      <c r="J145" s="1239" t="s">
        <v>4604</v>
      </c>
      <c r="K145" s="1244">
        <v>41725</v>
      </c>
      <c r="L145" s="187">
        <v>2640</v>
      </c>
      <c r="M145" s="1243">
        <v>11276</v>
      </c>
      <c r="N145" s="1244">
        <v>41725</v>
      </c>
      <c r="O145" s="1244">
        <v>42004</v>
      </c>
      <c r="P145" s="1239" t="s">
        <v>6763</v>
      </c>
      <c r="Q145" s="1239" t="s">
        <v>677</v>
      </c>
      <c r="R145" s="1239" t="s">
        <v>677</v>
      </c>
      <c r="S145" s="1239" t="s">
        <v>677</v>
      </c>
      <c r="T145" s="1239" t="s">
        <v>316</v>
      </c>
      <c r="U145" s="1246" t="s">
        <v>677</v>
      </c>
      <c r="V145" s="1239" t="s">
        <v>677</v>
      </c>
      <c r="W145" s="1243" t="s">
        <v>677</v>
      </c>
      <c r="X145" s="1239" t="s">
        <v>677</v>
      </c>
      <c r="Y145" s="1244" t="s">
        <v>677</v>
      </c>
      <c r="Z145" s="1244" t="s">
        <v>677</v>
      </c>
      <c r="AA145" s="1242" t="s">
        <v>677</v>
      </c>
      <c r="AB145" s="1239" t="s">
        <v>677</v>
      </c>
      <c r="AC145" s="1319">
        <v>0</v>
      </c>
      <c r="AD145" s="1319">
        <v>0</v>
      </c>
      <c r="AE145" s="1319">
        <f t="shared" si="9"/>
        <v>2640</v>
      </c>
      <c r="AF145" s="1319"/>
      <c r="AG145" s="187">
        <v>2640</v>
      </c>
      <c r="AH145" s="187">
        <f t="shared" si="3"/>
        <v>2640</v>
      </c>
      <c r="AI145" s="1243" t="s">
        <v>677</v>
      </c>
      <c r="AJ145" s="1243" t="s">
        <v>677</v>
      </c>
      <c r="AK145" s="1243" t="s">
        <v>677</v>
      </c>
      <c r="AL145" s="1243" t="s">
        <v>677</v>
      </c>
      <c r="AM145" s="1248" t="s">
        <v>677</v>
      </c>
      <c r="AN145" s="1248" t="s">
        <v>677</v>
      </c>
      <c r="AO145" s="1248" t="s">
        <v>677</v>
      </c>
      <c r="AP145" s="1248" t="s">
        <v>677</v>
      </c>
      <c r="AQ145" s="1248" t="s">
        <v>677</v>
      </c>
      <c r="AR145" s="1248" t="s">
        <v>677</v>
      </c>
      <c r="AS145" s="1243" t="s">
        <v>677</v>
      </c>
      <c r="AT145" s="1243" t="s">
        <v>677</v>
      </c>
      <c r="AU145" s="1243" t="s">
        <v>677</v>
      </c>
      <c r="AV145" s="1243" t="s">
        <v>677</v>
      </c>
      <c r="AW145" s="1243" t="s">
        <v>677</v>
      </c>
      <c r="AX145" s="1243" t="s">
        <v>677</v>
      </c>
      <c r="AY145" s="1243" t="s">
        <v>677</v>
      </c>
      <c r="AZ145" s="1243" t="s">
        <v>677</v>
      </c>
      <c r="BA145" s="1243" t="s">
        <v>677</v>
      </c>
      <c r="BB145" s="1243" t="s">
        <v>677</v>
      </c>
      <c r="BC145" s="1243" t="s">
        <v>677</v>
      </c>
      <c r="BD145" s="1243" t="s">
        <v>677</v>
      </c>
    </row>
    <row r="146" spans="1:56" s="422" customFormat="1" ht="38.25" x14ac:dyDescent="0.25">
      <c r="A146" s="1879">
        <v>67</v>
      </c>
      <c r="B146" s="1276" t="s">
        <v>2048</v>
      </c>
      <c r="C146" s="1239" t="s">
        <v>677</v>
      </c>
      <c r="D146" s="1239" t="s">
        <v>690</v>
      </c>
      <c r="E146" s="1239" t="s">
        <v>5811</v>
      </c>
      <c r="F146" s="1880" t="s">
        <v>7026</v>
      </c>
      <c r="G146" s="1243">
        <v>11275</v>
      </c>
      <c r="H146" s="1246" t="s">
        <v>1731</v>
      </c>
      <c r="I146" s="1273" t="s">
        <v>7027</v>
      </c>
      <c r="J146" s="1239" t="s">
        <v>7028</v>
      </c>
      <c r="K146" s="1244">
        <v>41726</v>
      </c>
      <c r="L146" s="187">
        <v>6240</v>
      </c>
      <c r="M146" s="1243">
        <v>11275</v>
      </c>
      <c r="N146" s="1244">
        <v>41726</v>
      </c>
      <c r="O146" s="1244">
        <v>41757</v>
      </c>
      <c r="P146" s="1239" t="s">
        <v>6763</v>
      </c>
      <c r="Q146" s="1239" t="s">
        <v>677</v>
      </c>
      <c r="R146" s="1239" t="s">
        <v>677</v>
      </c>
      <c r="S146" s="1239" t="s">
        <v>677</v>
      </c>
      <c r="T146" s="1239" t="s">
        <v>208</v>
      </c>
      <c r="U146" s="1246" t="s">
        <v>677</v>
      </c>
      <c r="V146" s="1239" t="s">
        <v>677</v>
      </c>
      <c r="W146" s="1243" t="s">
        <v>677</v>
      </c>
      <c r="X146" s="1239" t="s">
        <v>677</v>
      </c>
      <c r="Y146" s="1244" t="s">
        <v>677</v>
      </c>
      <c r="Z146" s="1244" t="s">
        <v>677</v>
      </c>
      <c r="AA146" s="1242" t="s">
        <v>677</v>
      </c>
      <c r="AB146" s="1239" t="s">
        <v>677</v>
      </c>
      <c r="AC146" s="1319">
        <v>0</v>
      </c>
      <c r="AD146" s="1319">
        <v>0</v>
      </c>
      <c r="AE146" s="1319">
        <f t="shared" si="9"/>
        <v>6240</v>
      </c>
      <c r="AF146" s="1319"/>
      <c r="AG146" s="187">
        <v>6240</v>
      </c>
      <c r="AH146" s="187">
        <f>AF146+AG146</f>
        <v>6240</v>
      </c>
      <c r="AI146" s="1243" t="s">
        <v>677</v>
      </c>
      <c r="AJ146" s="1243" t="s">
        <v>677</v>
      </c>
      <c r="AK146" s="1243" t="s">
        <v>677</v>
      </c>
      <c r="AL146" s="1243" t="s">
        <v>677</v>
      </c>
      <c r="AM146" s="1284" t="s">
        <v>690</v>
      </c>
      <c r="AN146" s="1239" t="s">
        <v>6888</v>
      </c>
      <c r="AO146" s="1243">
        <v>11275</v>
      </c>
      <c r="AP146" s="1246" t="s">
        <v>7029</v>
      </c>
      <c r="AQ146" s="1243">
        <v>11275</v>
      </c>
      <c r="AR146" s="1244">
        <v>41729</v>
      </c>
      <c r="AS146" s="1243" t="s">
        <v>677</v>
      </c>
      <c r="AT146" s="1243" t="s">
        <v>677</v>
      </c>
      <c r="AU146" s="1243" t="s">
        <v>677</v>
      </c>
      <c r="AV146" s="1243" t="s">
        <v>677</v>
      </c>
      <c r="AW146" s="1243" t="s">
        <v>677</v>
      </c>
      <c r="AX146" s="1243" t="s">
        <v>677</v>
      </c>
      <c r="AY146" s="1243" t="s">
        <v>677</v>
      </c>
      <c r="AZ146" s="1243" t="s">
        <v>677</v>
      </c>
      <c r="BA146" s="1243" t="s">
        <v>677</v>
      </c>
      <c r="BB146" s="1243" t="s">
        <v>677</v>
      </c>
      <c r="BC146" s="1243" t="s">
        <v>677</v>
      </c>
      <c r="BD146" s="1243" t="s">
        <v>677</v>
      </c>
    </row>
    <row r="147" spans="1:56" s="422" customFormat="1" ht="38.25" x14ac:dyDescent="0.25">
      <c r="A147" s="1879">
        <v>68</v>
      </c>
      <c r="B147" s="1276" t="s">
        <v>2060</v>
      </c>
      <c r="C147" s="1239" t="s">
        <v>7030</v>
      </c>
      <c r="D147" s="1239" t="s">
        <v>6730</v>
      </c>
      <c r="E147" s="1239" t="s">
        <v>5811</v>
      </c>
      <c r="F147" s="1291" t="s">
        <v>7031</v>
      </c>
      <c r="G147" s="1246" t="s">
        <v>7032</v>
      </c>
      <c r="H147" s="1246" t="s">
        <v>1737</v>
      </c>
      <c r="I147" s="1273" t="s">
        <v>7033</v>
      </c>
      <c r="J147" s="1239" t="s">
        <v>7034</v>
      </c>
      <c r="K147" s="1244">
        <v>41620</v>
      </c>
      <c r="L147" s="187">
        <v>5390</v>
      </c>
      <c r="M147" s="1243">
        <v>11280</v>
      </c>
      <c r="N147" s="1244">
        <v>41620</v>
      </c>
      <c r="O147" s="1244">
        <v>41985</v>
      </c>
      <c r="P147" s="1239" t="s">
        <v>6763</v>
      </c>
      <c r="Q147" s="1239" t="s">
        <v>677</v>
      </c>
      <c r="R147" s="1239" t="s">
        <v>677</v>
      </c>
      <c r="S147" s="1239" t="s">
        <v>677</v>
      </c>
      <c r="T147" s="1239" t="s">
        <v>316</v>
      </c>
      <c r="U147" s="1246" t="s">
        <v>677</v>
      </c>
      <c r="V147" s="1239" t="s">
        <v>677</v>
      </c>
      <c r="W147" s="1243" t="s">
        <v>677</v>
      </c>
      <c r="X147" s="1239" t="s">
        <v>677</v>
      </c>
      <c r="Y147" s="1244" t="s">
        <v>677</v>
      </c>
      <c r="Z147" s="1244" t="s">
        <v>677</v>
      </c>
      <c r="AA147" s="1242" t="s">
        <v>677</v>
      </c>
      <c r="AB147" s="1239" t="s">
        <v>677</v>
      </c>
      <c r="AC147" s="1319">
        <v>0</v>
      </c>
      <c r="AD147" s="1319">
        <v>0</v>
      </c>
      <c r="AE147" s="1319">
        <f t="shared" si="9"/>
        <v>5390</v>
      </c>
      <c r="AF147" s="1319"/>
      <c r="AG147" s="187">
        <v>5390</v>
      </c>
      <c r="AH147" s="187">
        <f t="shared" ref="AH147:AH155" si="10">AF147+AG147</f>
        <v>5390</v>
      </c>
      <c r="AI147" s="1243" t="s">
        <v>677</v>
      </c>
      <c r="AJ147" s="1243" t="s">
        <v>677</v>
      </c>
      <c r="AK147" s="1243" t="s">
        <v>677</v>
      </c>
      <c r="AL147" s="1243" t="s">
        <v>677</v>
      </c>
      <c r="AM147" s="1248" t="s">
        <v>677</v>
      </c>
      <c r="AN147" s="1248" t="s">
        <v>677</v>
      </c>
      <c r="AO147" s="1248" t="s">
        <v>677</v>
      </c>
      <c r="AP147" s="1248" t="s">
        <v>677</v>
      </c>
      <c r="AQ147" s="1248" t="s">
        <v>677</v>
      </c>
      <c r="AR147" s="1248" t="s">
        <v>677</v>
      </c>
      <c r="AS147" s="1243" t="s">
        <v>677</v>
      </c>
      <c r="AT147" s="1243" t="s">
        <v>677</v>
      </c>
      <c r="AU147" s="1243" t="s">
        <v>677</v>
      </c>
      <c r="AV147" s="1243" t="s">
        <v>677</v>
      </c>
      <c r="AW147" s="1243" t="s">
        <v>677</v>
      </c>
      <c r="AX147" s="1243" t="s">
        <v>677</v>
      </c>
      <c r="AY147" s="1243" t="s">
        <v>677</v>
      </c>
      <c r="AZ147" s="1243" t="s">
        <v>677</v>
      </c>
      <c r="BA147" s="1243" t="s">
        <v>677</v>
      </c>
      <c r="BB147" s="1243" t="s">
        <v>677</v>
      </c>
      <c r="BC147" s="1243" t="s">
        <v>677</v>
      </c>
      <c r="BD147" s="1243" t="s">
        <v>677</v>
      </c>
    </row>
    <row r="148" spans="1:56" s="422" customFormat="1" ht="38.25" x14ac:dyDescent="0.25">
      <c r="A148" s="1881">
        <v>69</v>
      </c>
      <c r="B148" s="1276" t="s">
        <v>1859</v>
      </c>
      <c r="C148" s="1239" t="s">
        <v>7035</v>
      </c>
      <c r="D148" s="1239" t="s">
        <v>6730</v>
      </c>
      <c r="E148" s="1239" t="s">
        <v>5811</v>
      </c>
      <c r="F148" s="1291" t="s">
        <v>7036</v>
      </c>
      <c r="G148" s="1246" t="s">
        <v>6018</v>
      </c>
      <c r="H148" s="1246" t="s">
        <v>1741</v>
      </c>
      <c r="I148" s="1273" t="s">
        <v>7037</v>
      </c>
      <c r="J148" s="1239" t="s">
        <v>7038</v>
      </c>
      <c r="K148" s="1244">
        <v>41738</v>
      </c>
      <c r="L148" s="187">
        <v>2675</v>
      </c>
      <c r="M148" s="1243">
        <v>11280</v>
      </c>
      <c r="N148" s="1244">
        <v>41738</v>
      </c>
      <c r="O148" s="1244">
        <v>41799</v>
      </c>
      <c r="P148" s="1239" t="s">
        <v>6763</v>
      </c>
      <c r="Q148" s="1239" t="s">
        <v>677</v>
      </c>
      <c r="R148" s="1239" t="s">
        <v>677</v>
      </c>
      <c r="S148" s="1239" t="s">
        <v>677</v>
      </c>
      <c r="T148" s="1239" t="s">
        <v>316</v>
      </c>
      <c r="U148" s="1246" t="s">
        <v>677</v>
      </c>
      <c r="V148" s="1239" t="s">
        <v>677</v>
      </c>
      <c r="W148" s="1243" t="s">
        <v>677</v>
      </c>
      <c r="X148" s="1239" t="s">
        <v>677</v>
      </c>
      <c r="Y148" s="1244" t="s">
        <v>677</v>
      </c>
      <c r="Z148" s="1244" t="s">
        <v>677</v>
      </c>
      <c r="AA148" s="1242" t="s">
        <v>677</v>
      </c>
      <c r="AB148" s="1239" t="s">
        <v>677</v>
      </c>
      <c r="AC148" s="1319">
        <v>0</v>
      </c>
      <c r="AD148" s="1319">
        <v>0</v>
      </c>
      <c r="AE148" s="1319">
        <f t="shared" si="9"/>
        <v>2675</v>
      </c>
      <c r="AF148" s="1319"/>
      <c r="AG148" s="187">
        <v>2675</v>
      </c>
      <c r="AH148" s="187">
        <f t="shared" si="10"/>
        <v>2675</v>
      </c>
      <c r="AI148" s="1243" t="s">
        <v>677</v>
      </c>
      <c r="AJ148" s="1243" t="s">
        <v>677</v>
      </c>
      <c r="AK148" s="1243" t="s">
        <v>677</v>
      </c>
      <c r="AL148" s="1243" t="s">
        <v>677</v>
      </c>
      <c r="AM148" s="1248" t="s">
        <v>677</v>
      </c>
      <c r="AN148" s="1248" t="s">
        <v>677</v>
      </c>
      <c r="AO148" s="1248" t="s">
        <v>677</v>
      </c>
      <c r="AP148" s="1248" t="s">
        <v>677</v>
      </c>
      <c r="AQ148" s="1248" t="s">
        <v>677</v>
      </c>
      <c r="AR148" s="1248" t="s">
        <v>677</v>
      </c>
      <c r="AS148" s="1243" t="s">
        <v>677</v>
      </c>
      <c r="AT148" s="1243" t="s">
        <v>677</v>
      </c>
      <c r="AU148" s="1243" t="s">
        <v>677</v>
      </c>
      <c r="AV148" s="1243" t="s">
        <v>677</v>
      </c>
      <c r="AW148" s="1243" t="s">
        <v>677</v>
      </c>
      <c r="AX148" s="1243" t="s">
        <v>677</v>
      </c>
      <c r="AY148" s="1243" t="s">
        <v>677</v>
      </c>
      <c r="AZ148" s="1243" t="s">
        <v>677</v>
      </c>
      <c r="BA148" s="1243" t="s">
        <v>677</v>
      </c>
      <c r="BB148" s="1243" t="s">
        <v>677</v>
      </c>
      <c r="BC148" s="1243" t="s">
        <v>677</v>
      </c>
      <c r="BD148" s="1243" t="s">
        <v>677</v>
      </c>
    </row>
    <row r="149" spans="1:56" s="422" customFormat="1" ht="38.25" x14ac:dyDescent="0.25">
      <c r="A149" s="1879">
        <v>70</v>
      </c>
      <c r="B149" s="1276" t="s">
        <v>2065</v>
      </c>
      <c r="C149" s="1239" t="s">
        <v>7039</v>
      </c>
      <c r="D149" s="1239" t="s">
        <v>6730</v>
      </c>
      <c r="E149" s="1239" t="s">
        <v>5811</v>
      </c>
      <c r="F149" s="1291" t="s">
        <v>7040</v>
      </c>
      <c r="G149" s="1243">
        <v>10999</v>
      </c>
      <c r="H149" s="1246" t="s">
        <v>383</v>
      </c>
      <c r="I149" s="1273" t="s">
        <v>7041</v>
      </c>
      <c r="J149" s="1239" t="s">
        <v>7042</v>
      </c>
      <c r="K149" s="1244">
        <v>41732</v>
      </c>
      <c r="L149" s="187">
        <v>131000</v>
      </c>
      <c r="M149" s="1243">
        <v>11283</v>
      </c>
      <c r="N149" s="1244">
        <v>41732</v>
      </c>
      <c r="O149" s="1244">
        <v>41793</v>
      </c>
      <c r="P149" s="1239" t="s">
        <v>6735</v>
      </c>
      <c r="Q149" s="1239" t="s">
        <v>677</v>
      </c>
      <c r="R149" s="1239" t="s">
        <v>677</v>
      </c>
      <c r="S149" s="1239" t="s">
        <v>677</v>
      </c>
      <c r="T149" s="1239" t="s">
        <v>316</v>
      </c>
      <c r="U149" s="1246" t="s">
        <v>677</v>
      </c>
      <c r="V149" s="1239" t="s">
        <v>677</v>
      </c>
      <c r="W149" s="1243" t="s">
        <v>677</v>
      </c>
      <c r="X149" s="1239" t="s">
        <v>677</v>
      </c>
      <c r="Y149" s="1244" t="s">
        <v>677</v>
      </c>
      <c r="Z149" s="1244" t="s">
        <v>677</v>
      </c>
      <c r="AA149" s="1242" t="s">
        <v>677</v>
      </c>
      <c r="AB149" s="1239" t="s">
        <v>677</v>
      </c>
      <c r="AC149" s="1319">
        <v>0</v>
      </c>
      <c r="AD149" s="1319">
        <v>0</v>
      </c>
      <c r="AE149" s="1319">
        <f t="shared" si="9"/>
        <v>131000</v>
      </c>
      <c r="AF149" s="1319"/>
      <c r="AG149" s="187">
        <v>131000</v>
      </c>
      <c r="AH149" s="187">
        <f t="shared" si="10"/>
        <v>131000</v>
      </c>
      <c r="AI149" s="1265" t="s">
        <v>1046</v>
      </c>
      <c r="AJ149" s="1243">
        <v>11024</v>
      </c>
      <c r="AK149" s="1239"/>
      <c r="AL149" s="1243"/>
      <c r="AM149" s="1248" t="s">
        <v>677</v>
      </c>
      <c r="AN149" s="1248" t="s">
        <v>677</v>
      </c>
      <c r="AO149" s="1248" t="s">
        <v>677</v>
      </c>
      <c r="AP149" s="1248" t="s">
        <v>677</v>
      </c>
      <c r="AQ149" s="1248" t="s">
        <v>677</v>
      </c>
      <c r="AR149" s="1248" t="s">
        <v>677</v>
      </c>
      <c r="AS149" s="1243" t="s">
        <v>677</v>
      </c>
      <c r="AT149" s="1243" t="s">
        <v>677</v>
      </c>
      <c r="AU149" s="1243" t="s">
        <v>677</v>
      </c>
      <c r="AV149" s="1243" t="s">
        <v>677</v>
      </c>
      <c r="AW149" s="1243" t="s">
        <v>677</v>
      </c>
      <c r="AX149" s="1243" t="s">
        <v>677</v>
      </c>
      <c r="AY149" s="1243" t="s">
        <v>677</v>
      </c>
      <c r="AZ149" s="1243" t="s">
        <v>677</v>
      </c>
      <c r="BA149" s="1243" t="s">
        <v>677</v>
      </c>
      <c r="BB149" s="1243" t="s">
        <v>677</v>
      </c>
      <c r="BC149" s="1243" t="s">
        <v>677</v>
      </c>
      <c r="BD149" s="1243" t="s">
        <v>677</v>
      </c>
    </row>
    <row r="150" spans="1:56" s="422" customFormat="1" ht="38.25" x14ac:dyDescent="0.25">
      <c r="A150" s="1879">
        <v>71</v>
      </c>
      <c r="B150" s="1276" t="s">
        <v>2048</v>
      </c>
      <c r="C150" s="1239" t="s">
        <v>7039</v>
      </c>
      <c r="D150" s="1239" t="s">
        <v>6730</v>
      </c>
      <c r="E150" s="1239" t="s">
        <v>5811</v>
      </c>
      <c r="F150" s="1291" t="s">
        <v>7043</v>
      </c>
      <c r="G150" s="1246" t="s">
        <v>7044</v>
      </c>
      <c r="H150" s="1246" t="s">
        <v>1750</v>
      </c>
      <c r="I150" s="1273" t="s">
        <v>7045</v>
      </c>
      <c r="J150" s="1239" t="s">
        <v>7046</v>
      </c>
      <c r="K150" s="1244">
        <v>41736</v>
      </c>
      <c r="L150" s="187">
        <v>64000</v>
      </c>
      <c r="M150" s="1243">
        <v>11283</v>
      </c>
      <c r="N150" s="1244">
        <v>41736</v>
      </c>
      <c r="O150" s="1244">
        <v>41797</v>
      </c>
      <c r="P150" s="1239" t="s">
        <v>6763</v>
      </c>
      <c r="Q150" s="1239" t="s">
        <v>677</v>
      </c>
      <c r="R150" s="1239" t="s">
        <v>677</v>
      </c>
      <c r="S150" s="1239" t="s">
        <v>677</v>
      </c>
      <c r="T150" s="1239" t="s">
        <v>316</v>
      </c>
      <c r="U150" s="1246" t="s">
        <v>677</v>
      </c>
      <c r="V150" s="1239" t="s">
        <v>677</v>
      </c>
      <c r="W150" s="1243" t="s">
        <v>677</v>
      </c>
      <c r="X150" s="1239" t="s">
        <v>677</v>
      </c>
      <c r="Y150" s="1244" t="s">
        <v>677</v>
      </c>
      <c r="Z150" s="1244" t="s">
        <v>677</v>
      </c>
      <c r="AA150" s="1242" t="s">
        <v>677</v>
      </c>
      <c r="AB150" s="1239" t="s">
        <v>677</v>
      </c>
      <c r="AC150" s="1319">
        <v>0</v>
      </c>
      <c r="AD150" s="1319">
        <v>0</v>
      </c>
      <c r="AE150" s="1319">
        <f t="shared" si="9"/>
        <v>64000</v>
      </c>
      <c r="AF150" s="1319"/>
      <c r="AG150" s="187">
        <v>64000</v>
      </c>
      <c r="AH150" s="187">
        <f t="shared" si="10"/>
        <v>64000</v>
      </c>
      <c r="AI150" s="1243" t="s">
        <v>677</v>
      </c>
      <c r="AJ150" s="1243" t="s">
        <v>677</v>
      </c>
      <c r="AK150" s="1243" t="s">
        <v>677</v>
      </c>
      <c r="AL150" s="1243" t="s">
        <v>677</v>
      </c>
      <c r="AM150" s="1248" t="s">
        <v>677</v>
      </c>
      <c r="AN150" s="1248" t="s">
        <v>677</v>
      </c>
      <c r="AO150" s="1248" t="s">
        <v>677</v>
      </c>
      <c r="AP150" s="1248" t="s">
        <v>677</v>
      </c>
      <c r="AQ150" s="1248" t="s">
        <v>677</v>
      </c>
      <c r="AR150" s="1248" t="s">
        <v>677</v>
      </c>
      <c r="AS150" s="1243" t="s">
        <v>677</v>
      </c>
      <c r="AT150" s="1243" t="s">
        <v>677</v>
      </c>
      <c r="AU150" s="1243" t="s">
        <v>677</v>
      </c>
      <c r="AV150" s="1243" t="s">
        <v>677</v>
      </c>
      <c r="AW150" s="1243" t="s">
        <v>677</v>
      </c>
      <c r="AX150" s="1243" t="s">
        <v>677</v>
      </c>
      <c r="AY150" s="1243" t="s">
        <v>677</v>
      </c>
      <c r="AZ150" s="1243" t="s">
        <v>677</v>
      </c>
      <c r="BA150" s="1243" t="s">
        <v>677</v>
      </c>
      <c r="BB150" s="1243" t="s">
        <v>677</v>
      </c>
      <c r="BC150" s="1243" t="s">
        <v>677</v>
      </c>
      <c r="BD150" s="1243" t="s">
        <v>677</v>
      </c>
    </row>
    <row r="151" spans="1:56" s="422" customFormat="1" ht="51" x14ac:dyDescent="0.25">
      <c r="A151" s="1879">
        <v>72</v>
      </c>
      <c r="B151" s="1276" t="s">
        <v>2200</v>
      </c>
      <c r="C151" s="1239" t="s">
        <v>7047</v>
      </c>
      <c r="D151" s="1239" t="s">
        <v>6800</v>
      </c>
      <c r="E151" s="1239" t="s">
        <v>5811</v>
      </c>
      <c r="F151" s="1291" t="s">
        <v>7048</v>
      </c>
      <c r="G151" s="1243">
        <v>11096</v>
      </c>
      <c r="H151" s="1246" t="s">
        <v>1753</v>
      </c>
      <c r="I151" s="1273" t="s">
        <v>7041</v>
      </c>
      <c r="J151" s="1239" t="s">
        <v>7042</v>
      </c>
      <c r="K151" s="1244">
        <v>41736</v>
      </c>
      <c r="L151" s="187">
        <v>39450</v>
      </c>
      <c r="M151" s="1243">
        <v>11286</v>
      </c>
      <c r="N151" s="1244">
        <v>41736</v>
      </c>
      <c r="O151" s="1244">
        <v>42101</v>
      </c>
      <c r="P151" s="1239" t="s">
        <v>6926</v>
      </c>
      <c r="Q151" s="1239" t="s">
        <v>677</v>
      </c>
      <c r="R151" s="1239" t="s">
        <v>677</v>
      </c>
      <c r="S151" s="1239" t="s">
        <v>677</v>
      </c>
      <c r="T151" s="1239" t="s">
        <v>316</v>
      </c>
      <c r="U151" s="1246" t="s">
        <v>677</v>
      </c>
      <c r="V151" s="1239" t="s">
        <v>677</v>
      </c>
      <c r="W151" s="1243" t="s">
        <v>677</v>
      </c>
      <c r="X151" s="1239" t="s">
        <v>677</v>
      </c>
      <c r="Y151" s="1244" t="s">
        <v>677</v>
      </c>
      <c r="Z151" s="1244" t="s">
        <v>677</v>
      </c>
      <c r="AA151" s="1242" t="s">
        <v>677</v>
      </c>
      <c r="AB151" s="1239" t="s">
        <v>677</v>
      </c>
      <c r="AC151" s="1319">
        <v>0</v>
      </c>
      <c r="AD151" s="1319">
        <v>0</v>
      </c>
      <c r="AE151" s="1319">
        <f t="shared" si="9"/>
        <v>39450</v>
      </c>
      <c r="AF151" s="1319"/>
      <c r="AG151" s="187">
        <v>39450</v>
      </c>
      <c r="AH151" s="187">
        <f t="shared" si="10"/>
        <v>39450</v>
      </c>
      <c r="AI151" s="1265" t="s">
        <v>744</v>
      </c>
      <c r="AJ151" s="1243">
        <v>11055</v>
      </c>
      <c r="AK151" s="1239" t="s">
        <v>7049</v>
      </c>
      <c r="AL151" s="1243">
        <v>11055</v>
      </c>
      <c r="AM151" s="1248" t="s">
        <v>677</v>
      </c>
      <c r="AN151" s="1248" t="s">
        <v>677</v>
      </c>
      <c r="AO151" s="1248" t="s">
        <v>677</v>
      </c>
      <c r="AP151" s="1248" t="s">
        <v>677</v>
      </c>
      <c r="AQ151" s="1248" t="s">
        <v>677</v>
      </c>
      <c r="AR151" s="1248" t="s">
        <v>677</v>
      </c>
      <c r="AS151" s="1243" t="s">
        <v>677</v>
      </c>
      <c r="AT151" s="1243" t="s">
        <v>677</v>
      </c>
      <c r="AU151" s="1243" t="s">
        <v>677</v>
      </c>
      <c r="AV151" s="1243" t="s">
        <v>677</v>
      </c>
      <c r="AW151" s="1243" t="s">
        <v>677</v>
      </c>
      <c r="AX151" s="1243" t="s">
        <v>677</v>
      </c>
      <c r="AY151" s="1243" t="s">
        <v>677</v>
      </c>
      <c r="AZ151" s="1243" t="s">
        <v>677</v>
      </c>
      <c r="BA151" s="1243" t="s">
        <v>677</v>
      </c>
      <c r="BB151" s="1243" t="s">
        <v>677</v>
      </c>
      <c r="BC151" s="1243" t="s">
        <v>677</v>
      </c>
      <c r="BD151" s="1243" t="s">
        <v>677</v>
      </c>
    </row>
    <row r="152" spans="1:56" s="422" customFormat="1" ht="38.25" x14ac:dyDescent="0.25">
      <c r="A152" s="1879">
        <v>73</v>
      </c>
      <c r="B152" s="1276" t="s">
        <v>2086</v>
      </c>
      <c r="C152" s="1239" t="s">
        <v>7050</v>
      </c>
      <c r="D152" s="1239" t="s">
        <v>6730</v>
      </c>
      <c r="E152" s="1239" t="s">
        <v>5811</v>
      </c>
      <c r="F152" s="1291" t="s">
        <v>7051</v>
      </c>
      <c r="G152" s="1246" t="s">
        <v>7052</v>
      </c>
      <c r="H152" s="1246" t="s">
        <v>1756</v>
      </c>
      <c r="I152" s="1273" t="s">
        <v>7053</v>
      </c>
      <c r="J152" s="1239" t="s">
        <v>5630</v>
      </c>
      <c r="K152" s="1244">
        <v>41739</v>
      </c>
      <c r="L152" s="187">
        <v>11842.86</v>
      </c>
      <c r="M152" s="1243">
        <v>11286</v>
      </c>
      <c r="N152" s="1244">
        <v>41739</v>
      </c>
      <c r="O152" s="1244">
        <v>41799</v>
      </c>
      <c r="P152" s="1239" t="s">
        <v>6735</v>
      </c>
      <c r="Q152" s="1239" t="s">
        <v>677</v>
      </c>
      <c r="R152" s="1239" t="s">
        <v>677</v>
      </c>
      <c r="S152" s="1239" t="s">
        <v>677</v>
      </c>
      <c r="T152" s="1239" t="s">
        <v>316</v>
      </c>
      <c r="U152" s="1246" t="s">
        <v>677</v>
      </c>
      <c r="V152" s="1239" t="s">
        <v>677</v>
      </c>
      <c r="W152" s="1243" t="s">
        <v>677</v>
      </c>
      <c r="X152" s="1239" t="s">
        <v>677</v>
      </c>
      <c r="Y152" s="1244" t="s">
        <v>677</v>
      </c>
      <c r="Z152" s="1244" t="s">
        <v>677</v>
      </c>
      <c r="AA152" s="1242" t="s">
        <v>677</v>
      </c>
      <c r="AB152" s="1239" t="s">
        <v>677</v>
      </c>
      <c r="AC152" s="1242">
        <v>0</v>
      </c>
      <c r="AD152" s="1242">
        <v>0</v>
      </c>
      <c r="AE152" s="1319">
        <f t="shared" si="9"/>
        <v>11842.86</v>
      </c>
      <c r="AF152" s="1319"/>
      <c r="AG152" s="187">
        <v>11842.86</v>
      </c>
      <c r="AH152" s="187">
        <f t="shared" si="10"/>
        <v>11842.86</v>
      </c>
      <c r="AI152" s="1243" t="s">
        <v>677</v>
      </c>
      <c r="AJ152" s="1243" t="s">
        <v>677</v>
      </c>
      <c r="AK152" s="1243" t="s">
        <v>677</v>
      </c>
      <c r="AL152" s="1243" t="s">
        <v>677</v>
      </c>
      <c r="AM152" s="1248" t="s">
        <v>677</v>
      </c>
      <c r="AN152" s="1248" t="s">
        <v>677</v>
      </c>
      <c r="AO152" s="1248" t="s">
        <v>677</v>
      </c>
      <c r="AP152" s="1248" t="s">
        <v>677</v>
      </c>
      <c r="AQ152" s="1248" t="s">
        <v>677</v>
      </c>
      <c r="AR152" s="1248" t="s">
        <v>677</v>
      </c>
      <c r="AS152" s="1243" t="s">
        <v>677</v>
      </c>
      <c r="AT152" s="1243" t="s">
        <v>677</v>
      </c>
      <c r="AU152" s="1243" t="s">
        <v>677</v>
      </c>
      <c r="AV152" s="1243" t="s">
        <v>677</v>
      </c>
      <c r="AW152" s="1243" t="s">
        <v>677</v>
      </c>
      <c r="AX152" s="1243" t="s">
        <v>677</v>
      </c>
      <c r="AY152" s="1243" t="s">
        <v>677</v>
      </c>
      <c r="AZ152" s="1243" t="s">
        <v>677</v>
      </c>
      <c r="BA152" s="1243" t="s">
        <v>677</v>
      </c>
      <c r="BB152" s="1243" t="s">
        <v>677</v>
      </c>
      <c r="BC152" s="1243" t="s">
        <v>677</v>
      </c>
      <c r="BD152" s="1243" t="s">
        <v>677</v>
      </c>
    </row>
    <row r="153" spans="1:56" s="422" customFormat="1" ht="38.25" x14ac:dyDescent="0.25">
      <c r="A153" s="1879">
        <v>74</v>
      </c>
      <c r="B153" s="1276" t="s">
        <v>2073</v>
      </c>
      <c r="C153" s="1239" t="s">
        <v>7050</v>
      </c>
      <c r="D153" s="1239" t="s">
        <v>6730</v>
      </c>
      <c r="E153" s="1239" t="s">
        <v>5811</v>
      </c>
      <c r="F153" s="1291" t="s">
        <v>7051</v>
      </c>
      <c r="G153" s="1246" t="s">
        <v>7052</v>
      </c>
      <c r="H153" s="1246" t="s">
        <v>1759</v>
      </c>
      <c r="I153" s="1273" t="s">
        <v>7054</v>
      </c>
      <c r="J153" s="1239" t="s">
        <v>7055</v>
      </c>
      <c r="K153" s="1244">
        <v>41739</v>
      </c>
      <c r="L153" s="187">
        <v>15022</v>
      </c>
      <c r="M153" s="1243">
        <v>11283</v>
      </c>
      <c r="N153" s="1244">
        <v>41739</v>
      </c>
      <c r="O153" s="1244">
        <v>41799</v>
      </c>
      <c r="P153" s="1239" t="s">
        <v>6735</v>
      </c>
      <c r="Q153" s="1239" t="s">
        <v>677</v>
      </c>
      <c r="R153" s="1239" t="s">
        <v>677</v>
      </c>
      <c r="S153" s="1239" t="s">
        <v>677</v>
      </c>
      <c r="T153" s="1239" t="s">
        <v>316</v>
      </c>
      <c r="U153" s="1246" t="s">
        <v>677</v>
      </c>
      <c r="V153" s="1239" t="s">
        <v>677</v>
      </c>
      <c r="W153" s="1243" t="s">
        <v>677</v>
      </c>
      <c r="X153" s="1239" t="s">
        <v>677</v>
      </c>
      <c r="Y153" s="1244" t="s">
        <v>677</v>
      </c>
      <c r="Z153" s="1244" t="s">
        <v>677</v>
      </c>
      <c r="AA153" s="1242" t="s">
        <v>677</v>
      </c>
      <c r="AB153" s="1239" t="s">
        <v>677</v>
      </c>
      <c r="AC153" s="1242">
        <v>0</v>
      </c>
      <c r="AD153" s="1242">
        <v>0</v>
      </c>
      <c r="AE153" s="1319">
        <f t="shared" si="9"/>
        <v>15022</v>
      </c>
      <c r="AF153" s="1319"/>
      <c r="AG153" s="187">
        <v>15022</v>
      </c>
      <c r="AH153" s="187">
        <f t="shared" si="10"/>
        <v>15022</v>
      </c>
      <c r="AI153" s="1243" t="s">
        <v>677</v>
      </c>
      <c r="AJ153" s="1243" t="s">
        <v>677</v>
      </c>
      <c r="AK153" s="1243" t="s">
        <v>677</v>
      </c>
      <c r="AL153" s="1243" t="s">
        <v>677</v>
      </c>
      <c r="AM153" s="1248" t="s">
        <v>677</v>
      </c>
      <c r="AN153" s="1248" t="s">
        <v>677</v>
      </c>
      <c r="AO153" s="1248" t="s">
        <v>677</v>
      </c>
      <c r="AP153" s="1248" t="s">
        <v>677</v>
      </c>
      <c r="AQ153" s="1248" t="s">
        <v>677</v>
      </c>
      <c r="AR153" s="1248" t="s">
        <v>677</v>
      </c>
      <c r="AS153" s="1243" t="s">
        <v>677</v>
      </c>
      <c r="AT153" s="1243" t="s">
        <v>677</v>
      </c>
      <c r="AU153" s="1243" t="s">
        <v>677</v>
      </c>
      <c r="AV153" s="1243" t="s">
        <v>677</v>
      </c>
      <c r="AW153" s="1243" t="s">
        <v>677</v>
      </c>
      <c r="AX153" s="1243" t="s">
        <v>677</v>
      </c>
      <c r="AY153" s="1243" t="s">
        <v>677</v>
      </c>
      <c r="AZ153" s="1243" t="s">
        <v>677</v>
      </c>
      <c r="BA153" s="1243" t="s">
        <v>677</v>
      </c>
      <c r="BB153" s="1243" t="s">
        <v>677</v>
      </c>
      <c r="BC153" s="1243" t="s">
        <v>677</v>
      </c>
      <c r="BD153" s="1243" t="s">
        <v>677</v>
      </c>
    </row>
    <row r="154" spans="1:56" s="422" customFormat="1" ht="38.25" x14ac:dyDescent="0.25">
      <c r="A154" s="1879">
        <v>75</v>
      </c>
      <c r="B154" s="1276" t="s">
        <v>2078</v>
      </c>
      <c r="C154" s="1239" t="s">
        <v>7050</v>
      </c>
      <c r="D154" s="1239" t="s">
        <v>6730</v>
      </c>
      <c r="E154" s="1239" t="s">
        <v>5811</v>
      </c>
      <c r="F154" s="1291" t="s">
        <v>7051</v>
      </c>
      <c r="G154" s="1246" t="s">
        <v>7052</v>
      </c>
      <c r="H154" s="1246" t="s">
        <v>1081</v>
      </c>
      <c r="I154" s="1273" t="s">
        <v>7056</v>
      </c>
      <c r="J154" s="1239" t="s">
        <v>7057</v>
      </c>
      <c r="K154" s="1244">
        <v>41738</v>
      </c>
      <c r="L154" s="187">
        <v>4062</v>
      </c>
      <c r="M154" s="1243">
        <v>11283</v>
      </c>
      <c r="N154" s="1244">
        <v>41738</v>
      </c>
      <c r="O154" s="1244" t="s">
        <v>7058</v>
      </c>
      <c r="P154" s="1239" t="s">
        <v>6735</v>
      </c>
      <c r="Q154" s="1239" t="s">
        <v>677</v>
      </c>
      <c r="R154" s="1239" t="s">
        <v>677</v>
      </c>
      <c r="S154" s="1239" t="s">
        <v>677</v>
      </c>
      <c r="T154" s="1239" t="s">
        <v>316</v>
      </c>
      <c r="U154" s="1246" t="s">
        <v>677</v>
      </c>
      <c r="V154" s="1239" t="s">
        <v>677</v>
      </c>
      <c r="W154" s="1243" t="s">
        <v>677</v>
      </c>
      <c r="X154" s="1239" t="s">
        <v>677</v>
      </c>
      <c r="Y154" s="1244" t="s">
        <v>677</v>
      </c>
      <c r="Z154" s="1244" t="s">
        <v>677</v>
      </c>
      <c r="AA154" s="1242" t="s">
        <v>677</v>
      </c>
      <c r="AB154" s="1239" t="s">
        <v>677</v>
      </c>
      <c r="AC154" s="1242">
        <v>0</v>
      </c>
      <c r="AD154" s="1242">
        <v>0</v>
      </c>
      <c r="AE154" s="1319">
        <f t="shared" si="9"/>
        <v>4062</v>
      </c>
      <c r="AF154" s="1319"/>
      <c r="AG154" s="187">
        <v>4062</v>
      </c>
      <c r="AH154" s="187">
        <f t="shared" si="10"/>
        <v>4062</v>
      </c>
      <c r="AI154" s="1243" t="s">
        <v>677</v>
      </c>
      <c r="AJ154" s="1243" t="s">
        <v>677</v>
      </c>
      <c r="AK154" s="1243" t="s">
        <v>677</v>
      </c>
      <c r="AL154" s="1243" t="s">
        <v>677</v>
      </c>
      <c r="AM154" s="1248" t="s">
        <v>677</v>
      </c>
      <c r="AN154" s="1248" t="s">
        <v>677</v>
      </c>
      <c r="AO154" s="1248" t="s">
        <v>677</v>
      </c>
      <c r="AP154" s="1248" t="s">
        <v>677</v>
      </c>
      <c r="AQ154" s="1248" t="s">
        <v>677</v>
      </c>
      <c r="AR154" s="1248" t="s">
        <v>677</v>
      </c>
      <c r="AS154" s="1243" t="s">
        <v>677</v>
      </c>
      <c r="AT154" s="1243" t="s">
        <v>677</v>
      </c>
      <c r="AU154" s="1243" t="s">
        <v>677</v>
      </c>
      <c r="AV154" s="1243" t="s">
        <v>677</v>
      </c>
      <c r="AW154" s="1243" t="s">
        <v>677</v>
      </c>
      <c r="AX154" s="1243" t="s">
        <v>677</v>
      </c>
      <c r="AY154" s="1243" t="s">
        <v>677</v>
      </c>
      <c r="AZ154" s="1243" t="s">
        <v>677</v>
      </c>
      <c r="BA154" s="1243" t="s">
        <v>677</v>
      </c>
      <c r="BB154" s="1243" t="s">
        <v>677</v>
      </c>
      <c r="BC154" s="1243" t="s">
        <v>677</v>
      </c>
      <c r="BD154" s="1243" t="s">
        <v>677</v>
      </c>
    </row>
    <row r="155" spans="1:56" s="422" customFormat="1" ht="63.75" x14ac:dyDescent="0.25">
      <c r="A155" s="1879">
        <v>76</v>
      </c>
      <c r="B155" s="1276" t="s">
        <v>2133</v>
      </c>
      <c r="C155" s="1239" t="s">
        <v>7059</v>
      </c>
      <c r="D155" s="1239" t="s">
        <v>6800</v>
      </c>
      <c r="E155" s="1239" t="s">
        <v>5811</v>
      </c>
      <c r="F155" s="1291" t="s">
        <v>7060</v>
      </c>
      <c r="G155" s="1243">
        <v>11023</v>
      </c>
      <c r="H155" s="1246" t="s">
        <v>1767</v>
      </c>
      <c r="I155" s="1273" t="s">
        <v>2702</v>
      </c>
      <c r="J155" s="1239" t="s">
        <v>759</v>
      </c>
      <c r="K155" s="1244">
        <v>41736</v>
      </c>
      <c r="L155" s="187">
        <v>3200</v>
      </c>
      <c r="M155" s="1243">
        <v>11286</v>
      </c>
      <c r="N155" s="1244">
        <v>41736</v>
      </c>
      <c r="O155" s="1244">
        <v>42004</v>
      </c>
      <c r="P155" s="1239" t="s">
        <v>6926</v>
      </c>
      <c r="Q155" s="1239" t="s">
        <v>677</v>
      </c>
      <c r="R155" s="1239" t="s">
        <v>677</v>
      </c>
      <c r="S155" s="1239" t="s">
        <v>677</v>
      </c>
      <c r="T155" s="1239" t="s">
        <v>208</v>
      </c>
      <c r="U155" s="1246" t="s">
        <v>677</v>
      </c>
      <c r="V155" s="1239" t="s">
        <v>677</v>
      </c>
      <c r="W155" s="1243" t="s">
        <v>677</v>
      </c>
      <c r="X155" s="1239" t="s">
        <v>677</v>
      </c>
      <c r="Y155" s="1244" t="s">
        <v>677</v>
      </c>
      <c r="Z155" s="1244" t="s">
        <v>677</v>
      </c>
      <c r="AA155" s="1242" t="s">
        <v>677</v>
      </c>
      <c r="AB155" s="1239" t="s">
        <v>677</v>
      </c>
      <c r="AC155" s="1242">
        <v>0</v>
      </c>
      <c r="AD155" s="1242">
        <v>0</v>
      </c>
      <c r="AE155" s="1319">
        <f t="shared" si="9"/>
        <v>3200</v>
      </c>
      <c r="AF155" s="1319"/>
      <c r="AG155" s="187">
        <v>3200</v>
      </c>
      <c r="AH155" s="187">
        <f t="shared" si="10"/>
        <v>3200</v>
      </c>
      <c r="AI155" s="1265" t="s">
        <v>403</v>
      </c>
      <c r="AJ155" s="1243">
        <v>11022</v>
      </c>
      <c r="AK155" s="1239" t="s">
        <v>761</v>
      </c>
      <c r="AL155" s="1243">
        <v>11299</v>
      </c>
      <c r="AM155" s="1248" t="s">
        <v>677</v>
      </c>
      <c r="AN155" s="1248" t="s">
        <v>677</v>
      </c>
      <c r="AO155" s="1248" t="s">
        <v>677</v>
      </c>
      <c r="AP155" s="1248" t="s">
        <v>677</v>
      </c>
      <c r="AQ155" s="1248" t="s">
        <v>677</v>
      </c>
      <c r="AR155" s="1248" t="s">
        <v>677</v>
      </c>
      <c r="AS155" s="1243" t="s">
        <v>677</v>
      </c>
      <c r="AT155" s="1243" t="s">
        <v>677</v>
      </c>
      <c r="AU155" s="1243" t="s">
        <v>677</v>
      </c>
      <c r="AV155" s="1243" t="s">
        <v>677</v>
      </c>
      <c r="AW155" s="1243" t="s">
        <v>677</v>
      </c>
      <c r="AX155" s="1243" t="s">
        <v>677</v>
      </c>
      <c r="AY155" s="1243" t="s">
        <v>677</v>
      </c>
      <c r="AZ155" s="1243" t="s">
        <v>677</v>
      </c>
      <c r="BA155" s="1243" t="s">
        <v>677</v>
      </c>
      <c r="BB155" s="1243" t="s">
        <v>677</v>
      </c>
      <c r="BC155" s="1243" t="s">
        <v>677</v>
      </c>
      <c r="BD155" s="1243" t="s">
        <v>677</v>
      </c>
    </row>
    <row r="156" spans="1:56" s="422" customFormat="1" ht="38.25" x14ac:dyDescent="0.25">
      <c r="A156" s="1879">
        <v>77</v>
      </c>
      <c r="B156" s="1276" t="s">
        <v>7061</v>
      </c>
      <c r="C156" s="1239" t="s">
        <v>7062</v>
      </c>
      <c r="D156" s="1239" t="s">
        <v>6730</v>
      </c>
      <c r="E156" s="1239" t="s">
        <v>5811</v>
      </c>
      <c r="F156" s="1291" t="s">
        <v>7063</v>
      </c>
      <c r="G156" s="1246" t="s">
        <v>7064</v>
      </c>
      <c r="H156" s="1246" t="s">
        <v>1770</v>
      </c>
      <c r="I156" s="1273" t="s">
        <v>7065</v>
      </c>
      <c r="J156" s="1239" t="s">
        <v>7066</v>
      </c>
      <c r="K156" s="1244">
        <v>41739</v>
      </c>
      <c r="L156" s="187">
        <v>1056</v>
      </c>
      <c r="M156" s="1243">
        <v>11286</v>
      </c>
      <c r="N156" s="1244">
        <v>41739</v>
      </c>
      <c r="O156" s="1244">
        <v>41800</v>
      </c>
      <c r="P156" s="1239" t="s">
        <v>6735</v>
      </c>
      <c r="Q156" s="1239" t="s">
        <v>677</v>
      </c>
      <c r="R156" s="1239" t="s">
        <v>677</v>
      </c>
      <c r="S156" s="1239" t="s">
        <v>677</v>
      </c>
      <c r="T156" s="1239" t="s">
        <v>316</v>
      </c>
      <c r="U156" s="1246" t="s">
        <v>677</v>
      </c>
      <c r="V156" s="1239" t="s">
        <v>677</v>
      </c>
      <c r="W156" s="1243" t="s">
        <v>677</v>
      </c>
      <c r="X156" s="1239" t="s">
        <v>677</v>
      </c>
      <c r="Y156" s="1244" t="s">
        <v>677</v>
      </c>
      <c r="Z156" s="1244" t="s">
        <v>677</v>
      </c>
      <c r="AA156" s="1242" t="s">
        <v>677</v>
      </c>
      <c r="AB156" s="1239" t="s">
        <v>677</v>
      </c>
      <c r="AC156" s="1242">
        <v>0</v>
      </c>
      <c r="AD156" s="1242">
        <v>0</v>
      </c>
      <c r="AE156" s="1319">
        <f t="shared" si="9"/>
        <v>1056</v>
      </c>
      <c r="AF156" s="1319"/>
      <c r="AG156" s="187">
        <v>1056</v>
      </c>
      <c r="AH156" s="187">
        <f t="shared" si="3"/>
        <v>1056</v>
      </c>
      <c r="AI156" s="1265" t="s">
        <v>1059</v>
      </c>
      <c r="AJ156" s="1243">
        <v>11075</v>
      </c>
      <c r="AK156" s="1243" t="s">
        <v>677</v>
      </c>
      <c r="AL156" s="1243" t="s">
        <v>677</v>
      </c>
      <c r="AM156" s="1248" t="s">
        <v>677</v>
      </c>
      <c r="AN156" s="1248" t="s">
        <v>677</v>
      </c>
      <c r="AO156" s="1248" t="s">
        <v>677</v>
      </c>
      <c r="AP156" s="1248" t="s">
        <v>677</v>
      </c>
      <c r="AQ156" s="1248" t="s">
        <v>677</v>
      </c>
      <c r="AR156" s="1248" t="s">
        <v>677</v>
      </c>
      <c r="AS156" s="1243" t="s">
        <v>677</v>
      </c>
      <c r="AT156" s="1243" t="s">
        <v>677</v>
      </c>
      <c r="AU156" s="1243" t="s">
        <v>677</v>
      </c>
      <c r="AV156" s="1243" t="s">
        <v>677</v>
      </c>
      <c r="AW156" s="1243" t="s">
        <v>677</v>
      </c>
      <c r="AX156" s="1243" t="s">
        <v>677</v>
      </c>
      <c r="AY156" s="1243" t="s">
        <v>677</v>
      </c>
      <c r="AZ156" s="1243" t="s">
        <v>677</v>
      </c>
      <c r="BA156" s="1243" t="s">
        <v>677</v>
      </c>
      <c r="BB156" s="1243" t="s">
        <v>677</v>
      </c>
      <c r="BC156" s="1243" t="s">
        <v>677</v>
      </c>
      <c r="BD156" s="1243" t="s">
        <v>677</v>
      </c>
    </row>
    <row r="157" spans="1:56" s="422" customFormat="1" ht="63.75" x14ac:dyDescent="0.25">
      <c r="A157" s="1879">
        <v>78</v>
      </c>
      <c r="B157" s="1276" t="s">
        <v>2175</v>
      </c>
      <c r="C157" s="1239" t="s">
        <v>7067</v>
      </c>
      <c r="D157" s="1239" t="s">
        <v>6800</v>
      </c>
      <c r="E157" s="1239" t="s">
        <v>5811</v>
      </c>
      <c r="F157" s="1291" t="s">
        <v>7068</v>
      </c>
      <c r="G157" s="1246" t="s">
        <v>7069</v>
      </c>
      <c r="H157" s="1246" t="s">
        <v>1777</v>
      </c>
      <c r="I157" s="1273" t="s">
        <v>7070</v>
      </c>
      <c r="J157" s="1239" t="s">
        <v>7071</v>
      </c>
      <c r="K157" s="1244">
        <v>41739</v>
      </c>
      <c r="L157" s="187">
        <v>2460</v>
      </c>
      <c r="M157" s="1243">
        <v>11286</v>
      </c>
      <c r="N157" s="1244">
        <v>41739</v>
      </c>
      <c r="O157" s="1244">
        <v>42004</v>
      </c>
      <c r="P157" s="1239" t="s">
        <v>6926</v>
      </c>
      <c r="Q157" s="1239" t="s">
        <v>677</v>
      </c>
      <c r="R157" s="1239" t="s">
        <v>677</v>
      </c>
      <c r="S157" s="1239" t="s">
        <v>677</v>
      </c>
      <c r="T157" s="1239" t="s">
        <v>316</v>
      </c>
      <c r="U157" s="1246" t="s">
        <v>677</v>
      </c>
      <c r="V157" s="1239" t="s">
        <v>677</v>
      </c>
      <c r="W157" s="1243" t="s">
        <v>677</v>
      </c>
      <c r="X157" s="1239" t="s">
        <v>677</v>
      </c>
      <c r="Y157" s="1244" t="s">
        <v>677</v>
      </c>
      <c r="Z157" s="1244" t="s">
        <v>677</v>
      </c>
      <c r="AA157" s="1242" t="s">
        <v>677</v>
      </c>
      <c r="AB157" s="1239" t="s">
        <v>677</v>
      </c>
      <c r="AC157" s="1242">
        <v>0</v>
      </c>
      <c r="AD157" s="1242">
        <v>0</v>
      </c>
      <c r="AE157" s="1319">
        <f t="shared" si="9"/>
        <v>2460</v>
      </c>
      <c r="AF157" s="1319"/>
      <c r="AG157" s="187">
        <v>2460</v>
      </c>
      <c r="AH157" s="187">
        <f t="shared" si="3"/>
        <v>2460</v>
      </c>
      <c r="AI157" s="1265" t="s">
        <v>1007</v>
      </c>
      <c r="AJ157" s="1243">
        <v>11134</v>
      </c>
      <c r="AK157" s="1239" t="s">
        <v>761</v>
      </c>
      <c r="AL157" s="1243">
        <v>11113</v>
      </c>
      <c r="AM157" s="1248" t="s">
        <v>677</v>
      </c>
      <c r="AN157" s="1248" t="s">
        <v>677</v>
      </c>
      <c r="AO157" s="1248" t="s">
        <v>677</v>
      </c>
      <c r="AP157" s="1248" t="s">
        <v>677</v>
      </c>
      <c r="AQ157" s="1248" t="s">
        <v>677</v>
      </c>
      <c r="AR157" s="1248" t="s">
        <v>677</v>
      </c>
      <c r="AS157" s="1243" t="s">
        <v>677</v>
      </c>
      <c r="AT157" s="1243" t="s">
        <v>677</v>
      </c>
      <c r="AU157" s="1243" t="s">
        <v>677</v>
      </c>
      <c r="AV157" s="1243" t="s">
        <v>677</v>
      </c>
      <c r="AW157" s="1243" t="s">
        <v>677</v>
      </c>
      <c r="AX157" s="1243" t="s">
        <v>677</v>
      </c>
      <c r="AY157" s="1243" t="s">
        <v>677</v>
      </c>
      <c r="AZ157" s="1243" t="s">
        <v>677</v>
      </c>
      <c r="BA157" s="1243" t="s">
        <v>677</v>
      </c>
      <c r="BB157" s="1243" t="s">
        <v>677</v>
      </c>
      <c r="BC157" s="1243" t="s">
        <v>677</v>
      </c>
      <c r="BD157" s="1243" t="s">
        <v>677</v>
      </c>
    </row>
    <row r="158" spans="1:56" s="422" customFormat="1" ht="38.25" x14ac:dyDescent="0.25">
      <c r="A158" s="1879">
        <v>79</v>
      </c>
      <c r="B158" s="1276" t="s">
        <v>2109</v>
      </c>
      <c r="C158" s="1239" t="s">
        <v>7072</v>
      </c>
      <c r="D158" s="1239" t="s">
        <v>6730</v>
      </c>
      <c r="E158" s="1239" t="s">
        <v>5811</v>
      </c>
      <c r="F158" s="1291" t="s">
        <v>7073</v>
      </c>
      <c r="G158" s="1246" t="s">
        <v>700</v>
      </c>
      <c r="H158" s="1246" t="s">
        <v>1780</v>
      </c>
      <c r="I158" s="1273" t="s">
        <v>7074</v>
      </c>
      <c r="J158" s="1239" t="s">
        <v>7075</v>
      </c>
      <c r="K158" s="1244">
        <v>41743</v>
      </c>
      <c r="L158" s="187">
        <v>19845</v>
      </c>
      <c r="M158" s="1243">
        <v>11286</v>
      </c>
      <c r="N158" s="1244">
        <v>41743</v>
      </c>
      <c r="O158" s="1244">
        <v>41804</v>
      </c>
      <c r="P158" s="1239" t="s">
        <v>6763</v>
      </c>
      <c r="Q158" s="1239" t="s">
        <v>677</v>
      </c>
      <c r="R158" s="1239" t="s">
        <v>677</v>
      </c>
      <c r="S158" s="1239" t="s">
        <v>677</v>
      </c>
      <c r="T158" s="1239" t="s">
        <v>316</v>
      </c>
      <c r="U158" s="1246" t="s">
        <v>677</v>
      </c>
      <c r="V158" s="1239" t="s">
        <v>677</v>
      </c>
      <c r="W158" s="1243" t="s">
        <v>677</v>
      </c>
      <c r="X158" s="1239" t="s">
        <v>677</v>
      </c>
      <c r="Y158" s="1244" t="s">
        <v>677</v>
      </c>
      <c r="Z158" s="1244" t="s">
        <v>677</v>
      </c>
      <c r="AA158" s="1242" t="s">
        <v>677</v>
      </c>
      <c r="AB158" s="1239" t="s">
        <v>677</v>
      </c>
      <c r="AC158" s="1242">
        <v>0</v>
      </c>
      <c r="AD158" s="1242">
        <v>0</v>
      </c>
      <c r="AE158" s="1319">
        <f t="shared" si="9"/>
        <v>19845</v>
      </c>
      <c r="AF158" s="1319"/>
      <c r="AG158" s="187">
        <v>19845</v>
      </c>
      <c r="AH158" s="187">
        <f t="shared" si="3"/>
        <v>19845</v>
      </c>
      <c r="AI158" s="1243" t="s">
        <v>677</v>
      </c>
      <c r="AJ158" s="1243" t="s">
        <v>677</v>
      </c>
      <c r="AK158" s="1243" t="s">
        <v>677</v>
      </c>
      <c r="AL158" s="1243" t="s">
        <v>677</v>
      </c>
      <c r="AM158" s="1248" t="s">
        <v>677</v>
      </c>
      <c r="AN158" s="1248" t="s">
        <v>677</v>
      </c>
      <c r="AO158" s="1248" t="s">
        <v>677</v>
      </c>
      <c r="AP158" s="1248" t="s">
        <v>677</v>
      </c>
      <c r="AQ158" s="1248" t="s">
        <v>677</v>
      </c>
      <c r="AR158" s="1248" t="s">
        <v>677</v>
      </c>
      <c r="AS158" s="1243" t="s">
        <v>677</v>
      </c>
      <c r="AT158" s="1243" t="s">
        <v>677</v>
      </c>
      <c r="AU158" s="1243" t="s">
        <v>677</v>
      </c>
      <c r="AV158" s="1243" t="s">
        <v>677</v>
      </c>
      <c r="AW158" s="1243" t="s">
        <v>677</v>
      </c>
      <c r="AX158" s="1243" t="s">
        <v>677</v>
      </c>
      <c r="AY158" s="1243" t="s">
        <v>677</v>
      </c>
      <c r="AZ158" s="1243" t="s">
        <v>677</v>
      </c>
      <c r="BA158" s="1243" t="s">
        <v>677</v>
      </c>
      <c r="BB158" s="1243" t="s">
        <v>677</v>
      </c>
      <c r="BC158" s="1243" t="s">
        <v>677</v>
      </c>
      <c r="BD158" s="1243" t="s">
        <v>677</v>
      </c>
    </row>
    <row r="159" spans="1:56" s="422" customFormat="1" ht="38.25" x14ac:dyDescent="0.25">
      <c r="A159" s="1879">
        <v>80</v>
      </c>
      <c r="B159" s="1276" t="s">
        <v>2108</v>
      </c>
      <c r="C159" s="1239" t="s">
        <v>7072</v>
      </c>
      <c r="D159" s="1239" t="s">
        <v>6730</v>
      </c>
      <c r="E159" s="1239" t="s">
        <v>5811</v>
      </c>
      <c r="F159" s="1291" t="s">
        <v>7076</v>
      </c>
      <c r="G159" s="1246" t="s">
        <v>700</v>
      </c>
      <c r="H159" s="1246" t="s">
        <v>1781</v>
      </c>
      <c r="I159" s="1273" t="s">
        <v>7077</v>
      </c>
      <c r="J159" s="1239" t="s">
        <v>1671</v>
      </c>
      <c r="K159" s="1244">
        <v>41743</v>
      </c>
      <c r="L159" s="187">
        <v>14631</v>
      </c>
      <c r="M159" s="1243">
        <v>11286</v>
      </c>
      <c r="N159" s="1244">
        <v>41743</v>
      </c>
      <c r="O159" s="1244">
        <v>41804</v>
      </c>
      <c r="P159" s="1239" t="s">
        <v>6763</v>
      </c>
      <c r="Q159" s="1239" t="s">
        <v>677</v>
      </c>
      <c r="R159" s="1239" t="s">
        <v>677</v>
      </c>
      <c r="S159" s="1239" t="s">
        <v>677</v>
      </c>
      <c r="T159" s="1239" t="s">
        <v>316</v>
      </c>
      <c r="U159" s="1246" t="s">
        <v>677</v>
      </c>
      <c r="V159" s="1239" t="s">
        <v>677</v>
      </c>
      <c r="W159" s="1243" t="s">
        <v>677</v>
      </c>
      <c r="X159" s="1239" t="s">
        <v>677</v>
      </c>
      <c r="Y159" s="1244" t="s">
        <v>677</v>
      </c>
      <c r="Z159" s="1244" t="s">
        <v>677</v>
      </c>
      <c r="AA159" s="1242" t="s">
        <v>677</v>
      </c>
      <c r="AB159" s="1239" t="s">
        <v>677</v>
      </c>
      <c r="AC159" s="1242">
        <v>0</v>
      </c>
      <c r="AD159" s="1242">
        <v>0</v>
      </c>
      <c r="AE159" s="1319">
        <f t="shared" si="9"/>
        <v>14631</v>
      </c>
      <c r="AF159" s="1319"/>
      <c r="AG159" s="187">
        <v>14631</v>
      </c>
      <c r="AH159" s="187">
        <f t="shared" si="3"/>
        <v>14631</v>
      </c>
      <c r="AI159" s="1243" t="s">
        <v>677</v>
      </c>
      <c r="AJ159" s="1243" t="s">
        <v>677</v>
      </c>
      <c r="AK159" s="1243" t="s">
        <v>677</v>
      </c>
      <c r="AL159" s="1243" t="s">
        <v>677</v>
      </c>
      <c r="AM159" s="1248" t="s">
        <v>677</v>
      </c>
      <c r="AN159" s="1248" t="s">
        <v>677</v>
      </c>
      <c r="AO159" s="1248" t="s">
        <v>677</v>
      </c>
      <c r="AP159" s="1248" t="s">
        <v>677</v>
      </c>
      <c r="AQ159" s="1248" t="s">
        <v>677</v>
      </c>
      <c r="AR159" s="1248" t="s">
        <v>677</v>
      </c>
      <c r="AS159" s="1243" t="s">
        <v>677</v>
      </c>
      <c r="AT159" s="1243" t="s">
        <v>677</v>
      </c>
      <c r="AU159" s="1243" t="s">
        <v>677</v>
      </c>
      <c r="AV159" s="1243" t="s">
        <v>677</v>
      </c>
      <c r="AW159" s="1243" t="s">
        <v>677</v>
      </c>
      <c r="AX159" s="1243" t="s">
        <v>677</v>
      </c>
      <c r="AY159" s="1243" t="s">
        <v>677</v>
      </c>
      <c r="AZ159" s="1243" t="s">
        <v>677</v>
      </c>
      <c r="BA159" s="1243" t="s">
        <v>677</v>
      </c>
      <c r="BB159" s="1243" t="s">
        <v>677</v>
      </c>
      <c r="BC159" s="1243" t="s">
        <v>677</v>
      </c>
      <c r="BD159" s="1243" t="s">
        <v>677</v>
      </c>
    </row>
    <row r="160" spans="1:56" s="422" customFormat="1" ht="38.25" x14ac:dyDescent="0.25">
      <c r="A160" s="1879">
        <v>81</v>
      </c>
      <c r="B160" s="1276" t="s">
        <v>2070</v>
      </c>
      <c r="C160" s="1239" t="s">
        <v>7078</v>
      </c>
      <c r="D160" s="1239" t="s">
        <v>690</v>
      </c>
      <c r="E160" s="1239" t="s">
        <v>168</v>
      </c>
      <c r="F160" s="1291" t="s">
        <v>7079</v>
      </c>
      <c r="G160" s="1246" t="s">
        <v>7080</v>
      </c>
      <c r="H160" s="1246" t="s">
        <v>774</v>
      </c>
      <c r="I160" s="1273" t="s">
        <v>7081</v>
      </c>
      <c r="J160" s="1239" t="s">
        <v>7071</v>
      </c>
      <c r="K160" s="1244">
        <v>41731</v>
      </c>
      <c r="L160" s="187">
        <v>1200</v>
      </c>
      <c r="M160" s="1243">
        <f ca="1">-M160</f>
        <v>0</v>
      </c>
      <c r="N160" s="1244">
        <v>41731</v>
      </c>
      <c r="O160" s="1244">
        <v>41761</v>
      </c>
      <c r="P160" s="1239" t="s">
        <v>6763</v>
      </c>
      <c r="Q160" s="1239" t="s">
        <v>677</v>
      </c>
      <c r="R160" s="1239" t="s">
        <v>677</v>
      </c>
      <c r="S160" s="1239" t="s">
        <v>677</v>
      </c>
      <c r="T160" s="1239" t="s">
        <v>208</v>
      </c>
      <c r="U160" s="1246" t="s">
        <v>677</v>
      </c>
      <c r="V160" s="1239" t="s">
        <v>677</v>
      </c>
      <c r="W160" s="1243" t="s">
        <v>677</v>
      </c>
      <c r="X160" s="1239" t="s">
        <v>677</v>
      </c>
      <c r="Y160" s="1244" t="s">
        <v>677</v>
      </c>
      <c r="Z160" s="1244" t="s">
        <v>677</v>
      </c>
      <c r="AA160" s="1242" t="s">
        <v>677</v>
      </c>
      <c r="AB160" s="1239" t="s">
        <v>677</v>
      </c>
      <c r="AC160" s="1242">
        <v>0</v>
      </c>
      <c r="AD160" s="1242">
        <v>0</v>
      </c>
      <c r="AE160" s="1319">
        <f t="shared" si="9"/>
        <v>1200</v>
      </c>
      <c r="AF160" s="1319"/>
      <c r="AG160" s="187">
        <f>AE160</f>
        <v>1200</v>
      </c>
      <c r="AH160" s="187">
        <f t="shared" si="3"/>
        <v>1200</v>
      </c>
      <c r="AI160" s="1243" t="s">
        <v>677</v>
      </c>
      <c r="AJ160" s="1243" t="s">
        <v>677</v>
      </c>
      <c r="AK160" s="1243" t="s">
        <v>677</v>
      </c>
      <c r="AL160" s="1243" t="s">
        <v>677</v>
      </c>
      <c r="AM160" s="1248" t="s">
        <v>677</v>
      </c>
      <c r="AN160" s="1248" t="s">
        <v>677</v>
      </c>
      <c r="AO160" s="1248" t="s">
        <v>677</v>
      </c>
      <c r="AP160" s="1248" t="s">
        <v>677</v>
      </c>
      <c r="AQ160" s="1248" t="s">
        <v>677</v>
      </c>
      <c r="AR160" s="1248" t="s">
        <v>677</v>
      </c>
      <c r="AS160" s="1243" t="s">
        <v>677</v>
      </c>
      <c r="AT160" s="1243" t="s">
        <v>677</v>
      </c>
      <c r="AU160" s="1243" t="s">
        <v>677</v>
      </c>
      <c r="AV160" s="1243" t="s">
        <v>677</v>
      </c>
      <c r="AW160" s="1243" t="s">
        <v>677</v>
      </c>
      <c r="AX160" s="1243" t="s">
        <v>677</v>
      </c>
      <c r="AY160" s="1243" t="s">
        <v>677</v>
      </c>
      <c r="AZ160" s="1243" t="s">
        <v>677</v>
      </c>
      <c r="BA160" s="1243" t="s">
        <v>677</v>
      </c>
      <c r="BB160" s="1243" t="s">
        <v>677</v>
      </c>
      <c r="BC160" s="1243" t="s">
        <v>677</v>
      </c>
      <c r="BD160" s="1243" t="s">
        <v>677</v>
      </c>
    </row>
    <row r="161" spans="1:56" s="422" customFormat="1" ht="51" x14ac:dyDescent="0.25">
      <c r="A161" s="1879">
        <v>82</v>
      </c>
      <c r="B161" s="1276" t="s">
        <v>2178</v>
      </c>
      <c r="C161" s="1239" t="s">
        <v>7082</v>
      </c>
      <c r="D161" s="1239" t="s">
        <v>6730</v>
      </c>
      <c r="E161" s="1239" t="s">
        <v>5811</v>
      </c>
      <c r="F161" s="1291" t="s">
        <v>7083</v>
      </c>
      <c r="G161" s="1246" t="s">
        <v>7052</v>
      </c>
      <c r="H161" s="1246" t="s">
        <v>802</v>
      </c>
      <c r="I161" s="1273" t="s">
        <v>2110</v>
      </c>
      <c r="J161" s="1239" t="s">
        <v>718</v>
      </c>
      <c r="K161" s="1244">
        <v>41744</v>
      </c>
      <c r="L161" s="187">
        <v>4303.95</v>
      </c>
      <c r="M161" s="1243">
        <v>11287</v>
      </c>
      <c r="N161" s="1244">
        <v>41744</v>
      </c>
      <c r="O161" s="1244">
        <v>41835</v>
      </c>
      <c r="P161" s="1239" t="s">
        <v>6772</v>
      </c>
      <c r="Q161" s="1239" t="s">
        <v>677</v>
      </c>
      <c r="R161" s="1239" t="s">
        <v>677</v>
      </c>
      <c r="S161" s="1239" t="s">
        <v>677</v>
      </c>
      <c r="T161" s="1239" t="s">
        <v>7084</v>
      </c>
      <c r="U161" s="1246" t="s">
        <v>677</v>
      </c>
      <c r="V161" s="1239" t="s">
        <v>677</v>
      </c>
      <c r="W161" s="1243" t="s">
        <v>677</v>
      </c>
      <c r="X161" s="1239" t="s">
        <v>677</v>
      </c>
      <c r="Y161" s="1244" t="s">
        <v>677</v>
      </c>
      <c r="Z161" s="1244" t="s">
        <v>677</v>
      </c>
      <c r="AA161" s="1242" t="s">
        <v>677</v>
      </c>
      <c r="AB161" s="1239" t="s">
        <v>677</v>
      </c>
      <c r="AC161" s="1319">
        <v>0</v>
      </c>
      <c r="AD161" s="1319">
        <v>0</v>
      </c>
      <c r="AE161" s="1319">
        <f t="shared" si="9"/>
        <v>4303.95</v>
      </c>
      <c r="AF161" s="1319"/>
      <c r="AG161" s="187">
        <v>4303.95</v>
      </c>
      <c r="AH161" s="187">
        <f t="shared" si="3"/>
        <v>4303.95</v>
      </c>
      <c r="AI161" s="1243" t="s">
        <v>677</v>
      </c>
      <c r="AJ161" s="1243" t="s">
        <v>677</v>
      </c>
      <c r="AK161" s="1243" t="s">
        <v>677</v>
      </c>
      <c r="AL161" s="1243" t="s">
        <v>677</v>
      </c>
      <c r="AM161" s="1248" t="s">
        <v>677</v>
      </c>
      <c r="AN161" s="1248" t="s">
        <v>677</v>
      </c>
      <c r="AO161" s="1248" t="s">
        <v>677</v>
      </c>
      <c r="AP161" s="1248" t="s">
        <v>677</v>
      </c>
      <c r="AQ161" s="1248" t="s">
        <v>677</v>
      </c>
      <c r="AR161" s="1248" t="s">
        <v>677</v>
      </c>
      <c r="AS161" s="1243" t="s">
        <v>677</v>
      </c>
      <c r="AT161" s="1243" t="s">
        <v>677</v>
      </c>
      <c r="AU161" s="1243" t="s">
        <v>677</v>
      </c>
      <c r="AV161" s="1243" t="s">
        <v>677</v>
      </c>
      <c r="AW161" s="1243" t="s">
        <v>677</v>
      </c>
      <c r="AX161" s="1243" t="s">
        <v>677</v>
      </c>
      <c r="AY161" s="1243" t="s">
        <v>677</v>
      </c>
      <c r="AZ161" s="1243" t="s">
        <v>677</v>
      </c>
      <c r="BA161" s="1243" t="s">
        <v>677</v>
      </c>
      <c r="BB161" s="1243" t="s">
        <v>677</v>
      </c>
      <c r="BC161" s="1243" t="s">
        <v>677</v>
      </c>
      <c r="BD161" s="1243" t="s">
        <v>677</v>
      </c>
    </row>
    <row r="162" spans="1:56" s="422" customFormat="1" ht="51" x14ac:dyDescent="0.25">
      <c r="A162" s="1879">
        <v>83</v>
      </c>
      <c r="B162" s="1276" t="s">
        <v>2189</v>
      </c>
      <c r="C162" s="1239" t="s">
        <v>7082</v>
      </c>
      <c r="D162" s="1239" t="s">
        <v>6730</v>
      </c>
      <c r="E162" s="1239" t="s">
        <v>5811</v>
      </c>
      <c r="F162" s="1291" t="s">
        <v>7083</v>
      </c>
      <c r="G162" s="1246" t="s">
        <v>7052</v>
      </c>
      <c r="H162" s="1246" t="s">
        <v>820</v>
      </c>
      <c r="I162" s="1273" t="s">
        <v>7085</v>
      </c>
      <c r="J162" s="1239" t="s">
        <v>1564</v>
      </c>
      <c r="K162" s="1244">
        <v>42121</v>
      </c>
      <c r="L162" s="187">
        <v>4630.84</v>
      </c>
      <c r="M162" s="1243">
        <v>11287</v>
      </c>
      <c r="N162" s="1244">
        <v>42121</v>
      </c>
      <c r="O162" s="1244">
        <v>41817</v>
      </c>
      <c r="P162" s="1239" t="s">
        <v>6772</v>
      </c>
      <c r="Q162" s="1239" t="s">
        <v>677</v>
      </c>
      <c r="R162" s="1239" t="s">
        <v>677</v>
      </c>
      <c r="S162" s="1239" t="s">
        <v>677</v>
      </c>
      <c r="T162" s="1239" t="s">
        <v>7086</v>
      </c>
      <c r="U162" s="1246" t="s">
        <v>677</v>
      </c>
      <c r="V162" s="1239" t="s">
        <v>677</v>
      </c>
      <c r="W162" s="1243" t="s">
        <v>677</v>
      </c>
      <c r="X162" s="1239" t="s">
        <v>677</v>
      </c>
      <c r="Y162" s="1244" t="s">
        <v>677</v>
      </c>
      <c r="Z162" s="1244" t="s">
        <v>677</v>
      </c>
      <c r="AA162" s="1242" t="s">
        <v>677</v>
      </c>
      <c r="AB162" s="1239" t="s">
        <v>677</v>
      </c>
      <c r="AC162" s="1319">
        <v>0</v>
      </c>
      <c r="AD162" s="1319">
        <v>0</v>
      </c>
      <c r="AE162" s="1319">
        <f t="shared" si="9"/>
        <v>4630.84</v>
      </c>
      <c r="AF162" s="1319"/>
      <c r="AG162" s="187">
        <v>4630.84</v>
      </c>
      <c r="AH162" s="187">
        <f t="shared" si="3"/>
        <v>4630.84</v>
      </c>
      <c r="AI162" s="1243" t="s">
        <v>677</v>
      </c>
      <c r="AJ162" s="1243" t="s">
        <v>677</v>
      </c>
      <c r="AK162" s="1243" t="s">
        <v>677</v>
      </c>
      <c r="AL162" s="1243" t="s">
        <v>677</v>
      </c>
      <c r="AM162" s="1248" t="s">
        <v>677</v>
      </c>
      <c r="AN162" s="1248" t="s">
        <v>677</v>
      </c>
      <c r="AO162" s="1248" t="s">
        <v>677</v>
      </c>
      <c r="AP162" s="1248" t="s">
        <v>677</v>
      </c>
      <c r="AQ162" s="1248" t="s">
        <v>677</v>
      </c>
      <c r="AR162" s="1248" t="s">
        <v>677</v>
      </c>
      <c r="AS162" s="1243" t="s">
        <v>677</v>
      </c>
      <c r="AT162" s="1243" t="s">
        <v>677</v>
      </c>
      <c r="AU162" s="1243" t="s">
        <v>677</v>
      </c>
      <c r="AV162" s="1243" t="s">
        <v>677</v>
      </c>
      <c r="AW162" s="1243" t="s">
        <v>677</v>
      </c>
      <c r="AX162" s="1243" t="s">
        <v>677</v>
      </c>
      <c r="AY162" s="1243" t="s">
        <v>677</v>
      </c>
      <c r="AZ162" s="1243" t="s">
        <v>677</v>
      </c>
      <c r="BA162" s="1243" t="s">
        <v>677</v>
      </c>
      <c r="BB162" s="1243" t="s">
        <v>677</v>
      </c>
      <c r="BC162" s="1243" t="s">
        <v>677</v>
      </c>
      <c r="BD162" s="1243" t="s">
        <v>677</v>
      </c>
    </row>
    <row r="163" spans="1:56" s="422" customFormat="1" ht="51" x14ac:dyDescent="0.25">
      <c r="A163" s="1879">
        <v>84</v>
      </c>
      <c r="B163" s="1276" t="s">
        <v>2183</v>
      </c>
      <c r="C163" s="1239" t="s">
        <v>7082</v>
      </c>
      <c r="D163" s="1239" t="s">
        <v>6730</v>
      </c>
      <c r="E163" s="1239" t="s">
        <v>5811</v>
      </c>
      <c r="F163" s="1291" t="s">
        <v>7083</v>
      </c>
      <c r="G163" s="1246" t="s">
        <v>7052</v>
      </c>
      <c r="H163" s="1246" t="s">
        <v>1788</v>
      </c>
      <c r="I163" s="1273" t="s">
        <v>7087</v>
      </c>
      <c r="J163" s="1239" t="s">
        <v>1179</v>
      </c>
      <c r="K163" s="1244">
        <v>41743</v>
      </c>
      <c r="L163" s="187">
        <v>14824</v>
      </c>
      <c r="M163" s="1243">
        <v>11287</v>
      </c>
      <c r="N163" s="1244">
        <v>41743</v>
      </c>
      <c r="O163" s="1244">
        <v>41804</v>
      </c>
      <c r="P163" s="1239" t="s">
        <v>6772</v>
      </c>
      <c r="Q163" s="1239" t="s">
        <v>677</v>
      </c>
      <c r="R163" s="1239" t="s">
        <v>677</v>
      </c>
      <c r="S163" s="1239" t="s">
        <v>677</v>
      </c>
      <c r="T163" s="1239" t="s">
        <v>7086</v>
      </c>
      <c r="U163" s="1246" t="s">
        <v>677</v>
      </c>
      <c r="V163" s="1239" t="s">
        <v>677</v>
      </c>
      <c r="W163" s="1243" t="s">
        <v>677</v>
      </c>
      <c r="X163" s="1239" t="s">
        <v>677</v>
      </c>
      <c r="Y163" s="1244" t="s">
        <v>677</v>
      </c>
      <c r="Z163" s="1244" t="s">
        <v>677</v>
      </c>
      <c r="AA163" s="1242" t="s">
        <v>677</v>
      </c>
      <c r="AB163" s="1239" t="s">
        <v>677</v>
      </c>
      <c r="AC163" s="1319">
        <v>0</v>
      </c>
      <c r="AD163" s="1319">
        <v>0</v>
      </c>
      <c r="AE163" s="1319">
        <f t="shared" si="9"/>
        <v>14824</v>
      </c>
      <c r="AF163" s="1319"/>
      <c r="AG163" s="187">
        <v>14824</v>
      </c>
      <c r="AH163" s="187">
        <f t="shared" si="3"/>
        <v>14824</v>
      </c>
      <c r="AI163" s="1243" t="s">
        <v>677</v>
      </c>
      <c r="AJ163" s="1243" t="s">
        <v>677</v>
      </c>
      <c r="AK163" s="1243" t="s">
        <v>677</v>
      </c>
      <c r="AL163" s="1243" t="s">
        <v>677</v>
      </c>
      <c r="AM163" s="1248" t="s">
        <v>677</v>
      </c>
      <c r="AN163" s="1248" t="s">
        <v>677</v>
      </c>
      <c r="AO163" s="1248" t="s">
        <v>677</v>
      </c>
      <c r="AP163" s="1248" t="s">
        <v>677</v>
      </c>
      <c r="AQ163" s="1248" t="s">
        <v>677</v>
      </c>
      <c r="AR163" s="1248" t="s">
        <v>677</v>
      </c>
      <c r="AS163" s="1243" t="s">
        <v>677</v>
      </c>
      <c r="AT163" s="1243" t="s">
        <v>677</v>
      </c>
      <c r="AU163" s="1243" t="s">
        <v>677</v>
      </c>
      <c r="AV163" s="1243" t="s">
        <v>677</v>
      </c>
      <c r="AW163" s="1243" t="s">
        <v>677</v>
      </c>
      <c r="AX163" s="1243" t="s">
        <v>677</v>
      </c>
      <c r="AY163" s="1243" t="s">
        <v>677</v>
      </c>
      <c r="AZ163" s="1243" t="s">
        <v>677</v>
      </c>
      <c r="BA163" s="1243" t="s">
        <v>677</v>
      </c>
      <c r="BB163" s="1243" t="s">
        <v>677</v>
      </c>
      <c r="BC163" s="1243" t="s">
        <v>677</v>
      </c>
      <c r="BD163" s="1243" t="s">
        <v>677</v>
      </c>
    </row>
    <row r="164" spans="1:56" s="422" customFormat="1" ht="38.25" x14ac:dyDescent="0.25">
      <c r="A164" s="1879">
        <v>85</v>
      </c>
      <c r="B164" s="1276" t="s">
        <v>2179</v>
      </c>
      <c r="C164" s="1239" t="s">
        <v>7082</v>
      </c>
      <c r="D164" s="1239" t="s">
        <v>6730</v>
      </c>
      <c r="E164" s="1239" t="s">
        <v>5811</v>
      </c>
      <c r="F164" s="1291" t="s">
        <v>7083</v>
      </c>
      <c r="G164" s="1246" t="s">
        <v>7052</v>
      </c>
      <c r="H164" s="1246" t="s">
        <v>390</v>
      </c>
      <c r="I164" s="1273" t="s">
        <v>6078</v>
      </c>
      <c r="J164" s="1239" t="s">
        <v>1761</v>
      </c>
      <c r="K164" s="1244">
        <v>41757</v>
      </c>
      <c r="L164" s="187">
        <v>114</v>
      </c>
      <c r="M164" s="1243">
        <v>11287</v>
      </c>
      <c r="N164" s="1244">
        <v>41757</v>
      </c>
      <c r="O164" s="1244">
        <v>41818</v>
      </c>
      <c r="P164" s="1239" t="s">
        <v>6763</v>
      </c>
      <c r="Q164" s="1239" t="s">
        <v>677</v>
      </c>
      <c r="R164" s="1239" t="s">
        <v>677</v>
      </c>
      <c r="S164" s="1239" t="s">
        <v>677</v>
      </c>
      <c r="T164" s="1239" t="s">
        <v>316</v>
      </c>
      <c r="U164" s="1246" t="s">
        <v>677</v>
      </c>
      <c r="V164" s="1239" t="s">
        <v>677</v>
      </c>
      <c r="W164" s="1243" t="s">
        <v>677</v>
      </c>
      <c r="X164" s="1239" t="s">
        <v>677</v>
      </c>
      <c r="Y164" s="1244" t="s">
        <v>677</v>
      </c>
      <c r="Z164" s="1244" t="s">
        <v>677</v>
      </c>
      <c r="AA164" s="1242" t="s">
        <v>677</v>
      </c>
      <c r="AB164" s="1239" t="s">
        <v>677</v>
      </c>
      <c r="AC164" s="1319">
        <v>0</v>
      </c>
      <c r="AD164" s="1319">
        <v>0</v>
      </c>
      <c r="AE164" s="1319">
        <f t="shared" si="9"/>
        <v>114</v>
      </c>
      <c r="AF164" s="1319"/>
      <c r="AG164" s="187">
        <v>114</v>
      </c>
      <c r="AH164" s="187">
        <f t="shared" si="3"/>
        <v>114</v>
      </c>
      <c r="AI164" s="1243" t="s">
        <v>677</v>
      </c>
      <c r="AJ164" s="1243" t="s">
        <v>677</v>
      </c>
      <c r="AK164" s="1243" t="s">
        <v>677</v>
      </c>
      <c r="AL164" s="1243" t="s">
        <v>677</v>
      </c>
      <c r="AM164" s="1248" t="s">
        <v>677</v>
      </c>
      <c r="AN164" s="1248" t="s">
        <v>677</v>
      </c>
      <c r="AO164" s="1248" t="s">
        <v>677</v>
      </c>
      <c r="AP164" s="1248" t="s">
        <v>677</v>
      </c>
      <c r="AQ164" s="1248" t="s">
        <v>677</v>
      </c>
      <c r="AR164" s="1248" t="s">
        <v>677</v>
      </c>
      <c r="AS164" s="1243" t="s">
        <v>677</v>
      </c>
      <c r="AT164" s="1243" t="s">
        <v>677</v>
      </c>
      <c r="AU164" s="1243" t="s">
        <v>677</v>
      </c>
      <c r="AV164" s="1243" t="s">
        <v>677</v>
      </c>
      <c r="AW164" s="1243" t="s">
        <v>677</v>
      </c>
      <c r="AX164" s="1243" t="s">
        <v>677</v>
      </c>
      <c r="AY164" s="1243" t="s">
        <v>677</v>
      </c>
      <c r="AZ164" s="1243" t="s">
        <v>677</v>
      </c>
      <c r="BA164" s="1243" t="s">
        <v>677</v>
      </c>
      <c r="BB164" s="1243" t="s">
        <v>677</v>
      </c>
      <c r="BC164" s="1243" t="s">
        <v>677</v>
      </c>
      <c r="BD164" s="1243" t="s">
        <v>677</v>
      </c>
    </row>
    <row r="165" spans="1:56" s="422" customFormat="1" ht="38.25" x14ac:dyDescent="0.25">
      <c r="A165" s="1879">
        <v>86</v>
      </c>
      <c r="B165" s="1276" t="s">
        <v>2186</v>
      </c>
      <c r="C165" s="1239" t="s">
        <v>7082</v>
      </c>
      <c r="D165" s="1239" t="s">
        <v>6730</v>
      </c>
      <c r="E165" s="1239" t="s">
        <v>5811</v>
      </c>
      <c r="F165" s="1291" t="s">
        <v>7083</v>
      </c>
      <c r="G165" s="1246" t="s">
        <v>7052</v>
      </c>
      <c r="H165" s="1246" t="s">
        <v>784</v>
      </c>
      <c r="I165" s="1273" t="s">
        <v>7088</v>
      </c>
      <c r="J165" s="1239" t="s">
        <v>1868</v>
      </c>
      <c r="K165" s="1244">
        <v>41743</v>
      </c>
      <c r="L165" s="187">
        <v>1210</v>
      </c>
      <c r="M165" s="1243">
        <v>11287</v>
      </c>
      <c r="N165" s="1244">
        <v>41743</v>
      </c>
      <c r="O165" s="1244">
        <v>41804</v>
      </c>
      <c r="P165" s="1239" t="s">
        <v>6735</v>
      </c>
      <c r="Q165" s="1239" t="s">
        <v>677</v>
      </c>
      <c r="R165" s="1239" t="s">
        <v>677</v>
      </c>
      <c r="S165" s="1239" t="s">
        <v>677</v>
      </c>
      <c r="T165" s="1239" t="s">
        <v>7089</v>
      </c>
      <c r="U165" s="1246" t="s">
        <v>677</v>
      </c>
      <c r="V165" s="1239" t="s">
        <v>677</v>
      </c>
      <c r="W165" s="1243" t="s">
        <v>677</v>
      </c>
      <c r="X165" s="1239" t="s">
        <v>677</v>
      </c>
      <c r="Y165" s="1244" t="s">
        <v>677</v>
      </c>
      <c r="Z165" s="1244" t="s">
        <v>677</v>
      </c>
      <c r="AA165" s="1242" t="s">
        <v>677</v>
      </c>
      <c r="AB165" s="1239" t="s">
        <v>677</v>
      </c>
      <c r="AC165" s="1319">
        <v>0</v>
      </c>
      <c r="AD165" s="1319">
        <v>0</v>
      </c>
      <c r="AE165" s="1319">
        <f t="shared" si="9"/>
        <v>1210</v>
      </c>
      <c r="AF165" s="1319"/>
      <c r="AG165" s="187">
        <v>1210</v>
      </c>
      <c r="AH165" s="187">
        <f t="shared" si="3"/>
        <v>1210</v>
      </c>
      <c r="AI165" s="1243" t="s">
        <v>677</v>
      </c>
      <c r="AJ165" s="1243" t="s">
        <v>677</v>
      </c>
      <c r="AK165" s="1243" t="s">
        <v>677</v>
      </c>
      <c r="AL165" s="1243" t="s">
        <v>677</v>
      </c>
      <c r="AM165" s="1248" t="s">
        <v>677</v>
      </c>
      <c r="AN165" s="1248" t="s">
        <v>677</v>
      </c>
      <c r="AO165" s="1248" t="s">
        <v>677</v>
      </c>
      <c r="AP165" s="1248" t="s">
        <v>677</v>
      </c>
      <c r="AQ165" s="1248" t="s">
        <v>677</v>
      </c>
      <c r="AR165" s="1248" t="s">
        <v>677</v>
      </c>
      <c r="AS165" s="1243" t="s">
        <v>677</v>
      </c>
      <c r="AT165" s="1243" t="s">
        <v>677</v>
      </c>
      <c r="AU165" s="1243" t="s">
        <v>677</v>
      </c>
      <c r="AV165" s="1243" t="s">
        <v>677</v>
      </c>
      <c r="AW165" s="1243" t="s">
        <v>677</v>
      </c>
      <c r="AX165" s="1243" t="s">
        <v>677</v>
      </c>
      <c r="AY165" s="1243" t="s">
        <v>677</v>
      </c>
      <c r="AZ165" s="1243" t="s">
        <v>677</v>
      </c>
      <c r="BA165" s="1243" t="s">
        <v>677</v>
      </c>
      <c r="BB165" s="1243" t="s">
        <v>677</v>
      </c>
      <c r="BC165" s="1243" t="s">
        <v>677</v>
      </c>
      <c r="BD165" s="1243" t="s">
        <v>677</v>
      </c>
    </row>
    <row r="166" spans="1:56" s="422" customFormat="1" ht="38.25" x14ac:dyDescent="0.25">
      <c r="A166" s="1879">
        <v>87</v>
      </c>
      <c r="B166" s="1276" t="s">
        <v>7090</v>
      </c>
      <c r="C166" s="1239" t="s">
        <v>7091</v>
      </c>
      <c r="D166" s="1239" t="s">
        <v>6730</v>
      </c>
      <c r="E166" s="1239" t="s">
        <v>5811</v>
      </c>
      <c r="F166" s="1291" t="s">
        <v>7076</v>
      </c>
      <c r="G166" s="1246" t="s">
        <v>700</v>
      </c>
      <c r="H166" s="1246" t="s">
        <v>1797</v>
      </c>
      <c r="I166" s="1273" t="s">
        <v>7025</v>
      </c>
      <c r="J166" s="1239" t="s">
        <v>4604</v>
      </c>
      <c r="K166" s="1244">
        <v>41744</v>
      </c>
      <c r="L166" s="187">
        <v>4823</v>
      </c>
      <c r="M166" s="1243">
        <v>11288</v>
      </c>
      <c r="N166" s="1244">
        <v>41744</v>
      </c>
      <c r="O166" s="1244">
        <v>41805</v>
      </c>
      <c r="P166" s="1239" t="s">
        <v>6735</v>
      </c>
      <c r="Q166" s="1239" t="s">
        <v>677</v>
      </c>
      <c r="R166" s="1239" t="s">
        <v>677</v>
      </c>
      <c r="S166" s="1239" t="s">
        <v>677</v>
      </c>
      <c r="T166" s="1239" t="s">
        <v>316</v>
      </c>
      <c r="U166" s="1246" t="s">
        <v>677</v>
      </c>
      <c r="V166" s="1239" t="s">
        <v>677</v>
      </c>
      <c r="W166" s="1243" t="s">
        <v>677</v>
      </c>
      <c r="X166" s="1239" t="s">
        <v>677</v>
      </c>
      <c r="Y166" s="1244" t="s">
        <v>677</v>
      </c>
      <c r="Z166" s="1244" t="s">
        <v>677</v>
      </c>
      <c r="AA166" s="1242" t="s">
        <v>677</v>
      </c>
      <c r="AB166" s="1239" t="s">
        <v>677</v>
      </c>
      <c r="AC166" s="1319">
        <v>0</v>
      </c>
      <c r="AD166" s="1319">
        <v>0</v>
      </c>
      <c r="AE166" s="1319">
        <f t="shared" si="9"/>
        <v>4823</v>
      </c>
      <c r="AF166" s="1319"/>
      <c r="AG166" s="187">
        <v>4823</v>
      </c>
      <c r="AH166" s="187">
        <f t="shared" si="3"/>
        <v>4823</v>
      </c>
      <c r="AI166" s="1243" t="s">
        <v>677</v>
      </c>
      <c r="AJ166" s="1243" t="s">
        <v>677</v>
      </c>
      <c r="AK166" s="1243" t="s">
        <v>677</v>
      </c>
      <c r="AL166" s="1243" t="s">
        <v>677</v>
      </c>
      <c r="AM166" s="1248" t="s">
        <v>677</v>
      </c>
      <c r="AN166" s="1248" t="s">
        <v>677</v>
      </c>
      <c r="AO166" s="1248" t="s">
        <v>677</v>
      </c>
      <c r="AP166" s="1248" t="s">
        <v>677</v>
      </c>
      <c r="AQ166" s="1248" t="s">
        <v>677</v>
      </c>
      <c r="AR166" s="1248" t="s">
        <v>677</v>
      </c>
      <c r="AS166" s="1243" t="s">
        <v>677</v>
      </c>
      <c r="AT166" s="1243" t="s">
        <v>677</v>
      </c>
      <c r="AU166" s="1243" t="s">
        <v>677</v>
      </c>
      <c r="AV166" s="1243" t="s">
        <v>677</v>
      </c>
      <c r="AW166" s="1243" t="s">
        <v>677</v>
      </c>
      <c r="AX166" s="1243" t="s">
        <v>677</v>
      </c>
      <c r="AY166" s="1243" t="s">
        <v>677</v>
      </c>
      <c r="AZ166" s="1243" t="s">
        <v>677</v>
      </c>
      <c r="BA166" s="1243" t="s">
        <v>677</v>
      </c>
      <c r="BB166" s="1243" t="s">
        <v>677</v>
      </c>
      <c r="BC166" s="1243" t="s">
        <v>677</v>
      </c>
      <c r="BD166" s="1243" t="s">
        <v>677</v>
      </c>
    </row>
    <row r="167" spans="1:56" s="422" customFormat="1" ht="38.25" x14ac:dyDescent="0.25">
      <c r="A167" s="1879">
        <v>88</v>
      </c>
      <c r="B167" s="1276" t="s">
        <v>2194</v>
      </c>
      <c r="C167" s="1239" t="s">
        <v>7072</v>
      </c>
      <c r="D167" s="1239" t="s">
        <v>6730</v>
      </c>
      <c r="E167" s="1239" t="s">
        <v>5811</v>
      </c>
      <c r="F167" s="1291" t="s">
        <v>7076</v>
      </c>
      <c r="G167" s="1246" t="s">
        <v>700</v>
      </c>
      <c r="H167" s="1246" t="s">
        <v>1804</v>
      </c>
      <c r="I167" s="1273" t="s">
        <v>7025</v>
      </c>
      <c r="J167" s="1239" t="s">
        <v>4604</v>
      </c>
      <c r="K167" s="1244">
        <v>41744</v>
      </c>
      <c r="L167" s="187">
        <v>13405</v>
      </c>
      <c r="M167" s="1243">
        <v>11288</v>
      </c>
      <c r="N167" s="1244">
        <v>41744</v>
      </c>
      <c r="O167" s="1244">
        <v>41805</v>
      </c>
      <c r="P167" s="1239" t="s">
        <v>6763</v>
      </c>
      <c r="Q167" s="1239" t="s">
        <v>677</v>
      </c>
      <c r="R167" s="1239" t="s">
        <v>677</v>
      </c>
      <c r="S167" s="1239" t="s">
        <v>677</v>
      </c>
      <c r="T167" s="1239" t="s">
        <v>316</v>
      </c>
      <c r="U167" s="1246" t="s">
        <v>677</v>
      </c>
      <c r="V167" s="1239" t="s">
        <v>677</v>
      </c>
      <c r="W167" s="1243" t="s">
        <v>677</v>
      </c>
      <c r="X167" s="1239" t="s">
        <v>677</v>
      </c>
      <c r="Y167" s="1244" t="s">
        <v>677</v>
      </c>
      <c r="Z167" s="1244" t="s">
        <v>677</v>
      </c>
      <c r="AA167" s="1242" t="s">
        <v>677</v>
      </c>
      <c r="AB167" s="1239" t="s">
        <v>677</v>
      </c>
      <c r="AC167" s="1319">
        <v>0</v>
      </c>
      <c r="AD167" s="1319">
        <v>0</v>
      </c>
      <c r="AE167" s="1319">
        <f t="shared" si="9"/>
        <v>13405</v>
      </c>
      <c r="AF167" s="1319"/>
      <c r="AG167" s="187">
        <v>13405</v>
      </c>
      <c r="AH167" s="187">
        <f t="shared" si="3"/>
        <v>13405</v>
      </c>
      <c r="AI167" s="1243" t="s">
        <v>677</v>
      </c>
      <c r="AJ167" s="1243" t="s">
        <v>677</v>
      </c>
      <c r="AK167" s="1243" t="s">
        <v>677</v>
      </c>
      <c r="AL167" s="1243" t="s">
        <v>677</v>
      </c>
      <c r="AM167" s="1248" t="s">
        <v>677</v>
      </c>
      <c r="AN167" s="1248" t="s">
        <v>677</v>
      </c>
      <c r="AO167" s="1248" t="s">
        <v>677</v>
      </c>
      <c r="AP167" s="1248" t="s">
        <v>677</v>
      </c>
      <c r="AQ167" s="1248" t="s">
        <v>677</v>
      </c>
      <c r="AR167" s="1248" t="s">
        <v>677</v>
      </c>
      <c r="AS167" s="1243" t="s">
        <v>677</v>
      </c>
      <c r="AT167" s="1243" t="s">
        <v>677</v>
      </c>
      <c r="AU167" s="1243" t="s">
        <v>677</v>
      </c>
      <c r="AV167" s="1243" t="s">
        <v>677</v>
      </c>
      <c r="AW167" s="1243" t="s">
        <v>677</v>
      </c>
      <c r="AX167" s="1243" t="s">
        <v>677</v>
      </c>
      <c r="AY167" s="1243" t="s">
        <v>677</v>
      </c>
      <c r="AZ167" s="1243" t="s">
        <v>677</v>
      </c>
      <c r="BA167" s="1243" t="s">
        <v>677</v>
      </c>
      <c r="BB167" s="1243" t="s">
        <v>677</v>
      </c>
      <c r="BC167" s="1243" t="s">
        <v>677</v>
      </c>
      <c r="BD167" s="1243" t="s">
        <v>677</v>
      </c>
    </row>
    <row r="168" spans="1:56" s="422" customFormat="1" ht="38.25" x14ac:dyDescent="0.25">
      <c r="A168" s="1879">
        <v>89</v>
      </c>
      <c r="B168" s="1276" t="s">
        <v>2170</v>
      </c>
      <c r="C168" s="1239" t="s">
        <v>7072</v>
      </c>
      <c r="D168" s="1239" t="s">
        <v>6730</v>
      </c>
      <c r="E168" s="1239" t="s">
        <v>5811</v>
      </c>
      <c r="F168" s="1291" t="s">
        <v>7076</v>
      </c>
      <c r="G168" s="1246" t="s">
        <v>700</v>
      </c>
      <c r="H168" s="1246" t="s">
        <v>1811</v>
      </c>
      <c r="I168" s="1273" t="s">
        <v>3722</v>
      </c>
      <c r="J168" s="1239" t="s">
        <v>380</v>
      </c>
      <c r="K168" s="1244">
        <v>41744</v>
      </c>
      <c r="L168" s="187">
        <v>1725</v>
      </c>
      <c r="M168" s="1243">
        <v>11288</v>
      </c>
      <c r="N168" s="1244">
        <v>41744</v>
      </c>
      <c r="O168" s="1244">
        <v>41805</v>
      </c>
      <c r="P168" s="1239" t="s">
        <v>6763</v>
      </c>
      <c r="Q168" s="1239" t="s">
        <v>677</v>
      </c>
      <c r="R168" s="1239" t="s">
        <v>677</v>
      </c>
      <c r="S168" s="1239" t="s">
        <v>677</v>
      </c>
      <c r="T168" s="1239" t="s">
        <v>316</v>
      </c>
      <c r="U168" s="1246" t="s">
        <v>677</v>
      </c>
      <c r="V168" s="1239" t="s">
        <v>677</v>
      </c>
      <c r="W168" s="1243" t="s">
        <v>677</v>
      </c>
      <c r="X168" s="1239" t="s">
        <v>677</v>
      </c>
      <c r="Y168" s="1244" t="s">
        <v>677</v>
      </c>
      <c r="Z168" s="1244" t="s">
        <v>677</v>
      </c>
      <c r="AA168" s="1242" t="s">
        <v>677</v>
      </c>
      <c r="AB168" s="1239" t="s">
        <v>677</v>
      </c>
      <c r="AC168" s="1319">
        <v>0</v>
      </c>
      <c r="AD168" s="1319">
        <v>0</v>
      </c>
      <c r="AE168" s="1319">
        <f t="shared" si="9"/>
        <v>1725</v>
      </c>
      <c r="AF168" s="1319"/>
      <c r="AG168" s="187">
        <v>1725</v>
      </c>
      <c r="AH168" s="187">
        <f t="shared" si="3"/>
        <v>1725</v>
      </c>
      <c r="AI168" s="1243" t="s">
        <v>677</v>
      </c>
      <c r="AJ168" s="1243" t="s">
        <v>677</v>
      </c>
      <c r="AK168" s="1243" t="s">
        <v>677</v>
      </c>
      <c r="AL168" s="1243" t="s">
        <v>677</v>
      </c>
      <c r="AM168" s="1248" t="s">
        <v>677</v>
      </c>
      <c r="AN168" s="1248" t="s">
        <v>677</v>
      </c>
      <c r="AO168" s="1248" t="s">
        <v>677</v>
      </c>
      <c r="AP168" s="1248" t="s">
        <v>677</v>
      </c>
      <c r="AQ168" s="1248" t="s">
        <v>677</v>
      </c>
      <c r="AR168" s="1248" t="s">
        <v>677</v>
      </c>
      <c r="AS168" s="1243" t="s">
        <v>677</v>
      </c>
      <c r="AT168" s="1243" t="s">
        <v>677</v>
      </c>
      <c r="AU168" s="1243" t="s">
        <v>677</v>
      </c>
      <c r="AV168" s="1243" t="s">
        <v>677</v>
      </c>
      <c r="AW168" s="1243" t="s">
        <v>677</v>
      </c>
      <c r="AX168" s="1243" t="s">
        <v>677</v>
      </c>
      <c r="AY168" s="1243" t="s">
        <v>677</v>
      </c>
      <c r="AZ168" s="1243" t="s">
        <v>677</v>
      </c>
      <c r="BA168" s="1243" t="s">
        <v>677</v>
      </c>
      <c r="BB168" s="1243" t="s">
        <v>677</v>
      </c>
      <c r="BC168" s="1243" t="s">
        <v>677</v>
      </c>
      <c r="BD168" s="1243" t="s">
        <v>677</v>
      </c>
    </row>
    <row r="169" spans="1:56" s="422" customFormat="1" ht="38.25" x14ac:dyDescent="0.25">
      <c r="A169" s="1879">
        <v>90</v>
      </c>
      <c r="B169" s="1276" t="s">
        <v>2170</v>
      </c>
      <c r="C169" s="1239" t="s">
        <v>7091</v>
      </c>
      <c r="D169" s="1239" t="s">
        <v>6730</v>
      </c>
      <c r="E169" s="1239" t="s">
        <v>5811</v>
      </c>
      <c r="F169" s="1291" t="s">
        <v>7076</v>
      </c>
      <c r="G169" s="1246" t="s">
        <v>7024</v>
      </c>
      <c r="H169" s="1246" t="s">
        <v>395</v>
      </c>
      <c r="I169" s="1273" t="s">
        <v>3722</v>
      </c>
      <c r="J169" s="1239" t="s">
        <v>380</v>
      </c>
      <c r="K169" s="1244">
        <v>41744</v>
      </c>
      <c r="L169" s="187">
        <v>3410</v>
      </c>
      <c r="M169" s="1243">
        <v>11288</v>
      </c>
      <c r="N169" s="1244">
        <v>41744</v>
      </c>
      <c r="O169" s="1244">
        <v>41805</v>
      </c>
      <c r="P169" s="1239" t="s">
        <v>6763</v>
      </c>
      <c r="Q169" s="1239" t="s">
        <v>677</v>
      </c>
      <c r="R169" s="1239" t="s">
        <v>677</v>
      </c>
      <c r="S169" s="1239" t="s">
        <v>677</v>
      </c>
      <c r="T169" s="1239" t="s">
        <v>316</v>
      </c>
      <c r="U169" s="1246" t="s">
        <v>677</v>
      </c>
      <c r="V169" s="1239" t="s">
        <v>677</v>
      </c>
      <c r="W169" s="1243" t="s">
        <v>677</v>
      </c>
      <c r="X169" s="1239" t="s">
        <v>677</v>
      </c>
      <c r="Y169" s="1244" t="s">
        <v>677</v>
      </c>
      <c r="Z169" s="1244" t="s">
        <v>677</v>
      </c>
      <c r="AA169" s="1242" t="s">
        <v>677</v>
      </c>
      <c r="AB169" s="1239" t="s">
        <v>677</v>
      </c>
      <c r="AC169" s="1319">
        <v>0</v>
      </c>
      <c r="AD169" s="1319">
        <v>0</v>
      </c>
      <c r="AE169" s="1319">
        <f t="shared" si="9"/>
        <v>3410</v>
      </c>
      <c r="AF169" s="1319"/>
      <c r="AG169" s="187">
        <v>3410</v>
      </c>
      <c r="AH169" s="187">
        <f t="shared" si="3"/>
        <v>3410</v>
      </c>
      <c r="AI169" s="1243" t="s">
        <v>677</v>
      </c>
      <c r="AJ169" s="1243" t="s">
        <v>677</v>
      </c>
      <c r="AK169" s="1243" t="s">
        <v>677</v>
      </c>
      <c r="AL169" s="1243" t="s">
        <v>677</v>
      </c>
      <c r="AM169" s="1248" t="s">
        <v>677</v>
      </c>
      <c r="AN169" s="1248" t="s">
        <v>677</v>
      </c>
      <c r="AO169" s="1248" t="s">
        <v>677</v>
      </c>
      <c r="AP169" s="1248" t="s">
        <v>677</v>
      </c>
      <c r="AQ169" s="1248" t="s">
        <v>677</v>
      </c>
      <c r="AR169" s="1248" t="s">
        <v>677</v>
      </c>
      <c r="AS169" s="1243" t="s">
        <v>677</v>
      </c>
      <c r="AT169" s="1243" t="s">
        <v>677</v>
      </c>
      <c r="AU169" s="1243" t="s">
        <v>677</v>
      </c>
      <c r="AV169" s="1243" t="s">
        <v>677</v>
      </c>
      <c r="AW169" s="1243" t="s">
        <v>677</v>
      </c>
      <c r="AX169" s="1243" t="s">
        <v>677</v>
      </c>
      <c r="AY169" s="1243" t="s">
        <v>677</v>
      </c>
      <c r="AZ169" s="1243" t="s">
        <v>677</v>
      </c>
      <c r="BA169" s="1243" t="s">
        <v>677</v>
      </c>
      <c r="BB169" s="1243" t="s">
        <v>677</v>
      </c>
      <c r="BC169" s="1243" t="s">
        <v>677</v>
      </c>
      <c r="BD169" s="1243" t="s">
        <v>677</v>
      </c>
    </row>
    <row r="170" spans="1:56" s="422" customFormat="1" ht="38.25" x14ac:dyDescent="0.25">
      <c r="A170" s="1879">
        <v>91</v>
      </c>
      <c r="B170" s="1276" t="s">
        <v>2192</v>
      </c>
      <c r="C170" s="1239" t="s">
        <v>7082</v>
      </c>
      <c r="D170" s="1239" t="s">
        <v>6730</v>
      </c>
      <c r="E170" s="1239" t="s">
        <v>5811</v>
      </c>
      <c r="F170" s="1291" t="s">
        <v>7083</v>
      </c>
      <c r="G170" s="1246" t="s">
        <v>7052</v>
      </c>
      <c r="H170" s="1246" t="s">
        <v>1821</v>
      </c>
      <c r="I170" s="1273" t="s">
        <v>7092</v>
      </c>
      <c r="J170" s="1239" t="s">
        <v>7093</v>
      </c>
      <c r="K170" s="1244">
        <v>41745</v>
      </c>
      <c r="L170" s="187">
        <v>404.58</v>
      </c>
      <c r="M170" s="1243">
        <v>11288</v>
      </c>
      <c r="N170" s="1244">
        <v>41745</v>
      </c>
      <c r="O170" s="1244">
        <v>41806</v>
      </c>
      <c r="P170" s="1239" t="s">
        <v>6763</v>
      </c>
      <c r="Q170" s="1239" t="s">
        <v>677</v>
      </c>
      <c r="R170" s="1239" t="s">
        <v>677</v>
      </c>
      <c r="S170" s="1239" t="s">
        <v>677</v>
      </c>
      <c r="T170" s="1239" t="s">
        <v>316</v>
      </c>
      <c r="U170" s="1246" t="s">
        <v>677</v>
      </c>
      <c r="V170" s="1239" t="s">
        <v>677</v>
      </c>
      <c r="W170" s="1243" t="s">
        <v>677</v>
      </c>
      <c r="X170" s="1239" t="s">
        <v>677</v>
      </c>
      <c r="Y170" s="1244" t="s">
        <v>677</v>
      </c>
      <c r="Z170" s="1244" t="s">
        <v>677</v>
      </c>
      <c r="AA170" s="1242" t="s">
        <v>677</v>
      </c>
      <c r="AB170" s="1239" t="s">
        <v>677</v>
      </c>
      <c r="AC170" s="1319">
        <v>0</v>
      </c>
      <c r="AD170" s="1319">
        <v>0</v>
      </c>
      <c r="AE170" s="1319">
        <f t="shared" si="9"/>
        <v>404.58</v>
      </c>
      <c r="AF170" s="1319"/>
      <c r="AG170" s="187">
        <v>404.58</v>
      </c>
      <c r="AH170" s="187">
        <f t="shared" si="3"/>
        <v>404.58</v>
      </c>
      <c r="AI170" s="1243" t="s">
        <v>677</v>
      </c>
      <c r="AJ170" s="1243" t="s">
        <v>677</v>
      </c>
      <c r="AK170" s="1243" t="s">
        <v>677</v>
      </c>
      <c r="AL170" s="1243" t="s">
        <v>677</v>
      </c>
      <c r="AM170" s="1248" t="s">
        <v>677</v>
      </c>
      <c r="AN170" s="1248" t="s">
        <v>677</v>
      </c>
      <c r="AO170" s="1248" t="s">
        <v>677</v>
      </c>
      <c r="AP170" s="1248" t="s">
        <v>677</v>
      </c>
      <c r="AQ170" s="1248" t="s">
        <v>677</v>
      </c>
      <c r="AR170" s="1248" t="s">
        <v>677</v>
      </c>
      <c r="AS170" s="1243" t="s">
        <v>677</v>
      </c>
      <c r="AT170" s="1243" t="s">
        <v>677</v>
      </c>
      <c r="AU170" s="1243" t="s">
        <v>677</v>
      </c>
      <c r="AV170" s="1243" t="s">
        <v>677</v>
      </c>
      <c r="AW170" s="1243" t="s">
        <v>677</v>
      </c>
      <c r="AX170" s="1243" t="s">
        <v>677</v>
      </c>
      <c r="AY170" s="1243" t="s">
        <v>677</v>
      </c>
      <c r="AZ170" s="1243" t="s">
        <v>677</v>
      </c>
      <c r="BA170" s="1243" t="s">
        <v>677</v>
      </c>
      <c r="BB170" s="1243" t="s">
        <v>677</v>
      </c>
      <c r="BC170" s="1243" t="s">
        <v>677</v>
      </c>
      <c r="BD170" s="1243" t="s">
        <v>677</v>
      </c>
    </row>
    <row r="171" spans="1:56" s="422" customFormat="1" ht="38.25" x14ac:dyDescent="0.25">
      <c r="A171" s="1879">
        <v>92</v>
      </c>
      <c r="B171" s="1276" t="s">
        <v>2086</v>
      </c>
      <c r="C171" s="1239" t="s">
        <v>7094</v>
      </c>
      <c r="D171" s="1239" t="s">
        <v>6730</v>
      </c>
      <c r="E171" s="1239" t="s">
        <v>5811</v>
      </c>
      <c r="F171" s="1291" t="s">
        <v>7051</v>
      </c>
      <c r="G171" s="1246" t="s">
        <v>7052</v>
      </c>
      <c r="H171" s="1246" t="s">
        <v>1824</v>
      </c>
      <c r="I171" s="1273" t="s">
        <v>7053</v>
      </c>
      <c r="J171" s="1239" t="s">
        <v>5630</v>
      </c>
      <c r="K171" s="1244">
        <v>41745</v>
      </c>
      <c r="L171" s="187">
        <v>7607.1</v>
      </c>
      <c r="M171" s="1243">
        <v>11288</v>
      </c>
      <c r="N171" s="1244">
        <v>41745</v>
      </c>
      <c r="O171" s="1244">
        <v>41805</v>
      </c>
      <c r="P171" s="1239" t="s">
        <v>6735</v>
      </c>
      <c r="Q171" s="1239" t="s">
        <v>677</v>
      </c>
      <c r="R171" s="1239" t="s">
        <v>677</v>
      </c>
      <c r="S171" s="1239" t="s">
        <v>677</v>
      </c>
      <c r="T171" s="1239" t="s">
        <v>316</v>
      </c>
      <c r="U171" s="1246" t="s">
        <v>677</v>
      </c>
      <c r="V171" s="1239" t="s">
        <v>677</v>
      </c>
      <c r="W171" s="1243" t="s">
        <v>677</v>
      </c>
      <c r="X171" s="1239" t="s">
        <v>677</v>
      </c>
      <c r="Y171" s="1244" t="s">
        <v>677</v>
      </c>
      <c r="Z171" s="1244" t="s">
        <v>677</v>
      </c>
      <c r="AA171" s="1242" t="s">
        <v>677</v>
      </c>
      <c r="AB171" s="1239" t="s">
        <v>677</v>
      </c>
      <c r="AC171" s="1319">
        <v>0</v>
      </c>
      <c r="AD171" s="1319">
        <v>0</v>
      </c>
      <c r="AE171" s="1319">
        <f t="shared" si="9"/>
        <v>7607.1</v>
      </c>
      <c r="AF171" s="1319"/>
      <c r="AG171" s="187">
        <v>7607.1</v>
      </c>
      <c r="AH171" s="187">
        <f t="shared" si="3"/>
        <v>7607.1</v>
      </c>
      <c r="AI171" s="1243" t="s">
        <v>677</v>
      </c>
      <c r="AJ171" s="1243" t="s">
        <v>677</v>
      </c>
      <c r="AK171" s="1243" t="s">
        <v>677</v>
      </c>
      <c r="AL171" s="1243" t="s">
        <v>677</v>
      </c>
      <c r="AM171" s="1248" t="s">
        <v>677</v>
      </c>
      <c r="AN171" s="1248" t="s">
        <v>677</v>
      </c>
      <c r="AO171" s="1248" t="s">
        <v>677</v>
      </c>
      <c r="AP171" s="1248" t="s">
        <v>677</v>
      </c>
      <c r="AQ171" s="1248" t="s">
        <v>677</v>
      </c>
      <c r="AR171" s="1248" t="s">
        <v>677</v>
      </c>
      <c r="AS171" s="1243" t="s">
        <v>677</v>
      </c>
      <c r="AT171" s="1243" t="s">
        <v>677</v>
      </c>
      <c r="AU171" s="1243" t="s">
        <v>677</v>
      </c>
      <c r="AV171" s="1243" t="s">
        <v>677</v>
      </c>
      <c r="AW171" s="1243" t="s">
        <v>677</v>
      </c>
      <c r="AX171" s="1243" t="s">
        <v>677</v>
      </c>
      <c r="AY171" s="1243" t="s">
        <v>677</v>
      </c>
      <c r="AZ171" s="1243" t="s">
        <v>677</v>
      </c>
      <c r="BA171" s="1243" t="s">
        <v>677</v>
      </c>
      <c r="BB171" s="1243" t="s">
        <v>677</v>
      </c>
      <c r="BC171" s="1243" t="s">
        <v>677</v>
      </c>
      <c r="BD171" s="1243" t="s">
        <v>677</v>
      </c>
    </row>
    <row r="172" spans="1:56" s="422" customFormat="1" ht="38.25" x14ac:dyDescent="0.25">
      <c r="A172" s="1879">
        <v>93</v>
      </c>
      <c r="B172" s="1276" t="s">
        <v>2078</v>
      </c>
      <c r="C172" s="1239" t="s">
        <v>7094</v>
      </c>
      <c r="D172" s="1239" t="s">
        <v>6730</v>
      </c>
      <c r="E172" s="1239" t="s">
        <v>5811</v>
      </c>
      <c r="F172" s="1291" t="s">
        <v>7051</v>
      </c>
      <c r="G172" s="1246" t="s">
        <v>7052</v>
      </c>
      <c r="H172" s="1246" t="s">
        <v>489</v>
      </c>
      <c r="I172" s="1273" t="s">
        <v>7056</v>
      </c>
      <c r="J172" s="1239" t="s">
        <v>7057</v>
      </c>
      <c r="K172" s="1244">
        <v>41745</v>
      </c>
      <c r="L172" s="187">
        <v>5875</v>
      </c>
      <c r="M172" s="1243">
        <v>11288</v>
      </c>
      <c r="N172" s="1244">
        <v>41745</v>
      </c>
      <c r="O172" s="1244">
        <v>41805</v>
      </c>
      <c r="P172" s="1239" t="s">
        <v>6735</v>
      </c>
      <c r="Q172" s="1239" t="s">
        <v>677</v>
      </c>
      <c r="R172" s="1239" t="s">
        <v>677</v>
      </c>
      <c r="S172" s="1239" t="s">
        <v>677</v>
      </c>
      <c r="T172" s="1239" t="s">
        <v>316</v>
      </c>
      <c r="U172" s="1246" t="s">
        <v>677</v>
      </c>
      <c r="V172" s="1239" t="s">
        <v>677</v>
      </c>
      <c r="W172" s="1243" t="s">
        <v>677</v>
      </c>
      <c r="X172" s="1239" t="s">
        <v>677</v>
      </c>
      <c r="Y172" s="1244" t="s">
        <v>677</v>
      </c>
      <c r="Z172" s="1244" t="s">
        <v>677</v>
      </c>
      <c r="AA172" s="1242" t="s">
        <v>677</v>
      </c>
      <c r="AB172" s="1239" t="s">
        <v>677</v>
      </c>
      <c r="AC172" s="1319">
        <v>0</v>
      </c>
      <c r="AD172" s="1319">
        <v>0</v>
      </c>
      <c r="AE172" s="1319">
        <f t="shared" si="9"/>
        <v>5875</v>
      </c>
      <c r="AF172" s="1319"/>
      <c r="AG172" s="187">
        <v>5875</v>
      </c>
      <c r="AH172" s="187">
        <f t="shared" si="3"/>
        <v>5875</v>
      </c>
      <c r="AI172" s="1243" t="s">
        <v>677</v>
      </c>
      <c r="AJ172" s="1243" t="s">
        <v>677</v>
      </c>
      <c r="AK172" s="1243" t="s">
        <v>677</v>
      </c>
      <c r="AL172" s="1243" t="s">
        <v>677</v>
      </c>
      <c r="AM172" s="1248" t="s">
        <v>677</v>
      </c>
      <c r="AN172" s="1248" t="s">
        <v>677</v>
      </c>
      <c r="AO172" s="1248" t="s">
        <v>677</v>
      </c>
      <c r="AP172" s="1248" t="s">
        <v>677</v>
      </c>
      <c r="AQ172" s="1248" t="s">
        <v>677</v>
      </c>
      <c r="AR172" s="1248" t="s">
        <v>677</v>
      </c>
      <c r="AS172" s="1243" t="s">
        <v>677</v>
      </c>
      <c r="AT172" s="1243" t="s">
        <v>677</v>
      </c>
      <c r="AU172" s="1243" t="s">
        <v>677</v>
      </c>
      <c r="AV172" s="1243" t="s">
        <v>677</v>
      </c>
      <c r="AW172" s="1243" t="s">
        <v>677</v>
      </c>
      <c r="AX172" s="1243" t="s">
        <v>677</v>
      </c>
      <c r="AY172" s="1243" t="s">
        <v>677</v>
      </c>
      <c r="AZ172" s="1243" t="s">
        <v>677</v>
      </c>
      <c r="BA172" s="1243" t="s">
        <v>677</v>
      </c>
      <c r="BB172" s="1243" t="s">
        <v>677</v>
      </c>
      <c r="BC172" s="1243" t="s">
        <v>677</v>
      </c>
      <c r="BD172" s="1243" t="s">
        <v>677</v>
      </c>
    </row>
    <row r="173" spans="1:56" s="422" customFormat="1" ht="38.25" x14ac:dyDescent="0.25">
      <c r="A173" s="1879">
        <v>94</v>
      </c>
      <c r="B173" s="1276" t="s">
        <v>2073</v>
      </c>
      <c r="C173" s="1239" t="s">
        <v>677</v>
      </c>
      <c r="D173" s="1239" t="s">
        <v>690</v>
      </c>
      <c r="E173" s="1239" t="s">
        <v>5811</v>
      </c>
      <c r="F173" s="1880" t="s">
        <v>7095</v>
      </c>
      <c r="G173" s="1243">
        <v>11290</v>
      </c>
      <c r="H173" s="1246" t="s">
        <v>1828</v>
      </c>
      <c r="I173" s="1273" t="s">
        <v>7096</v>
      </c>
      <c r="J173" s="1239" t="s">
        <v>7097</v>
      </c>
      <c r="K173" s="1244">
        <v>41751</v>
      </c>
      <c r="L173" s="187">
        <v>7690</v>
      </c>
      <c r="M173" s="1243">
        <v>11290</v>
      </c>
      <c r="N173" s="1244">
        <v>41751</v>
      </c>
      <c r="O173" s="1244">
        <v>42004</v>
      </c>
      <c r="P173" s="1239" t="s">
        <v>6772</v>
      </c>
      <c r="Q173" s="1239" t="s">
        <v>677</v>
      </c>
      <c r="R173" s="1239" t="s">
        <v>677</v>
      </c>
      <c r="S173" s="1239" t="s">
        <v>677</v>
      </c>
      <c r="T173" s="1239" t="s">
        <v>208</v>
      </c>
      <c r="U173" s="1246" t="s">
        <v>677</v>
      </c>
      <c r="V173" s="1239" t="s">
        <v>677</v>
      </c>
      <c r="W173" s="1243" t="s">
        <v>677</v>
      </c>
      <c r="X173" s="1239" t="s">
        <v>677</v>
      </c>
      <c r="Y173" s="1244" t="s">
        <v>677</v>
      </c>
      <c r="Z173" s="1244" t="s">
        <v>677</v>
      </c>
      <c r="AA173" s="1242" t="s">
        <v>677</v>
      </c>
      <c r="AB173" s="1239" t="s">
        <v>677</v>
      </c>
      <c r="AC173" s="1319">
        <v>0</v>
      </c>
      <c r="AD173" s="1319">
        <v>0</v>
      </c>
      <c r="AE173" s="1319">
        <f t="shared" si="9"/>
        <v>7690</v>
      </c>
      <c r="AF173" s="1319"/>
      <c r="AG173" s="187">
        <v>7690</v>
      </c>
      <c r="AH173" s="187">
        <f>AF173+AG173</f>
        <v>7690</v>
      </c>
      <c r="AI173" s="1243" t="s">
        <v>677</v>
      </c>
      <c r="AJ173" s="1243" t="s">
        <v>677</v>
      </c>
      <c r="AK173" s="1243" t="s">
        <v>677</v>
      </c>
      <c r="AL173" s="1243" t="s">
        <v>677</v>
      </c>
      <c r="AM173" s="1284" t="s">
        <v>690</v>
      </c>
      <c r="AN173" s="1239" t="s">
        <v>6888</v>
      </c>
      <c r="AO173" s="1243">
        <v>11290</v>
      </c>
      <c r="AP173" s="1246" t="s">
        <v>7098</v>
      </c>
      <c r="AQ173" s="1243">
        <v>11290</v>
      </c>
      <c r="AR173" s="1244">
        <v>41753</v>
      </c>
      <c r="AS173" s="1243" t="s">
        <v>677</v>
      </c>
      <c r="AT173" s="1243" t="s">
        <v>677</v>
      </c>
      <c r="AU173" s="1243" t="s">
        <v>677</v>
      </c>
      <c r="AV173" s="1243" t="s">
        <v>677</v>
      </c>
      <c r="AW173" s="1243" t="s">
        <v>677</v>
      </c>
      <c r="AX173" s="1243" t="s">
        <v>677</v>
      </c>
      <c r="AY173" s="1243" t="s">
        <v>677</v>
      </c>
      <c r="AZ173" s="1243" t="s">
        <v>677</v>
      </c>
      <c r="BA173" s="1243" t="s">
        <v>677</v>
      </c>
      <c r="BB173" s="1243" t="s">
        <v>677</v>
      </c>
      <c r="BC173" s="1243" t="s">
        <v>677</v>
      </c>
      <c r="BD173" s="1243" t="s">
        <v>677</v>
      </c>
    </row>
    <row r="174" spans="1:56" s="422" customFormat="1" ht="38.25" x14ac:dyDescent="0.25">
      <c r="A174" s="1879">
        <v>95</v>
      </c>
      <c r="B174" s="1276" t="s">
        <v>2097</v>
      </c>
      <c r="C174" s="1239" t="s">
        <v>677</v>
      </c>
      <c r="D174" s="1239" t="s">
        <v>690</v>
      </c>
      <c r="E174" s="1239" t="s">
        <v>5811</v>
      </c>
      <c r="F174" s="1880" t="s">
        <v>7099</v>
      </c>
      <c r="G174" s="1243">
        <v>11291</v>
      </c>
      <c r="H174" s="1246" t="s">
        <v>1831</v>
      </c>
      <c r="I174" s="1273" t="s">
        <v>1672</v>
      </c>
      <c r="J174" s="1239" t="s">
        <v>380</v>
      </c>
      <c r="K174" s="1244">
        <v>41740</v>
      </c>
      <c r="L174" s="187">
        <v>7875</v>
      </c>
      <c r="M174" s="1243">
        <v>11291</v>
      </c>
      <c r="N174" s="1244">
        <v>41740</v>
      </c>
      <c r="O174" s="1244">
        <v>41801</v>
      </c>
      <c r="P174" s="1239" t="s">
        <v>6763</v>
      </c>
      <c r="Q174" s="1239" t="s">
        <v>677</v>
      </c>
      <c r="R174" s="1239" t="s">
        <v>677</v>
      </c>
      <c r="S174" s="1239" t="s">
        <v>677</v>
      </c>
      <c r="T174" s="1239" t="s">
        <v>316</v>
      </c>
      <c r="U174" s="1246" t="s">
        <v>677</v>
      </c>
      <c r="V174" s="1239" t="s">
        <v>677</v>
      </c>
      <c r="W174" s="1243" t="s">
        <v>677</v>
      </c>
      <c r="X174" s="1239" t="s">
        <v>677</v>
      </c>
      <c r="Y174" s="1244" t="s">
        <v>677</v>
      </c>
      <c r="Z174" s="1244" t="s">
        <v>677</v>
      </c>
      <c r="AA174" s="1242" t="s">
        <v>677</v>
      </c>
      <c r="AB174" s="1239" t="s">
        <v>677</v>
      </c>
      <c r="AC174" s="1319">
        <v>0</v>
      </c>
      <c r="AD174" s="1319">
        <v>0</v>
      </c>
      <c r="AE174" s="1319">
        <f t="shared" si="9"/>
        <v>7875</v>
      </c>
      <c r="AF174" s="1319"/>
      <c r="AG174" s="1619">
        <v>7875</v>
      </c>
      <c r="AH174" s="1619">
        <f>AF174+AG174</f>
        <v>7875</v>
      </c>
      <c r="AI174" s="1243" t="s">
        <v>677</v>
      </c>
      <c r="AJ174" s="1243" t="s">
        <v>677</v>
      </c>
      <c r="AK174" s="1243" t="s">
        <v>677</v>
      </c>
      <c r="AL174" s="1243" t="s">
        <v>677</v>
      </c>
      <c r="AM174" s="1284" t="s">
        <v>690</v>
      </c>
      <c r="AN174" s="1239" t="s">
        <v>6888</v>
      </c>
      <c r="AO174" s="1243">
        <v>11291</v>
      </c>
      <c r="AP174" s="1244">
        <v>41754</v>
      </c>
      <c r="AQ174" s="1243">
        <v>11291</v>
      </c>
      <c r="AR174" s="1244">
        <v>41754</v>
      </c>
      <c r="AS174" s="1243" t="s">
        <v>677</v>
      </c>
      <c r="AT174" s="1243" t="s">
        <v>677</v>
      </c>
      <c r="AU174" s="1243" t="s">
        <v>677</v>
      </c>
      <c r="AV174" s="1243" t="s">
        <v>677</v>
      </c>
      <c r="AW174" s="1243" t="s">
        <v>677</v>
      </c>
      <c r="AX174" s="1243" t="s">
        <v>677</v>
      </c>
      <c r="AY174" s="1243" t="s">
        <v>677</v>
      </c>
      <c r="AZ174" s="1243" t="s">
        <v>677</v>
      </c>
      <c r="BA174" s="1243" t="s">
        <v>677</v>
      </c>
      <c r="BB174" s="1243" t="s">
        <v>677</v>
      </c>
      <c r="BC174" s="1243" t="s">
        <v>677</v>
      </c>
      <c r="BD174" s="1243" t="s">
        <v>677</v>
      </c>
    </row>
    <row r="175" spans="1:56" s="422" customFormat="1" ht="38.25" x14ac:dyDescent="0.25">
      <c r="A175" s="1879">
        <v>96</v>
      </c>
      <c r="B175" s="1276" t="s">
        <v>2086</v>
      </c>
      <c r="C175" s="1239" t="s">
        <v>7094</v>
      </c>
      <c r="D175" s="1239" t="s">
        <v>6730</v>
      </c>
      <c r="E175" s="1239" t="s">
        <v>5811</v>
      </c>
      <c r="F175" s="1291" t="s">
        <v>7051</v>
      </c>
      <c r="G175" s="1246" t="s">
        <v>7052</v>
      </c>
      <c r="H175" s="1246" t="s">
        <v>1834</v>
      </c>
      <c r="I175" s="1273" t="s">
        <v>7053</v>
      </c>
      <c r="J175" s="1239" t="s">
        <v>5630</v>
      </c>
      <c r="K175" s="1244">
        <v>41754</v>
      </c>
      <c r="L175" s="187">
        <v>307.2</v>
      </c>
      <c r="M175" s="1243">
        <v>11293</v>
      </c>
      <c r="N175" s="1244">
        <v>41754</v>
      </c>
      <c r="O175" s="1244">
        <v>41845</v>
      </c>
      <c r="P175" s="1239" t="s">
        <v>6735</v>
      </c>
      <c r="Q175" s="1239" t="s">
        <v>677</v>
      </c>
      <c r="R175" s="1239" t="s">
        <v>677</v>
      </c>
      <c r="S175" s="1239" t="s">
        <v>677</v>
      </c>
      <c r="T175" s="1239" t="s">
        <v>316</v>
      </c>
      <c r="U175" s="1246" t="s">
        <v>677</v>
      </c>
      <c r="V175" s="1239" t="s">
        <v>677</v>
      </c>
      <c r="W175" s="1243" t="s">
        <v>677</v>
      </c>
      <c r="X175" s="1239" t="s">
        <v>677</v>
      </c>
      <c r="Y175" s="1244" t="s">
        <v>677</v>
      </c>
      <c r="Z175" s="1244" t="s">
        <v>677</v>
      </c>
      <c r="AA175" s="1242" t="s">
        <v>677</v>
      </c>
      <c r="AB175" s="1239" t="s">
        <v>677</v>
      </c>
      <c r="AC175" s="1319">
        <v>0</v>
      </c>
      <c r="AD175" s="1319">
        <v>0</v>
      </c>
      <c r="AE175" s="1319">
        <f t="shared" si="9"/>
        <v>307.2</v>
      </c>
      <c r="AF175" s="1319"/>
      <c r="AG175" s="1619">
        <v>307.2</v>
      </c>
      <c r="AH175" s="1619">
        <f t="shared" si="3"/>
        <v>307.2</v>
      </c>
      <c r="AI175" s="1243" t="s">
        <v>677</v>
      </c>
      <c r="AJ175" s="1243" t="s">
        <v>677</v>
      </c>
      <c r="AK175" s="1243" t="s">
        <v>677</v>
      </c>
      <c r="AL175" s="1243" t="s">
        <v>677</v>
      </c>
      <c r="AM175" s="1248" t="s">
        <v>677</v>
      </c>
      <c r="AN175" s="1248" t="s">
        <v>677</v>
      </c>
      <c r="AO175" s="1248" t="s">
        <v>677</v>
      </c>
      <c r="AP175" s="1248" t="s">
        <v>677</v>
      </c>
      <c r="AQ175" s="1248" t="s">
        <v>677</v>
      </c>
      <c r="AR175" s="1248" t="s">
        <v>677</v>
      </c>
      <c r="AS175" s="1243" t="s">
        <v>677</v>
      </c>
      <c r="AT175" s="1243" t="s">
        <v>677</v>
      </c>
      <c r="AU175" s="1243" t="s">
        <v>677</v>
      </c>
      <c r="AV175" s="1243" t="s">
        <v>677</v>
      </c>
      <c r="AW175" s="1243" t="s">
        <v>677</v>
      </c>
      <c r="AX175" s="1243" t="s">
        <v>677</v>
      </c>
      <c r="AY175" s="1243" t="s">
        <v>677</v>
      </c>
      <c r="AZ175" s="1243" t="s">
        <v>677</v>
      </c>
      <c r="BA175" s="1243" t="s">
        <v>677</v>
      </c>
      <c r="BB175" s="1243" t="s">
        <v>677</v>
      </c>
      <c r="BC175" s="1243" t="s">
        <v>677</v>
      </c>
      <c r="BD175" s="1243" t="s">
        <v>677</v>
      </c>
    </row>
    <row r="176" spans="1:56" s="422" customFormat="1" ht="38.25" x14ac:dyDescent="0.25">
      <c r="A176" s="1879">
        <v>97</v>
      </c>
      <c r="B176" s="1276" t="s">
        <v>1759</v>
      </c>
      <c r="C176" s="1239" t="s">
        <v>7020</v>
      </c>
      <c r="D176" s="1239" t="s">
        <v>6730</v>
      </c>
      <c r="E176" s="1239" t="s">
        <v>5811</v>
      </c>
      <c r="F176" s="1291" t="s">
        <v>7021</v>
      </c>
      <c r="G176" s="1246" t="s">
        <v>6914</v>
      </c>
      <c r="H176" s="1246" t="s">
        <v>1839</v>
      </c>
      <c r="I176" s="1273" t="s">
        <v>6950</v>
      </c>
      <c r="J176" s="1239" t="s">
        <v>455</v>
      </c>
      <c r="K176" s="1244">
        <v>41757</v>
      </c>
      <c r="L176" s="187">
        <v>8250</v>
      </c>
      <c r="M176" s="1243">
        <v>11296</v>
      </c>
      <c r="N176" s="1244">
        <v>41757</v>
      </c>
      <c r="O176" s="1244">
        <v>41818</v>
      </c>
      <c r="P176" s="1239" t="s">
        <v>6735</v>
      </c>
      <c r="Q176" s="1239" t="s">
        <v>677</v>
      </c>
      <c r="R176" s="1239" t="s">
        <v>677</v>
      </c>
      <c r="S176" s="1239" t="s">
        <v>677</v>
      </c>
      <c r="T176" s="1239" t="s">
        <v>408</v>
      </c>
      <c r="U176" s="1246" t="s">
        <v>677</v>
      </c>
      <c r="V176" s="1239" t="s">
        <v>677</v>
      </c>
      <c r="W176" s="1243" t="s">
        <v>677</v>
      </c>
      <c r="X176" s="1239" t="s">
        <v>677</v>
      </c>
      <c r="Y176" s="1244" t="s">
        <v>677</v>
      </c>
      <c r="Z176" s="1244" t="s">
        <v>677</v>
      </c>
      <c r="AA176" s="1242" t="s">
        <v>677</v>
      </c>
      <c r="AB176" s="1239" t="s">
        <v>677</v>
      </c>
      <c r="AC176" s="1319">
        <v>0</v>
      </c>
      <c r="AD176" s="1319">
        <v>0</v>
      </c>
      <c r="AE176" s="1319">
        <f t="shared" si="9"/>
        <v>8250</v>
      </c>
      <c r="AF176" s="1319"/>
      <c r="AG176" s="1619">
        <v>8250</v>
      </c>
      <c r="AH176" s="1619">
        <f t="shared" si="3"/>
        <v>8250</v>
      </c>
      <c r="AI176" s="1243" t="s">
        <v>677</v>
      </c>
      <c r="AJ176" s="1243" t="s">
        <v>677</v>
      </c>
      <c r="AK176" s="1243" t="s">
        <v>677</v>
      </c>
      <c r="AL176" s="1243" t="s">
        <v>677</v>
      </c>
      <c r="AM176" s="1248" t="s">
        <v>677</v>
      </c>
      <c r="AN176" s="1248" t="s">
        <v>677</v>
      </c>
      <c r="AO176" s="1248" t="s">
        <v>677</v>
      </c>
      <c r="AP176" s="1248" t="s">
        <v>677</v>
      </c>
      <c r="AQ176" s="1248" t="s">
        <v>677</v>
      </c>
      <c r="AR176" s="1248" t="s">
        <v>677</v>
      </c>
      <c r="AS176" s="1243" t="s">
        <v>677</v>
      </c>
      <c r="AT176" s="1243" t="s">
        <v>677</v>
      </c>
      <c r="AU176" s="1243" t="s">
        <v>677</v>
      </c>
      <c r="AV176" s="1243" t="s">
        <v>677</v>
      </c>
      <c r="AW176" s="1243" t="s">
        <v>677</v>
      </c>
      <c r="AX176" s="1243" t="s">
        <v>677</v>
      </c>
      <c r="AY176" s="1243" t="s">
        <v>677</v>
      </c>
      <c r="AZ176" s="1243" t="s">
        <v>677</v>
      </c>
      <c r="BA176" s="1243" t="s">
        <v>677</v>
      </c>
      <c r="BB176" s="1243" t="s">
        <v>677</v>
      </c>
      <c r="BC176" s="1243" t="s">
        <v>677</v>
      </c>
      <c r="BD176" s="1243" t="s">
        <v>677</v>
      </c>
    </row>
    <row r="177" spans="1:56" s="422" customFormat="1" ht="38.25" x14ac:dyDescent="0.25">
      <c r="A177" s="1879">
        <v>98</v>
      </c>
      <c r="B177" s="1276" t="s">
        <v>1875</v>
      </c>
      <c r="C177" s="1239" t="s">
        <v>7100</v>
      </c>
      <c r="D177" s="1239" t="s">
        <v>6730</v>
      </c>
      <c r="E177" s="1239" t="s">
        <v>5811</v>
      </c>
      <c r="F177" s="1291" t="s">
        <v>7101</v>
      </c>
      <c r="G177" s="1246" t="s">
        <v>7102</v>
      </c>
      <c r="H177" s="1246" t="s">
        <v>1844</v>
      </c>
      <c r="I177" s="1273" t="s">
        <v>7041</v>
      </c>
      <c r="J177" s="1239" t="s">
        <v>7042</v>
      </c>
      <c r="K177" s="1244">
        <v>41765</v>
      </c>
      <c r="L177" s="187">
        <v>21300</v>
      </c>
      <c r="M177" s="1243">
        <v>11297</v>
      </c>
      <c r="N177" s="1244">
        <v>41765</v>
      </c>
      <c r="O177" s="1244">
        <v>41857</v>
      </c>
      <c r="P177" s="1239" t="s">
        <v>6735</v>
      </c>
      <c r="Q177" s="1239" t="s">
        <v>677</v>
      </c>
      <c r="R177" s="1239" t="s">
        <v>677</v>
      </c>
      <c r="S177" s="1239" t="s">
        <v>677</v>
      </c>
      <c r="T177" s="1239" t="s">
        <v>316</v>
      </c>
      <c r="U177" s="1246" t="s">
        <v>677</v>
      </c>
      <c r="V177" s="1239" t="s">
        <v>677</v>
      </c>
      <c r="W177" s="1243" t="s">
        <v>677</v>
      </c>
      <c r="X177" s="1239" t="s">
        <v>677</v>
      </c>
      <c r="Y177" s="1244" t="s">
        <v>677</v>
      </c>
      <c r="Z177" s="1244" t="s">
        <v>677</v>
      </c>
      <c r="AA177" s="1242" t="s">
        <v>677</v>
      </c>
      <c r="AB177" s="1239" t="s">
        <v>677</v>
      </c>
      <c r="AC177" s="1319">
        <v>0</v>
      </c>
      <c r="AD177" s="1319">
        <v>0</v>
      </c>
      <c r="AE177" s="1319">
        <f t="shared" si="9"/>
        <v>21300</v>
      </c>
      <c r="AF177" s="1319"/>
      <c r="AG177" s="187">
        <v>21300</v>
      </c>
      <c r="AH177" s="187">
        <f t="shared" si="3"/>
        <v>21300</v>
      </c>
      <c r="AI177" s="1243" t="s">
        <v>677</v>
      </c>
      <c r="AJ177" s="1243" t="s">
        <v>677</v>
      </c>
      <c r="AK177" s="1243" t="s">
        <v>677</v>
      </c>
      <c r="AL177" s="1243" t="s">
        <v>677</v>
      </c>
      <c r="AM177" s="1248" t="s">
        <v>677</v>
      </c>
      <c r="AN177" s="1248" t="s">
        <v>677</v>
      </c>
      <c r="AO177" s="1248" t="s">
        <v>677</v>
      </c>
      <c r="AP177" s="1248" t="s">
        <v>677</v>
      </c>
      <c r="AQ177" s="1248" t="s">
        <v>677</v>
      </c>
      <c r="AR177" s="1248" t="s">
        <v>677</v>
      </c>
      <c r="AS177" s="1243" t="s">
        <v>677</v>
      </c>
      <c r="AT177" s="1243" t="s">
        <v>677</v>
      </c>
      <c r="AU177" s="1243" t="s">
        <v>677</v>
      </c>
      <c r="AV177" s="1243" t="s">
        <v>677</v>
      </c>
      <c r="AW177" s="1243" t="s">
        <v>677</v>
      </c>
      <c r="AX177" s="1243" t="s">
        <v>677</v>
      </c>
      <c r="AY177" s="1243" t="s">
        <v>677</v>
      </c>
      <c r="AZ177" s="1243" t="s">
        <v>677</v>
      </c>
      <c r="BA177" s="1243" t="s">
        <v>677</v>
      </c>
      <c r="BB177" s="1243" t="s">
        <v>677</v>
      </c>
      <c r="BC177" s="1243" t="s">
        <v>677</v>
      </c>
      <c r="BD177" s="1243" t="s">
        <v>677</v>
      </c>
    </row>
    <row r="178" spans="1:56" s="422" customFormat="1" ht="38.25" x14ac:dyDescent="0.25">
      <c r="A178" s="1879">
        <v>99</v>
      </c>
      <c r="B178" s="1276" t="s">
        <v>677</v>
      </c>
      <c r="C178" s="1239" t="s">
        <v>7103</v>
      </c>
      <c r="D178" s="1239" t="s">
        <v>6730</v>
      </c>
      <c r="E178" s="1239" t="s">
        <v>5811</v>
      </c>
      <c r="F178" s="1291" t="s">
        <v>7073</v>
      </c>
      <c r="G178" s="1246" t="s">
        <v>700</v>
      </c>
      <c r="H178" s="1246" t="s">
        <v>1847</v>
      </c>
      <c r="I178" s="1273" t="s">
        <v>7074</v>
      </c>
      <c r="J178" s="1239" t="s">
        <v>7075</v>
      </c>
      <c r="K178" s="1244">
        <v>41778</v>
      </c>
      <c r="L178" s="187">
        <v>4410</v>
      </c>
      <c r="M178" s="1243">
        <v>11297</v>
      </c>
      <c r="N178" s="1244">
        <v>41778</v>
      </c>
      <c r="O178" s="1244">
        <v>41839</v>
      </c>
      <c r="P178" s="1239" t="s">
        <v>6763</v>
      </c>
      <c r="Q178" s="1239" t="s">
        <v>677</v>
      </c>
      <c r="R178" s="1239" t="s">
        <v>677</v>
      </c>
      <c r="S178" s="1239" t="s">
        <v>677</v>
      </c>
      <c r="T178" s="1239" t="s">
        <v>316</v>
      </c>
      <c r="U178" s="1246" t="s">
        <v>677</v>
      </c>
      <c r="V178" s="1239" t="s">
        <v>677</v>
      </c>
      <c r="W178" s="1243" t="s">
        <v>677</v>
      </c>
      <c r="X178" s="1239" t="s">
        <v>677</v>
      </c>
      <c r="Y178" s="1244" t="s">
        <v>677</v>
      </c>
      <c r="Z178" s="1244" t="s">
        <v>677</v>
      </c>
      <c r="AA178" s="1242" t="s">
        <v>677</v>
      </c>
      <c r="AB178" s="1239" t="s">
        <v>677</v>
      </c>
      <c r="AC178" s="1319">
        <v>0</v>
      </c>
      <c r="AD178" s="1319">
        <v>0</v>
      </c>
      <c r="AE178" s="1319">
        <f t="shared" si="9"/>
        <v>4410</v>
      </c>
      <c r="AF178" s="1319"/>
      <c r="AG178" s="187">
        <v>4410</v>
      </c>
      <c r="AH178" s="187">
        <f t="shared" si="3"/>
        <v>4410</v>
      </c>
      <c r="AI178" s="1243" t="s">
        <v>677</v>
      </c>
      <c r="AJ178" s="1243" t="s">
        <v>677</v>
      </c>
      <c r="AK178" s="1243" t="s">
        <v>677</v>
      </c>
      <c r="AL178" s="1243" t="s">
        <v>677</v>
      </c>
      <c r="AM178" s="1248" t="s">
        <v>677</v>
      </c>
      <c r="AN178" s="1248" t="s">
        <v>677</v>
      </c>
      <c r="AO178" s="1248" t="s">
        <v>677</v>
      </c>
      <c r="AP178" s="1248" t="s">
        <v>677</v>
      </c>
      <c r="AQ178" s="1248" t="s">
        <v>677</v>
      </c>
      <c r="AR178" s="1248" t="s">
        <v>677</v>
      </c>
      <c r="AS178" s="1243" t="s">
        <v>677</v>
      </c>
      <c r="AT178" s="1243" t="s">
        <v>677</v>
      </c>
      <c r="AU178" s="1243" t="s">
        <v>677</v>
      </c>
      <c r="AV178" s="1243" t="s">
        <v>677</v>
      </c>
      <c r="AW178" s="1243" t="s">
        <v>677</v>
      </c>
      <c r="AX178" s="1243" t="s">
        <v>677</v>
      </c>
      <c r="AY178" s="1243" t="s">
        <v>677</v>
      </c>
      <c r="AZ178" s="1243" t="s">
        <v>677</v>
      </c>
      <c r="BA178" s="1243" t="s">
        <v>677</v>
      </c>
      <c r="BB178" s="1243" t="s">
        <v>677</v>
      </c>
      <c r="BC178" s="1243" t="s">
        <v>677</v>
      </c>
      <c r="BD178" s="1243" t="s">
        <v>677</v>
      </c>
    </row>
    <row r="179" spans="1:56" s="422" customFormat="1" ht="38.25" x14ac:dyDescent="0.25">
      <c r="A179" s="1879">
        <v>100</v>
      </c>
      <c r="B179" s="1276" t="s">
        <v>2138</v>
      </c>
      <c r="C179" s="1239" t="s">
        <v>7104</v>
      </c>
      <c r="D179" s="1239" t="s">
        <v>6730</v>
      </c>
      <c r="E179" s="1239" t="s">
        <v>5811</v>
      </c>
      <c r="F179" s="1291" t="s">
        <v>7105</v>
      </c>
      <c r="G179" s="1246" t="s">
        <v>6723</v>
      </c>
      <c r="H179" s="1246" t="s">
        <v>1851</v>
      </c>
      <c r="I179" s="1273" t="s">
        <v>7106</v>
      </c>
      <c r="J179" s="1239" t="s">
        <v>7107</v>
      </c>
      <c r="K179" s="1244">
        <v>41766</v>
      </c>
      <c r="L179" s="187">
        <v>9160.85</v>
      </c>
      <c r="M179" s="1243">
        <v>11300</v>
      </c>
      <c r="N179" s="1244">
        <v>41766</v>
      </c>
      <c r="O179" s="1244">
        <v>41827</v>
      </c>
      <c r="P179" s="1239" t="s">
        <v>6735</v>
      </c>
      <c r="Q179" s="1239" t="s">
        <v>677</v>
      </c>
      <c r="R179" s="1239" t="s">
        <v>677</v>
      </c>
      <c r="S179" s="1239" t="s">
        <v>677</v>
      </c>
      <c r="T179" s="1239" t="s">
        <v>208</v>
      </c>
      <c r="U179" s="1246" t="s">
        <v>677</v>
      </c>
      <c r="V179" s="1239" t="s">
        <v>677</v>
      </c>
      <c r="W179" s="1243" t="s">
        <v>677</v>
      </c>
      <c r="X179" s="1239" t="s">
        <v>677</v>
      </c>
      <c r="Y179" s="1244" t="s">
        <v>677</v>
      </c>
      <c r="Z179" s="1244" t="s">
        <v>677</v>
      </c>
      <c r="AA179" s="1242" t="s">
        <v>677</v>
      </c>
      <c r="AB179" s="1239" t="s">
        <v>677</v>
      </c>
      <c r="AC179" s="1319">
        <v>0</v>
      </c>
      <c r="AD179" s="1319">
        <v>0</v>
      </c>
      <c r="AE179" s="1319">
        <f t="shared" si="9"/>
        <v>9160.85</v>
      </c>
      <c r="AF179" s="1319"/>
      <c r="AG179" s="187">
        <v>9160.85</v>
      </c>
      <c r="AH179" s="187">
        <f t="shared" ref="AH179:AH203" si="11">AF179+AG179</f>
        <v>9160.85</v>
      </c>
      <c r="AI179" s="1243" t="s">
        <v>677</v>
      </c>
      <c r="AJ179" s="1243" t="s">
        <v>677</v>
      </c>
      <c r="AK179" s="1243" t="s">
        <v>677</v>
      </c>
      <c r="AL179" s="1243" t="s">
        <v>677</v>
      </c>
      <c r="AM179" s="1248" t="s">
        <v>677</v>
      </c>
      <c r="AN179" s="1248" t="s">
        <v>677</v>
      </c>
      <c r="AO179" s="1248" t="s">
        <v>677</v>
      </c>
      <c r="AP179" s="1248" t="s">
        <v>677</v>
      </c>
      <c r="AQ179" s="1248" t="s">
        <v>677</v>
      </c>
      <c r="AR179" s="1248" t="s">
        <v>677</v>
      </c>
      <c r="AS179" s="1243" t="s">
        <v>677</v>
      </c>
      <c r="AT179" s="1243" t="s">
        <v>677</v>
      </c>
      <c r="AU179" s="1243" t="s">
        <v>677</v>
      </c>
      <c r="AV179" s="1243" t="s">
        <v>677</v>
      </c>
      <c r="AW179" s="1243" t="s">
        <v>677</v>
      </c>
      <c r="AX179" s="1243" t="s">
        <v>677</v>
      </c>
      <c r="AY179" s="1243" t="s">
        <v>677</v>
      </c>
      <c r="AZ179" s="1243" t="s">
        <v>677</v>
      </c>
      <c r="BA179" s="1243" t="s">
        <v>677</v>
      </c>
      <c r="BB179" s="1243" t="s">
        <v>677</v>
      </c>
      <c r="BC179" s="1243" t="s">
        <v>677</v>
      </c>
      <c r="BD179" s="1243" t="s">
        <v>677</v>
      </c>
    </row>
    <row r="180" spans="1:56" s="422" customFormat="1" ht="51" x14ac:dyDescent="0.25">
      <c r="A180" s="1879">
        <v>101</v>
      </c>
      <c r="B180" s="1276" t="s">
        <v>1856</v>
      </c>
      <c r="C180" s="1239" t="s">
        <v>7108</v>
      </c>
      <c r="D180" s="1239" t="s">
        <v>6730</v>
      </c>
      <c r="E180" s="1239" t="s">
        <v>5811</v>
      </c>
      <c r="F180" s="1291" t="s">
        <v>7109</v>
      </c>
      <c r="G180" s="1246" t="s">
        <v>7110</v>
      </c>
      <c r="H180" s="1246" t="s">
        <v>1856</v>
      </c>
      <c r="I180" s="1273" t="s">
        <v>7111</v>
      </c>
      <c r="J180" s="1239" t="s">
        <v>7112</v>
      </c>
      <c r="K180" s="1244">
        <v>41771</v>
      </c>
      <c r="L180" s="187">
        <v>7690.65</v>
      </c>
      <c r="M180" s="1243">
        <v>11301</v>
      </c>
      <c r="N180" s="1244">
        <v>41771</v>
      </c>
      <c r="O180" s="1244">
        <v>41832</v>
      </c>
      <c r="P180" s="1239" t="s">
        <v>6735</v>
      </c>
      <c r="Q180" s="1239" t="s">
        <v>677</v>
      </c>
      <c r="R180" s="1239" t="s">
        <v>677</v>
      </c>
      <c r="S180" s="1239" t="s">
        <v>677</v>
      </c>
      <c r="T180" s="1239" t="s">
        <v>208</v>
      </c>
      <c r="U180" s="1246" t="s">
        <v>677</v>
      </c>
      <c r="V180" s="1239" t="s">
        <v>677</v>
      </c>
      <c r="W180" s="1243" t="s">
        <v>677</v>
      </c>
      <c r="X180" s="1239" t="s">
        <v>677</v>
      </c>
      <c r="Y180" s="1244" t="s">
        <v>677</v>
      </c>
      <c r="Z180" s="1244" t="s">
        <v>677</v>
      </c>
      <c r="AA180" s="1242" t="s">
        <v>677</v>
      </c>
      <c r="AB180" s="1239" t="s">
        <v>677</v>
      </c>
      <c r="AC180" s="1319">
        <v>0</v>
      </c>
      <c r="AD180" s="1319">
        <v>0</v>
      </c>
      <c r="AE180" s="1319">
        <f t="shared" si="9"/>
        <v>7690.65</v>
      </c>
      <c r="AF180" s="1319"/>
      <c r="AG180" s="187">
        <v>7690.65</v>
      </c>
      <c r="AH180" s="187">
        <f t="shared" si="11"/>
        <v>7690.65</v>
      </c>
      <c r="AI180" s="1243" t="s">
        <v>677</v>
      </c>
      <c r="AJ180" s="1243" t="s">
        <v>677</v>
      </c>
      <c r="AK180" s="1243" t="s">
        <v>677</v>
      </c>
      <c r="AL180" s="1243" t="s">
        <v>677</v>
      </c>
      <c r="AM180" s="1248" t="s">
        <v>677</v>
      </c>
      <c r="AN180" s="1248" t="s">
        <v>677</v>
      </c>
      <c r="AO180" s="1248" t="s">
        <v>677</v>
      </c>
      <c r="AP180" s="1248" t="s">
        <v>677</v>
      </c>
      <c r="AQ180" s="1248" t="s">
        <v>677</v>
      </c>
      <c r="AR180" s="1248" t="s">
        <v>677</v>
      </c>
      <c r="AS180" s="1243" t="s">
        <v>677</v>
      </c>
      <c r="AT180" s="1243" t="s">
        <v>677</v>
      </c>
      <c r="AU180" s="1243" t="s">
        <v>677</v>
      </c>
      <c r="AV180" s="1243" t="s">
        <v>677</v>
      </c>
      <c r="AW180" s="1243" t="s">
        <v>677</v>
      </c>
      <c r="AX180" s="1243" t="s">
        <v>677</v>
      </c>
      <c r="AY180" s="1243" t="s">
        <v>677</v>
      </c>
      <c r="AZ180" s="1243" t="s">
        <v>677</v>
      </c>
      <c r="BA180" s="1243" t="s">
        <v>677</v>
      </c>
      <c r="BB180" s="1243" t="s">
        <v>677</v>
      </c>
      <c r="BC180" s="1243" t="s">
        <v>677</v>
      </c>
      <c r="BD180" s="1243" t="s">
        <v>677</v>
      </c>
    </row>
    <row r="181" spans="1:56" s="422" customFormat="1" ht="63.75" x14ac:dyDescent="0.25">
      <c r="A181" s="1879">
        <v>102</v>
      </c>
      <c r="B181" s="1276" t="s">
        <v>773</v>
      </c>
      <c r="C181" s="1239" t="s">
        <v>7113</v>
      </c>
      <c r="D181" s="1239" t="s">
        <v>6800</v>
      </c>
      <c r="E181" s="1239" t="s">
        <v>5811</v>
      </c>
      <c r="F181" s="1291" t="s">
        <v>7076</v>
      </c>
      <c r="G181" s="1246" t="s">
        <v>7069</v>
      </c>
      <c r="H181" s="1246" t="s">
        <v>1859</v>
      </c>
      <c r="I181" s="1273" t="s">
        <v>7033</v>
      </c>
      <c r="J181" s="1239" t="s">
        <v>7034</v>
      </c>
      <c r="K181" s="1244">
        <v>41768</v>
      </c>
      <c r="L181" s="187">
        <v>19900</v>
      </c>
      <c r="M181" s="1243">
        <v>11301</v>
      </c>
      <c r="N181" s="1244">
        <v>41768</v>
      </c>
      <c r="O181" s="1244">
        <v>42133</v>
      </c>
      <c r="P181" s="1239" t="s">
        <v>6926</v>
      </c>
      <c r="Q181" s="1239" t="s">
        <v>677</v>
      </c>
      <c r="R181" s="1239" t="s">
        <v>677</v>
      </c>
      <c r="S181" s="1239" t="s">
        <v>677</v>
      </c>
      <c r="T181" s="1239" t="s">
        <v>316</v>
      </c>
      <c r="U181" s="1246" t="s">
        <v>677</v>
      </c>
      <c r="V181" s="1239" t="s">
        <v>677</v>
      </c>
      <c r="W181" s="1243" t="s">
        <v>677</v>
      </c>
      <c r="X181" s="1239" t="s">
        <v>677</v>
      </c>
      <c r="Y181" s="1244" t="s">
        <v>677</v>
      </c>
      <c r="Z181" s="1244" t="s">
        <v>677</v>
      </c>
      <c r="AA181" s="1242" t="s">
        <v>677</v>
      </c>
      <c r="AB181" s="1239" t="s">
        <v>677</v>
      </c>
      <c r="AC181" s="1319">
        <v>0</v>
      </c>
      <c r="AD181" s="1319">
        <v>0</v>
      </c>
      <c r="AE181" s="1319">
        <f t="shared" si="9"/>
        <v>19900</v>
      </c>
      <c r="AF181" s="1319"/>
      <c r="AG181" s="187">
        <v>19900</v>
      </c>
      <c r="AH181" s="187">
        <f t="shared" si="11"/>
        <v>19900</v>
      </c>
      <c r="AI181" s="1239" t="s">
        <v>716</v>
      </c>
      <c r="AJ181" s="1243">
        <v>11258</v>
      </c>
      <c r="AK181" s="1239" t="s">
        <v>7114</v>
      </c>
      <c r="AL181" s="1284">
        <v>11268</v>
      </c>
      <c r="AM181" s="1248" t="s">
        <v>677</v>
      </c>
      <c r="AN181" s="1248" t="s">
        <v>677</v>
      </c>
      <c r="AO181" s="1248" t="s">
        <v>677</v>
      </c>
      <c r="AP181" s="1248" t="s">
        <v>677</v>
      </c>
      <c r="AQ181" s="1248" t="s">
        <v>677</v>
      </c>
      <c r="AR181" s="1248" t="s">
        <v>677</v>
      </c>
      <c r="AS181" s="1243" t="s">
        <v>677</v>
      </c>
      <c r="AT181" s="1243" t="s">
        <v>677</v>
      </c>
      <c r="AU181" s="1243" t="s">
        <v>677</v>
      </c>
      <c r="AV181" s="1243" t="s">
        <v>677</v>
      </c>
      <c r="AW181" s="1243" t="s">
        <v>677</v>
      </c>
      <c r="AX181" s="1243" t="s">
        <v>677</v>
      </c>
      <c r="AY181" s="1243" t="s">
        <v>677</v>
      </c>
      <c r="AZ181" s="1243" t="s">
        <v>677</v>
      </c>
      <c r="BA181" s="1243" t="s">
        <v>677</v>
      </c>
      <c r="BB181" s="1243" t="s">
        <v>677</v>
      </c>
      <c r="BC181" s="1243" t="s">
        <v>677</v>
      </c>
      <c r="BD181" s="1243" t="s">
        <v>677</v>
      </c>
    </row>
    <row r="182" spans="1:56" s="422" customFormat="1" ht="25.5" x14ac:dyDescent="0.25">
      <c r="A182" s="2639">
        <v>103</v>
      </c>
      <c r="B182" s="2080" t="s">
        <v>1856</v>
      </c>
      <c r="C182" s="1967" t="s">
        <v>7115</v>
      </c>
      <c r="D182" s="1967" t="s">
        <v>6730</v>
      </c>
      <c r="E182" s="1967" t="s">
        <v>5811</v>
      </c>
      <c r="F182" s="2171" t="s">
        <v>7116</v>
      </c>
      <c r="G182" s="1978" t="s">
        <v>7117</v>
      </c>
      <c r="H182" s="1978" t="s">
        <v>505</v>
      </c>
      <c r="I182" s="2050" t="s">
        <v>7111</v>
      </c>
      <c r="J182" s="1967" t="s">
        <v>7112</v>
      </c>
      <c r="K182" s="1973">
        <v>41771</v>
      </c>
      <c r="L182" s="2638">
        <v>6121.41</v>
      </c>
      <c r="M182" s="1972">
        <v>11303</v>
      </c>
      <c r="N182" s="1973">
        <v>41771</v>
      </c>
      <c r="O182" s="1973">
        <v>41832</v>
      </c>
      <c r="P182" s="1967" t="s">
        <v>6735</v>
      </c>
      <c r="Q182" s="1967" t="s">
        <v>677</v>
      </c>
      <c r="R182" s="1967" t="s">
        <v>677</v>
      </c>
      <c r="S182" s="1967" t="s">
        <v>677</v>
      </c>
      <c r="T182" s="1967" t="s">
        <v>208</v>
      </c>
      <c r="U182" s="1246" t="s">
        <v>267</v>
      </c>
      <c r="V182" s="1244">
        <v>41901</v>
      </c>
      <c r="W182" s="1243" t="s">
        <v>7118</v>
      </c>
      <c r="X182" s="1239" t="s">
        <v>7119</v>
      </c>
      <c r="Y182" s="1244">
        <v>41901</v>
      </c>
      <c r="Z182" s="1244">
        <v>42004</v>
      </c>
      <c r="AA182" s="1242" t="s">
        <v>677</v>
      </c>
      <c r="AB182" s="1242" t="s">
        <v>677</v>
      </c>
      <c r="AC182" s="1242" t="s">
        <v>677</v>
      </c>
      <c r="AD182" s="1319">
        <v>0</v>
      </c>
      <c r="AE182" s="1319">
        <v>0</v>
      </c>
      <c r="AF182" s="1319"/>
      <c r="AG182" s="2638">
        <v>6121.41</v>
      </c>
      <c r="AH182" s="2638">
        <f t="shared" si="11"/>
        <v>6121.41</v>
      </c>
      <c r="AI182" s="1243" t="s">
        <v>677</v>
      </c>
      <c r="AJ182" s="1243" t="s">
        <v>677</v>
      </c>
      <c r="AK182" s="1243" t="s">
        <v>677</v>
      </c>
      <c r="AL182" s="1243" t="s">
        <v>677</v>
      </c>
      <c r="AM182" s="1248" t="s">
        <v>677</v>
      </c>
      <c r="AN182" s="1248" t="s">
        <v>677</v>
      </c>
      <c r="AO182" s="1248" t="s">
        <v>677</v>
      </c>
      <c r="AP182" s="1248" t="s">
        <v>677</v>
      </c>
      <c r="AQ182" s="1248" t="s">
        <v>677</v>
      </c>
      <c r="AR182" s="1248" t="s">
        <v>677</v>
      </c>
      <c r="AS182" s="1243" t="s">
        <v>677</v>
      </c>
      <c r="AT182" s="1243" t="s">
        <v>677</v>
      </c>
      <c r="AU182" s="1243" t="s">
        <v>677</v>
      </c>
      <c r="AV182" s="1243" t="s">
        <v>677</v>
      </c>
      <c r="AW182" s="1243" t="s">
        <v>677</v>
      </c>
      <c r="AX182" s="1243" t="s">
        <v>677</v>
      </c>
      <c r="AY182" s="1243" t="s">
        <v>677</v>
      </c>
      <c r="AZ182" s="1243" t="s">
        <v>677</v>
      </c>
      <c r="BA182" s="1243" t="s">
        <v>677</v>
      </c>
      <c r="BB182" s="1243" t="s">
        <v>677</v>
      </c>
      <c r="BC182" s="1243" t="s">
        <v>677</v>
      </c>
      <c r="BD182" s="1243" t="s">
        <v>677</v>
      </c>
    </row>
    <row r="183" spans="1:56" s="422" customFormat="1" ht="25.5" x14ac:dyDescent="0.25">
      <c r="A183" s="2639"/>
      <c r="B183" s="2080"/>
      <c r="C183" s="1967"/>
      <c r="D183" s="1967"/>
      <c r="E183" s="1967"/>
      <c r="F183" s="2171"/>
      <c r="G183" s="1978"/>
      <c r="H183" s="1978"/>
      <c r="I183" s="2050"/>
      <c r="J183" s="1967"/>
      <c r="K183" s="1973"/>
      <c r="L183" s="2638"/>
      <c r="M183" s="1972"/>
      <c r="N183" s="1973"/>
      <c r="O183" s="1973"/>
      <c r="P183" s="1967"/>
      <c r="Q183" s="1967"/>
      <c r="R183" s="1967"/>
      <c r="S183" s="1967"/>
      <c r="T183" s="1967"/>
      <c r="U183" s="1246" t="s">
        <v>6748</v>
      </c>
      <c r="V183" s="1244">
        <v>42002</v>
      </c>
      <c r="W183" s="1243" t="s">
        <v>6797</v>
      </c>
      <c r="X183" s="1239" t="s">
        <v>7120</v>
      </c>
      <c r="Y183" s="1244">
        <v>42002</v>
      </c>
      <c r="Z183" s="1244">
        <v>41699</v>
      </c>
      <c r="AA183" s="1242" t="s">
        <v>677</v>
      </c>
      <c r="AB183" s="1242" t="s">
        <v>677</v>
      </c>
      <c r="AC183" s="1242" t="s">
        <v>677</v>
      </c>
      <c r="AD183" s="1319">
        <v>0</v>
      </c>
      <c r="AE183" s="1319">
        <v>0</v>
      </c>
      <c r="AF183" s="1319"/>
      <c r="AG183" s="2638"/>
      <c r="AH183" s="2638"/>
      <c r="AI183" s="1243"/>
      <c r="AJ183" s="1243"/>
      <c r="AK183" s="1243"/>
      <c r="AL183" s="1243"/>
      <c r="AM183" s="1248"/>
      <c r="AN183" s="1248"/>
      <c r="AO183" s="1248"/>
      <c r="AP183" s="1248"/>
      <c r="AQ183" s="1248"/>
      <c r="AR183" s="1248"/>
      <c r="AS183" s="1243"/>
      <c r="AT183" s="1243"/>
      <c r="AU183" s="1243"/>
      <c r="AV183" s="1243"/>
      <c r="AW183" s="1243"/>
      <c r="AX183" s="1243"/>
      <c r="AY183" s="1243"/>
      <c r="AZ183" s="1243"/>
      <c r="BA183" s="1243"/>
      <c r="BB183" s="1243"/>
      <c r="BC183" s="1243"/>
      <c r="BD183" s="1243"/>
    </row>
    <row r="184" spans="1:56" s="422" customFormat="1" ht="38.25" x14ac:dyDescent="0.25">
      <c r="A184" s="1879">
        <v>104</v>
      </c>
      <c r="B184" s="1276" t="s">
        <v>2086</v>
      </c>
      <c r="C184" s="1239" t="s">
        <v>677</v>
      </c>
      <c r="D184" s="1239" t="s">
        <v>690</v>
      </c>
      <c r="E184" s="1239" t="s">
        <v>677</v>
      </c>
      <c r="F184" s="1880" t="s">
        <v>7121</v>
      </c>
      <c r="G184" s="1239" t="s">
        <v>677</v>
      </c>
      <c r="H184" s="1246" t="s">
        <v>1862</v>
      </c>
      <c r="I184" s="1273" t="s">
        <v>7056</v>
      </c>
      <c r="J184" s="1239" t="s">
        <v>7057</v>
      </c>
      <c r="K184" s="1244">
        <v>41772</v>
      </c>
      <c r="L184" s="187">
        <v>4720.6000000000004</v>
      </c>
      <c r="M184" s="1243">
        <v>11305</v>
      </c>
      <c r="N184" s="1244">
        <v>41772</v>
      </c>
      <c r="O184" s="1244">
        <v>41833</v>
      </c>
      <c r="P184" s="1239" t="s">
        <v>6763</v>
      </c>
      <c r="Q184" s="1239" t="s">
        <v>677</v>
      </c>
      <c r="R184" s="1239" t="s">
        <v>677</v>
      </c>
      <c r="S184" s="1239" t="s">
        <v>677</v>
      </c>
      <c r="T184" s="1246" t="s">
        <v>316</v>
      </c>
      <c r="U184" s="1246" t="s">
        <v>677</v>
      </c>
      <c r="V184" s="1239" t="s">
        <v>677</v>
      </c>
      <c r="W184" s="1243" t="s">
        <v>677</v>
      </c>
      <c r="X184" s="1239" t="s">
        <v>677</v>
      </c>
      <c r="Y184" s="1244" t="s">
        <v>677</v>
      </c>
      <c r="Z184" s="1244" t="s">
        <v>677</v>
      </c>
      <c r="AA184" s="1242" t="s">
        <v>677</v>
      </c>
      <c r="AB184" s="1239" t="s">
        <v>677</v>
      </c>
      <c r="AC184" s="1319">
        <v>0</v>
      </c>
      <c r="AD184" s="1319">
        <v>0</v>
      </c>
      <c r="AE184" s="1319">
        <f t="shared" si="9"/>
        <v>4720.6000000000004</v>
      </c>
      <c r="AF184" s="1319"/>
      <c r="AG184" s="187">
        <v>4720.6000000000004</v>
      </c>
      <c r="AH184" s="187">
        <f>AF184+AG184</f>
        <v>4720.6000000000004</v>
      </c>
      <c r="AI184" s="1243" t="s">
        <v>677</v>
      </c>
      <c r="AJ184" s="1243" t="s">
        <v>677</v>
      </c>
      <c r="AK184" s="1243" t="s">
        <v>677</v>
      </c>
      <c r="AL184" s="1243" t="s">
        <v>677</v>
      </c>
      <c r="AM184" s="1284" t="s">
        <v>690</v>
      </c>
      <c r="AN184" s="1239" t="s">
        <v>6888</v>
      </c>
      <c r="AO184" s="1243" t="s">
        <v>677</v>
      </c>
      <c r="AP184" s="1243" t="s">
        <v>677</v>
      </c>
      <c r="AQ184" s="1243" t="s">
        <v>677</v>
      </c>
      <c r="AR184" s="1284" t="s">
        <v>677</v>
      </c>
      <c r="AS184" s="1243" t="s">
        <v>677</v>
      </c>
      <c r="AT184" s="1243" t="s">
        <v>677</v>
      </c>
      <c r="AU184" s="1243" t="s">
        <v>677</v>
      </c>
      <c r="AV184" s="1243" t="s">
        <v>677</v>
      </c>
      <c r="AW184" s="1243" t="s">
        <v>677</v>
      </c>
      <c r="AX184" s="1243" t="s">
        <v>677</v>
      </c>
      <c r="AY184" s="1243" t="s">
        <v>677</v>
      </c>
      <c r="AZ184" s="1243" t="s">
        <v>677</v>
      </c>
      <c r="BA184" s="1243" t="s">
        <v>677</v>
      </c>
      <c r="BB184" s="1243" t="s">
        <v>677</v>
      </c>
      <c r="BC184" s="1243" t="s">
        <v>677</v>
      </c>
      <c r="BD184" s="1243" t="s">
        <v>677</v>
      </c>
    </row>
    <row r="185" spans="1:56" s="422" customFormat="1" ht="51" x14ac:dyDescent="0.25">
      <c r="A185" s="1879">
        <v>105</v>
      </c>
      <c r="B185" s="1276" t="s">
        <v>2219</v>
      </c>
      <c r="C185" s="1239" t="s">
        <v>7122</v>
      </c>
      <c r="D185" s="1239" t="s">
        <v>6730</v>
      </c>
      <c r="E185" s="1239" t="s">
        <v>5811</v>
      </c>
      <c r="F185" s="1291" t="s">
        <v>7123</v>
      </c>
      <c r="G185" s="1246" t="s">
        <v>6111</v>
      </c>
      <c r="H185" s="1246" t="s">
        <v>518</v>
      </c>
      <c r="I185" s="1273" t="s">
        <v>7124</v>
      </c>
      <c r="J185" s="1239" t="s">
        <v>800</v>
      </c>
      <c r="K185" s="1244">
        <v>41782</v>
      </c>
      <c r="L185" s="187">
        <v>1683.4</v>
      </c>
      <c r="M185" s="1243">
        <v>11312</v>
      </c>
      <c r="N185" s="1244">
        <v>41782</v>
      </c>
      <c r="O185" s="1244">
        <v>41843</v>
      </c>
      <c r="P185" s="1239" t="s">
        <v>6763</v>
      </c>
      <c r="Q185" s="1239" t="s">
        <v>677</v>
      </c>
      <c r="R185" s="1239" t="s">
        <v>677</v>
      </c>
      <c r="S185" s="1239" t="s">
        <v>677</v>
      </c>
      <c r="T185" s="1239" t="s">
        <v>316</v>
      </c>
      <c r="U185" s="1246" t="s">
        <v>677</v>
      </c>
      <c r="V185" s="1239" t="s">
        <v>677</v>
      </c>
      <c r="W185" s="1243" t="s">
        <v>677</v>
      </c>
      <c r="X185" s="1239" t="s">
        <v>677</v>
      </c>
      <c r="Y185" s="1244" t="s">
        <v>677</v>
      </c>
      <c r="Z185" s="1244" t="s">
        <v>677</v>
      </c>
      <c r="AA185" s="1242" t="s">
        <v>677</v>
      </c>
      <c r="AB185" s="1239" t="s">
        <v>677</v>
      </c>
      <c r="AC185" s="1319">
        <v>0</v>
      </c>
      <c r="AD185" s="1319">
        <v>0</v>
      </c>
      <c r="AE185" s="1319">
        <f t="shared" si="9"/>
        <v>1683.4</v>
      </c>
      <c r="AF185" s="1319"/>
      <c r="AG185" s="187">
        <v>1683.4</v>
      </c>
      <c r="AH185" s="187">
        <f t="shared" si="11"/>
        <v>1683.4</v>
      </c>
      <c r="AI185" s="1265" t="s">
        <v>777</v>
      </c>
      <c r="AJ185" s="1243">
        <v>11247</v>
      </c>
      <c r="AK185" s="572" t="s">
        <v>7125</v>
      </c>
      <c r="AL185" s="1284">
        <v>11255</v>
      </c>
      <c r="AM185" s="1248" t="s">
        <v>677</v>
      </c>
      <c r="AN185" s="1248" t="s">
        <v>677</v>
      </c>
      <c r="AO185" s="1248" t="s">
        <v>677</v>
      </c>
      <c r="AP185" s="1248" t="s">
        <v>677</v>
      </c>
      <c r="AQ185" s="1248" t="s">
        <v>677</v>
      </c>
      <c r="AR185" s="1248" t="s">
        <v>677</v>
      </c>
      <c r="AS185" s="1243" t="s">
        <v>677</v>
      </c>
      <c r="AT185" s="1243" t="s">
        <v>677</v>
      </c>
      <c r="AU185" s="1243" t="s">
        <v>677</v>
      </c>
      <c r="AV185" s="1243" t="s">
        <v>677</v>
      </c>
      <c r="AW185" s="1243" t="s">
        <v>677</v>
      </c>
      <c r="AX185" s="1243" t="s">
        <v>677</v>
      </c>
      <c r="AY185" s="1243" t="s">
        <v>677</v>
      </c>
      <c r="AZ185" s="1243" t="s">
        <v>677</v>
      </c>
      <c r="BA185" s="1243" t="s">
        <v>677</v>
      </c>
      <c r="BB185" s="1243" t="s">
        <v>677</v>
      </c>
      <c r="BC185" s="1243" t="s">
        <v>677</v>
      </c>
      <c r="BD185" s="1243" t="s">
        <v>677</v>
      </c>
    </row>
    <row r="186" spans="1:56" s="422" customFormat="1" ht="51" x14ac:dyDescent="0.25">
      <c r="A186" s="1879">
        <v>106</v>
      </c>
      <c r="B186" s="1276" t="s">
        <v>2219</v>
      </c>
      <c r="C186" s="1239" t="s">
        <v>7122</v>
      </c>
      <c r="D186" s="1239" t="s">
        <v>6730</v>
      </c>
      <c r="E186" s="1239" t="s">
        <v>5811</v>
      </c>
      <c r="F186" s="1291" t="s">
        <v>7123</v>
      </c>
      <c r="G186" s="1246" t="s">
        <v>6111</v>
      </c>
      <c r="H186" s="1246" t="s">
        <v>1872</v>
      </c>
      <c r="I186" s="1273" t="s">
        <v>7124</v>
      </c>
      <c r="J186" s="1239" t="s">
        <v>800</v>
      </c>
      <c r="K186" s="1244">
        <v>41782</v>
      </c>
      <c r="L186" s="187">
        <v>24419</v>
      </c>
      <c r="M186" s="1243">
        <v>11312</v>
      </c>
      <c r="N186" s="1244">
        <v>41782</v>
      </c>
      <c r="O186" s="1244">
        <v>41843</v>
      </c>
      <c r="P186" s="1239" t="s">
        <v>6763</v>
      </c>
      <c r="Q186" s="1239" t="s">
        <v>677</v>
      </c>
      <c r="R186" s="1239" t="s">
        <v>677</v>
      </c>
      <c r="S186" s="1239" t="s">
        <v>677</v>
      </c>
      <c r="T186" s="1239" t="s">
        <v>316</v>
      </c>
      <c r="U186" s="1246" t="s">
        <v>677</v>
      </c>
      <c r="V186" s="1239" t="s">
        <v>677</v>
      </c>
      <c r="W186" s="1243" t="s">
        <v>677</v>
      </c>
      <c r="X186" s="1239" t="s">
        <v>677</v>
      </c>
      <c r="Y186" s="1244" t="s">
        <v>677</v>
      </c>
      <c r="Z186" s="1244" t="s">
        <v>677</v>
      </c>
      <c r="AA186" s="1242" t="s">
        <v>677</v>
      </c>
      <c r="AB186" s="1239" t="s">
        <v>677</v>
      </c>
      <c r="AC186" s="1319">
        <v>0</v>
      </c>
      <c r="AD186" s="1319">
        <v>0</v>
      </c>
      <c r="AE186" s="1319">
        <f t="shared" si="9"/>
        <v>24419</v>
      </c>
      <c r="AF186" s="1319"/>
      <c r="AG186" s="187">
        <v>24419</v>
      </c>
      <c r="AH186" s="187">
        <f t="shared" si="11"/>
        <v>24419</v>
      </c>
      <c r="AI186" s="1265" t="s">
        <v>777</v>
      </c>
      <c r="AJ186" s="1243">
        <v>11247</v>
      </c>
      <c r="AK186" s="572" t="s">
        <v>7125</v>
      </c>
      <c r="AL186" s="1284">
        <v>11255</v>
      </c>
      <c r="AM186" s="1248" t="s">
        <v>677</v>
      </c>
      <c r="AN186" s="1248" t="s">
        <v>677</v>
      </c>
      <c r="AO186" s="1248" t="s">
        <v>677</v>
      </c>
      <c r="AP186" s="1248" t="s">
        <v>677</v>
      </c>
      <c r="AQ186" s="1248" t="s">
        <v>677</v>
      </c>
      <c r="AR186" s="1248" t="s">
        <v>677</v>
      </c>
      <c r="AS186" s="1243" t="s">
        <v>677</v>
      </c>
      <c r="AT186" s="1243" t="s">
        <v>677</v>
      </c>
      <c r="AU186" s="1243" t="s">
        <v>677</v>
      </c>
      <c r="AV186" s="1243" t="s">
        <v>677</v>
      </c>
      <c r="AW186" s="1243" t="s">
        <v>677</v>
      </c>
      <c r="AX186" s="1243" t="s">
        <v>677</v>
      </c>
      <c r="AY186" s="1243" t="s">
        <v>677</v>
      </c>
      <c r="AZ186" s="1243" t="s">
        <v>677</v>
      </c>
      <c r="BA186" s="1243" t="s">
        <v>677</v>
      </c>
      <c r="BB186" s="1243" t="s">
        <v>677</v>
      </c>
      <c r="BC186" s="1243" t="s">
        <v>677</v>
      </c>
      <c r="BD186" s="1243" t="s">
        <v>677</v>
      </c>
    </row>
    <row r="187" spans="1:56" s="422" customFormat="1" ht="51" x14ac:dyDescent="0.25">
      <c r="A187" s="1879">
        <v>107</v>
      </c>
      <c r="B187" s="1276" t="s">
        <v>2223</v>
      </c>
      <c r="C187" s="1239" t="s">
        <v>7122</v>
      </c>
      <c r="D187" s="1239" t="s">
        <v>6730</v>
      </c>
      <c r="E187" s="1239" t="s">
        <v>5811</v>
      </c>
      <c r="F187" s="1291" t="s">
        <v>7126</v>
      </c>
      <c r="G187" s="1246" t="s">
        <v>6111</v>
      </c>
      <c r="H187" s="1246" t="s">
        <v>1875</v>
      </c>
      <c r="I187" s="1273" t="s">
        <v>7127</v>
      </c>
      <c r="J187" s="1239" t="s">
        <v>1159</v>
      </c>
      <c r="K187" s="1244">
        <v>41782</v>
      </c>
      <c r="L187" s="187">
        <v>6556.6</v>
      </c>
      <c r="M187" s="1246" t="s">
        <v>7128</v>
      </c>
      <c r="N187" s="1244">
        <v>41782</v>
      </c>
      <c r="O187" s="1244">
        <v>41843</v>
      </c>
      <c r="P187" s="1239" t="s">
        <v>6926</v>
      </c>
      <c r="Q187" s="1239" t="s">
        <v>677</v>
      </c>
      <c r="R187" s="1239" t="s">
        <v>677</v>
      </c>
      <c r="S187" s="1239" t="s">
        <v>677</v>
      </c>
      <c r="T187" s="1239" t="s">
        <v>316</v>
      </c>
      <c r="U187" s="1246" t="s">
        <v>677</v>
      </c>
      <c r="V187" s="1239" t="s">
        <v>677</v>
      </c>
      <c r="W187" s="1243" t="s">
        <v>677</v>
      </c>
      <c r="X187" s="1239" t="s">
        <v>677</v>
      </c>
      <c r="Y187" s="1244" t="s">
        <v>677</v>
      </c>
      <c r="Z187" s="1244" t="s">
        <v>677</v>
      </c>
      <c r="AA187" s="1242" t="s">
        <v>677</v>
      </c>
      <c r="AB187" s="1239" t="s">
        <v>677</v>
      </c>
      <c r="AC187" s="1319">
        <v>0</v>
      </c>
      <c r="AD187" s="1319">
        <v>0</v>
      </c>
      <c r="AE187" s="1319">
        <f t="shared" si="9"/>
        <v>6556.6</v>
      </c>
      <c r="AF187" s="1319"/>
      <c r="AG187" s="187">
        <v>6556</v>
      </c>
      <c r="AH187" s="187">
        <f t="shared" si="11"/>
        <v>6556</v>
      </c>
      <c r="AI187" s="1265" t="s">
        <v>777</v>
      </c>
      <c r="AJ187" s="1243">
        <v>11247</v>
      </c>
      <c r="AK187" s="572" t="s">
        <v>7125</v>
      </c>
      <c r="AL187" s="1284">
        <v>11255</v>
      </c>
      <c r="AM187" s="1248" t="s">
        <v>677</v>
      </c>
      <c r="AN187" s="1248" t="s">
        <v>677</v>
      </c>
      <c r="AO187" s="1248" t="s">
        <v>677</v>
      </c>
      <c r="AP187" s="1248" t="s">
        <v>677</v>
      </c>
      <c r="AQ187" s="1248" t="s">
        <v>677</v>
      </c>
      <c r="AR187" s="1248" t="s">
        <v>677</v>
      </c>
      <c r="AS187" s="1243" t="s">
        <v>677</v>
      </c>
      <c r="AT187" s="1243" t="s">
        <v>677</v>
      </c>
      <c r="AU187" s="1243" t="s">
        <v>677</v>
      </c>
      <c r="AV187" s="1243" t="s">
        <v>677</v>
      </c>
      <c r="AW187" s="1243" t="s">
        <v>677</v>
      </c>
      <c r="AX187" s="1243" t="s">
        <v>677</v>
      </c>
      <c r="AY187" s="1243" t="s">
        <v>677</v>
      </c>
      <c r="AZ187" s="1243" t="s">
        <v>677</v>
      </c>
      <c r="BA187" s="1243" t="s">
        <v>677</v>
      </c>
      <c r="BB187" s="1243" t="s">
        <v>677</v>
      </c>
      <c r="BC187" s="1243" t="s">
        <v>677</v>
      </c>
      <c r="BD187" s="1243" t="s">
        <v>677</v>
      </c>
    </row>
    <row r="188" spans="1:56" s="422" customFormat="1" ht="63.75" x14ac:dyDescent="0.25">
      <c r="A188" s="1879">
        <v>108</v>
      </c>
      <c r="B188" s="1276" t="s">
        <v>2212</v>
      </c>
      <c r="C188" s="1239" t="s">
        <v>7129</v>
      </c>
      <c r="D188" s="1239" t="s">
        <v>6800</v>
      </c>
      <c r="E188" s="1239" t="s">
        <v>5811</v>
      </c>
      <c r="F188" s="1291" t="s">
        <v>7130</v>
      </c>
      <c r="G188" s="1243">
        <v>11090</v>
      </c>
      <c r="H188" s="1246" t="s">
        <v>1880</v>
      </c>
      <c r="I188" s="1273" t="s">
        <v>7131</v>
      </c>
      <c r="J188" s="1239" t="s">
        <v>5107</v>
      </c>
      <c r="K188" s="1244">
        <v>41785</v>
      </c>
      <c r="L188" s="187">
        <v>2600</v>
      </c>
      <c r="M188" s="1246" t="s">
        <v>7128</v>
      </c>
      <c r="N188" s="1244">
        <v>41768</v>
      </c>
      <c r="O188" s="1244">
        <v>42133</v>
      </c>
      <c r="P188" s="1239" t="s">
        <v>6926</v>
      </c>
      <c r="Q188" s="1239" t="s">
        <v>677</v>
      </c>
      <c r="R188" s="1239" t="s">
        <v>677</v>
      </c>
      <c r="S188" s="1239" t="s">
        <v>677</v>
      </c>
      <c r="T188" s="1239" t="s">
        <v>316</v>
      </c>
      <c r="U188" s="1246" t="s">
        <v>677</v>
      </c>
      <c r="V188" s="1239" t="s">
        <v>677</v>
      </c>
      <c r="W188" s="1243" t="s">
        <v>677</v>
      </c>
      <c r="X188" s="1239" t="s">
        <v>677</v>
      </c>
      <c r="Y188" s="1244" t="s">
        <v>677</v>
      </c>
      <c r="Z188" s="1244" t="s">
        <v>677</v>
      </c>
      <c r="AA188" s="1242" t="s">
        <v>677</v>
      </c>
      <c r="AB188" s="1239" t="s">
        <v>677</v>
      </c>
      <c r="AC188" s="1319">
        <v>0</v>
      </c>
      <c r="AD188" s="1319">
        <v>0</v>
      </c>
      <c r="AE188" s="1319">
        <f t="shared" si="9"/>
        <v>2600</v>
      </c>
      <c r="AF188" s="1319"/>
      <c r="AG188" s="187">
        <v>2593</v>
      </c>
      <c r="AH188" s="187">
        <f t="shared" si="11"/>
        <v>2593</v>
      </c>
      <c r="AI188" s="1265" t="s">
        <v>4339</v>
      </c>
      <c r="AJ188" s="1243">
        <v>11101</v>
      </c>
      <c r="AK188" s="1291" t="s">
        <v>761</v>
      </c>
      <c r="AL188" s="1243">
        <v>11090</v>
      </c>
      <c r="AM188" s="1248" t="s">
        <v>677</v>
      </c>
      <c r="AN188" s="1248" t="s">
        <v>677</v>
      </c>
      <c r="AO188" s="1248" t="s">
        <v>677</v>
      </c>
      <c r="AP188" s="1248" t="s">
        <v>677</v>
      </c>
      <c r="AQ188" s="1248" t="s">
        <v>677</v>
      </c>
      <c r="AR188" s="1248" t="s">
        <v>677</v>
      </c>
      <c r="AS188" s="1243" t="s">
        <v>677</v>
      </c>
      <c r="AT188" s="1243" t="s">
        <v>677</v>
      </c>
      <c r="AU188" s="1243" t="s">
        <v>677</v>
      </c>
      <c r="AV188" s="1243" t="s">
        <v>677</v>
      </c>
      <c r="AW188" s="1243" t="s">
        <v>677</v>
      </c>
      <c r="AX188" s="1243" t="s">
        <v>677</v>
      </c>
      <c r="AY188" s="1243" t="s">
        <v>677</v>
      </c>
      <c r="AZ188" s="1243" t="s">
        <v>677</v>
      </c>
      <c r="BA188" s="1243" t="s">
        <v>677</v>
      </c>
      <c r="BB188" s="1243" t="s">
        <v>677</v>
      </c>
      <c r="BC188" s="1243" t="s">
        <v>677</v>
      </c>
      <c r="BD188" s="1243" t="s">
        <v>677</v>
      </c>
    </row>
    <row r="189" spans="1:56" s="422" customFormat="1" ht="38.25" x14ac:dyDescent="0.25">
      <c r="A189" s="1879">
        <v>109</v>
      </c>
      <c r="B189" s="1276" t="s">
        <v>783</v>
      </c>
      <c r="C189" s="1239" t="s">
        <v>7132</v>
      </c>
      <c r="D189" s="1239" t="s">
        <v>6730</v>
      </c>
      <c r="E189" s="1239" t="s">
        <v>5811</v>
      </c>
      <c r="F189" s="1291" t="s">
        <v>7133</v>
      </c>
      <c r="G189" s="1246" t="s">
        <v>6677</v>
      </c>
      <c r="H189" s="1246" t="s">
        <v>1886</v>
      </c>
      <c r="I189" s="1273" t="s">
        <v>2110</v>
      </c>
      <c r="J189" s="1239" t="s">
        <v>718</v>
      </c>
      <c r="K189" s="1244">
        <v>41785</v>
      </c>
      <c r="L189" s="187">
        <v>390</v>
      </c>
      <c r="M189" s="1246" t="s">
        <v>7128</v>
      </c>
      <c r="N189" s="1244">
        <v>41785</v>
      </c>
      <c r="O189" s="1244">
        <v>41846</v>
      </c>
      <c r="P189" s="1239" t="s">
        <v>6735</v>
      </c>
      <c r="Q189" s="1239" t="s">
        <v>677</v>
      </c>
      <c r="R189" s="1239" t="s">
        <v>677</v>
      </c>
      <c r="S189" s="1239" t="s">
        <v>677</v>
      </c>
      <c r="T189" s="1239" t="s">
        <v>408</v>
      </c>
      <c r="U189" s="1246" t="s">
        <v>677</v>
      </c>
      <c r="V189" s="1239" t="s">
        <v>677</v>
      </c>
      <c r="W189" s="1243" t="s">
        <v>677</v>
      </c>
      <c r="X189" s="1239" t="s">
        <v>677</v>
      </c>
      <c r="Y189" s="1244" t="s">
        <v>677</v>
      </c>
      <c r="Z189" s="1244" t="s">
        <v>677</v>
      </c>
      <c r="AA189" s="1242" t="s">
        <v>677</v>
      </c>
      <c r="AB189" s="1239" t="s">
        <v>677</v>
      </c>
      <c r="AC189" s="1319">
        <v>0</v>
      </c>
      <c r="AD189" s="1319">
        <v>0</v>
      </c>
      <c r="AE189" s="1319">
        <f t="shared" si="9"/>
        <v>390</v>
      </c>
      <c r="AF189" s="1319"/>
      <c r="AG189" s="187">
        <v>390</v>
      </c>
      <c r="AH189" s="187">
        <f t="shared" si="11"/>
        <v>390</v>
      </c>
      <c r="AI189" s="1243" t="s">
        <v>677</v>
      </c>
      <c r="AJ189" s="1243" t="s">
        <v>677</v>
      </c>
      <c r="AK189" s="1243" t="s">
        <v>677</v>
      </c>
      <c r="AL189" s="1243" t="s">
        <v>677</v>
      </c>
      <c r="AM189" s="1248" t="s">
        <v>677</v>
      </c>
      <c r="AN189" s="1248" t="s">
        <v>677</v>
      </c>
      <c r="AO189" s="1248" t="s">
        <v>677</v>
      </c>
      <c r="AP189" s="1248" t="s">
        <v>677</v>
      </c>
      <c r="AQ189" s="1248" t="s">
        <v>677</v>
      </c>
      <c r="AR189" s="1248" t="s">
        <v>677</v>
      </c>
      <c r="AS189" s="1243" t="s">
        <v>677</v>
      </c>
      <c r="AT189" s="1243" t="s">
        <v>677</v>
      </c>
      <c r="AU189" s="1243" t="s">
        <v>677</v>
      </c>
      <c r="AV189" s="1243" t="s">
        <v>677</v>
      </c>
      <c r="AW189" s="1243" t="s">
        <v>677</v>
      </c>
      <c r="AX189" s="1243" t="s">
        <v>677</v>
      </c>
      <c r="AY189" s="1243" t="s">
        <v>677</v>
      </c>
      <c r="AZ189" s="1243" t="s">
        <v>677</v>
      </c>
      <c r="BA189" s="1243" t="s">
        <v>677</v>
      </c>
      <c r="BB189" s="1243" t="s">
        <v>677</v>
      </c>
      <c r="BC189" s="1243" t="s">
        <v>677</v>
      </c>
      <c r="BD189" s="1243" t="s">
        <v>677</v>
      </c>
    </row>
    <row r="190" spans="1:56" s="422" customFormat="1" ht="38.25" x14ac:dyDescent="0.25">
      <c r="A190" s="1879">
        <v>110</v>
      </c>
      <c r="B190" s="1276" t="s">
        <v>835</v>
      </c>
      <c r="C190" s="1239" t="s">
        <v>7134</v>
      </c>
      <c r="D190" s="1239" t="s">
        <v>6730</v>
      </c>
      <c r="E190" s="1239" t="s">
        <v>5811</v>
      </c>
      <c r="F190" s="1291" t="s">
        <v>6917</v>
      </c>
      <c r="G190" s="1246" t="s">
        <v>7135</v>
      </c>
      <c r="H190" s="1246" t="s">
        <v>1897</v>
      </c>
      <c r="I190" s="1273" t="s">
        <v>6919</v>
      </c>
      <c r="J190" s="1239" t="s">
        <v>4427</v>
      </c>
      <c r="K190" s="1244">
        <v>41785</v>
      </c>
      <c r="L190" s="187">
        <v>7260</v>
      </c>
      <c r="M190" s="1246" t="s">
        <v>7128</v>
      </c>
      <c r="N190" s="1244">
        <v>41785</v>
      </c>
      <c r="O190" s="1244">
        <v>41846</v>
      </c>
      <c r="P190" s="1239" t="s">
        <v>6735</v>
      </c>
      <c r="Q190" s="1239" t="s">
        <v>677</v>
      </c>
      <c r="R190" s="1239" t="s">
        <v>677</v>
      </c>
      <c r="S190" s="1239" t="s">
        <v>677</v>
      </c>
      <c r="T190" s="1239" t="s">
        <v>7136</v>
      </c>
      <c r="U190" s="1246" t="s">
        <v>677</v>
      </c>
      <c r="V190" s="1239" t="s">
        <v>677</v>
      </c>
      <c r="W190" s="1243" t="s">
        <v>677</v>
      </c>
      <c r="X190" s="1239" t="s">
        <v>677</v>
      </c>
      <c r="Y190" s="1244" t="s">
        <v>677</v>
      </c>
      <c r="Z190" s="1244" t="s">
        <v>677</v>
      </c>
      <c r="AA190" s="1242" t="s">
        <v>677</v>
      </c>
      <c r="AB190" s="1239" t="s">
        <v>677</v>
      </c>
      <c r="AC190" s="1319">
        <v>0</v>
      </c>
      <c r="AD190" s="1319">
        <v>0</v>
      </c>
      <c r="AE190" s="1319">
        <f t="shared" si="9"/>
        <v>7260</v>
      </c>
      <c r="AF190" s="1319"/>
      <c r="AG190" s="187">
        <v>4422</v>
      </c>
      <c r="AH190" s="187">
        <f t="shared" si="11"/>
        <v>4422</v>
      </c>
      <c r="AI190" s="1243" t="s">
        <v>677</v>
      </c>
      <c r="AJ190" s="1243" t="s">
        <v>677</v>
      </c>
      <c r="AK190" s="1243" t="s">
        <v>677</v>
      </c>
      <c r="AL190" s="1243" t="s">
        <v>677</v>
      </c>
      <c r="AM190" s="1248" t="s">
        <v>677</v>
      </c>
      <c r="AN190" s="1248" t="s">
        <v>677</v>
      </c>
      <c r="AO190" s="1248" t="s">
        <v>677</v>
      </c>
      <c r="AP190" s="1248" t="s">
        <v>677</v>
      </c>
      <c r="AQ190" s="1248" t="s">
        <v>677</v>
      </c>
      <c r="AR190" s="1248" t="s">
        <v>677</v>
      </c>
      <c r="AS190" s="1243" t="s">
        <v>677</v>
      </c>
      <c r="AT190" s="1243" t="s">
        <v>677</v>
      </c>
      <c r="AU190" s="1243" t="s">
        <v>677</v>
      </c>
      <c r="AV190" s="1243" t="s">
        <v>677</v>
      </c>
      <c r="AW190" s="1243" t="s">
        <v>677</v>
      </c>
      <c r="AX190" s="1243" t="s">
        <v>677</v>
      </c>
      <c r="AY190" s="1243" t="s">
        <v>677</v>
      </c>
      <c r="AZ190" s="1243" t="s">
        <v>677</v>
      </c>
      <c r="BA190" s="1243" t="s">
        <v>677</v>
      </c>
      <c r="BB190" s="1243" t="s">
        <v>677</v>
      </c>
      <c r="BC190" s="1243" t="s">
        <v>677</v>
      </c>
      <c r="BD190" s="1243" t="s">
        <v>677</v>
      </c>
    </row>
    <row r="191" spans="1:56" s="422" customFormat="1" ht="38.25" x14ac:dyDescent="0.25">
      <c r="A191" s="1879">
        <v>111</v>
      </c>
      <c r="B191" s="1276" t="s">
        <v>1875</v>
      </c>
      <c r="C191" s="1239" t="s">
        <v>7137</v>
      </c>
      <c r="D191" s="1239" t="s">
        <v>6730</v>
      </c>
      <c r="E191" s="1239" t="s">
        <v>5811</v>
      </c>
      <c r="F191" s="1291" t="s">
        <v>7138</v>
      </c>
      <c r="G191" s="1246" t="s">
        <v>6990</v>
      </c>
      <c r="H191" s="1246" t="s">
        <v>460</v>
      </c>
      <c r="I191" s="1273" t="s">
        <v>6991</v>
      </c>
      <c r="J191" s="1239" t="s">
        <v>749</v>
      </c>
      <c r="K191" s="1244">
        <v>41785</v>
      </c>
      <c r="L191" s="187">
        <v>2500.5</v>
      </c>
      <c r="M191" s="1246" t="s">
        <v>7139</v>
      </c>
      <c r="N191" s="1244">
        <v>41785</v>
      </c>
      <c r="O191" s="1244">
        <v>41846</v>
      </c>
      <c r="P191" s="1239" t="s">
        <v>6735</v>
      </c>
      <c r="Q191" s="1239" t="s">
        <v>677</v>
      </c>
      <c r="R191" s="1239" t="s">
        <v>677</v>
      </c>
      <c r="S191" s="1239" t="s">
        <v>677</v>
      </c>
      <c r="T191" s="1239" t="s">
        <v>316</v>
      </c>
      <c r="U191" s="1246" t="s">
        <v>677</v>
      </c>
      <c r="V191" s="1239" t="s">
        <v>677</v>
      </c>
      <c r="W191" s="1243" t="s">
        <v>677</v>
      </c>
      <c r="X191" s="1239" t="s">
        <v>677</v>
      </c>
      <c r="Y191" s="1244" t="s">
        <v>677</v>
      </c>
      <c r="Z191" s="1244" t="s">
        <v>677</v>
      </c>
      <c r="AA191" s="1242" t="s">
        <v>677</v>
      </c>
      <c r="AB191" s="1239" t="s">
        <v>677</v>
      </c>
      <c r="AC191" s="1319">
        <v>0</v>
      </c>
      <c r="AD191" s="1319">
        <v>0</v>
      </c>
      <c r="AE191" s="1319">
        <f t="shared" si="9"/>
        <v>2500.5</v>
      </c>
      <c r="AF191" s="1319"/>
      <c r="AG191" s="187">
        <v>2500.5</v>
      </c>
      <c r="AH191" s="187">
        <f t="shared" si="11"/>
        <v>2500.5</v>
      </c>
      <c r="AI191" s="1243" t="s">
        <v>677</v>
      </c>
      <c r="AJ191" s="1243" t="s">
        <v>677</v>
      </c>
      <c r="AK191" s="1243" t="s">
        <v>677</v>
      </c>
      <c r="AL191" s="1243" t="s">
        <v>677</v>
      </c>
      <c r="AM191" s="1248" t="s">
        <v>677</v>
      </c>
      <c r="AN191" s="1248" t="s">
        <v>677</v>
      </c>
      <c r="AO191" s="1248" t="s">
        <v>677</v>
      </c>
      <c r="AP191" s="1248" t="s">
        <v>677</v>
      </c>
      <c r="AQ191" s="1248" t="s">
        <v>677</v>
      </c>
      <c r="AR191" s="1248" t="s">
        <v>677</v>
      </c>
      <c r="AS191" s="1243" t="s">
        <v>677</v>
      </c>
      <c r="AT191" s="1243" t="s">
        <v>677</v>
      </c>
      <c r="AU191" s="1243" t="s">
        <v>677</v>
      </c>
      <c r="AV191" s="1243" t="s">
        <v>677</v>
      </c>
      <c r="AW191" s="1243" t="s">
        <v>677</v>
      </c>
      <c r="AX191" s="1243" t="s">
        <v>677</v>
      </c>
      <c r="AY191" s="1243" t="s">
        <v>677</v>
      </c>
      <c r="AZ191" s="1243" t="s">
        <v>677</v>
      </c>
      <c r="BA191" s="1243" t="s">
        <v>677</v>
      </c>
      <c r="BB191" s="1243" t="s">
        <v>677</v>
      </c>
      <c r="BC191" s="1243" t="s">
        <v>677</v>
      </c>
      <c r="BD191" s="1243" t="s">
        <v>677</v>
      </c>
    </row>
    <row r="192" spans="1:56" s="422" customFormat="1" ht="38.25" x14ac:dyDescent="0.25">
      <c r="A192" s="1879">
        <v>112</v>
      </c>
      <c r="B192" s="1276" t="s">
        <v>1914</v>
      </c>
      <c r="C192" s="1239" t="s">
        <v>7140</v>
      </c>
      <c r="D192" s="1239" t="s">
        <v>6730</v>
      </c>
      <c r="E192" s="1239" t="s">
        <v>5811</v>
      </c>
      <c r="F192" s="1291" t="s">
        <v>7141</v>
      </c>
      <c r="G192" s="1246" t="s">
        <v>7142</v>
      </c>
      <c r="H192" s="1246" t="s">
        <v>1911</v>
      </c>
      <c r="I192" s="1273" t="s">
        <v>7143</v>
      </c>
      <c r="J192" s="1239" t="s">
        <v>7144</v>
      </c>
      <c r="K192" s="1244">
        <v>41787</v>
      </c>
      <c r="L192" s="187">
        <v>144500</v>
      </c>
      <c r="M192" s="1246" t="s">
        <v>7145</v>
      </c>
      <c r="N192" s="1244">
        <v>41787</v>
      </c>
      <c r="O192" s="1244">
        <v>42152</v>
      </c>
      <c r="P192" s="1239" t="s">
        <v>6763</v>
      </c>
      <c r="Q192" s="1239" t="s">
        <v>677</v>
      </c>
      <c r="R192" s="1239" t="s">
        <v>677</v>
      </c>
      <c r="S192" s="1239" t="s">
        <v>677</v>
      </c>
      <c r="T192" s="1239" t="s">
        <v>208</v>
      </c>
      <c r="U192" s="1246" t="s">
        <v>677</v>
      </c>
      <c r="V192" s="1239" t="s">
        <v>677</v>
      </c>
      <c r="W192" s="1243" t="s">
        <v>677</v>
      </c>
      <c r="X192" s="1239" t="s">
        <v>677</v>
      </c>
      <c r="Y192" s="1244" t="s">
        <v>677</v>
      </c>
      <c r="Z192" s="1244" t="s">
        <v>677</v>
      </c>
      <c r="AA192" s="1242" t="s">
        <v>677</v>
      </c>
      <c r="AB192" s="1239" t="s">
        <v>677</v>
      </c>
      <c r="AC192" s="1319">
        <v>0</v>
      </c>
      <c r="AD192" s="1319">
        <v>0</v>
      </c>
      <c r="AE192" s="1319">
        <f t="shared" si="9"/>
        <v>144500</v>
      </c>
      <c r="AF192" s="1319"/>
      <c r="AG192" s="187">
        <v>0</v>
      </c>
      <c r="AH192" s="187">
        <v>144500</v>
      </c>
      <c r="AI192" s="1243" t="s">
        <v>677</v>
      </c>
      <c r="AJ192" s="1243" t="s">
        <v>677</v>
      </c>
      <c r="AK192" s="1243" t="s">
        <v>677</v>
      </c>
      <c r="AL192" s="1243" t="s">
        <v>677</v>
      </c>
      <c r="AM192" s="1248" t="s">
        <v>677</v>
      </c>
      <c r="AN192" s="1248" t="s">
        <v>677</v>
      </c>
      <c r="AO192" s="1248" t="s">
        <v>677</v>
      </c>
      <c r="AP192" s="1248" t="s">
        <v>677</v>
      </c>
      <c r="AQ192" s="1248" t="s">
        <v>677</v>
      </c>
      <c r="AR192" s="1248" t="s">
        <v>677</v>
      </c>
      <c r="AS192" s="1243" t="s">
        <v>677</v>
      </c>
      <c r="AT192" s="1243" t="s">
        <v>677</v>
      </c>
      <c r="AU192" s="1243" t="s">
        <v>677</v>
      </c>
      <c r="AV192" s="1243" t="s">
        <v>677</v>
      </c>
      <c r="AW192" s="1243" t="s">
        <v>677</v>
      </c>
      <c r="AX192" s="1243" t="s">
        <v>677</v>
      </c>
      <c r="AY192" s="1243" t="s">
        <v>677</v>
      </c>
      <c r="AZ192" s="1243" t="s">
        <v>677</v>
      </c>
      <c r="BA192" s="1243" t="s">
        <v>677</v>
      </c>
      <c r="BB192" s="1243" t="s">
        <v>677</v>
      </c>
      <c r="BC192" s="1243" t="s">
        <v>677</v>
      </c>
      <c r="BD192" s="1243" t="s">
        <v>677</v>
      </c>
    </row>
    <row r="193" spans="1:56" s="422" customFormat="1" ht="38.25" x14ac:dyDescent="0.25">
      <c r="A193" s="1879">
        <v>113</v>
      </c>
      <c r="B193" s="1276" t="s">
        <v>2266</v>
      </c>
      <c r="C193" s="1239" t="s">
        <v>677</v>
      </c>
      <c r="D193" s="1239" t="s">
        <v>690</v>
      </c>
      <c r="E193" s="1239" t="s">
        <v>5811</v>
      </c>
      <c r="F193" s="1880" t="s">
        <v>7146</v>
      </c>
      <c r="G193" s="1243">
        <v>11320</v>
      </c>
      <c r="H193" s="1246" t="s">
        <v>1914</v>
      </c>
      <c r="I193" s="1273" t="s">
        <v>7147</v>
      </c>
      <c r="J193" s="1239" t="s">
        <v>7148</v>
      </c>
      <c r="K193" s="1244">
        <v>41773</v>
      </c>
      <c r="L193" s="187">
        <v>10748</v>
      </c>
      <c r="M193" s="1246" t="s">
        <v>7149</v>
      </c>
      <c r="N193" s="1244">
        <v>41773</v>
      </c>
      <c r="O193" s="1244">
        <v>41834</v>
      </c>
      <c r="P193" s="1239" t="s">
        <v>6763</v>
      </c>
      <c r="Q193" s="1239" t="s">
        <v>677</v>
      </c>
      <c r="R193" s="1239" t="s">
        <v>677</v>
      </c>
      <c r="S193" s="1239" t="s">
        <v>677</v>
      </c>
      <c r="T193" s="1246" t="s">
        <v>316</v>
      </c>
      <c r="U193" s="1246" t="s">
        <v>677</v>
      </c>
      <c r="V193" s="1239" t="s">
        <v>677</v>
      </c>
      <c r="W193" s="1243" t="s">
        <v>677</v>
      </c>
      <c r="X193" s="1239" t="s">
        <v>677</v>
      </c>
      <c r="Y193" s="1244" t="s">
        <v>677</v>
      </c>
      <c r="Z193" s="1244" t="s">
        <v>677</v>
      </c>
      <c r="AA193" s="1242" t="s">
        <v>677</v>
      </c>
      <c r="AB193" s="1239" t="s">
        <v>677</v>
      </c>
      <c r="AC193" s="1319">
        <v>0</v>
      </c>
      <c r="AD193" s="1319">
        <v>0</v>
      </c>
      <c r="AE193" s="1319">
        <f t="shared" si="9"/>
        <v>10748</v>
      </c>
      <c r="AF193" s="1319"/>
      <c r="AG193" s="187">
        <v>10748</v>
      </c>
      <c r="AH193" s="187">
        <f>AF193+AG193</f>
        <v>10748</v>
      </c>
      <c r="AI193" s="1243" t="s">
        <v>677</v>
      </c>
      <c r="AJ193" s="1243" t="s">
        <v>677</v>
      </c>
      <c r="AK193" s="1243" t="s">
        <v>677</v>
      </c>
      <c r="AL193" s="1243" t="s">
        <v>677</v>
      </c>
      <c r="AM193" s="1284" t="s">
        <v>690</v>
      </c>
      <c r="AN193" s="1239" t="s">
        <v>6888</v>
      </c>
      <c r="AO193" s="1243">
        <v>11238</v>
      </c>
      <c r="AP193" s="1246" t="s">
        <v>7150</v>
      </c>
      <c r="AQ193" s="1243">
        <v>11238</v>
      </c>
      <c r="AR193" s="1244">
        <v>41677</v>
      </c>
      <c r="AS193" s="1243" t="s">
        <v>677</v>
      </c>
      <c r="AT193" s="1243" t="s">
        <v>677</v>
      </c>
      <c r="AU193" s="1243" t="s">
        <v>677</v>
      </c>
      <c r="AV193" s="1243" t="s">
        <v>677</v>
      </c>
      <c r="AW193" s="1243" t="s">
        <v>677</v>
      </c>
      <c r="AX193" s="1243" t="s">
        <v>677</v>
      </c>
      <c r="AY193" s="1243" t="s">
        <v>677</v>
      </c>
      <c r="AZ193" s="1243" t="s">
        <v>677</v>
      </c>
      <c r="BA193" s="1243" t="s">
        <v>677</v>
      </c>
      <c r="BB193" s="1243" t="s">
        <v>677</v>
      </c>
      <c r="BC193" s="1243" t="s">
        <v>677</v>
      </c>
      <c r="BD193" s="1243" t="s">
        <v>677</v>
      </c>
    </row>
    <row r="194" spans="1:56" s="422" customFormat="1" ht="38.25" x14ac:dyDescent="0.25">
      <c r="A194" s="1879">
        <v>114</v>
      </c>
      <c r="B194" s="1276" t="s">
        <v>1741</v>
      </c>
      <c r="C194" s="1239" t="s">
        <v>7151</v>
      </c>
      <c r="D194" s="1239" t="s">
        <v>6730</v>
      </c>
      <c r="E194" s="1239" t="s">
        <v>5811</v>
      </c>
      <c r="F194" s="1291" t="s">
        <v>6961</v>
      </c>
      <c r="G194" s="1246" t="s">
        <v>6914</v>
      </c>
      <c r="H194" s="1246" t="s">
        <v>1921</v>
      </c>
      <c r="I194" s="1273" t="s">
        <v>6966</v>
      </c>
      <c r="J194" s="1239" t="s">
        <v>6967</v>
      </c>
      <c r="K194" s="1244">
        <v>41799</v>
      </c>
      <c r="L194" s="187">
        <v>2981.2</v>
      </c>
      <c r="M194" s="1246" t="s">
        <v>7152</v>
      </c>
      <c r="N194" s="1244">
        <v>41799</v>
      </c>
      <c r="O194" s="1244">
        <v>41860</v>
      </c>
      <c r="P194" s="1239" t="s">
        <v>6763</v>
      </c>
      <c r="Q194" s="1239" t="s">
        <v>677</v>
      </c>
      <c r="R194" s="1239" t="s">
        <v>677</v>
      </c>
      <c r="S194" s="1239" t="s">
        <v>677</v>
      </c>
      <c r="T194" s="1239" t="s">
        <v>316</v>
      </c>
      <c r="U194" s="1246" t="s">
        <v>677</v>
      </c>
      <c r="V194" s="1239" t="s">
        <v>677</v>
      </c>
      <c r="W194" s="1243" t="s">
        <v>677</v>
      </c>
      <c r="X194" s="1239" t="s">
        <v>677</v>
      </c>
      <c r="Y194" s="1244" t="s">
        <v>677</v>
      </c>
      <c r="Z194" s="1244" t="s">
        <v>677</v>
      </c>
      <c r="AA194" s="1242" t="s">
        <v>677</v>
      </c>
      <c r="AB194" s="1239" t="s">
        <v>677</v>
      </c>
      <c r="AC194" s="1319">
        <v>0</v>
      </c>
      <c r="AD194" s="1319">
        <v>0</v>
      </c>
      <c r="AE194" s="1319">
        <f t="shared" si="9"/>
        <v>2981.2</v>
      </c>
      <c r="AF194" s="1319"/>
      <c r="AG194" s="187">
        <v>2981.2</v>
      </c>
      <c r="AH194" s="187">
        <f t="shared" si="11"/>
        <v>2981.2</v>
      </c>
      <c r="AI194" s="1265" t="s">
        <v>388</v>
      </c>
      <c r="AJ194" s="1243">
        <v>11249</v>
      </c>
      <c r="AK194" s="1243" t="s">
        <v>677</v>
      </c>
      <c r="AL194" s="1243" t="s">
        <v>677</v>
      </c>
      <c r="AM194" s="1248" t="s">
        <v>677</v>
      </c>
      <c r="AN194" s="1248" t="s">
        <v>677</v>
      </c>
      <c r="AO194" s="1248" t="s">
        <v>677</v>
      </c>
      <c r="AP194" s="1248" t="s">
        <v>677</v>
      </c>
      <c r="AQ194" s="1248" t="s">
        <v>677</v>
      </c>
      <c r="AR194" s="1248" t="s">
        <v>677</v>
      </c>
      <c r="AS194" s="1243" t="s">
        <v>677</v>
      </c>
      <c r="AT194" s="1243" t="s">
        <v>677</v>
      </c>
      <c r="AU194" s="1243" t="s">
        <v>677</v>
      </c>
      <c r="AV194" s="1243" t="s">
        <v>677</v>
      </c>
      <c r="AW194" s="1243" t="s">
        <v>677</v>
      </c>
      <c r="AX194" s="1243" t="s">
        <v>677</v>
      </c>
      <c r="AY194" s="1243" t="s">
        <v>677</v>
      </c>
      <c r="AZ194" s="1243" t="s">
        <v>677</v>
      </c>
      <c r="BA194" s="1243" t="s">
        <v>677</v>
      </c>
      <c r="BB194" s="1243" t="s">
        <v>677</v>
      </c>
      <c r="BC194" s="1243" t="s">
        <v>677</v>
      </c>
      <c r="BD194" s="1243" t="s">
        <v>677</v>
      </c>
    </row>
    <row r="195" spans="1:56" s="422" customFormat="1" ht="76.5" x14ac:dyDescent="0.25">
      <c r="A195" s="1879">
        <v>115</v>
      </c>
      <c r="B195" s="1276" t="s">
        <v>1705</v>
      </c>
      <c r="C195" s="1239" t="s">
        <v>7153</v>
      </c>
      <c r="D195" s="1239" t="s">
        <v>6730</v>
      </c>
      <c r="E195" s="1239" t="s">
        <v>5811</v>
      </c>
      <c r="F195" s="1291" t="s">
        <v>6944</v>
      </c>
      <c r="G195" s="1246" t="s">
        <v>7154</v>
      </c>
      <c r="H195" s="1246" t="s">
        <v>539</v>
      </c>
      <c r="I195" s="1273" t="s">
        <v>6945</v>
      </c>
      <c r="J195" s="1239" t="s">
        <v>779</v>
      </c>
      <c r="K195" s="1244">
        <v>41793</v>
      </c>
      <c r="L195" s="187">
        <v>5643.9</v>
      </c>
      <c r="M195" s="1246" t="s">
        <v>7152</v>
      </c>
      <c r="N195" s="1244">
        <v>41793</v>
      </c>
      <c r="O195" s="1244">
        <v>41854</v>
      </c>
      <c r="P195" s="1239" t="s">
        <v>6735</v>
      </c>
      <c r="Q195" s="1239" t="s">
        <v>677</v>
      </c>
      <c r="R195" s="1239" t="s">
        <v>677</v>
      </c>
      <c r="S195" s="1239" t="s">
        <v>677</v>
      </c>
      <c r="T195" s="1239" t="s">
        <v>316</v>
      </c>
      <c r="U195" s="1246" t="s">
        <v>677</v>
      </c>
      <c r="V195" s="1239" t="s">
        <v>677</v>
      </c>
      <c r="W195" s="1243" t="s">
        <v>677</v>
      </c>
      <c r="X195" s="1239" t="s">
        <v>677</v>
      </c>
      <c r="Y195" s="1244" t="s">
        <v>677</v>
      </c>
      <c r="Z195" s="1244" t="s">
        <v>677</v>
      </c>
      <c r="AA195" s="1242" t="s">
        <v>677</v>
      </c>
      <c r="AB195" s="1239" t="s">
        <v>677</v>
      </c>
      <c r="AC195" s="1319">
        <v>0</v>
      </c>
      <c r="AD195" s="1319">
        <v>0</v>
      </c>
      <c r="AE195" s="1319">
        <f t="shared" si="9"/>
        <v>5643.9</v>
      </c>
      <c r="AF195" s="1319"/>
      <c r="AG195" s="187">
        <v>5643.9</v>
      </c>
      <c r="AH195" s="187">
        <f t="shared" si="11"/>
        <v>5643.9</v>
      </c>
      <c r="AI195" s="1243" t="s">
        <v>677</v>
      </c>
      <c r="AJ195" s="1243" t="s">
        <v>677</v>
      </c>
      <c r="AK195" s="1243" t="s">
        <v>677</v>
      </c>
      <c r="AL195" s="1243" t="s">
        <v>677</v>
      </c>
      <c r="AM195" s="1248" t="s">
        <v>677</v>
      </c>
      <c r="AN195" s="1248" t="s">
        <v>677</v>
      </c>
      <c r="AO195" s="1248" t="s">
        <v>677</v>
      </c>
      <c r="AP195" s="1248" t="s">
        <v>677</v>
      </c>
      <c r="AQ195" s="1248" t="s">
        <v>677</v>
      </c>
      <c r="AR195" s="1248" t="s">
        <v>677</v>
      </c>
      <c r="AS195" s="1243" t="s">
        <v>677</v>
      </c>
      <c r="AT195" s="1243" t="s">
        <v>677</v>
      </c>
      <c r="AU195" s="1243" t="s">
        <v>677</v>
      </c>
      <c r="AV195" s="1243" t="s">
        <v>677</v>
      </c>
      <c r="AW195" s="1243" t="s">
        <v>677</v>
      </c>
      <c r="AX195" s="1243" t="s">
        <v>677</v>
      </c>
      <c r="AY195" s="1243" t="s">
        <v>677</v>
      </c>
      <c r="AZ195" s="1243" t="s">
        <v>677</v>
      </c>
      <c r="BA195" s="1243" t="s">
        <v>677</v>
      </c>
      <c r="BB195" s="1243" t="s">
        <v>677</v>
      </c>
      <c r="BC195" s="1243" t="s">
        <v>677</v>
      </c>
      <c r="BD195" s="1243" t="s">
        <v>677</v>
      </c>
    </row>
    <row r="196" spans="1:56" s="422" customFormat="1" ht="38.25" x14ac:dyDescent="0.25">
      <c r="A196" s="1879">
        <v>116</v>
      </c>
      <c r="B196" s="1276" t="s">
        <v>1699</v>
      </c>
      <c r="C196" s="1239" t="s">
        <v>7153</v>
      </c>
      <c r="D196" s="1239" t="s">
        <v>6730</v>
      </c>
      <c r="E196" s="1239" t="s">
        <v>5811</v>
      </c>
      <c r="F196" s="1291" t="s">
        <v>6944</v>
      </c>
      <c r="G196" s="1246" t="s">
        <v>7154</v>
      </c>
      <c r="H196" s="1246" t="s">
        <v>499</v>
      </c>
      <c r="I196" s="1273" t="s">
        <v>2069</v>
      </c>
      <c r="J196" s="1239" t="s">
        <v>467</v>
      </c>
      <c r="K196" s="1244">
        <v>41796</v>
      </c>
      <c r="L196" s="187">
        <v>548.70000000000005</v>
      </c>
      <c r="M196" s="1246" t="s">
        <v>7152</v>
      </c>
      <c r="N196" s="1244">
        <v>41796</v>
      </c>
      <c r="O196" s="1244">
        <v>41857</v>
      </c>
      <c r="P196" s="1239" t="s">
        <v>6735</v>
      </c>
      <c r="Q196" s="1239" t="s">
        <v>677</v>
      </c>
      <c r="R196" s="1239" t="s">
        <v>677</v>
      </c>
      <c r="S196" s="1239" t="s">
        <v>677</v>
      </c>
      <c r="T196" s="1239" t="s">
        <v>316</v>
      </c>
      <c r="U196" s="1246" t="s">
        <v>677</v>
      </c>
      <c r="V196" s="1239" t="s">
        <v>677</v>
      </c>
      <c r="W196" s="1243" t="s">
        <v>677</v>
      </c>
      <c r="X196" s="1239" t="s">
        <v>677</v>
      </c>
      <c r="Y196" s="1244" t="s">
        <v>677</v>
      </c>
      <c r="Z196" s="1244" t="s">
        <v>677</v>
      </c>
      <c r="AA196" s="1242" t="s">
        <v>677</v>
      </c>
      <c r="AB196" s="1239" t="s">
        <v>677</v>
      </c>
      <c r="AC196" s="1319">
        <v>0</v>
      </c>
      <c r="AD196" s="1319">
        <v>0</v>
      </c>
      <c r="AE196" s="1319">
        <f t="shared" si="9"/>
        <v>548.70000000000005</v>
      </c>
      <c r="AF196" s="1319"/>
      <c r="AG196" s="187">
        <v>548.70000000000005</v>
      </c>
      <c r="AH196" s="187">
        <f t="shared" si="11"/>
        <v>548.70000000000005</v>
      </c>
      <c r="AI196" s="1243" t="s">
        <v>677</v>
      </c>
      <c r="AJ196" s="1243" t="s">
        <v>677</v>
      </c>
      <c r="AK196" s="1243" t="s">
        <v>677</v>
      </c>
      <c r="AL196" s="1243" t="s">
        <v>677</v>
      </c>
      <c r="AM196" s="1248" t="s">
        <v>677</v>
      </c>
      <c r="AN196" s="1248" t="s">
        <v>677</v>
      </c>
      <c r="AO196" s="1248" t="s">
        <v>677</v>
      </c>
      <c r="AP196" s="1248" t="s">
        <v>677</v>
      </c>
      <c r="AQ196" s="1248" t="s">
        <v>677</v>
      </c>
      <c r="AR196" s="1248" t="s">
        <v>677</v>
      </c>
      <c r="AS196" s="1243" t="s">
        <v>677</v>
      </c>
      <c r="AT196" s="1243" t="s">
        <v>677</v>
      </c>
      <c r="AU196" s="1243" t="s">
        <v>677</v>
      </c>
      <c r="AV196" s="1243" t="s">
        <v>677</v>
      </c>
      <c r="AW196" s="1243" t="s">
        <v>677</v>
      </c>
      <c r="AX196" s="1243" t="s">
        <v>677</v>
      </c>
      <c r="AY196" s="1243" t="s">
        <v>677</v>
      </c>
      <c r="AZ196" s="1243" t="s">
        <v>677</v>
      </c>
      <c r="BA196" s="1243" t="s">
        <v>677</v>
      </c>
      <c r="BB196" s="1243" t="s">
        <v>677</v>
      </c>
      <c r="BC196" s="1243" t="s">
        <v>677</v>
      </c>
      <c r="BD196" s="1243" t="s">
        <v>677</v>
      </c>
    </row>
    <row r="197" spans="1:56" s="422" customFormat="1" ht="38.25" x14ac:dyDescent="0.25">
      <c r="A197" s="1879">
        <v>117</v>
      </c>
      <c r="B197" s="1276" t="s">
        <v>1712</v>
      </c>
      <c r="C197" s="1239" t="s">
        <v>7155</v>
      </c>
      <c r="D197" s="1239" t="s">
        <v>6730</v>
      </c>
      <c r="E197" s="1239" t="s">
        <v>5811</v>
      </c>
      <c r="F197" s="1291" t="s">
        <v>6944</v>
      </c>
      <c r="G197" s="1246" t="s">
        <v>7156</v>
      </c>
      <c r="H197" s="1246" t="s">
        <v>478</v>
      </c>
      <c r="I197" s="1273" t="s">
        <v>2161</v>
      </c>
      <c r="J197" s="1239" t="s">
        <v>537</v>
      </c>
      <c r="K197" s="1244">
        <v>41800</v>
      </c>
      <c r="L197" s="187">
        <v>16860</v>
      </c>
      <c r="M197" s="1246">
        <v>11321</v>
      </c>
      <c r="N197" s="1244">
        <v>41800</v>
      </c>
      <c r="O197" s="1244">
        <v>41861</v>
      </c>
      <c r="P197" s="1239" t="s">
        <v>6735</v>
      </c>
      <c r="Q197" s="1239" t="s">
        <v>677</v>
      </c>
      <c r="R197" s="1239" t="s">
        <v>677</v>
      </c>
      <c r="S197" s="1239" t="s">
        <v>677</v>
      </c>
      <c r="T197" s="1239" t="s">
        <v>316</v>
      </c>
      <c r="U197" s="1246" t="s">
        <v>677</v>
      </c>
      <c r="V197" s="1239" t="s">
        <v>677</v>
      </c>
      <c r="W197" s="1243" t="s">
        <v>677</v>
      </c>
      <c r="X197" s="1239" t="s">
        <v>677</v>
      </c>
      <c r="Y197" s="1244" t="s">
        <v>677</v>
      </c>
      <c r="Z197" s="1244" t="s">
        <v>677</v>
      </c>
      <c r="AA197" s="1242" t="s">
        <v>677</v>
      </c>
      <c r="AB197" s="1239" t="s">
        <v>677</v>
      </c>
      <c r="AC197" s="1319">
        <v>0</v>
      </c>
      <c r="AD197" s="1319">
        <v>0</v>
      </c>
      <c r="AE197" s="1319">
        <f t="shared" si="9"/>
        <v>16860</v>
      </c>
      <c r="AF197" s="1319"/>
      <c r="AG197" s="187">
        <v>16860</v>
      </c>
      <c r="AH197" s="187">
        <f t="shared" si="11"/>
        <v>16860</v>
      </c>
      <c r="AI197" s="1243" t="s">
        <v>677</v>
      </c>
      <c r="AJ197" s="1243" t="s">
        <v>677</v>
      </c>
      <c r="AK197" s="1243" t="s">
        <v>677</v>
      </c>
      <c r="AL197" s="1243" t="s">
        <v>677</v>
      </c>
      <c r="AM197" s="1248" t="s">
        <v>677</v>
      </c>
      <c r="AN197" s="1248" t="s">
        <v>677</v>
      </c>
      <c r="AO197" s="1248" t="s">
        <v>677</v>
      </c>
      <c r="AP197" s="1248" t="s">
        <v>677</v>
      </c>
      <c r="AQ197" s="1248" t="s">
        <v>677</v>
      </c>
      <c r="AR197" s="1248" t="s">
        <v>677</v>
      </c>
      <c r="AS197" s="1243" t="s">
        <v>677</v>
      </c>
      <c r="AT197" s="1243" t="s">
        <v>677</v>
      </c>
      <c r="AU197" s="1243" t="s">
        <v>677</v>
      </c>
      <c r="AV197" s="1243" t="s">
        <v>677</v>
      </c>
      <c r="AW197" s="1243" t="s">
        <v>677</v>
      </c>
      <c r="AX197" s="1243" t="s">
        <v>677</v>
      </c>
      <c r="AY197" s="1243" t="s">
        <v>677</v>
      </c>
      <c r="AZ197" s="1243" t="s">
        <v>677</v>
      </c>
      <c r="BA197" s="1243" t="s">
        <v>677</v>
      </c>
      <c r="BB197" s="1243" t="s">
        <v>677</v>
      </c>
      <c r="BC197" s="1243" t="s">
        <v>677</v>
      </c>
      <c r="BD197" s="1243" t="s">
        <v>677</v>
      </c>
    </row>
    <row r="198" spans="1:56" s="422" customFormat="1" ht="38.25" x14ac:dyDescent="0.25">
      <c r="A198" s="1879">
        <v>118</v>
      </c>
      <c r="B198" s="1276" t="s">
        <v>2143</v>
      </c>
      <c r="C198" s="1239" t="s">
        <v>7157</v>
      </c>
      <c r="D198" s="1239" t="s">
        <v>6730</v>
      </c>
      <c r="E198" s="1239" t="s">
        <v>5811</v>
      </c>
      <c r="F198" s="1291" t="s">
        <v>7051</v>
      </c>
      <c r="G198" s="1246" t="s">
        <v>7158</v>
      </c>
      <c r="H198" s="1246" t="s">
        <v>1938</v>
      </c>
      <c r="I198" s="1273" t="s">
        <v>7053</v>
      </c>
      <c r="J198" s="1239" t="s">
        <v>5630</v>
      </c>
      <c r="K198" s="1244">
        <v>41793</v>
      </c>
      <c r="L198" s="187">
        <v>3312</v>
      </c>
      <c r="M198" s="1246">
        <v>11321</v>
      </c>
      <c r="N198" s="1244">
        <v>41793</v>
      </c>
      <c r="O198" s="1244">
        <v>41854</v>
      </c>
      <c r="P198" s="1239" t="s">
        <v>6735</v>
      </c>
      <c r="Q198" s="1239" t="s">
        <v>677</v>
      </c>
      <c r="R198" s="1239" t="s">
        <v>677</v>
      </c>
      <c r="S198" s="1239" t="s">
        <v>677</v>
      </c>
      <c r="T198" s="1239" t="s">
        <v>316</v>
      </c>
      <c r="U198" s="1246" t="s">
        <v>677</v>
      </c>
      <c r="V198" s="1239" t="s">
        <v>677</v>
      </c>
      <c r="W198" s="1243" t="s">
        <v>677</v>
      </c>
      <c r="X198" s="1239" t="s">
        <v>677</v>
      </c>
      <c r="Y198" s="1244" t="s">
        <v>677</v>
      </c>
      <c r="Z198" s="1244" t="s">
        <v>677</v>
      </c>
      <c r="AA198" s="1242" t="s">
        <v>677</v>
      </c>
      <c r="AB198" s="1239" t="s">
        <v>677</v>
      </c>
      <c r="AC198" s="1319">
        <v>0</v>
      </c>
      <c r="AD198" s="1319">
        <v>0</v>
      </c>
      <c r="AE198" s="1319">
        <f t="shared" si="9"/>
        <v>3312</v>
      </c>
      <c r="AF198" s="1319"/>
      <c r="AG198" s="187">
        <v>3312</v>
      </c>
      <c r="AH198" s="187">
        <f t="shared" si="11"/>
        <v>3312</v>
      </c>
      <c r="AI198" s="1243" t="s">
        <v>677</v>
      </c>
      <c r="AJ198" s="1243" t="s">
        <v>677</v>
      </c>
      <c r="AK198" s="1243" t="s">
        <v>677</v>
      </c>
      <c r="AL198" s="1243" t="s">
        <v>677</v>
      </c>
      <c r="AM198" s="1248" t="s">
        <v>677</v>
      </c>
      <c r="AN198" s="1248" t="s">
        <v>677</v>
      </c>
      <c r="AO198" s="1248" t="s">
        <v>677</v>
      </c>
      <c r="AP198" s="1248" t="s">
        <v>677</v>
      </c>
      <c r="AQ198" s="1248" t="s">
        <v>677</v>
      </c>
      <c r="AR198" s="1248" t="s">
        <v>677</v>
      </c>
      <c r="AS198" s="1243" t="s">
        <v>677</v>
      </c>
      <c r="AT198" s="1243" t="s">
        <v>677</v>
      </c>
      <c r="AU198" s="1243" t="s">
        <v>677</v>
      </c>
      <c r="AV198" s="1243" t="s">
        <v>677</v>
      </c>
      <c r="AW198" s="1243" t="s">
        <v>677</v>
      </c>
      <c r="AX198" s="1243" t="s">
        <v>677</v>
      </c>
      <c r="AY198" s="1243" t="s">
        <v>677</v>
      </c>
      <c r="AZ198" s="1243" t="s">
        <v>677</v>
      </c>
      <c r="BA198" s="1243" t="s">
        <v>677</v>
      </c>
      <c r="BB198" s="1243" t="s">
        <v>677</v>
      </c>
      <c r="BC198" s="1243" t="s">
        <v>677</v>
      </c>
      <c r="BD198" s="1243" t="s">
        <v>677</v>
      </c>
    </row>
    <row r="199" spans="1:56" s="422" customFormat="1" ht="38.25" x14ac:dyDescent="0.25">
      <c r="A199" s="1879">
        <v>119</v>
      </c>
      <c r="B199" s="1276" t="s">
        <v>783</v>
      </c>
      <c r="C199" s="1239" t="s">
        <v>7132</v>
      </c>
      <c r="D199" s="1239" t="s">
        <v>6730</v>
      </c>
      <c r="E199" s="1239" t="s">
        <v>5811</v>
      </c>
      <c r="F199" s="1291" t="s">
        <v>7159</v>
      </c>
      <c r="G199" s="1246" t="s">
        <v>7160</v>
      </c>
      <c r="H199" s="1246" t="s">
        <v>1943</v>
      </c>
      <c r="I199" s="1273" t="s">
        <v>2110</v>
      </c>
      <c r="J199" s="1239" t="s">
        <v>718</v>
      </c>
      <c r="K199" s="1244">
        <v>41794</v>
      </c>
      <c r="L199" s="187">
        <v>260</v>
      </c>
      <c r="M199" s="1246">
        <v>11322</v>
      </c>
      <c r="N199" s="1244">
        <v>41794</v>
      </c>
      <c r="O199" s="1244">
        <v>41855</v>
      </c>
      <c r="P199" s="1239" t="s">
        <v>6735</v>
      </c>
      <c r="Q199" s="1239" t="s">
        <v>677</v>
      </c>
      <c r="R199" s="1239" t="s">
        <v>677</v>
      </c>
      <c r="S199" s="1239" t="s">
        <v>677</v>
      </c>
      <c r="T199" s="1239" t="s">
        <v>408</v>
      </c>
      <c r="U199" s="1246" t="s">
        <v>677</v>
      </c>
      <c r="V199" s="1239" t="s">
        <v>677</v>
      </c>
      <c r="W199" s="1243" t="s">
        <v>677</v>
      </c>
      <c r="X199" s="1239" t="s">
        <v>677</v>
      </c>
      <c r="Y199" s="1244" t="s">
        <v>677</v>
      </c>
      <c r="Z199" s="1244" t="s">
        <v>677</v>
      </c>
      <c r="AA199" s="1242" t="s">
        <v>677</v>
      </c>
      <c r="AB199" s="1239" t="s">
        <v>677</v>
      </c>
      <c r="AC199" s="1319">
        <v>0</v>
      </c>
      <c r="AD199" s="1319">
        <v>0</v>
      </c>
      <c r="AE199" s="1319">
        <f t="shared" si="9"/>
        <v>260</v>
      </c>
      <c r="AF199" s="1319"/>
      <c r="AG199" s="187">
        <v>260</v>
      </c>
      <c r="AH199" s="187">
        <f t="shared" si="11"/>
        <v>260</v>
      </c>
      <c r="AI199" s="1243" t="s">
        <v>677</v>
      </c>
      <c r="AJ199" s="1243" t="s">
        <v>677</v>
      </c>
      <c r="AK199" s="1243" t="s">
        <v>677</v>
      </c>
      <c r="AL199" s="1243" t="s">
        <v>677</v>
      </c>
      <c r="AM199" s="1248" t="s">
        <v>677</v>
      </c>
      <c r="AN199" s="1248" t="s">
        <v>677</v>
      </c>
      <c r="AO199" s="1248" t="s">
        <v>677</v>
      </c>
      <c r="AP199" s="1248" t="s">
        <v>677</v>
      </c>
      <c r="AQ199" s="1248" t="s">
        <v>677</v>
      </c>
      <c r="AR199" s="1248" t="s">
        <v>677</v>
      </c>
      <c r="AS199" s="1243" t="s">
        <v>677</v>
      </c>
      <c r="AT199" s="1243" t="s">
        <v>677</v>
      </c>
      <c r="AU199" s="1243" t="s">
        <v>677</v>
      </c>
      <c r="AV199" s="1243" t="s">
        <v>677</v>
      </c>
      <c r="AW199" s="1243" t="s">
        <v>677</v>
      </c>
      <c r="AX199" s="1243" t="s">
        <v>677</v>
      </c>
      <c r="AY199" s="1243" t="s">
        <v>677</v>
      </c>
      <c r="AZ199" s="1243" t="s">
        <v>677</v>
      </c>
      <c r="BA199" s="1243" t="s">
        <v>677</v>
      </c>
      <c r="BB199" s="1243" t="s">
        <v>677</v>
      </c>
      <c r="BC199" s="1243" t="s">
        <v>677</v>
      </c>
      <c r="BD199" s="1243" t="s">
        <v>677</v>
      </c>
    </row>
    <row r="200" spans="1:56" s="422" customFormat="1" ht="51" x14ac:dyDescent="0.25">
      <c r="A200" s="1879">
        <v>120</v>
      </c>
      <c r="B200" s="1276" t="s">
        <v>1856</v>
      </c>
      <c r="C200" s="1239" t="s">
        <v>7115</v>
      </c>
      <c r="D200" s="1239" t="s">
        <v>6730</v>
      </c>
      <c r="E200" s="1239" t="s">
        <v>5811</v>
      </c>
      <c r="F200" s="1291" t="s">
        <v>7109</v>
      </c>
      <c r="G200" s="1246" t="s">
        <v>7110</v>
      </c>
      <c r="H200" s="1246" t="s">
        <v>1948</v>
      </c>
      <c r="I200" s="1273" t="s">
        <v>7111</v>
      </c>
      <c r="J200" s="1239" t="s">
        <v>7112</v>
      </c>
      <c r="K200" s="1244">
        <v>41799</v>
      </c>
      <c r="L200" s="187">
        <v>7414.5</v>
      </c>
      <c r="M200" s="1246" t="s">
        <v>7161</v>
      </c>
      <c r="N200" s="1244">
        <v>41799</v>
      </c>
      <c r="O200" s="1244">
        <v>41860</v>
      </c>
      <c r="P200" s="1239" t="s">
        <v>6735</v>
      </c>
      <c r="Q200" s="1239" t="s">
        <v>677</v>
      </c>
      <c r="R200" s="1239" t="s">
        <v>677</v>
      </c>
      <c r="S200" s="1239" t="s">
        <v>677</v>
      </c>
      <c r="T200" s="1239" t="s">
        <v>208</v>
      </c>
      <c r="U200" s="1246" t="s">
        <v>677</v>
      </c>
      <c r="V200" s="1239" t="s">
        <v>677</v>
      </c>
      <c r="W200" s="1243" t="s">
        <v>677</v>
      </c>
      <c r="X200" s="1239" t="s">
        <v>677</v>
      </c>
      <c r="Y200" s="1244" t="s">
        <v>677</v>
      </c>
      <c r="Z200" s="1244" t="s">
        <v>677</v>
      </c>
      <c r="AA200" s="1242" t="s">
        <v>677</v>
      </c>
      <c r="AB200" s="1239" t="s">
        <v>677</v>
      </c>
      <c r="AC200" s="1319">
        <v>0</v>
      </c>
      <c r="AD200" s="1319">
        <v>0</v>
      </c>
      <c r="AE200" s="1319">
        <f t="shared" si="9"/>
        <v>7414.5</v>
      </c>
      <c r="AF200" s="1319"/>
      <c r="AG200" s="187">
        <v>7414.5</v>
      </c>
      <c r="AH200" s="187">
        <f t="shared" si="11"/>
        <v>7414.5</v>
      </c>
      <c r="AI200" s="1243" t="s">
        <v>677</v>
      </c>
      <c r="AJ200" s="1243" t="s">
        <v>677</v>
      </c>
      <c r="AK200" s="1243" t="s">
        <v>677</v>
      </c>
      <c r="AL200" s="1243" t="s">
        <v>677</v>
      </c>
      <c r="AM200" s="1248" t="s">
        <v>677</v>
      </c>
      <c r="AN200" s="1248" t="s">
        <v>677</v>
      </c>
      <c r="AO200" s="1248" t="s">
        <v>677</v>
      </c>
      <c r="AP200" s="1248" t="s">
        <v>677</v>
      </c>
      <c r="AQ200" s="1248" t="s">
        <v>677</v>
      </c>
      <c r="AR200" s="1248" t="s">
        <v>677</v>
      </c>
      <c r="AS200" s="1243" t="s">
        <v>677</v>
      </c>
      <c r="AT200" s="1243" t="s">
        <v>677</v>
      </c>
      <c r="AU200" s="1243" t="s">
        <v>677</v>
      </c>
      <c r="AV200" s="1243" t="s">
        <v>677</v>
      </c>
      <c r="AW200" s="1243" t="s">
        <v>677</v>
      </c>
      <c r="AX200" s="1243" t="s">
        <v>677</v>
      </c>
      <c r="AY200" s="1243" t="s">
        <v>677</v>
      </c>
      <c r="AZ200" s="1243" t="s">
        <v>677</v>
      </c>
      <c r="BA200" s="1243" t="s">
        <v>677</v>
      </c>
      <c r="BB200" s="1243" t="s">
        <v>677</v>
      </c>
      <c r="BC200" s="1243" t="s">
        <v>677</v>
      </c>
      <c r="BD200" s="1243" t="s">
        <v>677</v>
      </c>
    </row>
    <row r="201" spans="1:56" s="422" customFormat="1" ht="38.25" x14ac:dyDescent="0.25">
      <c r="A201" s="1879">
        <v>121</v>
      </c>
      <c r="B201" s="1276" t="s">
        <v>2143</v>
      </c>
      <c r="C201" s="1239" t="s">
        <v>7162</v>
      </c>
      <c r="D201" s="1239" t="s">
        <v>6730</v>
      </c>
      <c r="E201" s="1239" t="s">
        <v>5811</v>
      </c>
      <c r="F201" s="1291" t="s">
        <v>7163</v>
      </c>
      <c r="G201" s="1246" t="s">
        <v>7164</v>
      </c>
      <c r="H201" s="1246" t="s">
        <v>1950</v>
      </c>
      <c r="I201" s="1273" t="s">
        <v>7165</v>
      </c>
      <c r="J201" s="1239" t="s">
        <v>7166</v>
      </c>
      <c r="K201" s="1244">
        <v>41813</v>
      </c>
      <c r="L201" s="187">
        <v>9654</v>
      </c>
      <c r="M201" s="1246">
        <v>11328</v>
      </c>
      <c r="N201" s="1244">
        <v>41813</v>
      </c>
      <c r="O201" s="1244">
        <v>41877</v>
      </c>
      <c r="P201" s="1239" t="s">
        <v>6735</v>
      </c>
      <c r="Q201" s="1239" t="s">
        <v>677</v>
      </c>
      <c r="R201" s="1239" t="s">
        <v>677</v>
      </c>
      <c r="S201" s="1239" t="s">
        <v>677</v>
      </c>
      <c r="T201" s="1239" t="s">
        <v>316</v>
      </c>
      <c r="U201" s="1246" t="s">
        <v>677</v>
      </c>
      <c r="V201" s="1239" t="s">
        <v>677</v>
      </c>
      <c r="W201" s="1243" t="s">
        <v>677</v>
      </c>
      <c r="X201" s="1239" t="s">
        <v>677</v>
      </c>
      <c r="Y201" s="1244" t="s">
        <v>677</v>
      </c>
      <c r="Z201" s="1244" t="s">
        <v>677</v>
      </c>
      <c r="AA201" s="1242" t="s">
        <v>677</v>
      </c>
      <c r="AB201" s="1239" t="s">
        <v>677</v>
      </c>
      <c r="AC201" s="1319">
        <v>0</v>
      </c>
      <c r="AD201" s="1319">
        <v>0</v>
      </c>
      <c r="AE201" s="1319">
        <f t="shared" si="9"/>
        <v>9654</v>
      </c>
      <c r="AF201" s="1319"/>
      <c r="AG201" s="187">
        <v>9654</v>
      </c>
      <c r="AH201" s="187">
        <f t="shared" si="11"/>
        <v>9654</v>
      </c>
      <c r="AI201" s="1243" t="s">
        <v>677</v>
      </c>
      <c r="AJ201" s="1243" t="s">
        <v>677</v>
      </c>
      <c r="AK201" s="1243" t="s">
        <v>677</v>
      </c>
      <c r="AL201" s="1243" t="s">
        <v>677</v>
      </c>
      <c r="AM201" s="1248" t="s">
        <v>677</v>
      </c>
      <c r="AN201" s="1248" t="s">
        <v>677</v>
      </c>
      <c r="AO201" s="1248" t="s">
        <v>677</v>
      </c>
      <c r="AP201" s="1248" t="s">
        <v>677</v>
      </c>
      <c r="AQ201" s="1248" t="s">
        <v>677</v>
      </c>
      <c r="AR201" s="1248" t="s">
        <v>677</v>
      </c>
      <c r="AS201" s="1243" t="s">
        <v>677</v>
      </c>
      <c r="AT201" s="1243" t="s">
        <v>677</v>
      </c>
      <c r="AU201" s="1243" t="s">
        <v>677</v>
      </c>
      <c r="AV201" s="1243" t="s">
        <v>677</v>
      </c>
      <c r="AW201" s="1243" t="s">
        <v>677</v>
      </c>
      <c r="AX201" s="1243" t="s">
        <v>677</v>
      </c>
      <c r="AY201" s="1243" t="s">
        <v>677</v>
      </c>
      <c r="AZ201" s="1243" t="s">
        <v>677</v>
      </c>
      <c r="BA201" s="1243" t="s">
        <v>677</v>
      </c>
      <c r="BB201" s="1243" t="s">
        <v>677</v>
      </c>
      <c r="BC201" s="1243" t="s">
        <v>677</v>
      </c>
      <c r="BD201" s="1243" t="s">
        <v>677</v>
      </c>
    </row>
    <row r="202" spans="1:56" s="422" customFormat="1" ht="38.25" x14ac:dyDescent="0.25">
      <c r="A202" s="1879">
        <v>122</v>
      </c>
      <c r="B202" s="1276" t="s">
        <v>1770</v>
      </c>
      <c r="C202" s="1239" t="s">
        <v>7153</v>
      </c>
      <c r="D202" s="1239" t="s">
        <v>6730</v>
      </c>
      <c r="E202" s="1239" t="s">
        <v>5811</v>
      </c>
      <c r="F202" s="1291" t="s">
        <v>6944</v>
      </c>
      <c r="G202" s="1246" t="s">
        <v>6914</v>
      </c>
      <c r="H202" s="1246" t="s">
        <v>1953</v>
      </c>
      <c r="I202" s="1273" t="s">
        <v>7167</v>
      </c>
      <c r="J202" s="1239" t="s">
        <v>5528</v>
      </c>
      <c r="K202" s="1244">
        <v>41814</v>
      </c>
      <c r="L202" s="187">
        <v>329</v>
      </c>
      <c r="M202" s="1246">
        <v>11329</v>
      </c>
      <c r="N202" s="1244">
        <v>41814</v>
      </c>
      <c r="O202" s="1244">
        <v>41875</v>
      </c>
      <c r="P202" s="1239" t="s">
        <v>6735</v>
      </c>
      <c r="Q202" s="1239" t="s">
        <v>677</v>
      </c>
      <c r="R202" s="1239" t="s">
        <v>677</v>
      </c>
      <c r="S202" s="1239" t="s">
        <v>677</v>
      </c>
      <c r="T202" s="1239" t="s">
        <v>316</v>
      </c>
      <c r="U202" s="1246" t="s">
        <v>677</v>
      </c>
      <c r="V202" s="1239" t="s">
        <v>677</v>
      </c>
      <c r="W202" s="1243" t="s">
        <v>677</v>
      </c>
      <c r="X202" s="1239" t="s">
        <v>677</v>
      </c>
      <c r="Y202" s="1244" t="s">
        <v>677</v>
      </c>
      <c r="Z202" s="1244" t="s">
        <v>677</v>
      </c>
      <c r="AA202" s="1242" t="s">
        <v>677</v>
      </c>
      <c r="AB202" s="1239" t="s">
        <v>677</v>
      </c>
      <c r="AC202" s="1319">
        <v>0</v>
      </c>
      <c r="AD202" s="1319">
        <v>0</v>
      </c>
      <c r="AE202" s="1319">
        <f t="shared" si="9"/>
        <v>329</v>
      </c>
      <c r="AF202" s="1319"/>
      <c r="AG202" s="187">
        <v>329</v>
      </c>
      <c r="AH202" s="187">
        <f t="shared" si="11"/>
        <v>329</v>
      </c>
      <c r="AI202" s="1243" t="s">
        <v>677</v>
      </c>
      <c r="AJ202" s="1243" t="s">
        <v>677</v>
      </c>
      <c r="AK202" s="1243" t="s">
        <v>677</v>
      </c>
      <c r="AL202" s="1243" t="s">
        <v>677</v>
      </c>
      <c r="AM202" s="1248" t="s">
        <v>677</v>
      </c>
      <c r="AN202" s="1248" t="s">
        <v>677</v>
      </c>
      <c r="AO202" s="1248" t="s">
        <v>677</v>
      </c>
      <c r="AP202" s="1248" t="s">
        <v>677</v>
      </c>
      <c r="AQ202" s="1248" t="s">
        <v>677</v>
      </c>
      <c r="AR202" s="1248" t="s">
        <v>677</v>
      </c>
      <c r="AS202" s="1243" t="s">
        <v>677</v>
      </c>
      <c r="AT202" s="1243" t="s">
        <v>677</v>
      </c>
      <c r="AU202" s="1243" t="s">
        <v>677</v>
      </c>
      <c r="AV202" s="1243" t="s">
        <v>677</v>
      </c>
      <c r="AW202" s="1243" t="s">
        <v>677</v>
      </c>
      <c r="AX202" s="1243" t="s">
        <v>677</v>
      </c>
      <c r="AY202" s="1243" t="s">
        <v>677</v>
      </c>
      <c r="AZ202" s="1243" t="s">
        <v>677</v>
      </c>
      <c r="BA202" s="1243" t="s">
        <v>677</v>
      </c>
      <c r="BB202" s="1243" t="s">
        <v>677</v>
      </c>
      <c r="BC202" s="1243" t="s">
        <v>677</v>
      </c>
      <c r="BD202" s="1243" t="s">
        <v>677</v>
      </c>
    </row>
    <row r="203" spans="1:56" s="422" customFormat="1" ht="38.25" x14ac:dyDescent="0.25">
      <c r="A203" s="1879">
        <v>123</v>
      </c>
      <c r="B203" s="1276" t="s">
        <v>773</v>
      </c>
      <c r="C203" s="1239" t="s">
        <v>7168</v>
      </c>
      <c r="D203" s="1239" t="s">
        <v>6730</v>
      </c>
      <c r="E203" s="1239" t="s">
        <v>5811</v>
      </c>
      <c r="F203" s="1291" t="s">
        <v>7169</v>
      </c>
      <c r="G203" s="1246">
        <v>11016</v>
      </c>
      <c r="H203" s="1246" t="s">
        <v>1957</v>
      </c>
      <c r="I203" s="1273" t="s">
        <v>7033</v>
      </c>
      <c r="J203" s="1239" t="s">
        <v>7034</v>
      </c>
      <c r="K203" s="1244">
        <v>41806</v>
      </c>
      <c r="L203" s="187">
        <v>4840</v>
      </c>
      <c r="M203" s="1246">
        <v>11329</v>
      </c>
      <c r="N203" s="1244">
        <v>41806</v>
      </c>
      <c r="O203" s="1244">
        <v>41867</v>
      </c>
      <c r="P203" s="1239" t="s">
        <v>6763</v>
      </c>
      <c r="Q203" s="1239" t="s">
        <v>677</v>
      </c>
      <c r="R203" s="1239" t="s">
        <v>677</v>
      </c>
      <c r="S203" s="1239" t="s">
        <v>677</v>
      </c>
      <c r="T203" s="1239" t="s">
        <v>316</v>
      </c>
      <c r="U203" s="1246" t="s">
        <v>677</v>
      </c>
      <c r="V203" s="1239" t="s">
        <v>677</v>
      </c>
      <c r="W203" s="1243" t="s">
        <v>677</v>
      </c>
      <c r="X203" s="1239" t="s">
        <v>677</v>
      </c>
      <c r="Y203" s="1244" t="s">
        <v>677</v>
      </c>
      <c r="Z203" s="1244" t="s">
        <v>677</v>
      </c>
      <c r="AA203" s="1242" t="s">
        <v>677</v>
      </c>
      <c r="AB203" s="1239" t="s">
        <v>677</v>
      </c>
      <c r="AC203" s="1319">
        <v>0</v>
      </c>
      <c r="AD203" s="1319">
        <v>0</v>
      </c>
      <c r="AE203" s="1319">
        <f t="shared" si="9"/>
        <v>4840</v>
      </c>
      <c r="AF203" s="1319"/>
      <c r="AG203" s="187">
        <v>4840</v>
      </c>
      <c r="AH203" s="187">
        <f t="shared" si="11"/>
        <v>4840</v>
      </c>
      <c r="AI203" s="1265" t="s">
        <v>716</v>
      </c>
      <c r="AJ203" s="1243">
        <v>11268</v>
      </c>
      <c r="AK203" s="1284" t="s">
        <v>7170</v>
      </c>
      <c r="AL203" s="1243">
        <v>11301</v>
      </c>
      <c r="AM203" s="1248" t="s">
        <v>677</v>
      </c>
      <c r="AN203" s="1248" t="s">
        <v>677</v>
      </c>
      <c r="AO203" s="1248" t="s">
        <v>677</v>
      </c>
      <c r="AP203" s="1248" t="s">
        <v>677</v>
      </c>
      <c r="AQ203" s="1248" t="s">
        <v>677</v>
      </c>
      <c r="AR203" s="1248" t="s">
        <v>677</v>
      </c>
      <c r="AS203" s="1243" t="s">
        <v>677</v>
      </c>
      <c r="AT203" s="1243" t="s">
        <v>677</v>
      </c>
      <c r="AU203" s="1243" t="s">
        <v>677</v>
      </c>
      <c r="AV203" s="1243" t="s">
        <v>677</v>
      </c>
      <c r="AW203" s="1243" t="s">
        <v>677</v>
      </c>
      <c r="AX203" s="1243" t="s">
        <v>677</v>
      </c>
      <c r="AY203" s="1243" t="s">
        <v>677</v>
      </c>
      <c r="AZ203" s="1243" t="s">
        <v>677</v>
      </c>
      <c r="BA203" s="1243" t="s">
        <v>677</v>
      </c>
      <c r="BB203" s="1243" t="s">
        <v>677</v>
      </c>
      <c r="BC203" s="1243" t="s">
        <v>677</v>
      </c>
      <c r="BD203" s="1243" t="s">
        <v>677</v>
      </c>
    </row>
    <row r="204" spans="1:56" s="422" customFormat="1" ht="38.25" x14ac:dyDescent="0.25">
      <c r="A204" s="1879">
        <v>124</v>
      </c>
      <c r="B204" s="1276" t="s">
        <v>2299</v>
      </c>
      <c r="C204" s="1239" t="s">
        <v>677</v>
      </c>
      <c r="D204" s="1239" t="s">
        <v>690</v>
      </c>
      <c r="E204" s="1239" t="s">
        <v>5811</v>
      </c>
      <c r="F204" s="1880" t="s">
        <v>7171</v>
      </c>
      <c r="G204" s="1246">
        <v>11331</v>
      </c>
      <c r="H204" s="1246" t="s">
        <v>1959</v>
      </c>
      <c r="I204" s="1273" t="s">
        <v>7172</v>
      </c>
      <c r="J204" s="1239" t="s">
        <v>1319</v>
      </c>
      <c r="K204" s="1244">
        <v>41806</v>
      </c>
      <c r="L204" s="187">
        <v>14732.8</v>
      </c>
      <c r="M204" s="1246">
        <v>11331</v>
      </c>
      <c r="N204" s="1244">
        <v>41806</v>
      </c>
      <c r="O204" s="1244">
        <v>41867</v>
      </c>
      <c r="P204" s="1239" t="s">
        <v>6763</v>
      </c>
      <c r="Q204" s="1239" t="s">
        <v>677</v>
      </c>
      <c r="R204" s="1239" t="s">
        <v>677</v>
      </c>
      <c r="S204" s="1239" t="s">
        <v>677</v>
      </c>
      <c r="T204" s="1246" t="s">
        <v>208</v>
      </c>
      <c r="U204" s="1246" t="s">
        <v>677</v>
      </c>
      <c r="V204" s="1239" t="s">
        <v>677</v>
      </c>
      <c r="W204" s="1243" t="s">
        <v>677</v>
      </c>
      <c r="X204" s="1239" t="s">
        <v>677</v>
      </c>
      <c r="Y204" s="1244" t="s">
        <v>677</v>
      </c>
      <c r="Z204" s="1244" t="s">
        <v>677</v>
      </c>
      <c r="AA204" s="1242" t="s">
        <v>677</v>
      </c>
      <c r="AB204" s="1239" t="s">
        <v>677</v>
      </c>
      <c r="AC204" s="1319">
        <v>0</v>
      </c>
      <c r="AD204" s="1319">
        <v>0</v>
      </c>
      <c r="AE204" s="1319">
        <f t="shared" si="9"/>
        <v>14732.8</v>
      </c>
      <c r="AF204" s="1319"/>
      <c r="AG204" s="187">
        <v>14732.8</v>
      </c>
      <c r="AH204" s="187">
        <f>AF204+AG204</f>
        <v>14732.8</v>
      </c>
      <c r="AI204" s="1243" t="s">
        <v>677</v>
      </c>
      <c r="AJ204" s="1243" t="s">
        <v>677</v>
      </c>
      <c r="AK204" s="1243" t="s">
        <v>677</v>
      </c>
      <c r="AL204" s="1243" t="s">
        <v>677</v>
      </c>
      <c r="AM204" s="1284" t="s">
        <v>690</v>
      </c>
      <c r="AN204" s="1239" t="s">
        <v>6888</v>
      </c>
      <c r="AO204" s="1243">
        <v>11331</v>
      </c>
      <c r="AP204" s="1244">
        <v>41810</v>
      </c>
      <c r="AQ204" s="1243">
        <v>11331</v>
      </c>
      <c r="AR204" s="1244">
        <v>41810</v>
      </c>
      <c r="AS204" s="1243" t="s">
        <v>677</v>
      </c>
      <c r="AT204" s="1243" t="s">
        <v>677</v>
      </c>
      <c r="AU204" s="1243" t="s">
        <v>677</v>
      </c>
      <c r="AV204" s="1243" t="s">
        <v>677</v>
      </c>
      <c r="AW204" s="1243" t="s">
        <v>677</v>
      </c>
      <c r="AX204" s="1243" t="s">
        <v>677</v>
      </c>
      <c r="AY204" s="1243" t="s">
        <v>677</v>
      </c>
      <c r="AZ204" s="1243" t="s">
        <v>677</v>
      </c>
      <c r="BA204" s="1243" t="s">
        <v>677</v>
      </c>
      <c r="BB204" s="1243" t="s">
        <v>677</v>
      </c>
      <c r="BC204" s="1243" t="s">
        <v>677</v>
      </c>
      <c r="BD204" s="1243" t="s">
        <v>677</v>
      </c>
    </row>
    <row r="205" spans="1:56" s="422" customFormat="1" ht="38.25" x14ac:dyDescent="0.25">
      <c r="A205" s="1879">
        <v>125</v>
      </c>
      <c r="B205" s="1276" t="s">
        <v>2326</v>
      </c>
      <c r="C205" s="1239" t="s">
        <v>7173</v>
      </c>
      <c r="D205" s="1239" t="s">
        <v>6730</v>
      </c>
      <c r="E205" s="1239" t="s">
        <v>5811</v>
      </c>
      <c r="F205" s="1291" t="s">
        <v>7174</v>
      </c>
      <c r="G205" s="1246" t="s">
        <v>6615</v>
      </c>
      <c r="H205" s="1246" t="s">
        <v>1963</v>
      </c>
      <c r="I205" s="1273" t="s">
        <v>7175</v>
      </c>
      <c r="J205" s="1239" t="s">
        <v>4432</v>
      </c>
      <c r="K205" s="1244">
        <v>41814</v>
      </c>
      <c r="L205" s="187">
        <v>2482</v>
      </c>
      <c r="M205" s="1246">
        <v>11335</v>
      </c>
      <c r="N205" s="1244">
        <v>41814</v>
      </c>
      <c r="O205" s="1244">
        <v>41875</v>
      </c>
      <c r="P205" s="1239" t="s">
        <v>6735</v>
      </c>
      <c r="Q205" s="1239" t="s">
        <v>677</v>
      </c>
      <c r="R205" s="1239" t="s">
        <v>677</v>
      </c>
      <c r="S205" s="1239" t="s">
        <v>677</v>
      </c>
      <c r="T205" s="1239" t="s">
        <v>316</v>
      </c>
      <c r="U205" s="1246" t="s">
        <v>677</v>
      </c>
      <c r="V205" s="1239" t="s">
        <v>677</v>
      </c>
      <c r="W205" s="1243" t="s">
        <v>677</v>
      </c>
      <c r="X205" s="1239" t="s">
        <v>677</v>
      </c>
      <c r="Y205" s="1244" t="s">
        <v>677</v>
      </c>
      <c r="Z205" s="1244" t="s">
        <v>677</v>
      </c>
      <c r="AA205" s="1242" t="s">
        <v>677</v>
      </c>
      <c r="AB205" s="1239" t="s">
        <v>677</v>
      </c>
      <c r="AC205" s="1319">
        <v>0</v>
      </c>
      <c r="AD205" s="1319">
        <v>0</v>
      </c>
      <c r="AE205" s="1319">
        <f t="shared" si="9"/>
        <v>2482</v>
      </c>
      <c r="AF205" s="1319"/>
      <c r="AG205" s="187">
        <v>2482</v>
      </c>
      <c r="AH205" s="187">
        <f t="shared" ref="AH205:AH230" si="12">AF205+AG205</f>
        <v>2482</v>
      </c>
      <c r="AI205" s="1243" t="s">
        <v>677</v>
      </c>
      <c r="AJ205" s="1243" t="s">
        <v>677</v>
      </c>
      <c r="AK205" s="1243" t="s">
        <v>677</v>
      </c>
      <c r="AL205" s="1243" t="s">
        <v>677</v>
      </c>
      <c r="AM205" s="1248" t="s">
        <v>677</v>
      </c>
      <c r="AN205" s="1248" t="s">
        <v>677</v>
      </c>
      <c r="AO205" s="1248" t="s">
        <v>677</v>
      </c>
      <c r="AP205" s="1248" t="s">
        <v>677</v>
      </c>
      <c r="AQ205" s="1248" t="s">
        <v>677</v>
      </c>
      <c r="AR205" s="1248" t="s">
        <v>677</v>
      </c>
      <c r="AS205" s="1243" t="s">
        <v>677</v>
      </c>
      <c r="AT205" s="1243" t="s">
        <v>677</v>
      </c>
      <c r="AU205" s="1243" t="s">
        <v>677</v>
      </c>
      <c r="AV205" s="1243" t="s">
        <v>677</v>
      </c>
      <c r="AW205" s="1243" t="s">
        <v>677</v>
      </c>
      <c r="AX205" s="1243" t="s">
        <v>677</v>
      </c>
      <c r="AY205" s="1243" t="s">
        <v>677</v>
      </c>
      <c r="AZ205" s="1243" t="s">
        <v>677</v>
      </c>
      <c r="BA205" s="1243" t="s">
        <v>677</v>
      </c>
      <c r="BB205" s="1243" t="s">
        <v>677</v>
      </c>
      <c r="BC205" s="1243" t="s">
        <v>677</v>
      </c>
      <c r="BD205" s="1243" t="s">
        <v>677</v>
      </c>
    </row>
    <row r="206" spans="1:56" s="422" customFormat="1" ht="51" x14ac:dyDescent="0.25">
      <c r="A206" s="1879">
        <v>126</v>
      </c>
      <c r="B206" s="1276" t="s">
        <v>792</v>
      </c>
      <c r="C206" s="1239" t="s">
        <v>7176</v>
      </c>
      <c r="D206" s="1239" t="s">
        <v>6730</v>
      </c>
      <c r="E206" s="1239" t="s">
        <v>5811</v>
      </c>
      <c r="F206" s="1291" t="s">
        <v>7177</v>
      </c>
      <c r="G206" s="1246" t="s">
        <v>7178</v>
      </c>
      <c r="H206" s="1246" t="s">
        <v>1966</v>
      </c>
      <c r="I206" s="1273" t="s">
        <v>6904</v>
      </c>
      <c r="J206" s="1239" t="s">
        <v>4332</v>
      </c>
      <c r="K206" s="1244">
        <v>41817</v>
      </c>
      <c r="L206" s="187">
        <v>18700</v>
      </c>
      <c r="M206" s="1243">
        <v>11338</v>
      </c>
      <c r="N206" s="1244">
        <v>41817</v>
      </c>
      <c r="O206" s="1244">
        <v>42004</v>
      </c>
      <c r="P206" s="1239" t="s">
        <v>6772</v>
      </c>
      <c r="Q206" s="1239" t="s">
        <v>677</v>
      </c>
      <c r="R206" s="1239" t="s">
        <v>677</v>
      </c>
      <c r="S206" s="1239" t="s">
        <v>677</v>
      </c>
      <c r="T206" s="1239" t="s">
        <v>7086</v>
      </c>
      <c r="U206" s="1246" t="s">
        <v>677</v>
      </c>
      <c r="V206" s="1239" t="s">
        <v>677</v>
      </c>
      <c r="W206" s="1243" t="s">
        <v>677</v>
      </c>
      <c r="X206" s="1239" t="s">
        <v>677</v>
      </c>
      <c r="Y206" s="1244" t="s">
        <v>677</v>
      </c>
      <c r="Z206" s="1244" t="s">
        <v>677</v>
      </c>
      <c r="AA206" s="1242" t="s">
        <v>677</v>
      </c>
      <c r="AB206" s="1239" t="s">
        <v>677</v>
      </c>
      <c r="AC206" s="1319">
        <v>0</v>
      </c>
      <c r="AD206" s="1319">
        <v>0</v>
      </c>
      <c r="AE206" s="1319">
        <f t="shared" si="9"/>
        <v>18700</v>
      </c>
      <c r="AF206" s="1319"/>
      <c r="AG206" s="187">
        <v>18700</v>
      </c>
      <c r="AH206" s="187">
        <f t="shared" si="12"/>
        <v>18700</v>
      </c>
      <c r="AI206" s="1243" t="s">
        <v>677</v>
      </c>
      <c r="AJ206" s="1243" t="s">
        <v>677</v>
      </c>
      <c r="AK206" s="1243" t="s">
        <v>677</v>
      </c>
      <c r="AL206" s="1243" t="s">
        <v>677</v>
      </c>
      <c r="AM206" s="1248" t="s">
        <v>677</v>
      </c>
      <c r="AN206" s="1248" t="s">
        <v>677</v>
      </c>
      <c r="AO206" s="1248" t="s">
        <v>677</v>
      </c>
      <c r="AP206" s="1248" t="s">
        <v>677</v>
      </c>
      <c r="AQ206" s="1248" t="s">
        <v>677</v>
      </c>
      <c r="AR206" s="1248" t="s">
        <v>677</v>
      </c>
      <c r="AS206" s="1243" t="s">
        <v>677</v>
      </c>
      <c r="AT206" s="1243" t="s">
        <v>677</v>
      </c>
      <c r="AU206" s="1243" t="s">
        <v>677</v>
      </c>
      <c r="AV206" s="1243" t="s">
        <v>677</v>
      </c>
      <c r="AW206" s="1243" t="s">
        <v>677</v>
      </c>
      <c r="AX206" s="1243" t="s">
        <v>677</v>
      </c>
      <c r="AY206" s="1243" t="s">
        <v>677</v>
      </c>
      <c r="AZ206" s="1243" t="s">
        <v>677</v>
      </c>
      <c r="BA206" s="1243" t="s">
        <v>677</v>
      </c>
      <c r="BB206" s="1243" t="s">
        <v>677</v>
      </c>
      <c r="BC206" s="1243" t="s">
        <v>677</v>
      </c>
      <c r="BD206" s="1243" t="s">
        <v>677</v>
      </c>
    </row>
    <row r="207" spans="1:56" s="422" customFormat="1" ht="38.25" x14ac:dyDescent="0.25">
      <c r="A207" s="1879">
        <v>127</v>
      </c>
      <c r="B207" s="1276" t="s">
        <v>2322</v>
      </c>
      <c r="C207" s="1239" t="s">
        <v>7179</v>
      </c>
      <c r="D207" s="1239" t="s">
        <v>6800</v>
      </c>
      <c r="E207" s="1239" t="s">
        <v>5811</v>
      </c>
      <c r="F207" s="1291" t="s">
        <v>7180</v>
      </c>
      <c r="G207" s="1246" t="s">
        <v>7181</v>
      </c>
      <c r="H207" s="1246" t="s">
        <v>1968</v>
      </c>
      <c r="I207" s="1273" t="s">
        <v>7182</v>
      </c>
      <c r="J207" s="1239" t="s">
        <v>7183</v>
      </c>
      <c r="K207" s="1244">
        <v>41814</v>
      </c>
      <c r="L207" s="187">
        <v>26180</v>
      </c>
      <c r="M207" s="1243">
        <v>11345</v>
      </c>
      <c r="N207" s="1244">
        <v>41814</v>
      </c>
      <c r="O207" s="1244">
        <v>42004</v>
      </c>
      <c r="P207" s="1239" t="s">
        <v>6763</v>
      </c>
      <c r="Q207" s="1239" t="s">
        <v>677</v>
      </c>
      <c r="R207" s="1239" t="s">
        <v>677</v>
      </c>
      <c r="S207" s="1239" t="s">
        <v>677</v>
      </c>
      <c r="T207" s="1239" t="s">
        <v>208</v>
      </c>
      <c r="U207" s="1246" t="s">
        <v>677</v>
      </c>
      <c r="V207" s="1239" t="s">
        <v>677</v>
      </c>
      <c r="W207" s="1243" t="s">
        <v>677</v>
      </c>
      <c r="X207" s="1239" t="s">
        <v>677</v>
      </c>
      <c r="Y207" s="1244" t="s">
        <v>677</v>
      </c>
      <c r="Z207" s="1244" t="s">
        <v>677</v>
      </c>
      <c r="AA207" s="1242" t="s">
        <v>677</v>
      </c>
      <c r="AB207" s="1239" t="s">
        <v>677</v>
      </c>
      <c r="AC207" s="1319">
        <v>0</v>
      </c>
      <c r="AD207" s="1319">
        <v>0</v>
      </c>
      <c r="AE207" s="1319">
        <f t="shared" si="9"/>
        <v>26180</v>
      </c>
      <c r="AF207" s="1319"/>
      <c r="AG207" s="187">
        <v>26180</v>
      </c>
      <c r="AH207" s="187">
        <f t="shared" si="12"/>
        <v>26180</v>
      </c>
      <c r="AI207" s="1265" t="s">
        <v>675</v>
      </c>
      <c r="AJ207" s="1243" t="s">
        <v>677</v>
      </c>
      <c r="AK207" s="1243" t="s">
        <v>677</v>
      </c>
      <c r="AL207" s="1243" t="s">
        <v>677</v>
      </c>
      <c r="AM207" s="1248" t="s">
        <v>677</v>
      </c>
      <c r="AN207" s="1248" t="s">
        <v>677</v>
      </c>
      <c r="AO207" s="1248" t="s">
        <v>677</v>
      </c>
      <c r="AP207" s="1248" t="s">
        <v>677</v>
      </c>
      <c r="AQ207" s="1248" t="s">
        <v>677</v>
      </c>
      <c r="AR207" s="1248" t="s">
        <v>677</v>
      </c>
      <c r="AS207" s="1243" t="s">
        <v>677</v>
      </c>
      <c r="AT207" s="1243" t="s">
        <v>677</v>
      </c>
      <c r="AU207" s="1243" t="s">
        <v>677</v>
      </c>
      <c r="AV207" s="1243" t="s">
        <v>677</v>
      </c>
      <c r="AW207" s="1243" t="s">
        <v>677</v>
      </c>
      <c r="AX207" s="1243" t="s">
        <v>677</v>
      </c>
      <c r="AY207" s="1243" t="s">
        <v>677</v>
      </c>
      <c r="AZ207" s="1243" t="s">
        <v>677</v>
      </c>
      <c r="BA207" s="1243" t="s">
        <v>677</v>
      </c>
      <c r="BB207" s="1243" t="s">
        <v>677</v>
      </c>
      <c r="BC207" s="1243" t="s">
        <v>677</v>
      </c>
      <c r="BD207" s="1243" t="s">
        <v>677</v>
      </c>
    </row>
    <row r="208" spans="1:56" s="422" customFormat="1" ht="51" x14ac:dyDescent="0.25">
      <c r="A208" s="1879">
        <v>128</v>
      </c>
      <c r="B208" s="1276" t="s">
        <v>2247</v>
      </c>
      <c r="C208" s="1239" t="s">
        <v>677</v>
      </c>
      <c r="D208" s="1239" t="s">
        <v>690</v>
      </c>
      <c r="E208" s="1239" t="s">
        <v>677</v>
      </c>
      <c r="F208" s="1880" t="s">
        <v>7184</v>
      </c>
      <c r="G208" s="1243">
        <v>11345</v>
      </c>
      <c r="H208" s="1246" t="s">
        <v>1974</v>
      </c>
      <c r="I208" s="1273" t="s">
        <v>7185</v>
      </c>
      <c r="J208" s="1239" t="s">
        <v>415</v>
      </c>
      <c r="K208" s="1244">
        <v>41837</v>
      </c>
      <c r="L208" s="187">
        <v>7937.64</v>
      </c>
      <c r="M208" s="1243">
        <v>11345</v>
      </c>
      <c r="N208" s="1244">
        <v>41837</v>
      </c>
      <c r="O208" s="1244">
        <v>41899</v>
      </c>
      <c r="P208" s="1239" t="s">
        <v>6735</v>
      </c>
      <c r="Q208" s="1239" t="s">
        <v>677</v>
      </c>
      <c r="R208" s="1239" t="s">
        <v>677</v>
      </c>
      <c r="S208" s="1239" t="s">
        <v>677</v>
      </c>
      <c r="T208" s="1246" t="s">
        <v>7186</v>
      </c>
      <c r="U208" s="1246" t="s">
        <v>677</v>
      </c>
      <c r="V208" s="1239" t="s">
        <v>677</v>
      </c>
      <c r="W208" s="1243" t="s">
        <v>677</v>
      </c>
      <c r="X208" s="1239" t="s">
        <v>677</v>
      </c>
      <c r="Y208" s="1244" t="s">
        <v>677</v>
      </c>
      <c r="Z208" s="1244" t="s">
        <v>677</v>
      </c>
      <c r="AA208" s="1242" t="s">
        <v>677</v>
      </c>
      <c r="AB208" s="1239" t="s">
        <v>677</v>
      </c>
      <c r="AC208" s="1319">
        <v>0</v>
      </c>
      <c r="AD208" s="1319">
        <v>0</v>
      </c>
      <c r="AE208" s="1319">
        <f t="shared" ref="AE208:AE214" si="13">L208-AD208+AC208</f>
        <v>7937.64</v>
      </c>
      <c r="AF208" s="1319"/>
      <c r="AG208" s="187">
        <v>7937.64</v>
      </c>
      <c r="AH208" s="187">
        <f>AF208+AG208</f>
        <v>7937.64</v>
      </c>
      <c r="AI208" s="1243" t="s">
        <v>677</v>
      </c>
      <c r="AJ208" s="1243" t="s">
        <v>677</v>
      </c>
      <c r="AK208" s="1243" t="s">
        <v>677</v>
      </c>
      <c r="AL208" s="1243" t="s">
        <v>677</v>
      </c>
      <c r="AM208" s="1284" t="s">
        <v>690</v>
      </c>
      <c r="AN208" s="1239" t="s">
        <v>6888</v>
      </c>
      <c r="AO208" s="1243">
        <v>11345</v>
      </c>
      <c r="AP208" s="1244">
        <v>41830</v>
      </c>
      <c r="AQ208" s="1243">
        <v>11345</v>
      </c>
      <c r="AR208" s="1244">
        <v>41830</v>
      </c>
      <c r="AS208" s="1243" t="s">
        <v>677</v>
      </c>
      <c r="AT208" s="1243" t="s">
        <v>677</v>
      </c>
      <c r="AU208" s="1243" t="s">
        <v>677</v>
      </c>
      <c r="AV208" s="1243" t="s">
        <v>677</v>
      </c>
      <c r="AW208" s="1243" t="s">
        <v>677</v>
      </c>
      <c r="AX208" s="1243" t="s">
        <v>677</v>
      </c>
      <c r="AY208" s="1243" t="s">
        <v>677</v>
      </c>
      <c r="AZ208" s="1243" t="s">
        <v>677</v>
      </c>
      <c r="BA208" s="1243" t="s">
        <v>677</v>
      </c>
      <c r="BB208" s="1243" t="s">
        <v>677</v>
      </c>
      <c r="BC208" s="1243" t="s">
        <v>677</v>
      </c>
      <c r="BD208" s="1243" t="s">
        <v>677</v>
      </c>
    </row>
    <row r="209" spans="1:56" s="422" customFormat="1" ht="38.25" x14ac:dyDescent="0.25">
      <c r="A209" s="1879">
        <v>129</v>
      </c>
      <c r="B209" s="1276" t="s">
        <v>702</v>
      </c>
      <c r="C209" s="1239" t="s">
        <v>7187</v>
      </c>
      <c r="D209" s="1239" t="s">
        <v>6730</v>
      </c>
      <c r="E209" s="1239" t="s">
        <v>5811</v>
      </c>
      <c r="F209" s="1291" t="s">
        <v>7188</v>
      </c>
      <c r="G209" s="1246" t="s">
        <v>7189</v>
      </c>
      <c r="H209" s="1246" t="s">
        <v>1982</v>
      </c>
      <c r="I209" s="1273" t="s">
        <v>1584</v>
      </c>
      <c r="J209" s="1239" t="s">
        <v>7190</v>
      </c>
      <c r="K209" s="1244">
        <v>41831</v>
      </c>
      <c r="L209" s="187">
        <v>70000</v>
      </c>
      <c r="M209" s="1243">
        <v>11348</v>
      </c>
      <c r="N209" s="1244">
        <v>41831</v>
      </c>
      <c r="O209" s="1244">
        <v>41893</v>
      </c>
      <c r="P209" s="1239" t="s">
        <v>6763</v>
      </c>
      <c r="Q209" s="1239" t="s">
        <v>677</v>
      </c>
      <c r="R209" s="1239" t="s">
        <v>677</v>
      </c>
      <c r="S209" s="1239" t="s">
        <v>677</v>
      </c>
      <c r="T209" s="1239" t="s">
        <v>408</v>
      </c>
      <c r="U209" s="1246" t="s">
        <v>677</v>
      </c>
      <c r="V209" s="1239" t="s">
        <v>677</v>
      </c>
      <c r="W209" s="1243" t="s">
        <v>677</v>
      </c>
      <c r="X209" s="1239" t="s">
        <v>677</v>
      </c>
      <c r="Y209" s="1244" t="s">
        <v>677</v>
      </c>
      <c r="Z209" s="1244" t="s">
        <v>677</v>
      </c>
      <c r="AA209" s="1242" t="s">
        <v>677</v>
      </c>
      <c r="AB209" s="1239" t="s">
        <v>677</v>
      </c>
      <c r="AC209" s="1319">
        <v>0</v>
      </c>
      <c r="AD209" s="1319">
        <v>0</v>
      </c>
      <c r="AE209" s="1319">
        <f t="shared" si="13"/>
        <v>70000</v>
      </c>
      <c r="AF209" s="1319"/>
      <c r="AG209" s="187">
        <v>70000</v>
      </c>
      <c r="AH209" s="187">
        <f t="shared" si="12"/>
        <v>70000</v>
      </c>
      <c r="AI209" s="1265" t="s">
        <v>807</v>
      </c>
      <c r="AJ209" s="1243">
        <v>11346</v>
      </c>
      <c r="AK209" s="1243" t="s">
        <v>677</v>
      </c>
      <c r="AL209" s="1243" t="s">
        <v>677</v>
      </c>
      <c r="AM209" s="1248" t="s">
        <v>677</v>
      </c>
      <c r="AN209" s="1248" t="s">
        <v>677</v>
      </c>
      <c r="AO209" s="1248" t="s">
        <v>677</v>
      </c>
      <c r="AP209" s="1248" t="s">
        <v>677</v>
      </c>
      <c r="AQ209" s="1248" t="s">
        <v>677</v>
      </c>
      <c r="AR209" s="1248" t="s">
        <v>677</v>
      </c>
      <c r="AS209" s="1243" t="s">
        <v>677</v>
      </c>
      <c r="AT209" s="1243" t="s">
        <v>677</v>
      </c>
      <c r="AU209" s="1243" t="s">
        <v>677</v>
      </c>
      <c r="AV209" s="1243" t="s">
        <v>677</v>
      </c>
      <c r="AW209" s="1243" t="s">
        <v>677</v>
      </c>
      <c r="AX209" s="1243" t="s">
        <v>677</v>
      </c>
      <c r="AY209" s="1243" t="s">
        <v>677</v>
      </c>
      <c r="AZ209" s="1243" t="s">
        <v>677</v>
      </c>
      <c r="BA209" s="1243" t="s">
        <v>677</v>
      </c>
      <c r="BB209" s="1243" t="s">
        <v>677</v>
      </c>
      <c r="BC209" s="1243" t="s">
        <v>677</v>
      </c>
      <c r="BD209" s="1243" t="s">
        <v>677</v>
      </c>
    </row>
    <row r="210" spans="1:56" s="422" customFormat="1" ht="38.25" x14ac:dyDescent="0.25">
      <c r="A210" s="1879">
        <v>130</v>
      </c>
      <c r="B210" s="1276" t="s">
        <v>2362</v>
      </c>
      <c r="C210" s="1239" t="s">
        <v>7191</v>
      </c>
      <c r="D210" s="1239" t="s">
        <v>6730</v>
      </c>
      <c r="E210" s="1239" t="s">
        <v>5811</v>
      </c>
      <c r="F210" s="1291" t="s">
        <v>7192</v>
      </c>
      <c r="G210" s="1246" t="s">
        <v>7193</v>
      </c>
      <c r="H210" s="1246" t="s">
        <v>1990</v>
      </c>
      <c r="I210" s="1273" t="s">
        <v>1567</v>
      </c>
      <c r="J210" s="1239" t="s">
        <v>1568</v>
      </c>
      <c r="K210" s="1244">
        <v>41831</v>
      </c>
      <c r="L210" s="187">
        <v>13994.8</v>
      </c>
      <c r="M210" s="1243">
        <v>11348</v>
      </c>
      <c r="N210" s="1244">
        <v>41831</v>
      </c>
      <c r="O210" s="1244">
        <v>41862</v>
      </c>
      <c r="P210" s="1239" t="s">
        <v>6735</v>
      </c>
      <c r="Q210" s="1239" t="s">
        <v>677</v>
      </c>
      <c r="R210" s="1239" t="s">
        <v>677</v>
      </c>
      <c r="S210" s="1239" t="s">
        <v>677</v>
      </c>
      <c r="T210" s="1239" t="s">
        <v>408</v>
      </c>
      <c r="U210" s="1246" t="s">
        <v>677</v>
      </c>
      <c r="V210" s="1239" t="s">
        <v>677</v>
      </c>
      <c r="W210" s="1243" t="s">
        <v>677</v>
      </c>
      <c r="X210" s="1239" t="s">
        <v>677</v>
      </c>
      <c r="Y210" s="1244" t="s">
        <v>677</v>
      </c>
      <c r="Z210" s="1244" t="s">
        <v>677</v>
      </c>
      <c r="AA210" s="1242" t="s">
        <v>677</v>
      </c>
      <c r="AB210" s="1239" t="s">
        <v>677</v>
      </c>
      <c r="AC210" s="1319">
        <v>0</v>
      </c>
      <c r="AD210" s="1319">
        <v>0</v>
      </c>
      <c r="AE210" s="1319">
        <f t="shared" si="13"/>
        <v>13994.8</v>
      </c>
      <c r="AF210" s="1319"/>
      <c r="AG210" s="187">
        <v>13994.8</v>
      </c>
      <c r="AH210" s="187">
        <f t="shared" si="12"/>
        <v>13994.8</v>
      </c>
      <c r="AI210" s="1243" t="s">
        <v>677</v>
      </c>
      <c r="AJ210" s="1243" t="s">
        <v>677</v>
      </c>
      <c r="AK210" s="1243" t="s">
        <v>677</v>
      </c>
      <c r="AL210" s="1243" t="s">
        <v>677</v>
      </c>
      <c r="AM210" s="1248" t="s">
        <v>677</v>
      </c>
      <c r="AN210" s="1248" t="s">
        <v>677</v>
      </c>
      <c r="AO210" s="1248" t="s">
        <v>677</v>
      </c>
      <c r="AP210" s="1248" t="s">
        <v>677</v>
      </c>
      <c r="AQ210" s="1248" t="s">
        <v>677</v>
      </c>
      <c r="AR210" s="1248" t="s">
        <v>677</v>
      </c>
      <c r="AS210" s="1243" t="s">
        <v>677</v>
      </c>
      <c r="AT210" s="1243" t="s">
        <v>677</v>
      </c>
      <c r="AU210" s="1243" t="s">
        <v>677</v>
      </c>
      <c r="AV210" s="1243" t="s">
        <v>677</v>
      </c>
      <c r="AW210" s="1243" t="s">
        <v>677</v>
      </c>
      <c r="AX210" s="1243" t="s">
        <v>677</v>
      </c>
      <c r="AY210" s="1243" t="s">
        <v>677</v>
      </c>
      <c r="AZ210" s="1243" t="s">
        <v>677</v>
      </c>
      <c r="BA210" s="1243" t="s">
        <v>677</v>
      </c>
      <c r="BB210" s="1243" t="s">
        <v>677</v>
      </c>
      <c r="BC210" s="1243" t="s">
        <v>677</v>
      </c>
      <c r="BD210" s="1243" t="s">
        <v>677</v>
      </c>
    </row>
    <row r="211" spans="1:56" s="422" customFormat="1" ht="38.25" x14ac:dyDescent="0.25">
      <c r="A211" s="1879">
        <v>131</v>
      </c>
      <c r="B211" s="1276" t="s">
        <v>2051</v>
      </c>
      <c r="C211" s="1239" t="s">
        <v>7137</v>
      </c>
      <c r="D211" s="1239" t="s">
        <v>6730</v>
      </c>
      <c r="E211" s="1239" t="s">
        <v>5811</v>
      </c>
      <c r="F211" s="1291" t="s">
        <v>7194</v>
      </c>
      <c r="G211" s="1243">
        <v>11227</v>
      </c>
      <c r="H211" s="1246" t="s">
        <v>1997</v>
      </c>
      <c r="I211" s="1273" t="s">
        <v>1949</v>
      </c>
      <c r="J211" s="1239" t="s">
        <v>752</v>
      </c>
      <c r="K211" s="1244">
        <v>41837</v>
      </c>
      <c r="L211" s="187">
        <v>8335</v>
      </c>
      <c r="M211" s="1243">
        <v>11352</v>
      </c>
      <c r="N211" s="1244">
        <v>41837</v>
      </c>
      <c r="O211" s="1244">
        <v>41899</v>
      </c>
      <c r="P211" s="1239" t="s">
        <v>6735</v>
      </c>
      <c r="Q211" s="1239" t="s">
        <v>677</v>
      </c>
      <c r="R211" s="1239" t="s">
        <v>677</v>
      </c>
      <c r="S211" s="1239" t="s">
        <v>677</v>
      </c>
      <c r="T211" s="1239" t="s">
        <v>316</v>
      </c>
      <c r="U211" s="1246" t="s">
        <v>677</v>
      </c>
      <c r="V211" s="1239" t="s">
        <v>677</v>
      </c>
      <c r="W211" s="1243" t="s">
        <v>677</v>
      </c>
      <c r="X211" s="1239" t="s">
        <v>677</v>
      </c>
      <c r="Y211" s="1244" t="s">
        <v>677</v>
      </c>
      <c r="Z211" s="1244" t="s">
        <v>677</v>
      </c>
      <c r="AA211" s="1242" t="s">
        <v>677</v>
      </c>
      <c r="AB211" s="1239" t="s">
        <v>677</v>
      </c>
      <c r="AC211" s="1319">
        <v>0</v>
      </c>
      <c r="AD211" s="1319">
        <v>0</v>
      </c>
      <c r="AE211" s="1319">
        <f t="shared" si="13"/>
        <v>8335</v>
      </c>
      <c r="AF211" s="1319"/>
      <c r="AG211" s="187">
        <v>8335</v>
      </c>
      <c r="AH211" s="187">
        <f t="shared" si="12"/>
        <v>8335</v>
      </c>
      <c r="AI211" s="1243" t="s">
        <v>677</v>
      </c>
      <c r="AJ211" s="1243" t="s">
        <v>677</v>
      </c>
      <c r="AK211" s="1243" t="s">
        <v>677</v>
      </c>
      <c r="AL211" s="1243" t="s">
        <v>677</v>
      </c>
      <c r="AM211" s="1248" t="s">
        <v>677</v>
      </c>
      <c r="AN211" s="1248" t="s">
        <v>677</v>
      </c>
      <c r="AO211" s="1248" t="s">
        <v>677</v>
      </c>
      <c r="AP211" s="1248" t="s">
        <v>677</v>
      </c>
      <c r="AQ211" s="1248" t="s">
        <v>677</v>
      </c>
      <c r="AR211" s="1248" t="s">
        <v>677</v>
      </c>
      <c r="AS211" s="1243" t="s">
        <v>677</v>
      </c>
      <c r="AT211" s="1243" t="s">
        <v>677</v>
      </c>
      <c r="AU211" s="1243" t="s">
        <v>677</v>
      </c>
      <c r="AV211" s="1243" t="s">
        <v>677</v>
      </c>
      <c r="AW211" s="1243" t="s">
        <v>677</v>
      </c>
      <c r="AX211" s="1243" t="s">
        <v>677</v>
      </c>
      <c r="AY211" s="1243" t="s">
        <v>677</v>
      </c>
      <c r="AZ211" s="1243" t="s">
        <v>677</v>
      </c>
      <c r="BA211" s="1243" t="s">
        <v>677</v>
      </c>
      <c r="BB211" s="1243" t="s">
        <v>677</v>
      </c>
      <c r="BC211" s="1243" t="s">
        <v>677</v>
      </c>
      <c r="BD211" s="1243" t="s">
        <v>677</v>
      </c>
    </row>
    <row r="212" spans="1:56" s="422" customFormat="1" ht="38.25" x14ac:dyDescent="0.25">
      <c r="A212" s="1879">
        <v>132</v>
      </c>
      <c r="B212" s="1276" t="s">
        <v>2321</v>
      </c>
      <c r="C212" s="1239" t="s">
        <v>7195</v>
      </c>
      <c r="D212" s="1239" t="s">
        <v>6730</v>
      </c>
      <c r="E212" s="1239" t="s">
        <v>5811</v>
      </c>
      <c r="F212" s="1291" t="s">
        <v>7196</v>
      </c>
      <c r="G212" s="1246" t="s">
        <v>7197</v>
      </c>
      <c r="H212" s="1246" t="s">
        <v>2001</v>
      </c>
      <c r="I212" s="1273" t="s">
        <v>3722</v>
      </c>
      <c r="J212" s="1239" t="s">
        <v>380</v>
      </c>
      <c r="K212" s="1244">
        <v>41837</v>
      </c>
      <c r="L212" s="187">
        <v>48504.6</v>
      </c>
      <c r="M212" s="1243">
        <v>11352</v>
      </c>
      <c r="N212" s="1244">
        <v>41837</v>
      </c>
      <c r="O212" s="1244">
        <v>41899</v>
      </c>
      <c r="P212" s="1239" t="s">
        <v>6763</v>
      </c>
      <c r="Q212" s="1239" t="s">
        <v>677</v>
      </c>
      <c r="R212" s="1239" t="s">
        <v>677</v>
      </c>
      <c r="S212" s="1239" t="s">
        <v>677</v>
      </c>
      <c r="T212" s="1239" t="s">
        <v>208</v>
      </c>
      <c r="U212" s="1246" t="s">
        <v>677</v>
      </c>
      <c r="V212" s="1239" t="s">
        <v>677</v>
      </c>
      <c r="W212" s="1243" t="s">
        <v>677</v>
      </c>
      <c r="X212" s="1239" t="s">
        <v>677</v>
      </c>
      <c r="Y212" s="1244" t="s">
        <v>677</v>
      </c>
      <c r="Z212" s="1244" t="s">
        <v>677</v>
      </c>
      <c r="AA212" s="1242" t="s">
        <v>677</v>
      </c>
      <c r="AB212" s="1239" t="s">
        <v>677</v>
      </c>
      <c r="AC212" s="1319">
        <v>0</v>
      </c>
      <c r="AD212" s="1319">
        <v>0</v>
      </c>
      <c r="AE212" s="1319">
        <f t="shared" si="13"/>
        <v>48504.6</v>
      </c>
      <c r="AF212" s="1319"/>
      <c r="AG212" s="187">
        <v>48504.6</v>
      </c>
      <c r="AH212" s="187">
        <f t="shared" si="12"/>
        <v>48504.6</v>
      </c>
      <c r="AI212" s="1243" t="s">
        <v>677</v>
      </c>
      <c r="AJ212" s="1243" t="s">
        <v>677</v>
      </c>
      <c r="AK212" s="1243" t="s">
        <v>677</v>
      </c>
      <c r="AL212" s="1243" t="s">
        <v>677</v>
      </c>
      <c r="AM212" s="1248" t="s">
        <v>677</v>
      </c>
      <c r="AN212" s="1248" t="s">
        <v>677</v>
      </c>
      <c r="AO212" s="1248" t="s">
        <v>677</v>
      </c>
      <c r="AP212" s="1248" t="s">
        <v>677</v>
      </c>
      <c r="AQ212" s="1248" t="s">
        <v>677</v>
      </c>
      <c r="AR212" s="1248" t="s">
        <v>677</v>
      </c>
      <c r="AS212" s="1243" t="s">
        <v>677</v>
      </c>
      <c r="AT212" s="1243" t="s">
        <v>677</v>
      </c>
      <c r="AU212" s="1243" t="s">
        <v>677</v>
      </c>
      <c r="AV212" s="1243" t="s">
        <v>677</v>
      </c>
      <c r="AW212" s="1243" t="s">
        <v>677</v>
      </c>
      <c r="AX212" s="1243" t="s">
        <v>677</v>
      </c>
      <c r="AY212" s="1243" t="s">
        <v>677</v>
      </c>
      <c r="AZ212" s="1243" t="s">
        <v>677</v>
      </c>
      <c r="BA212" s="1243" t="s">
        <v>677</v>
      </c>
      <c r="BB212" s="1243" t="s">
        <v>677</v>
      </c>
      <c r="BC212" s="1243" t="s">
        <v>677</v>
      </c>
      <c r="BD212" s="1243" t="s">
        <v>677</v>
      </c>
    </row>
    <row r="213" spans="1:56" s="422" customFormat="1" ht="38.25" x14ac:dyDescent="0.25">
      <c r="A213" s="1879">
        <v>133</v>
      </c>
      <c r="B213" s="1276" t="s">
        <v>2139</v>
      </c>
      <c r="C213" s="1239" t="s">
        <v>7195</v>
      </c>
      <c r="D213" s="1239" t="s">
        <v>6730</v>
      </c>
      <c r="E213" s="1239" t="s">
        <v>5811</v>
      </c>
      <c r="F213" s="1291" t="s">
        <v>7198</v>
      </c>
      <c r="G213" s="1246" t="s">
        <v>6723</v>
      </c>
      <c r="H213" s="1246" t="s">
        <v>2007</v>
      </c>
      <c r="I213" s="1273" t="s">
        <v>7199</v>
      </c>
      <c r="J213" s="1239" t="s">
        <v>7200</v>
      </c>
      <c r="K213" s="1244">
        <v>41837</v>
      </c>
      <c r="L213" s="187">
        <v>7100</v>
      </c>
      <c r="M213" s="1243">
        <v>11352</v>
      </c>
      <c r="N213" s="1244">
        <v>41837</v>
      </c>
      <c r="O213" s="1244">
        <v>41899</v>
      </c>
      <c r="P213" s="1239" t="s">
        <v>6763</v>
      </c>
      <c r="Q213" s="1239" t="s">
        <v>677</v>
      </c>
      <c r="R213" s="1239" t="s">
        <v>677</v>
      </c>
      <c r="S213" s="1239" t="s">
        <v>677</v>
      </c>
      <c r="T213" s="1239" t="s">
        <v>316</v>
      </c>
      <c r="U213" s="1246" t="s">
        <v>677</v>
      </c>
      <c r="V213" s="1239" t="s">
        <v>677</v>
      </c>
      <c r="W213" s="1243" t="s">
        <v>677</v>
      </c>
      <c r="X213" s="1239" t="s">
        <v>677</v>
      </c>
      <c r="Y213" s="1244" t="s">
        <v>677</v>
      </c>
      <c r="Z213" s="1244" t="s">
        <v>677</v>
      </c>
      <c r="AA213" s="1242" t="s">
        <v>677</v>
      </c>
      <c r="AB213" s="1239" t="s">
        <v>677</v>
      </c>
      <c r="AC213" s="1319">
        <v>0</v>
      </c>
      <c r="AD213" s="1319">
        <v>0</v>
      </c>
      <c r="AE213" s="1319">
        <f t="shared" si="13"/>
        <v>7100</v>
      </c>
      <c r="AF213" s="1319"/>
      <c r="AG213" s="187">
        <v>7100</v>
      </c>
      <c r="AH213" s="187">
        <f t="shared" si="12"/>
        <v>7100</v>
      </c>
      <c r="AI213" s="1243" t="s">
        <v>677</v>
      </c>
      <c r="AJ213" s="1243" t="s">
        <v>677</v>
      </c>
      <c r="AK213" s="1243" t="s">
        <v>677</v>
      </c>
      <c r="AL213" s="1243" t="s">
        <v>677</v>
      </c>
      <c r="AM213" s="1248" t="s">
        <v>677</v>
      </c>
      <c r="AN213" s="1248" t="s">
        <v>677</v>
      </c>
      <c r="AO213" s="1248" t="s">
        <v>677</v>
      </c>
      <c r="AP213" s="1248" t="s">
        <v>677</v>
      </c>
      <c r="AQ213" s="1248" t="s">
        <v>677</v>
      </c>
      <c r="AR213" s="1248" t="s">
        <v>677</v>
      </c>
      <c r="AS213" s="1243" t="s">
        <v>677</v>
      </c>
      <c r="AT213" s="1243" t="s">
        <v>677</v>
      </c>
      <c r="AU213" s="1243" t="s">
        <v>677</v>
      </c>
      <c r="AV213" s="1243" t="s">
        <v>677</v>
      </c>
      <c r="AW213" s="1243" t="s">
        <v>677</v>
      </c>
      <c r="AX213" s="1243" t="s">
        <v>677</v>
      </c>
      <c r="AY213" s="1243" t="s">
        <v>677</v>
      </c>
      <c r="AZ213" s="1243" t="s">
        <v>677</v>
      </c>
      <c r="BA213" s="1243" t="s">
        <v>677</v>
      </c>
      <c r="BB213" s="1243" t="s">
        <v>677</v>
      </c>
      <c r="BC213" s="1243" t="s">
        <v>677</v>
      </c>
      <c r="BD213" s="1243" t="s">
        <v>677</v>
      </c>
    </row>
    <row r="214" spans="1:56" s="422" customFormat="1" x14ac:dyDescent="0.25">
      <c r="A214" s="2639">
        <v>134</v>
      </c>
      <c r="B214" s="2080" t="s">
        <v>1851</v>
      </c>
      <c r="C214" s="1967" t="s">
        <v>7201</v>
      </c>
      <c r="D214" s="1967" t="s">
        <v>1233</v>
      </c>
      <c r="E214" s="1967" t="s">
        <v>7202</v>
      </c>
      <c r="F214" s="1967" t="s">
        <v>7203</v>
      </c>
      <c r="G214" s="1978" t="s">
        <v>7204</v>
      </c>
      <c r="H214" s="1978" t="s">
        <v>2015</v>
      </c>
      <c r="I214" s="2050" t="s">
        <v>7111</v>
      </c>
      <c r="J214" s="1967" t="s">
        <v>7112</v>
      </c>
      <c r="K214" s="1973">
        <v>41841</v>
      </c>
      <c r="L214" s="2638">
        <v>92000</v>
      </c>
      <c r="M214" s="1978" t="s">
        <v>7205</v>
      </c>
      <c r="N214" s="1973">
        <v>41841</v>
      </c>
      <c r="O214" s="1973">
        <v>41903</v>
      </c>
      <c r="P214" s="1967" t="s">
        <v>6763</v>
      </c>
      <c r="Q214" s="1967" t="s">
        <v>677</v>
      </c>
      <c r="R214" s="1967" t="s">
        <v>677</v>
      </c>
      <c r="S214" s="1967" t="s">
        <v>677</v>
      </c>
      <c r="T214" s="1967" t="s">
        <v>208</v>
      </c>
      <c r="U214" s="1246" t="s">
        <v>677</v>
      </c>
      <c r="V214" s="1239" t="s">
        <v>677</v>
      </c>
      <c r="W214" s="1243" t="s">
        <v>677</v>
      </c>
      <c r="X214" s="1239" t="s">
        <v>677</v>
      </c>
      <c r="Y214" s="1244" t="s">
        <v>677</v>
      </c>
      <c r="Z214" s="1244" t="s">
        <v>677</v>
      </c>
      <c r="AA214" s="1242" t="s">
        <v>677</v>
      </c>
      <c r="AB214" s="1239" t="s">
        <v>677</v>
      </c>
      <c r="AC214" s="1319">
        <v>0</v>
      </c>
      <c r="AD214" s="1319">
        <v>0</v>
      </c>
      <c r="AE214" s="1319">
        <f t="shared" si="13"/>
        <v>92000</v>
      </c>
      <c r="AF214" s="1243" t="s">
        <v>677</v>
      </c>
      <c r="AG214" s="187">
        <v>0</v>
      </c>
      <c r="AH214" s="215" t="s">
        <v>677</v>
      </c>
      <c r="AI214" s="1243" t="s">
        <v>677</v>
      </c>
      <c r="AJ214" s="1243" t="s">
        <v>677</v>
      </c>
      <c r="AK214" s="1243" t="s">
        <v>677</v>
      </c>
      <c r="AL214" s="1243" t="s">
        <v>677</v>
      </c>
      <c r="AM214" s="1248" t="s">
        <v>677</v>
      </c>
      <c r="AN214" s="1248" t="s">
        <v>677</v>
      </c>
      <c r="AO214" s="1248" t="s">
        <v>677</v>
      </c>
      <c r="AP214" s="1248" t="s">
        <v>677</v>
      </c>
      <c r="AQ214" s="1248" t="s">
        <v>677</v>
      </c>
      <c r="AR214" s="1248" t="s">
        <v>677</v>
      </c>
      <c r="AS214" s="1243" t="s">
        <v>677</v>
      </c>
      <c r="AT214" s="1243" t="s">
        <v>677</v>
      </c>
      <c r="AU214" s="1243" t="s">
        <v>677</v>
      </c>
      <c r="AV214" s="1243" t="s">
        <v>677</v>
      </c>
      <c r="AW214" s="1243" t="s">
        <v>677</v>
      </c>
      <c r="AX214" s="1243" t="s">
        <v>677</v>
      </c>
      <c r="AY214" s="1243" t="s">
        <v>677</v>
      </c>
      <c r="AZ214" s="1243" t="s">
        <v>677</v>
      </c>
      <c r="BA214" s="1243" t="s">
        <v>677</v>
      </c>
      <c r="BB214" s="1243" t="s">
        <v>677</v>
      </c>
      <c r="BC214" s="1243" t="s">
        <v>677</v>
      </c>
      <c r="BD214" s="1243" t="s">
        <v>677</v>
      </c>
    </row>
    <row r="215" spans="1:56" s="422" customFormat="1" ht="25.5" x14ac:dyDescent="0.25">
      <c r="A215" s="2639"/>
      <c r="B215" s="2080"/>
      <c r="C215" s="1967"/>
      <c r="D215" s="1967"/>
      <c r="E215" s="1967"/>
      <c r="F215" s="1967"/>
      <c r="G215" s="1978"/>
      <c r="H215" s="1978"/>
      <c r="I215" s="2050"/>
      <c r="J215" s="1967"/>
      <c r="K215" s="1973"/>
      <c r="L215" s="2638"/>
      <c r="M215" s="1978"/>
      <c r="N215" s="1973"/>
      <c r="O215" s="1973"/>
      <c r="P215" s="1967"/>
      <c r="Q215" s="1967"/>
      <c r="R215" s="1967"/>
      <c r="S215" s="1967"/>
      <c r="T215" s="1967"/>
      <c r="U215" s="1246" t="s">
        <v>267</v>
      </c>
      <c r="V215" s="1244">
        <v>41901</v>
      </c>
      <c r="W215" s="1243" t="s">
        <v>7118</v>
      </c>
      <c r="X215" s="1239" t="s">
        <v>7119</v>
      </c>
      <c r="Y215" s="1244">
        <v>41901</v>
      </c>
      <c r="Z215" s="1244">
        <v>42004</v>
      </c>
      <c r="AA215" s="1242" t="s">
        <v>677</v>
      </c>
      <c r="AB215" s="1242" t="s">
        <v>677</v>
      </c>
      <c r="AC215" s="1319">
        <v>0</v>
      </c>
      <c r="AD215" s="1319">
        <v>0</v>
      </c>
      <c r="AE215" s="1319"/>
      <c r="AF215" s="1319"/>
      <c r="AG215" s="187">
        <v>0</v>
      </c>
      <c r="AH215" s="187"/>
      <c r="AI215" s="1243"/>
      <c r="AJ215" s="1243"/>
      <c r="AK215" s="1243"/>
      <c r="AL215" s="1243"/>
      <c r="AM215" s="1248"/>
      <c r="AN215" s="1248"/>
      <c r="AO215" s="1248"/>
      <c r="AP215" s="1248"/>
      <c r="AQ215" s="1248"/>
      <c r="AR215" s="1248"/>
      <c r="AS215" s="1243"/>
      <c r="AT215" s="1243"/>
      <c r="AU215" s="1243"/>
      <c r="AV215" s="1243"/>
      <c r="AW215" s="1243"/>
      <c r="AX215" s="1243"/>
      <c r="AY215" s="1243"/>
      <c r="AZ215" s="1243"/>
      <c r="BA215" s="1243"/>
      <c r="BB215" s="1243"/>
      <c r="BC215" s="1243"/>
      <c r="BD215" s="1243"/>
    </row>
    <row r="216" spans="1:56" s="422" customFormat="1" ht="25.5" x14ac:dyDescent="0.25">
      <c r="A216" s="2639"/>
      <c r="B216" s="2080"/>
      <c r="C216" s="1967"/>
      <c r="D216" s="1967"/>
      <c r="E216" s="1967"/>
      <c r="F216" s="1967"/>
      <c r="G216" s="1978"/>
      <c r="H216" s="1978"/>
      <c r="I216" s="2050"/>
      <c r="J216" s="1967"/>
      <c r="K216" s="1973"/>
      <c r="L216" s="2638"/>
      <c r="M216" s="1978"/>
      <c r="N216" s="1973"/>
      <c r="O216" s="1973"/>
      <c r="P216" s="1967"/>
      <c r="Q216" s="1967"/>
      <c r="R216" s="1967"/>
      <c r="S216" s="1967"/>
      <c r="T216" s="1967"/>
      <c r="U216" s="1246" t="s">
        <v>6748</v>
      </c>
      <c r="V216" s="1244">
        <v>42002</v>
      </c>
      <c r="W216" s="1243" t="s">
        <v>6797</v>
      </c>
      <c r="X216" s="1239" t="s">
        <v>7120</v>
      </c>
      <c r="Y216" s="1244">
        <v>42002</v>
      </c>
      <c r="Z216" s="1244">
        <v>41699</v>
      </c>
      <c r="AA216" s="1242" t="s">
        <v>677</v>
      </c>
      <c r="AB216" s="1242" t="s">
        <v>677</v>
      </c>
      <c r="AC216" s="1319">
        <v>0</v>
      </c>
      <c r="AD216" s="1319">
        <v>0</v>
      </c>
      <c r="AE216" s="1319"/>
      <c r="AF216" s="1319"/>
      <c r="AG216" s="187">
        <v>33273.120000000003</v>
      </c>
      <c r="AH216" s="187">
        <f>AG216</f>
        <v>33273.120000000003</v>
      </c>
      <c r="AI216" s="1243"/>
      <c r="AJ216" s="1243"/>
      <c r="AK216" s="1243"/>
      <c r="AL216" s="1243"/>
      <c r="AM216" s="1248"/>
      <c r="AN216" s="1248"/>
      <c r="AO216" s="1248"/>
      <c r="AP216" s="1248"/>
      <c r="AQ216" s="1248"/>
      <c r="AR216" s="1248"/>
      <c r="AS216" s="1243"/>
      <c r="AT216" s="1243"/>
      <c r="AU216" s="1243"/>
      <c r="AV216" s="1243"/>
      <c r="AW216" s="1243"/>
      <c r="AX216" s="1243"/>
      <c r="AY216" s="1243"/>
      <c r="AZ216" s="1243"/>
      <c r="BA216" s="1243"/>
      <c r="BB216" s="1243"/>
      <c r="BC216" s="1243"/>
      <c r="BD216" s="1243"/>
    </row>
    <row r="217" spans="1:56" s="422" customFormat="1" ht="38.25" x14ac:dyDescent="0.25">
      <c r="A217" s="1879">
        <v>135</v>
      </c>
      <c r="B217" s="1276" t="s">
        <v>2262</v>
      </c>
      <c r="C217" s="1239" t="s">
        <v>677</v>
      </c>
      <c r="D217" s="1239" t="s">
        <v>690</v>
      </c>
      <c r="E217" s="1239" t="s">
        <v>677</v>
      </c>
      <c r="F217" s="1291" t="s">
        <v>7206</v>
      </c>
      <c r="G217" s="1243">
        <v>11354</v>
      </c>
      <c r="H217" s="1246" t="s">
        <v>2023</v>
      </c>
      <c r="I217" s="1273" t="s">
        <v>5061</v>
      </c>
      <c r="J217" s="1239" t="s">
        <v>5062</v>
      </c>
      <c r="K217" s="1244">
        <v>41841</v>
      </c>
      <c r="L217" s="187">
        <v>4885.8</v>
      </c>
      <c r="M217" s="1246" t="s">
        <v>7207</v>
      </c>
      <c r="N217" s="1244">
        <v>41841</v>
      </c>
      <c r="O217" s="1244">
        <v>41846</v>
      </c>
      <c r="P217" s="1239" t="s">
        <v>6763</v>
      </c>
      <c r="Q217" s="1239" t="s">
        <v>677</v>
      </c>
      <c r="R217" s="1239" t="s">
        <v>677</v>
      </c>
      <c r="S217" s="1239" t="s">
        <v>677</v>
      </c>
      <c r="T217" s="1239" t="s">
        <v>208</v>
      </c>
      <c r="U217" s="1246" t="s">
        <v>677</v>
      </c>
      <c r="V217" s="1239" t="s">
        <v>677</v>
      </c>
      <c r="W217" s="1243" t="s">
        <v>677</v>
      </c>
      <c r="X217" s="1239" t="s">
        <v>677</v>
      </c>
      <c r="Y217" s="1244" t="s">
        <v>677</v>
      </c>
      <c r="Z217" s="1244" t="s">
        <v>677</v>
      </c>
      <c r="AA217" s="1242" t="s">
        <v>677</v>
      </c>
      <c r="AB217" s="1239" t="s">
        <v>677</v>
      </c>
      <c r="AC217" s="1319">
        <v>0</v>
      </c>
      <c r="AD217" s="1319">
        <v>0</v>
      </c>
      <c r="AE217" s="1319">
        <f t="shared" ref="AE217:AE226" si="14">L217-AD217+AC217</f>
        <v>4885.8</v>
      </c>
      <c r="AF217" s="1319"/>
      <c r="AG217" s="187">
        <v>4885.8</v>
      </c>
      <c r="AH217" s="187">
        <f t="shared" si="12"/>
        <v>4885.8</v>
      </c>
      <c r="AI217" s="1243" t="s">
        <v>677</v>
      </c>
      <c r="AJ217" s="1243" t="s">
        <v>677</v>
      </c>
      <c r="AK217" s="1243" t="s">
        <v>677</v>
      </c>
      <c r="AL217" s="1243" t="s">
        <v>677</v>
      </c>
      <c r="AM217" s="1284" t="s">
        <v>690</v>
      </c>
      <c r="AN217" s="1239" t="s">
        <v>6888</v>
      </c>
      <c r="AO217" s="1243">
        <v>11354</v>
      </c>
      <c r="AP217" s="1244">
        <v>41843</v>
      </c>
      <c r="AQ217" s="1243">
        <v>11354</v>
      </c>
      <c r="AR217" s="1244">
        <v>41843</v>
      </c>
      <c r="AS217" s="1243" t="s">
        <v>677</v>
      </c>
      <c r="AT217" s="1243" t="s">
        <v>677</v>
      </c>
      <c r="AU217" s="1243" t="s">
        <v>677</v>
      </c>
      <c r="AV217" s="1243" t="s">
        <v>677</v>
      </c>
      <c r="AW217" s="1243" t="s">
        <v>677</v>
      </c>
      <c r="AX217" s="1243" t="s">
        <v>677</v>
      </c>
      <c r="AY217" s="1243" t="s">
        <v>677</v>
      </c>
      <c r="AZ217" s="1243" t="s">
        <v>677</v>
      </c>
      <c r="BA217" s="1243" t="s">
        <v>677</v>
      </c>
      <c r="BB217" s="1243" t="s">
        <v>677</v>
      </c>
      <c r="BC217" s="1243" t="s">
        <v>677</v>
      </c>
      <c r="BD217" s="1243" t="s">
        <v>677</v>
      </c>
    </row>
    <row r="218" spans="1:56" s="422" customFormat="1" ht="38.25" x14ac:dyDescent="0.25">
      <c r="A218" s="1879">
        <v>136</v>
      </c>
      <c r="B218" s="1276" t="s">
        <v>1897</v>
      </c>
      <c r="C218" s="1239" t="s">
        <v>6995</v>
      </c>
      <c r="D218" s="1239" t="s">
        <v>6730</v>
      </c>
      <c r="E218" s="1239" t="s">
        <v>5811</v>
      </c>
      <c r="F218" s="1291" t="s">
        <v>6999</v>
      </c>
      <c r="G218" s="1246" t="s">
        <v>7000</v>
      </c>
      <c r="H218" s="1246" t="s">
        <v>2030</v>
      </c>
      <c r="I218" s="1273" t="s">
        <v>7001</v>
      </c>
      <c r="J218" s="1239" t="s">
        <v>7002</v>
      </c>
      <c r="K218" s="1244">
        <v>41841</v>
      </c>
      <c r="L218" s="187">
        <v>2800</v>
      </c>
      <c r="M218" s="1246" t="s">
        <v>7208</v>
      </c>
      <c r="N218" s="1244">
        <v>41841</v>
      </c>
      <c r="O218" s="1244">
        <v>41903</v>
      </c>
      <c r="P218" s="1239" t="s">
        <v>6763</v>
      </c>
      <c r="Q218" s="1239" t="s">
        <v>677</v>
      </c>
      <c r="R218" s="1239" t="s">
        <v>677</v>
      </c>
      <c r="S218" s="1239" t="s">
        <v>677</v>
      </c>
      <c r="T218" s="1239" t="s">
        <v>316</v>
      </c>
      <c r="U218" s="1246" t="s">
        <v>677</v>
      </c>
      <c r="V218" s="1239" t="s">
        <v>677</v>
      </c>
      <c r="W218" s="1243" t="s">
        <v>677</v>
      </c>
      <c r="X218" s="1239" t="s">
        <v>677</v>
      </c>
      <c r="Y218" s="1244" t="s">
        <v>677</v>
      </c>
      <c r="Z218" s="1244" t="s">
        <v>677</v>
      </c>
      <c r="AA218" s="1242" t="s">
        <v>677</v>
      </c>
      <c r="AB218" s="1239" t="s">
        <v>677</v>
      </c>
      <c r="AC218" s="1319">
        <v>0</v>
      </c>
      <c r="AD218" s="1319">
        <v>0</v>
      </c>
      <c r="AE218" s="1319">
        <f t="shared" si="14"/>
        <v>2800</v>
      </c>
      <c r="AF218" s="1319"/>
      <c r="AG218" s="187">
        <v>2800</v>
      </c>
      <c r="AH218" s="187">
        <f t="shared" si="12"/>
        <v>2800</v>
      </c>
      <c r="AI218" s="1243" t="s">
        <v>677</v>
      </c>
      <c r="AJ218" s="1243" t="s">
        <v>677</v>
      </c>
      <c r="AK218" s="1243" t="s">
        <v>677</v>
      </c>
      <c r="AL218" s="1243" t="s">
        <v>677</v>
      </c>
      <c r="AM218" s="1248" t="s">
        <v>677</v>
      </c>
      <c r="AN218" s="1248" t="s">
        <v>677</v>
      </c>
      <c r="AO218" s="1248" t="s">
        <v>677</v>
      </c>
      <c r="AP218" s="1248" t="s">
        <v>677</v>
      </c>
      <c r="AQ218" s="1248" t="s">
        <v>677</v>
      </c>
      <c r="AR218" s="1248" t="s">
        <v>677</v>
      </c>
      <c r="AS218" s="1243" t="s">
        <v>677</v>
      </c>
      <c r="AT218" s="1243" t="s">
        <v>677</v>
      </c>
      <c r="AU218" s="1243" t="s">
        <v>677</v>
      </c>
      <c r="AV218" s="1243" t="s">
        <v>677</v>
      </c>
      <c r="AW218" s="1243" t="s">
        <v>677</v>
      </c>
      <c r="AX218" s="1243" t="s">
        <v>677</v>
      </c>
      <c r="AY218" s="1243" t="s">
        <v>677</v>
      </c>
      <c r="AZ218" s="1243" t="s">
        <v>677</v>
      </c>
      <c r="BA218" s="1243" t="s">
        <v>677</v>
      </c>
      <c r="BB218" s="1243" t="s">
        <v>677</v>
      </c>
      <c r="BC218" s="1243" t="s">
        <v>677</v>
      </c>
      <c r="BD218" s="1243" t="s">
        <v>677</v>
      </c>
    </row>
    <row r="219" spans="1:56" s="422" customFormat="1" ht="38.25" x14ac:dyDescent="0.25">
      <c r="A219" s="1879">
        <v>137</v>
      </c>
      <c r="B219" s="1276" t="s">
        <v>498</v>
      </c>
      <c r="C219" s="1239" t="s">
        <v>7132</v>
      </c>
      <c r="D219" s="1239" t="s">
        <v>6730</v>
      </c>
      <c r="E219" s="1239" t="s">
        <v>5811</v>
      </c>
      <c r="F219" s="1291" t="s">
        <v>7209</v>
      </c>
      <c r="G219" s="1243">
        <v>11244</v>
      </c>
      <c r="H219" s="1246" t="s">
        <v>2034</v>
      </c>
      <c r="I219" s="1273" t="s">
        <v>6950</v>
      </c>
      <c r="J219" s="1239" t="s">
        <v>455</v>
      </c>
      <c r="K219" s="1244">
        <v>41851</v>
      </c>
      <c r="L219" s="187">
        <v>2360</v>
      </c>
      <c r="M219" s="1246" t="s">
        <v>7210</v>
      </c>
      <c r="N219" s="1244">
        <v>41851</v>
      </c>
      <c r="O219" s="1244">
        <v>41866</v>
      </c>
      <c r="P219" s="1239" t="s">
        <v>6735</v>
      </c>
      <c r="Q219" s="1239" t="s">
        <v>677</v>
      </c>
      <c r="R219" s="1239" t="s">
        <v>677</v>
      </c>
      <c r="S219" s="1239" t="s">
        <v>677</v>
      </c>
      <c r="T219" s="1239" t="s">
        <v>408</v>
      </c>
      <c r="U219" s="1246" t="s">
        <v>677</v>
      </c>
      <c r="V219" s="1239" t="s">
        <v>677</v>
      </c>
      <c r="W219" s="1243" t="s">
        <v>677</v>
      </c>
      <c r="X219" s="1239" t="s">
        <v>677</v>
      </c>
      <c r="Y219" s="1244" t="s">
        <v>677</v>
      </c>
      <c r="Z219" s="1244" t="s">
        <v>677</v>
      </c>
      <c r="AA219" s="1242" t="s">
        <v>677</v>
      </c>
      <c r="AB219" s="1239" t="s">
        <v>677</v>
      </c>
      <c r="AC219" s="1319">
        <v>0</v>
      </c>
      <c r="AD219" s="1319">
        <v>0</v>
      </c>
      <c r="AE219" s="1319">
        <f t="shared" si="14"/>
        <v>2360</v>
      </c>
      <c r="AF219" s="1319"/>
      <c r="AG219" s="187">
        <f>AH219</f>
        <v>2360</v>
      </c>
      <c r="AH219" s="187">
        <v>2360</v>
      </c>
      <c r="AI219" s="1243" t="s">
        <v>677</v>
      </c>
      <c r="AJ219" s="1243" t="s">
        <v>677</v>
      </c>
      <c r="AK219" s="1243" t="s">
        <v>677</v>
      </c>
      <c r="AL219" s="1243" t="s">
        <v>677</v>
      </c>
      <c r="AM219" s="1248" t="s">
        <v>677</v>
      </c>
      <c r="AN219" s="1248" t="s">
        <v>677</v>
      </c>
      <c r="AO219" s="1248" t="s">
        <v>677</v>
      </c>
      <c r="AP219" s="1248" t="s">
        <v>677</v>
      </c>
      <c r="AQ219" s="1248" t="s">
        <v>677</v>
      </c>
      <c r="AR219" s="1248" t="s">
        <v>677</v>
      </c>
      <c r="AS219" s="1243" t="s">
        <v>677</v>
      </c>
      <c r="AT219" s="1243" t="s">
        <v>677</v>
      </c>
      <c r="AU219" s="1243" t="s">
        <v>677</v>
      </c>
      <c r="AV219" s="1243" t="s">
        <v>677</v>
      </c>
      <c r="AW219" s="1243" t="s">
        <v>677</v>
      </c>
      <c r="AX219" s="1243" t="s">
        <v>677</v>
      </c>
      <c r="AY219" s="1243" t="s">
        <v>677</v>
      </c>
      <c r="AZ219" s="1243" t="s">
        <v>677</v>
      </c>
      <c r="BA219" s="1243" t="s">
        <v>677</v>
      </c>
      <c r="BB219" s="1243" t="s">
        <v>677</v>
      </c>
      <c r="BC219" s="1243" t="s">
        <v>677</v>
      </c>
      <c r="BD219" s="1243" t="s">
        <v>677</v>
      </c>
    </row>
    <row r="220" spans="1:56" s="422" customFormat="1" ht="38.25" x14ac:dyDescent="0.25">
      <c r="A220" s="1879">
        <v>138</v>
      </c>
      <c r="B220" s="1276" t="s">
        <v>783</v>
      </c>
      <c r="C220" s="1239" t="s">
        <v>7132</v>
      </c>
      <c r="D220" s="1239" t="s">
        <v>6730</v>
      </c>
      <c r="E220" s="1239" t="s">
        <v>5811</v>
      </c>
      <c r="F220" s="1291" t="s">
        <v>7159</v>
      </c>
      <c r="G220" s="1243">
        <v>11244</v>
      </c>
      <c r="H220" s="1246" t="s">
        <v>2039</v>
      </c>
      <c r="I220" s="1273" t="s">
        <v>2110</v>
      </c>
      <c r="J220" s="1239" t="s">
        <v>718</v>
      </c>
      <c r="K220" s="1244">
        <v>41848</v>
      </c>
      <c r="L220" s="187">
        <v>1500</v>
      </c>
      <c r="M220" s="1246" t="s">
        <v>7210</v>
      </c>
      <c r="N220" s="1244">
        <v>41848</v>
      </c>
      <c r="O220" s="1244">
        <v>41864</v>
      </c>
      <c r="P220" s="1239" t="s">
        <v>6735</v>
      </c>
      <c r="Q220" s="1239" t="s">
        <v>677</v>
      </c>
      <c r="R220" s="1239" t="s">
        <v>677</v>
      </c>
      <c r="S220" s="1239" t="s">
        <v>677</v>
      </c>
      <c r="T220" s="1239" t="s">
        <v>408</v>
      </c>
      <c r="U220" s="1246" t="s">
        <v>677</v>
      </c>
      <c r="V220" s="1239" t="s">
        <v>677</v>
      </c>
      <c r="W220" s="1243" t="s">
        <v>677</v>
      </c>
      <c r="X220" s="1239" t="s">
        <v>677</v>
      </c>
      <c r="Y220" s="1244" t="s">
        <v>677</v>
      </c>
      <c r="Z220" s="1244" t="s">
        <v>677</v>
      </c>
      <c r="AA220" s="1242" t="s">
        <v>677</v>
      </c>
      <c r="AB220" s="1239" t="s">
        <v>677</v>
      </c>
      <c r="AC220" s="1319">
        <v>0</v>
      </c>
      <c r="AD220" s="1319">
        <v>0</v>
      </c>
      <c r="AE220" s="1319">
        <f t="shared" si="14"/>
        <v>1500</v>
      </c>
      <c r="AF220" s="1319"/>
      <c r="AG220" s="187">
        <f>AH220</f>
        <v>1500</v>
      </c>
      <c r="AH220" s="187">
        <v>1500</v>
      </c>
      <c r="AI220" s="1243" t="s">
        <v>677</v>
      </c>
      <c r="AJ220" s="1243" t="s">
        <v>677</v>
      </c>
      <c r="AK220" s="1243" t="s">
        <v>677</v>
      </c>
      <c r="AL220" s="1243" t="s">
        <v>677</v>
      </c>
      <c r="AM220" s="1248" t="s">
        <v>677</v>
      </c>
      <c r="AN220" s="1248" t="s">
        <v>677</v>
      </c>
      <c r="AO220" s="1248" t="s">
        <v>677</v>
      </c>
      <c r="AP220" s="1248" t="s">
        <v>677</v>
      </c>
      <c r="AQ220" s="1248" t="s">
        <v>677</v>
      </c>
      <c r="AR220" s="1248" t="s">
        <v>677</v>
      </c>
      <c r="AS220" s="1243" t="s">
        <v>677</v>
      </c>
      <c r="AT220" s="1243" t="s">
        <v>677</v>
      </c>
      <c r="AU220" s="1243" t="s">
        <v>677</v>
      </c>
      <c r="AV220" s="1243" t="s">
        <v>677</v>
      </c>
      <c r="AW220" s="1243" t="s">
        <v>677</v>
      </c>
      <c r="AX220" s="1243" t="s">
        <v>677</v>
      </c>
      <c r="AY220" s="1243" t="s">
        <v>677</v>
      </c>
      <c r="AZ220" s="1243" t="s">
        <v>677</v>
      </c>
      <c r="BA220" s="1243" t="s">
        <v>677</v>
      </c>
      <c r="BB220" s="1243" t="s">
        <v>677</v>
      </c>
      <c r="BC220" s="1243" t="s">
        <v>677</v>
      </c>
      <c r="BD220" s="1243" t="s">
        <v>677</v>
      </c>
    </row>
    <row r="221" spans="1:56" s="422" customFormat="1" ht="38.25" x14ac:dyDescent="0.25">
      <c r="A221" s="1879">
        <v>139</v>
      </c>
      <c r="B221" s="1276" t="s">
        <v>2186</v>
      </c>
      <c r="C221" s="1239" t="s">
        <v>7082</v>
      </c>
      <c r="D221" s="1239" t="s">
        <v>6730</v>
      </c>
      <c r="E221" s="1239" t="s">
        <v>5811</v>
      </c>
      <c r="F221" s="1291" t="s">
        <v>7083</v>
      </c>
      <c r="G221" s="1246" t="s">
        <v>7052</v>
      </c>
      <c r="H221" s="1246" t="s">
        <v>2046</v>
      </c>
      <c r="I221" s="1273" t="s">
        <v>7088</v>
      </c>
      <c r="J221" s="1239" t="s">
        <v>1868</v>
      </c>
      <c r="K221" s="1244">
        <v>41848</v>
      </c>
      <c r="L221" s="187">
        <v>15020</v>
      </c>
      <c r="M221" s="1246" t="s">
        <v>7210</v>
      </c>
      <c r="N221" s="1244">
        <v>41848</v>
      </c>
      <c r="O221" s="1244">
        <v>41869</v>
      </c>
      <c r="P221" s="1239" t="s">
        <v>6735</v>
      </c>
      <c r="Q221" s="1239" t="s">
        <v>677</v>
      </c>
      <c r="R221" s="1239" t="s">
        <v>677</v>
      </c>
      <c r="S221" s="1239" t="s">
        <v>677</v>
      </c>
      <c r="T221" s="1239" t="s">
        <v>408</v>
      </c>
      <c r="U221" s="1246" t="s">
        <v>677</v>
      </c>
      <c r="V221" s="1239" t="s">
        <v>677</v>
      </c>
      <c r="W221" s="1243" t="s">
        <v>677</v>
      </c>
      <c r="X221" s="1239" t="s">
        <v>677</v>
      </c>
      <c r="Y221" s="1244" t="s">
        <v>677</v>
      </c>
      <c r="Z221" s="1244" t="s">
        <v>677</v>
      </c>
      <c r="AA221" s="1242" t="s">
        <v>677</v>
      </c>
      <c r="AB221" s="1239" t="s">
        <v>677</v>
      </c>
      <c r="AC221" s="1319">
        <v>0</v>
      </c>
      <c r="AD221" s="1319">
        <v>0</v>
      </c>
      <c r="AE221" s="1319">
        <f t="shared" si="14"/>
        <v>15020</v>
      </c>
      <c r="AF221" s="1319"/>
      <c r="AG221" s="187">
        <f>AH221</f>
        <v>15020</v>
      </c>
      <c r="AH221" s="187">
        <v>15020</v>
      </c>
      <c r="AI221" s="1243" t="s">
        <v>677</v>
      </c>
      <c r="AJ221" s="1243" t="s">
        <v>677</v>
      </c>
      <c r="AK221" s="1243" t="s">
        <v>677</v>
      </c>
      <c r="AL221" s="1243" t="s">
        <v>677</v>
      </c>
      <c r="AM221" s="1248" t="s">
        <v>677</v>
      </c>
      <c r="AN221" s="1248" t="s">
        <v>677</v>
      </c>
      <c r="AO221" s="1248" t="s">
        <v>677</v>
      </c>
      <c r="AP221" s="1248" t="s">
        <v>677</v>
      </c>
      <c r="AQ221" s="1248" t="s">
        <v>677</v>
      </c>
      <c r="AR221" s="1248" t="s">
        <v>677</v>
      </c>
      <c r="AS221" s="1243" t="s">
        <v>677</v>
      </c>
      <c r="AT221" s="1243" t="s">
        <v>677</v>
      </c>
      <c r="AU221" s="1243" t="s">
        <v>677</v>
      </c>
      <c r="AV221" s="1243" t="s">
        <v>677</v>
      </c>
      <c r="AW221" s="1243" t="s">
        <v>677</v>
      </c>
      <c r="AX221" s="1243" t="s">
        <v>677</v>
      </c>
      <c r="AY221" s="1243" t="s">
        <v>677</v>
      </c>
      <c r="AZ221" s="1243" t="s">
        <v>677</v>
      </c>
      <c r="BA221" s="1243" t="s">
        <v>677</v>
      </c>
      <c r="BB221" s="1243" t="s">
        <v>677</v>
      </c>
      <c r="BC221" s="1243" t="s">
        <v>677</v>
      </c>
      <c r="BD221" s="1243" t="s">
        <v>677</v>
      </c>
    </row>
    <row r="222" spans="1:56" s="422" customFormat="1" ht="63.75" x14ac:dyDescent="0.25">
      <c r="A222" s="1879">
        <v>140</v>
      </c>
      <c r="B222" s="1276" t="s">
        <v>459</v>
      </c>
      <c r="C222" s="1239" t="s">
        <v>7211</v>
      </c>
      <c r="D222" s="1239" t="s">
        <v>6800</v>
      </c>
      <c r="E222" s="1239" t="s">
        <v>5811</v>
      </c>
      <c r="F222" s="1291" t="s">
        <v>7212</v>
      </c>
      <c r="G222" s="1243">
        <v>11188</v>
      </c>
      <c r="H222" s="1246" t="s">
        <v>2048</v>
      </c>
      <c r="I222" s="1273" t="s">
        <v>3920</v>
      </c>
      <c r="J222" s="1239" t="s">
        <v>3921</v>
      </c>
      <c r="K222" s="1244">
        <v>41821</v>
      </c>
      <c r="L222" s="187">
        <v>5000</v>
      </c>
      <c r="M222" s="1246" t="s">
        <v>7213</v>
      </c>
      <c r="N222" s="1244">
        <v>41821</v>
      </c>
      <c r="O222" s="1244">
        <v>42004</v>
      </c>
      <c r="P222" s="1239" t="s">
        <v>6735</v>
      </c>
      <c r="Q222" s="1239" t="s">
        <v>677</v>
      </c>
      <c r="R222" s="1239" t="s">
        <v>677</v>
      </c>
      <c r="S222" s="1239" t="s">
        <v>677</v>
      </c>
      <c r="T222" s="1239" t="s">
        <v>208</v>
      </c>
      <c r="U222" s="1246" t="s">
        <v>677</v>
      </c>
      <c r="V222" s="1239" t="s">
        <v>677</v>
      </c>
      <c r="W222" s="1243" t="s">
        <v>677</v>
      </c>
      <c r="X222" s="1239" t="s">
        <v>677</v>
      </c>
      <c r="Y222" s="1244" t="s">
        <v>677</v>
      </c>
      <c r="Z222" s="1244" t="s">
        <v>677</v>
      </c>
      <c r="AA222" s="1242" t="s">
        <v>677</v>
      </c>
      <c r="AB222" s="1239" t="s">
        <v>677</v>
      </c>
      <c r="AC222" s="1319">
        <v>0</v>
      </c>
      <c r="AD222" s="1319">
        <v>0</v>
      </c>
      <c r="AE222" s="1319">
        <f t="shared" si="14"/>
        <v>5000</v>
      </c>
      <c r="AF222" s="1319"/>
      <c r="AG222" s="187">
        <v>5000</v>
      </c>
      <c r="AH222" s="187">
        <f t="shared" si="12"/>
        <v>5000</v>
      </c>
      <c r="AI222" s="1265" t="s">
        <v>1451</v>
      </c>
      <c r="AJ222" s="1243">
        <v>11219</v>
      </c>
      <c r="AK222" s="1284" t="s">
        <v>5147</v>
      </c>
      <c r="AL222" s="1243">
        <v>11364</v>
      </c>
      <c r="AM222" s="1248" t="s">
        <v>677</v>
      </c>
      <c r="AN222" s="1248" t="s">
        <v>677</v>
      </c>
      <c r="AO222" s="1248" t="s">
        <v>677</v>
      </c>
      <c r="AP222" s="1248" t="s">
        <v>677</v>
      </c>
      <c r="AQ222" s="1248" t="s">
        <v>677</v>
      </c>
      <c r="AR222" s="1248" t="s">
        <v>677</v>
      </c>
      <c r="AS222" s="1243" t="s">
        <v>677</v>
      </c>
      <c r="AT222" s="1243" t="s">
        <v>677</v>
      </c>
      <c r="AU222" s="1243" t="s">
        <v>677</v>
      </c>
      <c r="AV222" s="1243" t="s">
        <v>677</v>
      </c>
      <c r="AW222" s="1243" t="s">
        <v>677</v>
      </c>
      <c r="AX222" s="1243" t="s">
        <v>677</v>
      </c>
      <c r="AY222" s="1243" t="s">
        <v>677</v>
      </c>
      <c r="AZ222" s="1243" t="s">
        <v>677</v>
      </c>
      <c r="BA222" s="1243" t="s">
        <v>677</v>
      </c>
      <c r="BB222" s="1243" t="s">
        <v>677</v>
      </c>
      <c r="BC222" s="1243" t="s">
        <v>677</v>
      </c>
      <c r="BD222" s="1243" t="s">
        <v>677</v>
      </c>
    </row>
    <row r="223" spans="1:56" s="422" customFormat="1" ht="63.75" x14ac:dyDescent="0.25">
      <c r="A223" s="1879">
        <v>141</v>
      </c>
      <c r="B223" s="1276" t="s">
        <v>7214</v>
      </c>
      <c r="C223" s="1239" t="s">
        <v>7215</v>
      </c>
      <c r="D223" s="1239" t="s">
        <v>6800</v>
      </c>
      <c r="E223" s="1239" t="s">
        <v>5811</v>
      </c>
      <c r="F223" s="1291" t="s">
        <v>7216</v>
      </c>
      <c r="G223" s="1243" t="s">
        <v>7217</v>
      </c>
      <c r="H223" s="1246" t="s">
        <v>2051</v>
      </c>
      <c r="I223" s="1273" t="s">
        <v>7218</v>
      </c>
      <c r="J223" s="1239" t="s">
        <v>4539</v>
      </c>
      <c r="K223" s="1244">
        <v>41843</v>
      </c>
      <c r="L223" s="187">
        <v>12290</v>
      </c>
      <c r="M223" s="1246" t="s">
        <v>7213</v>
      </c>
      <c r="N223" s="1244">
        <v>41843</v>
      </c>
      <c r="O223" s="1244">
        <v>41874</v>
      </c>
      <c r="P223" s="1239" t="s">
        <v>6735</v>
      </c>
      <c r="Q223" s="1239" t="s">
        <v>677</v>
      </c>
      <c r="R223" s="1239" t="s">
        <v>677</v>
      </c>
      <c r="S223" s="1239" t="s">
        <v>677</v>
      </c>
      <c r="T223" s="1239" t="s">
        <v>408</v>
      </c>
      <c r="U223" s="1246" t="s">
        <v>677</v>
      </c>
      <c r="V223" s="1239" t="s">
        <v>677</v>
      </c>
      <c r="W223" s="1243" t="s">
        <v>677</v>
      </c>
      <c r="X223" s="1239" t="s">
        <v>677</v>
      </c>
      <c r="Y223" s="1244" t="s">
        <v>677</v>
      </c>
      <c r="Z223" s="1244" t="s">
        <v>677</v>
      </c>
      <c r="AA223" s="1242" t="s">
        <v>677</v>
      </c>
      <c r="AB223" s="1239" t="s">
        <v>677</v>
      </c>
      <c r="AC223" s="1319">
        <v>0</v>
      </c>
      <c r="AD223" s="1319">
        <v>0</v>
      </c>
      <c r="AE223" s="1319">
        <f t="shared" si="14"/>
        <v>12290</v>
      </c>
      <c r="AF223" s="1319"/>
      <c r="AG223" s="187">
        <v>12290</v>
      </c>
      <c r="AH223" s="187">
        <f t="shared" si="12"/>
        <v>12290</v>
      </c>
      <c r="AI223" s="1265" t="s">
        <v>1070</v>
      </c>
      <c r="AJ223" s="1243" t="s">
        <v>7219</v>
      </c>
      <c r="AK223" s="1284" t="s">
        <v>6448</v>
      </c>
      <c r="AL223" s="1243">
        <v>11363</v>
      </c>
      <c r="AM223" s="1248" t="s">
        <v>677</v>
      </c>
      <c r="AN223" s="1248" t="s">
        <v>677</v>
      </c>
      <c r="AO223" s="1248" t="s">
        <v>677</v>
      </c>
      <c r="AP223" s="1248" t="s">
        <v>677</v>
      </c>
      <c r="AQ223" s="1248" t="s">
        <v>677</v>
      </c>
      <c r="AR223" s="1248" t="s">
        <v>677</v>
      </c>
      <c r="AS223" s="1243" t="s">
        <v>677</v>
      </c>
      <c r="AT223" s="1243" t="s">
        <v>677</v>
      </c>
      <c r="AU223" s="1243" t="s">
        <v>677</v>
      </c>
      <c r="AV223" s="1243" t="s">
        <v>677</v>
      </c>
      <c r="AW223" s="1243" t="s">
        <v>677</v>
      </c>
      <c r="AX223" s="1243" t="s">
        <v>677</v>
      </c>
      <c r="AY223" s="1243" t="s">
        <v>677</v>
      </c>
      <c r="AZ223" s="1243" t="s">
        <v>677</v>
      </c>
      <c r="BA223" s="1243" t="s">
        <v>677</v>
      </c>
      <c r="BB223" s="1243" t="s">
        <v>677</v>
      </c>
      <c r="BC223" s="1243" t="s">
        <v>677</v>
      </c>
      <c r="BD223" s="1243" t="s">
        <v>677</v>
      </c>
    </row>
    <row r="224" spans="1:56" s="422" customFormat="1" ht="38.25" x14ac:dyDescent="0.25">
      <c r="A224" s="1879">
        <v>142</v>
      </c>
      <c r="B224" s="1276" t="s">
        <v>2183</v>
      </c>
      <c r="C224" s="1239" t="s">
        <v>7082</v>
      </c>
      <c r="D224" s="1239" t="s">
        <v>6730</v>
      </c>
      <c r="E224" s="1239" t="s">
        <v>5811</v>
      </c>
      <c r="F224" s="1291" t="s">
        <v>7083</v>
      </c>
      <c r="G224" s="1246" t="s">
        <v>7052</v>
      </c>
      <c r="H224" s="1246" t="s">
        <v>2055</v>
      </c>
      <c r="I224" s="1273" t="s">
        <v>7087</v>
      </c>
      <c r="J224" s="1239" t="s">
        <v>1179</v>
      </c>
      <c r="K224" s="1244">
        <v>41853</v>
      </c>
      <c r="L224" s="187">
        <v>11260</v>
      </c>
      <c r="M224" s="1243">
        <v>11365</v>
      </c>
      <c r="N224" s="1244">
        <v>41853</v>
      </c>
      <c r="O224" s="1244">
        <v>41914</v>
      </c>
      <c r="P224" s="1239" t="s">
        <v>6735</v>
      </c>
      <c r="Q224" s="1239" t="s">
        <v>677</v>
      </c>
      <c r="R224" s="1239" t="s">
        <v>677</v>
      </c>
      <c r="S224" s="1239" t="s">
        <v>677</v>
      </c>
      <c r="T224" s="1239" t="s">
        <v>408</v>
      </c>
      <c r="U224" s="1246" t="s">
        <v>677</v>
      </c>
      <c r="V224" s="1239" t="s">
        <v>677</v>
      </c>
      <c r="W224" s="1243" t="s">
        <v>677</v>
      </c>
      <c r="X224" s="1239" t="s">
        <v>677</v>
      </c>
      <c r="Y224" s="1244" t="s">
        <v>677</v>
      </c>
      <c r="Z224" s="1244" t="s">
        <v>677</v>
      </c>
      <c r="AA224" s="1242" t="s">
        <v>677</v>
      </c>
      <c r="AB224" s="1239" t="s">
        <v>677</v>
      </c>
      <c r="AC224" s="1319">
        <v>0</v>
      </c>
      <c r="AD224" s="1319">
        <v>0</v>
      </c>
      <c r="AE224" s="1319">
        <f t="shared" si="14"/>
        <v>11260</v>
      </c>
      <c r="AF224" s="1319"/>
      <c r="AG224" s="187">
        <f>AE224</f>
        <v>11260</v>
      </c>
      <c r="AH224" s="187">
        <f t="shared" si="12"/>
        <v>11260</v>
      </c>
      <c r="AI224" s="1265"/>
      <c r="AJ224" s="1243"/>
      <c r="AK224" s="1284"/>
      <c r="AL224" s="1243"/>
      <c r="AM224" s="1248" t="s">
        <v>677</v>
      </c>
      <c r="AN224" s="1248" t="s">
        <v>677</v>
      </c>
      <c r="AO224" s="1248" t="s">
        <v>677</v>
      </c>
      <c r="AP224" s="1248" t="s">
        <v>677</v>
      </c>
      <c r="AQ224" s="1248" t="s">
        <v>677</v>
      </c>
      <c r="AR224" s="1248" t="s">
        <v>677</v>
      </c>
      <c r="AS224" s="1243" t="s">
        <v>677</v>
      </c>
      <c r="AT224" s="1243" t="s">
        <v>677</v>
      </c>
      <c r="AU224" s="1243" t="s">
        <v>677</v>
      </c>
      <c r="AV224" s="1243" t="s">
        <v>677</v>
      </c>
      <c r="AW224" s="1243" t="s">
        <v>677</v>
      </c>
      <c r="AX224" s="1243" t="s">
        <v>677</v>
      </c>
      <c r="AY224" s="1243" t="s">
        <v>677</v>
      </c>
      <c r="AZ224" s="1243" t="s">
        <v>677</v>
      </c>
      <c r="BA224" s="1243" t="s">
        <v>677</v>
      </c>
      <c r="BB224" s="1243" t="s">
        <v>677</v>
      </c>
      <c r="BC224" s="1243" t="s">
        <v>677</v>
      </c>
      <c r="BD224" s="1243" t="s">
        <v>677</v>
      </c>
    </row>
    <row r="225" spans="1:56" s="422" customFormat="1" ht="51" x14ac:dyDescent="0.25">
      <c r="A225" s="1879">
        <v>143</v>
      </c>
      <c r="B225" s="1276" t="s">
        <v>7220</v>
      </c>
      <c r="C225" s="1239" t="s">
        <v>7062</v>
      </c>
      <c r="D225" s="1239" t="s">
        <v>6800</v>
      </c>
      <c r="E225" s="1239" t="s">
        <v>5811</v>
      </c>
      <c r="F225" s="1291" t="s">
        <v>7221</v>
      </c>
      <c r="G225" s="1243">
        <v>11243</v>
      </c>
      <c r="H225" s="1246" t="s">
        <v>2056</v>
      </c>
      <c r="I225" s="1273" t="s">
        <v>7222</v>
      </c>
      <c r="J225" s="1239" t="s">
        <v>7223</v>
      </c>
      <c r="K225" s="1244">
        <v>41834</v>
      </c>
      <c r="L225" s="187">
        <v>29119.94</v>
      </c>
      <c r="M225" s="1243">
        <v>11365</v>
      </c>
      <c r="N225" s="1244">
        <v>41834</v>
      </c>
      <c r="O225" s="1244">
        <v>42004</v>
      </c>
      <c r="P225" s="1239" t="s">
        <v>6763</v>
      </c>
      <c r="Q225" s="1239" t="s">
        <v>677</v>
      </c>
      <c r="R225" s="1239" t="s">
        <v>677</v>
      </c>
      <c r="S225" s="1239" t="s">
        <v>677</v>
      </c>
      <c r="T225" s="1239" t="s">
        <v>208</v>
      </c>
      <c r="U225" s="1246" t="s">
        <v>677</v>
      </c>
      <c r="V225" s="1239" t="s">
        <v>677</v>
      </c>
      <c r="W225" s="1243" t="s">
        <v>677</v>
      </c>
      <c r="X225" s="1239" t="s">
        <v>677</v>
      </c>
      <c r="Y225" s="1244" t="s">
        <v>677</v>
      </c>
      <c r="Z225" s="1244" t="s">
        <v>677</v>
      </c>
      <c r="AA225" s="1242" t="s">
        <v>677</v>
      </c>
      <c r="AB225" s="1239" t="s">
        <v>677</v>
      </c>
      <c r="AC225" s="1319">
        <v>0</v>
      </c>
      <c r="AD225" s="1319">
        <v>0</v>
      </c>
      <c r="AE225" s="1319">
        <f t="shared" si="14"/>
        <v>29119.94</v>
      </c>
      <c r="AF225" s="1319"/>
      <c r="AG225" s="187">
        <f>AE225</f>
        <v>29119.94</v>
      </c>
      <c r="AH225" s="187">
        <f t="shared" si="12"/>
        <v>29119.94</v>
      </c>
      <c r="AI225" s="1265" t="s">
        <v>4747</v>
      </c>
      <c r="AJ225" s="1243">
        <v>11243</v>
      </c>
      <c r="AK225" s="1284" t="s">
        <v>7224</v>
      </c>
      <c r="AL225" s="1243">
        <v>11365</v>
      </c>
      <c r="AM225" s="1248" t="s">
        <v>677</v>
      </c>
      <c r="AN225" s="1248" t="s">
        <v>677</v>
      </c>
      <c r="AO225" s="1248" t="s">
        <v>677</v>
      </c>
      <c r="AP225" s="1248" t="s">
        <v>677</v>
      </c>
      <c r="AQ225" s="1248" t="s">
        <v>677</v>
      </c>
      <c r="AR225" s="1248" t="s">
        <v>677</v>
      </c>
      <c r="AS225" s="1243" t="s">
        <v>677</v>
      </c>
      <c r="AT225" s="1243" t="s">
        <v>677</v>
      </c>
      <c r="AU225" s="1243" t="s">
        <v>677</v>
      </c>
      <c r="AV225" s="1243" t="s">
        <v>677</v>
      </c>
      <c r="AW225" s="1243" t="s">
        <v>677</v>
      </c>
      <c r="AX225" s="1243" t="s">
        <v>677</v>
      </c>
      <c r="AY225" s="1243" t="s">
        <v>677</v>
      </c>
      <c r="AZ225" s="1243" t="s">
        <v>677</v>
      </c>
      <c r="BA225" s="1243" t="s">
        <v>677</v>
      </c>
      <c r="BB225" s="1243" t="s">
        <v>677</v>
      </c>
      <c r="BC225" s="1243" t="s">
        <v>677</v>
      </c>
      <c r="BD225" s="1243" t="s">
        <v>677</v>
      </c>
    </row>
    <row r="226" spans="1:56" s="422" customFormat="1" ht="63.75" x14ac:dyDescent="0.25">
      <c r="A226" s="1879">
        <v>144</v>
      </c>
      <c r="B226" s="1276" t="s">
        <v>7225</v>
      </c>
      <c r="C226" s="1239" t="s">
        <v>7072</v>
      </c>
      <c r="D226" s="1239" t="s">
        <v>6800</v>
      </c>
      <c r="E226" s="1239" t="s">
        <v>5811</v>
      </c>
      <c r="F226" s="1291" t="s">
        <v>7226</v>
      </c>
      <c r="G226" s="1243">
        <v>11211</v>
      </c>
      <c r="H226" s="1246" t="s">
        <v>2057</v>
      </c>
      <c r="I226" s="1273" t="s">
        <v>7227</v>
      </c>
      <c r="J226" s="1239" t="s">
        <v>7228</v>
      </c>
      <c r="K226" s="1244">
        <v>41834</v>
      </c>
      <c r="L226" s="187">
        <v>18783.259999999998</v>
      </c>
      <c r="M226" s="1243">
        <v>11365</v>
      </c>
      <c r="N226" s="1244">
        <v>41834</v>
      </c>
      <c r="O226" s="1244">
        <v>42004</v>
      </c>
      <c r="P226" s="1239" t="s">
        <v>6763</v>
      </c>
      <c r="Q226" s="1239" t="s">
        <v>677</v>
      </c>
      <c r="R226" s="1239" t="s">
        <v>677</v>
      </c>
      <c r="S226" s="1239" t="s">
        <v>677</v>
      </c>
      <c r="T226" s="1239" t="s">
        <v>158</v>
      </c>
      <c r="U226" s="1246" t="s">
        <v>677</v>
      </c>
      <c r="V226" s="1239" t="s">
        <v>677</v>
      </c>
      <c r="W226" s="1243" t="s">
        <v>677</v>
      </c>
      <c r="X226" s="1239" t="s">
        <v>677</v>
      </c>
      <c r="Y226" s="1244" t="s">
        <v>677</v>
      </c>
      <c r="Z226" s="1244" t="s">
        <v>677</v>
      </c>
      <c r="AA226" s="1242" t="s">
        <v>677</v>
      </c>
      <c r="AB226" s="1239" t="s">
        <v>677</v>
      </c>
      <c r="AC226" s="1319">
        <v>0</v>
      </c>
      <c r="AD226" s="1319">
        <v>0</v>
      </c>
      <c r="AE226" s="1319">
        <f t="shared" si="14"/>
        <v>18783.259999999998</v>
      </c>
      <c r="AF226" s="1319"/>
      <c r="AG226" s="187">
        <f>AE226</f>
        <v>18783.259999999998</v>
      </c>
      <c r="AH226" s="187">
        <f t="shared" si="12"/>
        <v>18783.259999999998</v>
      </c>
      <c r="AI226" s="1265" t="s">
        <v>680</v>
      </c>
      <c r="AJ226" s="1243">
        <v>11233</v>
      </c>
      <c r="AK226" s="1284" t="s">
        <v>7229</v>
      </c>
      <c r="AL226" s="1243">
        <v>11365</v>
      </c>
      <c r="AM226" s="1248" t="s">
        <v>677</v>
      </c>
      <c r="AN226" s="1248" t="s">
        <v>677</v>
      </c>
      <c r="AO226" s="1248" t="s">
        <v>677</v>
      </c>
      <c r="AP226" s="1248" t="s">
        <v>677</v>
      </c>
      <c r="AQ226" s="1248" t="s">
        <v>677</v>
      </c>
      <c r="AR226" s="1248" t="s">
        <v>677</v>
      </c>
      <c r="AS226" s="1243" t="s">
        <v>677</v>
      </c>
      <c r="AT226" s="1243" t="s">
        <v>677</v>
      </c>
      <c r="AU226" s="1243" t="s">
        <v>677</v>
      </c>
      <c r="AV226" s="1243" t="s">
        <v>677</v>
      </c>
      <c r="AW226" s="1243" t="s">
        <v>677</v>
      </c>
      <c r="AX226" s="1243" t="s">
        <v>677</v>
      </c>
      <c r="AY226" s="1243" t="s">
        <v>677</v>
      </c>
      <c r="AZ226" s="1243" t="s">
        <v>677</v>
      </c>
      <c r="BA226" s="1243" t="s">
        <v>677</v>
      </c>
      <c r="BB226" s="1243" t="s">
        <v>677</v>
      </c>
      <c r="BC226" s="1243" t="s">
        <v>677</v>
      </c>
      <c r="BD226" s="1243" t="s">
        <v>677</v>
      </c>
    </row>
    <row r="227" spans="1:56" s="422" customFormat="1" ht="38.25" x14ac:dyDescent="0.25">
      <c r="A227" s="1879">
        <v>145</v>
      </c>
      <c r="B227" s="1276" t="s">
        <v>1770</v>
      </c>
      <c r="C227" s="1239" t="s">
        <v>7153</v>
      </c>
      <c r="D227" s="1239" t="s">
        <v>6730</v>
      </c>
      <c r="E227" s="1239" t="s">
        <v>5811</v>
      </c>
      <c r="F227" s="1291" t="s">
        <v>7230</v>
      </c>
      <c r="G227" s="1246" t="s">
        <v>6914</v>
      </c>
      <c r="H227" s="1246" t="s">
        <v>2060</v>
      </c>
      <c r="I227" s="1273" t="s">
        <v>7167</v>
      </c>
      <c r="J227" s="1239" t="s">
        <v>5528</v>
      </c>
      <c r="K227" s="1244">
        <v>41827</v>
      </c>
      <c r="L227" s="187">
        <v>987</v>
      </c>
      <c r="M227" s="1243">
        <v>11329</v>
      </c>
      <c r="N227" s="1244">
        <v>41827</v>
      </c>
      <c r="O227" s="1244">
        <v>41889</v>
      </c>
      <c r="P227" s="1239" t="s">
        <v>6735</v>
      </c>
      <c r="Q227" s="1239" t="s">
        <v>677</v>
      </c>
      <c r="R227" s="1239" t="s">
        <v>677</v>
      </c>
      <c r="S227" s="1239" t="s">
        <v>677</v>
      </c>
      <c r="T227" s="1239" t="s">
        <v>316</v>
      </c>
      <c r="U227" s="1246" t="s">
        <v>677</v>
      </c>
      <c r="V227" s="1239" t="s">
        <v>677</v>
      </c>
      <c r="W227" s="1243" t="s">
        <v>677</v>
      </c>
      <c r="X227" s="1239" t="s">
        <v>677</v>
      </c>
      <c r="Y227" s="1244" t="s">
        <v>677</v>
      </c>
      <c r="Z227" s="1244" t="s">
        <v>677</v>
      </c>
      <c r="AA227" s="1242" t="s">
        <v>677</v>
      </c>
      <c r="AB227" s="1239" t="s">
        <v>677</v>
      </c>
      <c r="AC227" s="1319">
        <v>0</v>
      </c>
      <c r="AD227" s="1319">
        <v>0</v>
      </c>
      <c r="AE227" s="1319">
        <v>987</v>
      </c>
      <c r="AF227" s="1319"/>
      <c r="AG227" s="187">
        <v>987</v>
      </c>
      <c r="AH227" s="187">
        <f t="shared" si="12"/>
        <v>987</v>
      </c>
      <c r="AI227" s="1243" t="s">
        <v>677</v>
      </c>
      <c r="AJ227" s="1243" t="s">
        <v>677</v>
      </c>
      <c r="AK227" s="1243" t="s">
        <v>677</v>
      </c>
      <c r="AL227" s="1243" t="s">
        <v>677</v>
      </c>
      <c r="AM227" s="1248" t="s">
        <v>677</v>
      </c>
      <c r="AN227" s="1248" t="s">
        <v>677</v>
      </c>
      <c r="AO227" s="1248" t="s">
        <v>677</v>
      </c>
      <c r="AP227" s="1248" t="s">
        <v>677</v>
      </c>
      <c r="AQ227" s="1248" t="s">
        <v>677</v>
      </c>
      <c r="AR227" s="1248" t="s">
        <v>677</v>
      </c>
      <c r="AS227" s="1243" t="s">
        <v>677</v>
      </c>
      <c r="AT227" s="1243" t="s">
        <v>677</v>
      </c>
      <c r="AU227" s="1243" t="s">
        <v>677</v>
      </c>
      <c r="AV227" s="1243" t="s">
        <v>677</v>
      </c>
      <c r="AW227" s="1243" t="s">
        <v>677</v>
      </c>
      <c r="AX227" s="1243" t="s">
        <v>677</v>
      </c>
      <c r="AY227" s="1243" t="s">
        <v>677</v>
      </c>
      <c r="AZ227" s="1243" t="s">
        <v>677</v>
      </c>
      <c r="BA227" s="1243" t="s">
        <v>677</v>
      </c>
      <c r="BB227" s="1243" t="s">
        <v>677</v>
      </c>
      <c r="BC227" s="1243" t="s">
        <v>677</v>
      </c>
      <c r="BD227" s="1243" t="s">
        <v>677</v>
      </c>
    </row>
    <row r="228" spans="1:56" s="422" customFormat="1" ht="51" x14ac:dyDescent="0.25">
      <c r="A228" s="1879">
        <v>146</v>
      </c>
      <c r="B228" s="1276" t="s">
        <v>7231</v>
      </c>
      <c r="C228" s="1239" t="s">
        <v>7232</v>
      </c>
      <c r="D228" s="1239" t="s">
        <v>6800</v>
      </c>
      <c r="E228" s="1239" t="s">
        <v>5811</v>
      </c>
      <c r="F228" s="1291" t="s">
        <v>7233</v>
      </c>
      <c r="G228" s="1243">
        <v>11016</v>
      </c>
      <c r="H228" s="1246" t="s">
        <v>2062</v>
      </c>
      <c r="I228" s="1273" t="s">
        <v>7234</v>
      </c>
      <c r="J228" s="1239" t="s">
        <v>7235</v>
      </c>
      <c r="K228" s="1244">
        <v>41855</v>
      </c>
      <c r="L228" s="187">
        <v>23514.04</v>
      </c>
      <c r="M228" s="1243">
        <v>11368</v>
      </c>
      <c r="N228" s="1244">
        <v>41855</v>
      </c>
      <c r="O228" s="1244">
        <v>41916</v>
      </c>
      <c r="P228" s="1239" t="s">
        <v>6735</v>
      </c>
      <c r="Q228" s="1239" t="s">
        <v>677</v>
      </c>
      <c r="R228" s="1239" t="s">
        <v>677</v>
      </c>
      <c r="S228" s="1239" t="s">
        <v>677</v>
      </c>
      <c r="T228" s="1239" t="s">
        <v>7236</v>
      </c>
      <c r="U228" s="1246" t="s">
        <v>677</v>
      </c>
      <c r="V228" s="1239" t="s">
        <v>677</v>
      </c>
      <c r="W228" s="1243" t="s">
        <v>677</v>
      </c>
      <c r="X228" s="1239" t="s">
        <v>677</v>
      </c>
      <c r="Y228" s="1244" t="s">
        <v>677</v>
      </c>
      <c r="Z228" s="1244" t="s">
        <v>677</v>
      </c>
      <c r="AA228" s="1242" t="s">
        <v>677</v>
      </c>
      <c r="AB228" s="1239" t="s">
        <v>677</v>
      </c>
      <c r="AC228" s="1319">
        <v>0</v>
      </c>
      <c r="AD228" s="1319">
        <v>0</v>
      </c>
      <c r="AE228" s="1319">
        <v>23514.04</v>
      </c>
      <c r="AF228" s="1319"/>
      <c r="AG228" s="187">
        <f>AE228</f>
        <v>23514.04</v>
      </c>
      <c r="AH228" s="187">
        <f t="shared" si="12"/>
        <v>23514.04</v>
      </c>
      <c r="AI228" s="1265" t="s">
        <v>1280</v>
      </c>
      <c r="AJ228" s="1243">
        <v>11109</v>
      </c>
      <c r="AK228" s="1284" t="s">
        <v>7237</v>
      </c>
      <c r="AL228" s="1243">
        <v>11109</v>
      </c>
      <c r="AM228" s="1248" t="s">
        <v>677</v>
      </c>
      <c r="AN228" s="1248" t="s">
        <v>677</v>
      </c>
      <c r="AO228" s="1248" t="s">
        <v>677</v>
      </c>
      <c r="AP228" s="1248" t="s">
        <v>677</v>
      </c>
      <c r="AQ228" s="1248" t="s">
        <v>677</v>
      </c>
      <c r="AR228" s="1248" t="s">
        <v>677</v>
      </c>
      <c r="AS228" s="1243" t="s">
        <v>677</v>
      </c>
      <c r="AT228" s="1243" t="s">
        <v>677</v>
      </c>
      <c r="AU228" s="1243" t="s">
        <v>677</v>
      </c>
      <c r="AV228" s="1243" t="s">
        <v>677</v>
      </c>
      <c r="AW228" s="1243" t="s">
        <v>677</v>
      </c>
      <c r="AX228" s="1243" t="s">
        <v>677</v>
      </c>
      <c r="AY228" s="1243" t="s">
        <v>677</v>
      </c>
      <c r="AZ228" s="1243" t="s">
        <v>677</v>
      </c>
      <c r="BA228" s="1243" t="s">
        <v>677</v>
      </c>
      <c r="BB228" s="1243" t="s">
        <v>677</v>
      </c>
      <c r="BC228" s="1243" t="s">
        <v>677</v>
      </c>
      <c r="BD228" s="1243" t="s">
        <v>677</v>
      </c>
    </row>
    <row r="229" spans="1:56" s="422" customFormat="1" ht="38.25" x14ac:dyDescent="0.25">
      <c r="A229" s="1879">
        <v>147</v>
      </c>
      <c r="B229" s="1276" t="s">
        <v>2321</v>
      </c>
      <c r="C229" s="1239" t="s">
        <v>7195</v>
      </c>
      <c r="D229" s="1239" t="s">
        <v>6730</v>
      </c>
      <c r="E229" s="1239" t="s">
        <v>5811</v>
      </c>
      <c r="F229" s="1291" t="s">
        <v>7238</v>
      </c>
      <c r="G229" s="1246" t="s">
        <v>7197</v>
      </c>
      <c r="H229" s="1246" t="s">
        <v>2065</v>
      </c>
      <c r="I229" s="1273" t="s">
        <v>3722</v>
      </c>
      <c r="J229" s="1239" t="s">
        <v>380</v>
      </c>
      <c r="K229" s="1244">
        <v>41855</v>
      </c>
      <c r="L229" s="187">
        <v>33341.4</v>
      </c>
      <c r="M229" s="1243">
        <v>11352</v>
      </c>
      <c r="N229" s="1244">
        <v>41855</v>
      </c>
      <c r="O229" s="1244">
        <v>41916</v>
      </c>
      <c r="P229" s="1239" t="s">
        <v>6763</v>
      </c>
      <c r="Q229" s="1239" t="s">
        <v>677</v>
      </c>
      <c r="R229" s="1239" t="s">
        <v>677</v>
      </c>
      <c r="S229" s="1239" t="s">
        <v>677</v>
      </c>
      <c r="T229" s="1239" t="s">
        <v>208</v>
      </c>
      <c r="U229" s="1246" t="s">
        <v>677</v>
      </c>
      <c r="V229" s="1239" t="s">
        <v>677</v>
      </c>
      <c r="W229" s="1243" t="s">
        <v>677</v>
      </c>
      <c r="X229" s="1239" t="s">
        <v>677</v>
      </c>
      <c r="Y229" s="1244" t="s">
        <v>677</v>
      </c>
      <c r="Z229" s="1244" t="s">
        <v>677</v>
      </c>
      <c r="AA229" s="1242" t="s">
        <v>677</v>
      </c>
      <c r="AB229" s="1239" t="s">
        <v>677</v>
      </c>
      <c r="AC229" s="1319">
        <v>0</v>
      </c>
      <c r="AD229" s="1319">
        <v>0</v>
      </c>
      <c r="AE229" s="1319">
        <f>L229-AD229+AC229</f>
        <v>33341.4</v>
      </c>
      <c r="AF229" s="1319"/>
      <c r="AG229" s="187">
        <v>33341.4</v>
      </c>
      <c r="AH229" s="187">
        <f t="shared" si="12"/>
        <v>33341.4</v>
      </c>
      <c r="AI229" s="1243" t="s">
        <v>677</v>
      </c>
      <c r="AJ229" s="1243" t="s">
        <v>677</v>
      </c>
      <c r="AK229" s="1243" t="s">
        <v>677</v>
      </c>
      <c r="AL229" s="1243"/>
      <c r="AM229" s="1248" t="s">
        <v>677</v>
      </c>
      <c r="AN229" s="1248" t="s">
        <v>677</v>
      </c>
      <c r="AO229" s="1248" t="s">
        <v>677</v>
      </c>
      <c r="AP229" s="1248" t="s">
        <v>677</v>
      </c>
      <c r="AQ229" s="1248" t="s">
        <v>677</v>
      </c>
      <c r="AR229" s="1248" t="s">
        <v>677</v>
      </c>
      <c r="AS229" s="1243" t="s">
        <v>677</v>
      </c>
      <c r="AT229" s="1243" t="s">
        <v>677</v>
      </c>
      <c r="AU229" s="1243" t="s">
        <v>677</v>
      </c>
      <c r="AV229" s="1243" t="s">
        <v>677</v>
      </c>
      <c r="AW229" s="1243" t="s">
        <v>677</v>
      </c>
      <c r="AX229" s="1243" t="s">
        <v>677</v>
      </c>
      <c r="AY229" s="1243" t="s">
        <v>677</v>
      </c>
      <c r="AZ229" s="1243" t="s">
        <v>677</v>
      </c>
      <c r="BA229" s="1243" t="s">
        <v>677</v>
      </c>
      <c r="BB229" s="1243" t="s">
        <v>677</v>
      </c>
      <c r="BC229" s="1243" t="s">
        <v>677</v>
      </c>
      <c r="BD229" s="1243" t="s">
        <v>677</v>
      </c>
    </row>
    <row r="230" spans="1:56" s="422" customFormat="1" ht="76.5" x14ac:dyDescent="0.25">
      <c r="A230" s="1879">
        <v>148</v>
      </c>
      <c r="B230" s="1276" t="s">
        <v>4567</v>
      </c>
      <c r="C230" s="1239" t="s">
        <v>7239</v>
      </c>
      <c r="D230" s="1239" t="s">
        <v>6800</v>
      </c>
      <c r="E230" s="1239" t="s">
        <v>5811</v>
      </c>
      <c r="F230" s="1291" t="s">
        <v>7240</v>
      </c>
      <c r="G230" s="1243">
        <v>11093</v>
      </c>
      <c r="H230" s="1246" t="s">
        <v>2068</v>
      </c>
      <c r="I230" s="1273" t="s">
        <v>7241</v>
      </c>
      <c r="J230" s="1239" t="s">
        <v>197</v>
      </c>
      <c r="K230" s="1244">
        <v>41851</v>
      </c>
      <c r="L230" s="187">
        <v>41352.6</v>
      </c>
      <c r="M230" s="1243">
        <v>11380</v>
      </c>
      <c r="N230" s="1244">
        <v>41852</v>
      </c>
      <c r="O230" s="1244">
        <v>42004</v>
      </c>
      <c r="P230" s="1239" t="s">
        <v>6763</v>
      </c>
      <c r="Q230" s="1239" t="s">
        <v>677</v>
      </c>
      <c r="R230" s="1239" t="s">
        <v>677</v>
      </c>
      <c r="S230" s="1239" t="s">
        <v>677</v>
      </c>
      <c r="T230" s="1239" t="s">
        <v>208</v>
      </c>
      <c r="U230" s="1246" t="s">
        <v>677</v>
      </c>
      <c r="V230" s="1239" t="s">
        <v>677</v>
      </c>
      <c r="W230" s="1243" t="s">
        <v>677</v>
      </c>
      <c r="X230" s="1239" t="s">
        <v>677</v>
      </c>
      <c r="Y230" s="1244" t="s">
        <v>677</v>
      </c>
      <c r="Z230" s="1244" t="s">
        <v>677</v>
      </c>
      <c r="AA230" s="1242" t="s">
        <v>677</v>
      </c>
      <c r="AB230" s="1239" t="s">
        <v>677</v>
      </c>
      <c r="AC230" s="1319">
        <v>0</v>
      </c>
      <c r="AD230" s="1319">
        <v>0</v>
      </c>
      <c r="AE230" s="1319">
        <v>41352.6</v>
      </c>
      <c r="AF230" s="1319"/>
      <c r="AG230" s="187">
        <v>41352.6</v>
      </c>
      <c r="AH230" s="187">
        <f t="shared" si="12"/>
        <v>41352.6</v>
      </c>
      <c r="AI230" s="1265" t="s">
        <v>986</v>
      </c>
      <c r="AJ230" s="1243">
        <v>11380</v>
      </c>
      <c r="AK230" s="1284" t="s">
        <v>5119</v>
      </c>
      <c r="AL230" s="1243">
        <v>11126</v>
      </c>
      <c r="AM230" s="1248" t="s">
        <v>677</v>
      </c>
      <c r="AN230" s="1248" t="s">
        <v>677</v>
      </c>
      <c r="AO230" s="1248" t="s">
        <v>677</v>
      </c>
      <c r="AP230" s="1248" t="s">
        <v>677</v>
      </c>
      <c r="AQ230" s="1248" t="s">
        <v>677</v>
      </c>
      <c r="AR230" s="1248" t="s">
        <v>677</v>
      </c>
      <c r="AS230" s="1243" t="s">
        <v>677</v>
      </c>
      <c r="AT230" s="1243" t="s">
        <v>677</v>
      </c>
      <c r="AU230" s="1243" t="s">
        <v>677</v>
      </c>
      <c r="AV230" s="1243" t="s">
        <v>677</v>
      </c>
      <c r="AW230" s="1243" t="s">
        <v>677</v>
      </c>
      <c r="AX230" s="1243" t="s">
        <v>677</v>
      </c>
      <c r="AY230" s="1243" t="s">
        <v>677</v>
      </c>
      <c r="AZ230" s="1243" t="s">
        <v>677</v>
      </c>
      <c r="BA230" s="1243" t="s">
        <v>677</v>
      </c>
      <c r="BB230" s="1243" t="s">
        <v>677</v>
      </c>
      <c r="BC230" s="1243" t="s">
        <v>677</v>
      </c>
      <c r="BD230" s="1243" t="s">
        <v>677</v>
      </c>
    </row>
    <row r="231" spans="1:56" s="422" customFormat="1" ht="38.25" x14ac:dyDescent="0.25">
      <c r="A231" s="1879">
        <v>149</v>
      </c>
      <c r="B231" s="1276" t="s">
        <v>680</v>
      </c>
      <c r="C231" s="1239" t="s">
        <v>6995</v>
      </c>
      <c r="D231" s="1239" t="s">
        <v>6730</v>
      </c>
      <c r="E231" s="1239" t="s">
        <v>5811</v>
      </c>
      <c r="F231" s="1291" t="s">
        <v>6999</v>
      </c>
      <c r="G231" s="1243">
        <v>11223</v>
      </c>
      <c r="H231" s="1246" t="s">
        <v>2070</v>
      </c>
      <c r="I231" s="1273" t="s">
        <v>1958</v>
      </c>
      <c r="J231" s="1239" t="s">
        <v>746</v>
      </c>
      <c r="K231" s="1244">
        <v>41865</v>
      </c>
      <c r="L231" s="187">
        <v>1995</v>
      </c>
      <c r="M231" s="1243">
        <v>11371</v>
      </c>
      <c r="N231" s="1244">
        <v>41865</v>
      </c>
      <c r="O231" s="1244">
        <v>41926</v>
      </c>
      <c r="P231" s="1239" t="s">
        <v>6763</v>
      </c>
      <c r="Q231" s="1239" t="s">
        <v>677</v>
      </c>
      <c r="R231" s="1239" t="s">
        <v>677</v>
      </c>
      <c r="S231" s="1239" t="s">
        <v>677</v>
      </c>
      <c r="T231" s="1239" t="s">
        <v>316</v>
      </c>
      <c r="U231" s="1246" t="s">
        <v>677</v>
      </c>
      <c r="V231" s="1239" t="s">
        <v>677</v>
      </c>
      <c r="W231" s="1243" t="s">
        <v>677</v>
      </c>
      <c r="X231" s="1239" t="s">
        <v>677</v>
      </c>
      <c r="Y231" s="1244" t="s">
        <v>677</v>
      </c>
      <c r="Z231" s="1244" t="s">
        <v>677</v>
      </c>
      <c r="AA231" s="1242" t="s">
        <v>677</v>
      </c>
      <c r="AB231" s="1239" t="s">
        <v>677</v>
      </c>
      <c r="AC231" s="1319">
        <v>0</v>
      </c>
      <c r="AD231" s="1319">
        <v>0</v>
      </c>
      <c r="AE231" s="1319">
        <v>1995</v>
      </c>
      <c r="AF231" s="1319"/>
      <c r="AG231" s="187">
        <v>1995</v>
      </c>
      <c r="AH231" s="187">
        <v>1995</v>
      </c>
      <c r="AI231" s="1265" t="s">
        <v>677</v>
      </c>
      <c r="AJ231" s="1243" t="s">
        <v>677</v>
      </c>
      <c r="AK231" s="1284" t="s">
        <v>677</v>
      </c>
      <c r="AL231" s="1243" t="s">
        <v>677</v>
      </c>
      <c r="AM231" s="1248" t="s">
        <v>677</v>
      </c>
      <c r="AN231" s="1248" t="s">
        <v>677</v>
      </c>
      <c r="AO231" s="1248" t="s">
        <v>677</v>
      </c>
      <c r="AP231" s="1248" t="s">
        <v>677</v>
      </c>
      <c r="AQ231" s="1248" t="s">
        <v>677</v>
      </c>
      <c r="AR231" s="1248" t="s">
        <v>677</v>
      </c>
      <c r="AS231" s="1243" t="s">
        <v>677</v>
      </c>
      <c r="AT231" s="1243" t="s">
        <v>677</v>
      </c>
      <c r="AU231" s="1243" t="s">
        <v>677</v>
      </c>
      <c r="AV231" s="1243" t="s">
        <v>677</v>
      </c>
      <c r="AW231" s="1243" t="s">
        <v>677</v>
      </c>
      <c r="AX231" s="1243" t="s">
        <v>677</v>
      </c>
      <c r="AY231" s="1243" t="s">
        <v>677</v>
      </c>
      <c r="AZ231" s="1243" t="s">
        <v>677</v>
      </c>
      <c r="BA231" s="1243" t="s">
        <v>677</v>
      </c>
      <c r="BB231" s="1243" t="s">
        <v>677</v>
      </c>
      <c r="BC231" s="1243" t="s">
        <v>677</v>
      </c>
      <c r="BD231" s="1243" t="s">
        <v>677</v>
      </c>
    </row>
    <row r="232" spans="1:56" s="422" customFormat="1" ht="38.25" x14ac:dyDescent="0.25">
      <c r="A232" s="1879">
        <v>150</v>
      </c>
      <c r="B232" s="1276" t="s">
        <v>7242</v>
      </c>
      <c r="C232" s="1239" t="s">
        <v>690</v>
      </c>
      <c r="D232" s="1239" t="s">
        <v>690</v>
      </c>
      <c r="E232" s="1239" t="s">
        <v>5811</v>
      </c>
      <c r="F232" s="1291" t="s">
        <v>7243</v>
      </c>
      <c r="G232" s="1243" t="s">
        <v>7244</v>
      </c>
      <c r="H232" s="1246" t="s">
        <v>2073</v>
      </c>
      <c r="I232" s="1273" t="s">
        <v>7172</v>
      </c>
      <c r="J232" s="1239" t="s">
        <v>1319</v>
      </c>
      <c r="K232" s="1244">
        <v>41855</v>
      </c>
      <c r="L232" s="187">
        <v>14572.08</v>
      </c>
      <c r="M232" s="1243" t="s">
        <v>7244</v>
      </c>
      <c r="N232" s="1244">
        <v>41855</v>
      </c>
      <c r="O232" s="1244">
        <v>42004</v>
      </c>
      <c r="P232" s="1239" t="s">
        <v>6763</v>
      </c>
      <c r="Q232" s="1239" t="s">
        <v>677</v>
      </c>
      <c r="R232" s="1239" t="s">
        <v>677</v>
      </c>
      <c r="S232" s="1239" t="s">
        <v>677</v>
      </c>
      <c r="T232" s="1239" t="s">
        <v>1438</v>
      </c>
      <c r="U232" s="1246" t="s">
        <v>677</v>
      </c>
      <c r="V232" s="1239" t="s">
        <v>677</v>
      </c>
      <c r="W232" s="1243" t="s">
        <v>677</v>
      </c>
      <c r="X232" s="1239" t="s">
        <v>677</v>
      </c>
      <c r="Y232" s="1244" t="s">
        <v>677</v>
      </c>
      <c r="Z232" s="1244" t="s">
        <v>677</v>
      </c>
      <c r="AA232" s="1242" t="s">
        <v>677</v>
      </c>
      <c r="AB232" s="1239" t="s">
        <v>677</v>
      </c>
      <c r="AC232" s="1319">
        <v>0</v>
      </c>
      <c r="AD232" s="1319">
        <v>0</v>
      </c>
      <c r="AE232" s="1319">
        <v>14572.08</v>
      </c>
      <c r="AF232" s="1319"/>
      <c r="AG232" s="187">
        <f>AE232</f>
        <v>14572.08</v>
      </c>
      <c r="AH232" s="187">
        <f>AG232</f>
        <v>14572.08</v>
      </c>
      <c r="AI232" s="1265"/>
      <c r="AJ232" s="1243"/>
      <c r="AK232" s="1284"/>
      <c r="AL232" s="1243"/>
      <c r="AM232" s="1248"/>
      <c r="AN232" s="1248"/>
      <c r="AO232" s="1248"/>
      <c r="AP232" s="1248"/>
      <c r="AQ232" s="1248"/>
      <c r="AR232" s="1248"/>
      <c r="AS232" s="1243" t="s">
        <v>5180</v>
      </c>
      <c r="AT232" s="1243" t="s">
        <v>556</v>
      </c>
      <c r="AU232" s="1246" t="s">
        <v>7245</v>
      </c>
      <c r="AV232" s="1246" t="s">
        <v>7246</v>
      </c>
      <c r="AW232" s="1243"/>
      <c r="AX232" s="1243"/>
      <c r="AY232" s="1243"/>
      <c r="AZ232" s="1243"/>
      <c r="BA232" s="1243"/>
      <c r="BB232" s="1243"/>
      <c r="BC232" s="1243"/>
      <c r="BD232" s="1243" t="s">
        <v>6938</v>
      </c>
    </row>
    <row r="233" spans="1:56" s="422" customFormat="1" ht="38.25" x14ac:dyDescent="0.25">
      <c r="A233" s="1879">
        <v>151</v>
      </c>
      <c r="B233" s="1276" t="s">
        <v>7247</v>
      </c>
      <c r="C233" s="1239" t="s">
        <v>7248</v>
      </c>
      <c r="D233" s="1239" t="s">
        <v>6730</v>
      </c>
      <c r="E233" s="1239" t="s">
        <v>5811</v>
      </c>
      <c r="F233" s="1239" t="s">
        <v>7249</v>
      </c>
      <c r="G233" s="1243">
        <v>11364</v>
      </c>
      <c r="H233" s="1246" t="s">
        <v>2086</v>
      </c>
      <c r="I233" s="1273" t="s">
        <v>7250</v>
      </c>
      <c r="J233" s="1239" t="s">
        <v>7251</v>
      </c>
      <c r="K233" s="1244">
        <v>41877</v>
      </c>
      <c r="L233" s="187">
        <v>217100</v>
      </c>
      <c r="M233" s="1243">
        <v>11380</v>
      </c>
      <c r="N233" s="1244">
        <v>41877</v>
      </c>
      <c r="O233" s="1244">
        <v>42061</v>
      </c>
      <c r="P233" s="1239" t="s">
        <v>6763</v>
      </c>
      <c r="Q233" s="1239" t="s">
        <v>677</v>
      </c>
      <c r="R233" s="1239" t="s">
        <v>677</v>
      </c>
      <c r="S233" s="1239" t="s">
        <v>677</v>
      </c>
      <c r="T233" s="1239" t="s">
        <v>208</v>
      </c>
      <c r="U233" s="1246" t="s">
        <v>677</v>
      </c>
      <c r="V233" s="1239" t="s">
        <v>677</v>
      </c>
      <c r="W233" s="1243" t="s">
        <v>677</v>
      </c>
      <c r="X233" s="1239" t="s">
        <v>677</v>
      </c>
      <c r="Y233" s="1244" t="s">
        <v>677</v>
      </c>
      <c r="Z233" s="1244" t="s">
        <v>677</v>
      </c>
      <c r="AA233" s="1242" t="s">
        <v>677</v>
      </c>
      <c r="AB233" s="1239" t="s">
        <v>677</v>
      </c>
      <c r="AC233" s="1319">
        <v>0</v>
      </c>
      <c r="AD233" s="1319">
        <v>0</v>
      </c>
      <c r="AE233" s="1319">
        <v>217100</v>
      </c>
      <c r="AF233" s="1319"/>
      <c r="AG233" s="187">
        <v>185188.5</v>
      </c>
      <c r="AH233" s="187">
        <v>185188.5</v>
      </c>
      <c r="AI233" s="1265" t="s">
        <v>677</v>
      </c>
      <c r="AJ233" s="1243" t="s">
        <v>677</v>
      </c>
      <c r="AK233" s="1284" t="s">
        <v>677</v>
      </c>
      <c r="AL233" s="1243" t="s">
        <v>677</v>
      </c>
      <c r="AM233" s="1248" t="s">
        <v>677</v>
      </c>
      <c r="AN233" s="1248" t="s">
        <v>677</v>
      </c>
      <c r="AO233" s="1248" t="s">
        <v>677</v>
      </c>
      <c r="AP233" s="1248" t="s">
        <v>677</v>
      </c>
      <c r="AQ233" s="1248" t="s">
        <v>677</v>
      </c>
      <c r="AR233" s="1248" t="s">
        <v>677</v>
      </c>
      <c r="AS233" s="1243" t="s">
        <v>677</v>
      </c>
      <c r="AT233" s="1243" t="s">
        <v>677</v>
      </c>
      <c r="AU233" s="1243" t="s">
        <v>677</v>
      </c>
      <c r="AV233" s="1243" t="s">
        <v>677</v>
      </c>
      <c r="AW233" s="1243" t="s">
        <v>677</v>
      </c>
      <c r="AX233" s="1243" t="s">
        <v>677</v>
      </c>
      <c r="AY233" s="1243" t="s">
        <v>677</v>
      </c>
      <c r="AZ233" s="1243" t="s">
        <v>677</v>
      </c>
      <c r="BA233" s="1243" t="s">
        <v>677</v>
      </c>
      <c r="BB233" s="1243" t="s">
        <v>677</v>
      </c>
      <c r="BC233" s="1243" t="s">
        <v>677</v>
      </c>
      <c r="BD233" s="1243" t="s">
        <v>677</v>
      </c>
    </row>
    <row r="234" spans="1:56" s="422" customFormat="1" ht="38.25" x14ac:dyDescent="0.25">
      <c r="A234" s="1879">
        <v>152</v>
      </c>
      <c r="B234" s="1276" t="s">
        <v>783</v>
      </c>
      <c r="C234" s="1239" t="s">
        <v>7132</v>
      </c>
      <c r="D234" s="1239" t="s">
        <v>6730</v>
      </c>
      <c r="E234" s="1239" t="s">
        <v>5811</v>
      </c>
      <c r="F234" s="1291" t="s">
        <v>7133</v>
      </c>
      <c r="G234" s="1246" t="s">
        <v>6677</v>
      </c>
      <c r="H234" s="1246" t="s">
        <v>2092</v>
      </c>
      <c r="I234" s="1273" t="s">
        <v>2110</v>
      </c>
      <c r="J234" s="1239" t="s">
        <v>718</v>
      </c>
      <c r="K234" s="1244">
        <v>41877</v>
      </c>
      <c r="L234" s="187">
        <v>390</v>
      </c>
      <c r="M234" s="1243">
        <v>11312</v>
      </c>
      <c r="N234" s="1244">
        <v>41785</v>
      </c>
      <c r="O234" s="1244">
        <v>41846</v>
      </c>
      <c r="P234" s="1239" t="s">
        <v>6763</v>
      </c>
      <c r="Q234" s="1239" t="s">
        <v>677</v>
      </c>
      <c r="R234" s="1239" t="s">
        <v>677</v>
      </c>
      <c r="S234" s="1239" t="s">
        <v>677</v>
      </c>
      <c r="T234" s="1239" t="s">
        <v>408</v>
      </c>
      <c r="U234" s="1246" t="s">
        <v>677</v>
      </c>
      <c r="V234" s="1239" t="s">
        <v>677</v>
      </c>
      <c r="W234" s="1243" t="s">
        <v>677</v>
      </c>
      <c r="X234" s="1239" t="s">
        <v>677</v>
      </c>
      <c r="Y234" s="1244" t="s">
        <v>677</v>
      </c>
      <c r="Z234" s="1244" t="s">
        <v>677</v>
      </c>
      <c r="AA234" s="1242" t="s">
        <v>677</v>
      </c>
      <c r="AB234" s="1239" t="s">
        <v>677</v>
      </c>
      <c r="AC234" s="1319">
        <v>0</v>
      </c>
      <c r="AD234" s="1319">
        <v>0</v>
      </c>
      <c r="AE234" s="1319">
        <f>L234-AD234+AC234</f>
        <v>390</v>
      </c>
      <c r="AF234" s="1319"/>
      <c r="AG234" s="187">
        <v>390</v>
      </c>
      <c r="AH234" s="187">
        <f t="shared" ref="AH234" si="15">AF234+AG234</f>
        <v>390</v>
      </c>
      <c r="AI234" s="1243" t="s">
        <v>677</v>
      </c>
      <c r="AJ234" s="1243" t="s">
        <v>677</v>
      </c>
      <c r="AK234" s="1243" t="s">
        <v>677</v>
      </c>
      <c r="AL234" s="1243" t="s">
        <v>677</v>
      </c>
      <c r="AM234" s="1248" t="s">
        <v>677</v>
      </c>
      <c r="AN234" s="1248" t="s">
        <v>677</v>
      </c>
      <c r="AO234" s="1248" t="s">
        <v>677</v>
      </c>
      <c r="AP234" s="1248" t="s">
        <v>677</v>
      </c>
      <c r="AQ234" s="1248" t="s">
        <v>677</v>
      </c>
      <c r="AR234" s="1248" t="s">
        <v>677</v>
      </c>
      <c r="AS234" s="1243" t="s">
        <v>677</v>
      </c>
      <c r="AT234" s="1243" t="s">
        <v>677</v>
      </c>
      <c r="AU234" s="1243" t="s">
        <v>677</v>
      </c>
      <c r="AV234" s="1243" t="s">
        <v>677</v>
      </c>
      <c r="AW234" s="1243" t="s">
        <v>677</v>
      </c>
      <c r="AX234" s="1243" t="s">
        <v>677</v>
      </c>
      <c r="AY234" s="1243" t="s">
        <v>677</v>
      </c>
      <c r="AZ234" s="1243" t="s">
        <v>677</v>
      </c>
      <c r="BA234" s="1243" t="s">
        <v>677</v>
      </c>
      <c r="BB234" s="1243" t="s">
        <v>677</v>
      </c>
      <c r="BC234" s="1243" t="s">
        <v>677</v>
      </c>
      <c r="BD234" s="1243" t="s">
        <v>677</v>
      </c>
    </row>
    <row r="235" spans="1:56" s="422" customFormat="1" ht="38.25" x14ac:dyDescent="0.25">
      <c r="A235" s="1879">
        <v>153</v>
      </c>
      <c r="B235" s="1276" t="s">
        <v>7252</v>
      </c>
      <c r="C235" s="1239" t="s">
        <v>7253</v>
      </c>
      <c r="D235" s="1239" t="s">
        <v>6730</v>
      </c>
      <c r="E235" s="1239" t="s">
        <v>5811</v>
      </c>
      <c r="F235" s="1291" t="s">
        <v>6961</v>
      </c>
      <c r="G235" s="1243">
        <v>11192</v>
      </c>
      <c r="H235" s="1246" t="s">
        <v>2097</v>
      </c>
      <c r="I235" s="1273" t="s">
        <v>6207</v>
      </c>
      <c r="J235" s="1239" t="s">
        <v>330</v>
      </c>
      <c r="K235" s="1244">
        <v>41877</v>
      </c>
      <c r="L235" s="187">
        <v>2229</v>
      </c>
      <c r="M235" s="1243">
        <v>11380</v>
      </c>
      <c r="N235" s="1244">
        <v>41877</v>
      </c>
      <c r="O235" s="1244">
        <v>41938</v>
      </c>
      <c r="P235" s="1239" t="s">
        <v>6763</v>
      </c>
      <c r="Q235" s="1239" t="s">
        <v>677</v>
      </c>
      <c r="R235" s="1239" t="s">
        <v>677</v>
      </c>
      <c r="S235" s="1239" t="s">
        <v>677</v>
      </c>
      <c r="T235" s="1239" t="s">
        <v>316</v>
      </c>
      <c r="U235" s="1246" t="s">
        <v>677</v>
      </c>
      <c r="V235" s="1239" t="s">
        <v>677</v>
      </c>
      <c r="W235" s="1243" t="s">
        <v>677</v>
      </c>
      <c r="X235" s="1239" t="s">
        <v>677</v>
      </c>
      <c r="Y235" s="1244" t="s">
        <v>677</v>
      </c>
      <c r="Z235" s="1244" t="s">
        <v>677</v>
      </c>
      <c r="AA235" s="1242" t="s">
        <v>677</v>
      </c>
      <c r="AB235" s="1239" t="s">
        <v>677</v>
      </c>
      <c r="AC235" s="1319">
        <v>0</v>
      </c>
      <c r="AD235" s="1319">
        <v>0</v>
      </c>
      <c r="AE235" s="1319">
        <v>2229</v>
      </c>
      <c r="AF235" s="1319"/>
      <c r="AG235" s="187">
        <v>2229</v>
      </c>
      <c r="AH235" s="187">
        <v>2229</v>
      </c>
      <c r="AI235" s="1265" t="s">
        <v>677</v>
      </c>
      <c r="AJ235" s="1243" t="s">
        <v>677</v>
      </c>
      <c r="AK235" s="1284" t="s">
        <v>677</v>
      </c>
      <c r="AL235" s="1243" t="s">
        <v>677</v>
      </c>
      <c r="AM235" s="1248" t="s">
        <v>677</v>
      </c>
      <c r="AN235" s="1248" t="s">
        <v>677</v>
      </c>
      <c r="AO235" s="1248" t="s">
        <v>677</v>
      </c>
      <c r="AP235" s="1248" t="s">
        <v>677</v>
      </c>
      <c r="AQ235" s="1248" t="s">
        <v>677</v>
      </c>
      <c r="AR235" s="1248" t="s">
        <v>677</v>
      </c>
      <c r="AS235" s="1243" t="s">
        <v>677</v>
      </c>
      <c r="AT235" s="1243" t="s">
        <v>677</v>
      </c>
      <c r="AU235" s="1243" t="s">
        <v>677</v>
      </c>
      <c r="AV235" s="1243" t="s">
        <v>677</v>
      </c>
      <c r="AW235" s="1243" t="s">
        <v>677</v>
      </c>
      <c r="AX235" s="1243" t="s">
        <v>677</v>
      </c>
      <c r="AY235" s="1243" t="s">
        <v>677</v>
      </c>
      <c r="AZ235" s="1243" t="s">
        <v>677</v>
      </c>
      <c r="BA235" s="1243" t="s">
        <v>677</v>
      </c>
      <c r="BB235" s="1243" t="s">
        <v>677</v>
      </c>
      <c r="BC235" s="1243" t="s">
        <v>677</v>
      </c>
      <c r="BD235" s="1243" t="s">
        <v>677</v>
      </c>
    </row>
    <row r="236" spans="1:56" s="422" customFormat="1" ht="102" x14ac:dyDescent="0.25">
      <c r="A236" s="1879">
        <v>154</v>
      </c>
      <c r="B236" s="1276" t="s">
        <v>5040</v>
      </c>
      <c r="C236" s="1239" t="s">
        <v>7254</v>
      </c>
      <c r="D236" s="1239" t="s">
        <v>6800</v>
      </c>
      <c r="E236" s="1239" t="s">
        <v>5811</v>
      </c>
      <c r="F236" s="1291" t="s">
        <v>7255</v>
      </c>
      <c r="G236" s="1239" t="s">
        <v>7189</v>
      </c>
      <c r="H236" s="1246" t="s">
        <v>2099</v>
      </c>
      <c r="I236" s="1273" t="s">
        <v>7256</v>
      </c>
      <c r="J236" s="1239" t="s">
        <v>7042</v>
      </c>
      <c r="K236" s="1244">
        <v>41878</v>
      </c>
      <c r="L236" s="187">
        <v>50700</v>
      </c>
      <c r="M236" s="1243">
        <v>11381</v>
      </c>
      <c r="N236" s="1244">
        <v>41878</v>
      </c>
      <c r="O236" s="1244">
        <v>42243</v>
      </c>
      <c r="P236" s="1239" t="s">
        <v>6763</v>
      </c>
      <c r="Q236" s="1239" t="s">
        <v>677</v>
      </c>
      <c r="R236" s="1239" t="s">
        <v>677</v>
      </c>
      <c r="S236" s="1239" t="s">
        <v>677</v>
      </c>
      <c r="T236" s="1239" t="s">
        <v>316</v>
      </c>
      <c r="U236" s="1246" t="s">
        <v>677</v>
      </c>
      <c r="V236" s="1239" t="s">
        <v>677</v>
      </c>
      <c r="W236" s="1243" t="s">
        <v>677</v>
      </c>
      <c r="X236" s="1239" t="s">
        <v>677</v>
      </c>
      <c r="Y236" s="1244" t="s">
        <v>677</v>
      </c>
      <c r="Z236" s="1244" t="s">
        <v>677</v>
      </c>
      <c r="AA236" s="1242" t="s">
        <v>677</v>
      </c>
      <c r="AB236" s="1239" t="s">
        <v>677</v>
      </c>
      <c r="AC236" s="1319">
        <v>0</v>
      </c>
      <c r="AD236" s="1319">
        <v>0</v>
      </c>
      <c r="AE236" s="1319">
        <v>50700</v>
      </c>
      <c r="AF236" s="1319"/>
      <c r="AG236" s="187">
        <v>50700</v>
      </c>
      <c r="AH236" s="187">
        <v>50700</v>
      </c>
      <c r="AI236" s="1265" t="s">
        <v>1731</v>
      </c>
      <c r="AJ236" s="1243">
        <v>11335</v>
      </c>
      <c r="AK236" s="1239" t="s">
        <v>7257</v>
      </c>
      <c r="AL236" s="1243">
        <v>11381</v>
      </c>
      <c r="AM236" s="1248" t="s">
        <v>677</v>
      </c>
      <c r="AN236" s="1248" t="s">
        <v>677</v>
      </c>
      <c r="AO236" s="1248" t="s">
        <v>677</v>
      </c>
      <c r="AP236" s="1248" t="s">
        <v>677</v>
      </c>
      <c r="AQ236" s="1248" t="s">
        <v>677</v>
      </c>
      <c r="AR236" s="1248" t="s">
        <v>677</v>
      </c>
      <c r="AS236" s="1243" t="s">
        <v>677</v>
      </c>
      <c r="AT236" s="1243" t="s">
        <v>677</v>
      </c>
      <c r="AU236" s="1243" t="s">
        <v>677</v>
      </c>
      <c r="AV236" s="1243" t="s">
        <v>677</v>
      </c>
      <c r="AW236" s="1243" t="s">
        <v>677</v>
      </c>
      <c r="AX236" s="1243" t="s">
        <v>677</v>
      </c>
      <c r="AY236" s="1243" t="s">
        <v>677</v>
      </c>
      <c r="AZ236" s="1243" t="s">
        <v>677</v>
      </c>
      <c r="BA236" s="1243" t="s">
        <v>677</v>
      </c>
      <c r="BB236" s="1243" t="s">
        <v>677</v>
      </c>
      <c r="BC236" s="1243" t="s">
        <v>677</v>
      </c>
      <c r="BD236" s="1243" t="s">
        <v>677</v>
      </c>
    </row>
    <row r="237" spans="1:56" s="422" customFormat="1" ht="38.25" x14ac:dyDescent="0.25">
      <c r="A237" s="1879">
        <v>155</v>
      </c>
      <c r="B237" s="1276" t="s">
        <v>1943</v>
      </c>
      <c r="C237" s="1239" t="s">
        <v>6992</v>
      </c>
      <c r="D237" s="1239" t="s">
        <v>6730</v>
      </c>
      <c r="E237" s="1239" t="s">
        <v>5811</v>
      </c>
      <c r="F237" s="1291" t="s">
        <v>6993</v>
      </c>
      <c r="G237" s="1243">
        <v>11230</v>
      </c>
      <c r="H237" s="1246" t="s">
        <v>2100</v>
      </c>
      <c r="I237" s="1273" t="s">
        <v>4178</v>
      </c>
      <c r="J237" s="1239" t="s">
        <v>4179</v>
      </c>
      <c r="K237" s="1244">
        <v>41878</v>
      </c>
      <c r="L237" s="187">
        <v>27346</v>
      </c>
      <c r="M237" s="1243">
        <v>11382</v>
      </c>
      <c r="N237" s="1244">
        <v>41878</v>
      </c>
      <c r="O237" s="1244">
        <v>41939</v>
      </c>
      <c r="P237" s="1239" t="s">
        <v>6763</v>
      </c>
      <c r="Q237" s="1239" t="s">
        <v>677</v>
      </c>
      <c r="R237" s="1239" t="s">
        <v>677</v>
      </c>
      <c r="S237" s="1239" t="s">
        <v>677</v>
      </c>
      <c r="T237" s="1239" t="s">
        <v>316</v>
      </c>
      <c r="U237" s="1246" t="s">
        <v>677</v>
      </c>
      <c r="V237" s="1239" t="s">
        <v>677</v>
      </c>
      <c r="W237" s="1243" t="s">
        <v>677</v>
      </c>
      <c r="X237" s="1239" t="s">
        <v>677</v>
      </c>
      <c r="Y237" s="1244" t="s">
        <v>677</v>
      </c>
      <c r="Z237" s="1244" t="s">
        <v>677</v>
      </c>
      <c r="AA237" s="1242" t="s">
        <v>677</v>
      </c>
      <c r="AB237" s="1239" t="s">
        <v>677</v>
      </c>
      <c r="AC237" s="1319">
        <v>0</v>
      </c>
      <c r="AD237" s="1319">
        <v>0</v>
      </c>
      <c r="AE237" s="1319">
        <v>27346</v>
      </c>
      <c r="AF237" s="1319"/>
      <c r="AG237" s="187">
        <v>25322</v>
      </c>
      <c r="AH237" s="187">
        <v>25322</v>
      </c>
      <c r="AI237" s="1265" t="s">
        <v>747</v>
      </c>
      <c r="AJ237" s="1243">
        <v>11256</v>
      </c>
      <c r="AK237" s="1284"/>
      <c r="AL237" s="1243"/>
      <c r="AM237" s="1248"/>
      <c r="AN237" s="1248"/>
      <c r="AO237" s="1248"/>
      <c r="AP237" s="1248"/>
      <c r="AQ237" s="1248"/>
      <c r="AR237" s="1248"/>
      <c r="AS237" s="1243"/>
      <c r="AT237" s="1243"/>
      <c r="AU237" s="1243"/>
      <c r="AV237" s="1243"/>
      <c r="AW237" s="1243"/>
      <c r="AX237" s="1243"/>
      <c r="AY237" s="1243"/>
      <c r="AZ237" s="1243"/>
      <c r="BA237" s="1243"/>
      <c r="BB237" s="1243"/>
      <c r="BC237" s="1243"/>
      <c r="BD237" s="1243"/>
    </row>
    <row r="238" spans="1:56" s="422" customFormat="1" ht="38.25" x14ac:dyDescent="0.25">
      <c r="A238" s="1879">
        <v>156</v>
      </c>
      <c r="B238" s="1276" t="s">
        <v>680</v>
      </c>
      <c r="C238" s="1239" t="s">
        <v>7137</v>
      </c>
      <c r="D238" s="1239" t="s">
        <v>6730</v>
      </c>
      <c r="E238" s="1239" t="s">
        <v>5811</v>
      </c>
      <c r="F238" s="1291" t="s">
        <v>7258</v>
      </c>
      <c r="G238" s="1243">
        <v>11227</v>
      </c>
      <c r="H238" s="1246" t="s">
        <v>2103</v>
      </c>
      <c r="I238" s="1273" t="s">
        <v>6998</v>
      </c>
      <c r="J238" s="1239" t="s">
        <v>1952</v>
      </c>
      <c r="K238" s="1244">
        <v>41878</v>
      </c>
      <c r="L238" s="187">
        <v>2090</v>
      </c>
      <c r="M238" s="1243">
        <v>11382</v>
      </c>
      <c r="N238" s="1244">
        <v>41878</v>
      </c>
      <c r="O238" s="1244">
        <v>41939</v>
      </c>
      <c r="P238" s="1239" t="s">
        <v>6763</v>
      </c>
      <c r="Q238" s="1239" t="s">
        <v>677</v>
      </c>
      <c r="R238" s="1239" t="s">
        <v>677</v>
      </c>
      <c r="S238" s="1239" t="s">
        <v>677</v>
      </c>
      <c r="T238" s="1239" t="s">
        <v>316</v>
      </c>
      <c r="U238" s="1246" t="s">
        <v>677</v>
      </c>
      <c r="V238" s="1239" t="s">
        <v>677</v>
      </c>
      <c r="W238" s="1243" t="s">
        <v>677</v>
      </c>
      <c r="X238" s="1239" t="s">
        <v>677</v>
      </c>
      <c r="Y238" s="1244" t="s">
        <v>677</v>
      </c>
      <c r="Z238" s="1244" t="s">
        <v>677</v>
      </c>
      <c r="AA238" s="1242" t="s">
        <v>677</v>
      </c>
      <c r="AB238" s="1239" t="s">
        <v>677</v>
      </c>
      <c r="AC238" s="1319">
        <v>0</v>
      </c>
      <c r="AD238" s="1319">
        <v>0</v>
      </c>
      <c r="AE238" s="1319">
        <v>2090</v>
      </c>
      <c r="AF238" s="1319"/>
      <c r="AG238" s="187">
        <v>2090</v>
      </c>
      <c r="AH238" s="187">
        <v>2090</v>
      </c>
      <c r="AI238" s="1265" t="s">
        <v>677</v>
      </c>
      <c r="AJ238" s="1243" t="s">
        <v>677</v>
      </c>
      <c r="AK238" s="1284" t="s">
        <v>677</v>
      </c>
      <c r="AL238" s="1243" t="s">
        <v>677</v>
      </c>
      <c r="AM238" s="1248" t="s">
        <v>677</v>
      </c>
      <c r="AN238" s="1248" t="s">
        <v>677</v>
      </c>
      <c r="AO238" s="1248" t="s">
        <v>677</v>
      </c>
      <c r="AP238" s="1248" t="s">
        <v>677</v>
      </c>
      <c r="AQ238" s="1248" t="s">
        <v>677</v>
      </c>
      <c r="AR238" s="1248" t="s">
        <v>677</v>
      </c>
      <c r="AS238" s="1243" t="s">
        <v>677</v>
      </c>
      <c r="AT238" s="1243" t="s">
        <v>677</v>
      </c>
      <c r="AU238" s="1243" t="s">
        <v>677</v>
      </c>
      <c r="AV238" s="1243" t="s">
        <v>677</v>
      </c>
      <c r="AW238" s="1243" t="s">
        <v>677</v>
      </c>
      <c r="AX238" s="1243" t="s">
        <v>677</v>
      </c>
      <c r="AY238" s="1243" t="s">
        <v>677</v>
      </c>
      <c r="AZ238" s="1243" t="s">
        <v>677</v>
      </c>
      <c r="BA238" s="1243" t="s">
        <v>677</v>
      </c>
      <c r="BB238" s="1243" t="s">
        <v>677</v>
      </c>
      <c r="BC238" s="1243" t="s">
        <v>677</v>
      </c>
      <c r="BD238" s="1243" t="s">
        <v>677</v>
      </c>
    </row>
    <row r="239" spans="1:56" s="422" customFormat="1" ht="38.25" x14ac:dyDescent="0.25">
      <c r="A239" s="1879">
        <v>157</v>
      </c>
      <c r="B239" s="1276" t="s">
        <v>774</v>
      </c>
      <c r="C239" s="1239" t="s">
        <v>7259</v>
      </c>
      <c r="D239" s="1239" t="s">
        <v>6730</v>
      </c>
      <c r="E239" s="1239" t="s">
        <v>5811</v>
      </c>
      <c r="F239" s="1291" t="s">
        <v>7260</v>
      </c>
      <c r="G239" s="1243">
        <v>11207</v>
      </c>
      <c r="H239" s="1246" t="s">
        <v>2105</v>
      </c>
      <c r="I239" s="1273" t="s">
        <v>7261</v>
      </c>
      <c r="J239" s="1239" t="s">
        <v>330</v>
      </c>
      <c r="K239" s="1244">
        <v>41878</v>
      </c>
      <c r="L239" s="187">
        <v>426</v>
      </c>
      <c r="M239" s="1243">
        <v>11382</v>
      </c>
      <c r="N239" s="1244">
        <v>41878</v>
      </c>
      <c r="O239" s="1244">
        <v>41939</v>
      </c>
      <c r="P239" s="1239" t="s">
        <v>6763</v>
      </c>
      <c r="Q239" s="1239" t="s">
        <v>677</v>
      </c>
      <c r="R239" s="1239" t="s">
        <v>677</v>
      </c>
      <c r="S239" s="1239" t="s">
        <v>677</v>
      </c>
      <c r="T239" s="1239" t="s">
        <v>316</v>
      </c>
      <c r="U239" s="1246" t="s">
        <v>677</v>
      </c>
      <c r="V239" s="1239" t="s">
        <v>677</v>
      </c>
      <c r="W239" s="1243" t="s">
        <v>677</v>
      </c>
      <c r="X239" s="1239" t="s">
        <v>677</v>
      </c>
      <c r="Y239" s="1244" t="s">
        <v>677</v>
      </c>
      <c r="Z239" s="1244" t="s">
        <v>677</v>
      </c>
      <c r="AA239" s="1242" t="s">
        <v>677</v>
      </c>
      <c r="AB239" s="1239" t="s">
        <v>677</v>
      </c>
      <c r="AC239" s="1319">
        <v>0</v>
      </c>
      <c r="AD239" s="1319">
        <v>0</v>
      </c>
      <c r="AE239" s="1319">
        <v>426</v>
      </c>
      <c r="AF239" s="1319"/>
      <c r="AG239" s="187">
        <v>426</v>
      </c>
      <c r="AH239" s="187">
        <v>426</v>
      </c>
      <c r="AI239" s="1265" t="s">
        <v>677</v>
      </c>
      <c r="AJ239" s="1243" t="s">
        <v>677</v>
      </c>
      <c r="AK239" s="1284" t="s">
        <v>677</v>
      </c>
      <c r="AL239" s="1243" t="s">
        <v>677</v>
      </c>
      <c r="AM239" s="1248" t="s">
        <v>677</v>
      </c>
      <c r="AN239" s="1248" t="s">
        <v>677</v>
      </c>
      <c r="AO239" s="1248" t="s">
        <v>677</v>
      </c>
      <c r="AP239" s="1248" t="s">
        <v>677</v>
      </c>
      <c r="AQ239" s="1248" t="s">
        <v>677</v>
      </c>
      <c r="AR239" s="1248" t="s">
        <v>677</v>
      </c>
      <c r="AS239" s="1243" t="s">
        <v>677</v>
      </c>
      <c r="AT239" s="1243" t="s">
        <v>677</v>
      </c>
      <c r="AU239" s="1243" t="s">
        <v>677</v>
      </c>
      <c r="AV239" s="1243" t="s">
        <v>677</v>
      </c>
      <c r="AW239" s="1243" t="s">
        <v>677</v>
      </c>
      <c r="AX239" s="1243" t="s">
        <v>677</v>
      </c>
      <c r="AY239" s="1243" t="s">
        <v>677</v>
      </c>
      <c r="AZ239" s="1243" t="s">
        <v>677</v>
      </c>
      <c r="BA239" s="1243" t="s">
        <v>677</v>
      </c>
      <c r="BB239" s="1243" t="s">
        <v>677</v>
      </c>
      <c r="BC239" s="1243" t="s">
        <v>677</v>
      </c>
      <c r="BD239" s="1243" t="s">
        <v>677</v>
      </c>
    </row>
    <row r="240" spans="1:56" s="422" customFormat="1" ht="38.25" x14ac:dyDescent="0.25">
      <c r="A240" s="1879">
        <v>158</v>
      </c>
      <c r="B240" s="1276" t="s">
        <v>802</v>
      </c>
      <c r="C240" s="1239" t="s">
        <v>7157</v>
      </c>
      <c r="D240" s="1239" t="s">
        <v>6730</v>
      </c>
      <c r="E240" s="1239" t="s">
        <v>5811</v>
      </c>
      <c r="F240" s="1291" t="s">
        <v>7051</v>
      </c>
      <c r="G240" s="1243">
        <v>11238</v>
      </c>
      <c r="H240" s="1246" t="s">
        <v>2108</v>
      </c>
      <c r="I240" s="1273" t="s">
        <v>7053</v>
      </c>
      <c r="J240" s="1239" t="s">
        <v>5630</v>
      </c>
      <c r="K240" s="1244">
        <v>41883</v>
      </c>
      <c r="L240" s="187">
        <v>2691</v>
      </c>
      <c r="M240" s="1243">
        <v>11384</v>
      </c>
      <c r="N240" s="1244">
        <v>41883</v>
      </c>
      <c r="O240" s="1244">
        <v>41944</v>
      </c>
      <c r="P240" s="1239" t="s">
        <v>6735</v>
      </c>
      <c r="Q240" s="1239" t="s">
        <v>677</v>
      </c>
      <c r="R240" s="1239" t="s">
        <v>677</v>
      </c>
      <c r="S240" s="1239" t="s">
        <v>677</v>
      </c>
      <c r="T240" s="1239" t="s">
        <v>316</v>
      </c>
      <c r="U240" s="1246" t="s">
        <v>677</v>
      </c>
      <c r="V240" s="1239" t="s">
        <v>677</v>
      </c>
      <c r="W240" s="1243" t="s">
        <v>677</v>
      </c>
      <c r="X240" s="1239" t="s">
        <v>677</v>
      </c>
      <c r="Y240" s="1244" t="s">
        <v>677</v>
      </c>
      <c r="Z240" s="1244" t="s">
        <v>677</v>
      </c>
      <c r="AA240" s="1242" t="s">
        <v>677</v>
      </c>
      <c r="AB240" s="1239" t="s">
        <v>677</v>
      </c>
      <c r="AC240" s="1319">
        <v>0</v>
      </c>
      <c r="AD240" s="1319">
        <v>0</v>
      </c>
      <c r="AE240" s="1319">
        <v>2691</v>
      </c>
      <c r="AF240" s="1319"/>
      <c r="AG240" s="187">
        <v>2691</v>
      </c>
      <c r="AH240" s="187">
        <v>2691</v>
      </c>
      <c r="AI240" s="1265" t="s">
        <v>677</v>
      </c>
      <c r="AJ240" s="1243" t="s">
        <v>677</v>
      </c>
      <c r="AK240" s="1284" t="s">
        <v>677</v>
      </c>
      <c r="AL240" s="1243" t="s">
        <v>677</v>
      </c>
      <c r="AM240" s="1248" t="s">
        <v>677</v>
      </c>
      <c r="AN240" s="1248" t="s">
        <v>677</v>
      </c>
      <c r="AO240" s="1248" t="s">
        <v>677</v>
      </c>
      <c r="AP240" s="1248" t="s">
        <v>677</v>
      </c>
      <c r="AQ240" s="1248" t="s">
        <v>677</v>
      </c>
      <c r="AR240" s="1248" t="s">
        <v>677</v>
      </c>
      <c r="AS240" s="1243" t="s">
        <v>677</v>
      </c>
      <c r="AT240" s="1243" t="s">
        <v>677</v>
      </c>
      <c r="AU240" s="1243" t="s">
        <v>677</v>
      </c>
      <c r="AV240" s="1243" t="s">
        <v>677</v>
      </c>
      <c r="AW240" s="1243" t="s">
        <v>677</v>
      </c>
      <c r="AX240" s="1243" t="s">
        <v>677</v>
      </c>
      <c r="AY240" s="1243" t="s">
        <v>677</v>
      </c>
      <c r="AZ240" s="1243" t="s">
        <v>677</v>
      </c>
      <c r="BA240" s="1243" t="s">
        <v>677</v>
      </c>
      <c r="BB240" s="1243" t="s">
        <v>677</v>
      </c>
      <c r="BC240" s="1243" t="s">
        <v>677</v>
      </c>
      <c r="BD240" s="1243" t="s">
        <v>677</v>
      </c>
    </row>
    <row r="241" spans="1:56" s="422" customFormat="1" ht="38.25" x14ac:dyDescent="0.25">
      <c r="A241" s="1879">
        <v>159</v>
      </c>
      <c r="B241" s="1276" t="s">
        <v>7262</v>
      </c>
      <c r="C241" s="1239" t="s">
        <v>7072</v>
      </c>
      <c r="D241" s="1239" t="s">
        <v>6730</v>
      </c>
      <c r="E241" s="1239" t="s">
        <v>5811</v>
      </c>
      <c r="F241" s="1291" t="s">
        <v>7076</v>
      </c>
      <c r="G241" s="1243">
        <v>11238</v>
      </c>
      <c r="H241" s="1246" t="s">
        <v>2109</v>
      </c>
      <c r="I241" s="1273" t="s">
        <v>7025</v>
      </c>
      <c r="J241" s="1239" t="s">
        <v>4604</v>
      </c>
      <c r="K241" s="1244">
        <v>41883</v>
      </c>
      <c r="L241" s="187">
        <v>13405</v>
      </c>
      <c r="M241" s="1243">
        <v>11383</v>
      </c>
      <c r="N241" s="1244">
        <v>41883</v>
      </c>
      <c r="O241" s="1244">
        <v>41944</v>
      </c>
      <c r="P241" s="1239" t="s">
        <v>6763</v>
      </c>
      <c r="Q241" s="1239" t="s">
        <v>677</v>
      </c>
      <c r="R241" s="1239" t="s">
        <v>677</v>
      </c>
      <c r="S241" s="1239" t="s">
        <v>677</v>
      </c>
      <c r="T241" s="1239" t="s">
        <v>316</v>
      </c>
      <c r="U241" s="1246" t="s">
        <v>677</v>
      </c>
      <c r="V241" s="1239" t="s">
        <v>677</v>
      </c>
      <c r="W241" s="1243" t="s">
        <v>677</v>
      </c>
      <c r="X241" s="1239" t="s">
        <v>677</v>
      </c>
      <c r="Y241" s="1244" t="s">
        <v>677</v>
      </c>
      <c r="Z241" s="1244" t="s">
        <v>677</v>
      </c>
      <c r="AA241" s="1242" t="s">
        <v>677</v>
      </c>
      <c r="AB241" s="1239" t="s">
        <v>677</v>
      </c>
      <c r="AC241" s="1319">
        <v>0</v>
      </c>
      <c r="AD241" s="1319">
        <v>0</v>
      </c>
      <c r="AE241" s="1319">
        <v>13405</v>
      </c>
      <c r="AF241" s="1319"/>
      <c r="AG241" s="187">
        <v>13405</v>
      </c>
      <c r="AH241" s="187">
        <v>13405</v>
      </c>
      <c r="AI241" s="1265" t="s">
        <v>677</v>
      </c>
      <c r="AJ241" s="1243" t="s">
        <v>677</v>
      </c>
      <c r="AK241" s="1284" t="s">
        <v>677</v>
      </c>
      <c r="AL241" s="1243" t="s">
        <v>677</v>
      </c>
      <c r="AM241" s="1248" t="s">
        <v>677</v>
      </c>
      <c r="AN241" s="1248" t="s">
        <v>677</v>
      </c>
      <c r="AO241" s="1248" t="s">
        <v>677</v>
      </c>
      <c r="AP241" s="1248" t="s">
        <v>677</v>
      </c>
      <c r="AQ241" s="1248" t="s">
        <v>677</v>
      </c>
      <c r="AR241" s="1248" t="s">
        <v>677</v>
      </c>
      <c r="AS241" s="1243" t="s">
        <v>677</v>
      </c>
      <c r="AT241" s="1243" t="s">
        <v>677</v>
      </c>
      <c r="AU241" s="1243" t="s">
        <v>677</v>
      </c>
      <c r="AV241" s="1243" t="s">
        <v>677</v>
      </c>
      <c r="AW241" s="1243" t="s">
        <v>677</v>
      </c>
      <c r="AX241" s="1243" t="s">
        <v>677</v>
      </c>
      <c r="AY241" s="1243" t="s">
        <v>677</v>
      </c>
      <c r="AZ241" s="1243" t="s">
        <v>677</v>
      </c>
      <c r="BA241" s="1243" t="s">
        <v>677</v>
      </c>
      <c r="BB241" s="1243" t="s">
        <v>677</v>
      </c>
      <c r="BC241" s="1243" t="s">
        <v>677</v>
      </c>
      <c r="BD241" s="1243" t="s">
        <v>677</v>
      </c>
    </row>
    <row r="242" spans="1:56" s="422" customFormat="1" ht="38.25" x14ac:dyDescent="0.25">
      <c r="A242" s="1879">
        <v>160</v>
      </c>
      <c r="B242" s="1276" t="s">
        <v>7263</v>
      </c>
      <c r="C242" s="1239" t="s">
        <v>7153</v>
      </c>
      <c r="D242" s="1239" t="s">
        <v>6730</v>
      </c>
      <c r="E242" s="1239" t="s">
        <v>5811</v>
      </c>
      <c r="F242" s="1291" t="s">
        <v>7264</v>
      </c>
      <c r="G242" s="1243">
        <v>11183</v>
      </c>
      <c r="H242" s="1246" t="s">
        <v>2112</v>
      </c>
      <c r="I242" s="1273" t="s">
        <v>1958</v>
      </c>
      <c r="J242" s="1239" t="s">
        <v>746</v>
      </c>
      <c r="K242" s="1244">
        <v>41883</v>
      </c>
      <c r="L242" s="187">
        <v>1348.89</v>
      </c>
      <c r="M242" s="1243">
        <v>11383</v>
      </c>
      <c r="N242" s="1244">
        <v>41883</v>
      </c>
      <c r="O242" s="1244">
        <v>41944</v>
      </c>
      <c r="P242" s="1239" t="s">
        <v>6763</v>
      </c>
      <c r="Q242" s="1239" t="s">
        <v>677</v>
      </c>
      <c r="R242" s="1239" t="s">
        <v>677</v>
      </c>
      <c r="S242" s="1239" t="s">
        <v>677</v>
      </c>
      <c r="T242" s="1239" t="s">
        <v>316</v>
      </c>
      <c r="U242" s="1246" t="s">
        <v>677</v>
      </c>
      <c r="V242" s="1239" t="s">
        <v>677</v>
      </c>
      <c r="W242" s="1243" t="s">
        <v>677</v>
      </c>
      <c r="X242" s="1239" t="s">
        <v>677</v>
      </c>
      <c r="Y242" s="1244" t="s">
        <v>677</v>
      </c>
      <c r="Z242" s="1244" t="s">
        <v>677</v>
      </c>
      <c r="AA242" s="1242" t="s">
        <v>677</v>
      </c>
      <c r="AB242" s="1239" t="s">
        <v>677</v>
      </c>
      <c r="AC242" s="1319">
        <v>0</v>
      </c>
      <c r="AD242" s="1319">
        <v>0</v>
      </c>
      <c r="AE242" s="1319">
        <v>1348.89</v>
      </c>
      <c r="AF242" s="1319"/>
      <c r="AG242" s="187">
        <v>1348.89</v>
      </c>
      <c r="AH242" s="187">
        <v>1348.89</v>
      </c>
      <c r="AI242" s="1265" t="s">
        <v>677</v>
      </c>
      <c r="AJ242" s="1243" t="s">
        <v>677</v>
      </c>
      <c r="AK242" s="1284" t="s">
        <v>677</v>
      </c>
      <c r="AL242" s="1243" t="s">
        <v>677</v>
      </c>
      <c r="AM242" s="1248" t="s">
        <v>677</v>
      </c>
      <c r="AN242" s="1248" t="s">
        <v>677</v>
      </c>
      <c r="AO242" s="1248" t="s">
        <v>677</v>
      </c>
      <c r="AP242" s="1248" t="s">
        <v>677</v>
      </c>
      <c r="AQ242" s="1248" t="s">
        <v>677</v>
      </c>
      <c r="AR242" s="1248" t="s">
        <v>677</v>
      </c>
      <c r="AS242" s="1243" t="s">
        <v>677</v>
      </c>
      <c r="AT242" s="1243" t="s">
        <v>677</v>
      </c>
      <c r="AU242" s="1243" t="s">
        <v>677</v>
      </c>
      <c r="AV242" s="1243" t="s">
        <v>677</v>
      </c>
      <c r="AW242" s="1243" t="s">
        <v>677</v>
      </c>
      <c r="AX242" s="1243" t="s">
        <v>677</v>
      </c>
      <c r="AY242" s="1243" t="s">
        <v>677</v>
      </c>
      <c r="AZ242" s="1243" t="s">
        <v>677</v>
      </c>
      <c r="BA242" s="1243" t="s">
        <v>677</v>
      </c>
      <c r="BB242" s="1243" t="s">
        <v>677</v>
      </c>
      <c r="BC242" s="1243" t="s">
        <v>677</v>
      </c>
      <c r="BD242" s="1243" t="s">
        <v>677</v>
      </c>
    </row>
    <row r="243" spans="1:56" s="422" customFormat="1" ht="76.5" x14ac:dyDescent="0.25">
      <c r="A243" s="1879">
        <v>161</v>
      </c>
      <c r="B243" s="1276" t="s">
        <v>1705</v>
      </c>
      <c r="C243" s="1239" t="s">
        <v>7153</v>
      </c>
      <c r="D243" s="1239" t="s">
        <v>6730</v>
      </c>
      <c r="E243" s="1239" t="s">
        <v>5811</v>
      </c>
      <c r="F243" s="1291" t="s">
        <v>7265</v>
      </c>
      <c r="G243" s="1243">
        <v>11183</v>
      </c>
      <c r="H243" s="1246" t="s">
        <v>2116</v>
      </c>
      <c r="I243" s="1273" t="s">
        <v>6945</v>
      </c>
      <c r="J243" s="1239" t="s">
        <v>779</v>
      </c>
      <c r="K243" s="1244">
        <v>41878</v>
      </c>
      <c r="L243" s="187">
        <v>1470</v>
      </c>
      <c r="M243" s="1243">
        <v>11383</v>
      </c>
      <c r="N243" s="1244">
        <v>41883</v>
      </c>
      <c r="O243" s="1244">
        <v>41944</v>
      </c>
      <c r="P243" s="1239" t="s">
        <v>6763</v>
      </c>
      <c r="Q243" s="1239" t="s">
        <v>677</v>
      </c>
      <c r="R243" s="1239" t="s">
        <v>677</v>
      </c>
      <c r="S243" s="1239" t="s">
        <v>677</v>
      </c>
      <c r="T243" s="1239" t="s">
        <v>316</v>
      </c>
      <c r="U243" s="1246" t="s">
        <v>677</v>
      </c>
      <c r="V243" s="1239" t="s">
        <v>677</v>
      </c>
      <c r="W243" s="1243" t="s">
        <v>677</v>
      </c>
      <c r="X243" s="1239" t="s">
        <v>677</v>
      </c>
      <c r="Y243" s="1244" t="s">
        <v>677</v>
      </c>
      <c r="Z243" s="1244" t="s">
        <v>677</v>
      </c>
      <c r="AA243" s="1242" t="s">
        <v>677</v>
      </c>
      <c r="AB243" s="1239" t="s">
        <v>677</v>
      </c>
      <c r="AC243" s="1319">
        <v>0</v>
      </c>
      <c r="AD243" s="1319">
        <v>0</v>
      </c>
      <c r="AE243" s="1319">
        <v>1470</v>
      </c>
      <c r="AF243" s="1319"/>
      <c r="AG243" s="187">
        <v>1470</v>
      </c>
      <c r="AH243" s="187">
        <v>1470</v>
      </c>
      <c r="AI243" s="1265" t="s">
        <v>677</v>
      </c>
      <c r="AJ243" s="1243" t="s">
        <v>677</v>
      </c>
      <c r="AK243" s="1284" t="s">
        <v>677</v>
      </c>
      <c r="AL243" s="1243" t="s">
        <v>677</v>
      </c>
      <c r="AM243" s="1248" t="s">
        <v>677</v>
      </c>
      <c r="AN243" s="1248" t="s">
        <v>677</v>
      </c>
      <c r="AO243" s="1248" t="s">
        <v>677</v>
      </c>
      <c r="AP243" s="1248" t="s">
        <v>677</v>
      </c>
      <c r="AQ243" s="1248" t="s">
        <v>677</v>
      </c>
      <c r="AR243" s="1248" t="s">
        <v>677</v>
      </c>
      <c r="AS243" s="1243" t="s">
        <v>677</v>
      </c>
      <c r="AT243" s="1243" t="s">
        <v>677</v>
      </c>
      <c r="AU243" s="1243" t="s">
        <v>677</v>
      </c>
      <c r="AV243" s="1243" t="s">
        <v>677</v>
      </c>
      <c r="AW243" s="1243" t="s">
        <v>677</v>
      </c>
      <c r="AX243" s="1243" t="s">
        <v>677</v>
      </c>
      <c r="AY243" s="1243" t="s">
        <v>677</v>
      </c>
      <c r="AZ243" s="1243" t="s">
        <v>677</v>
      </c>
      <c r="BA243" s="1243" t="s">
        <v>677</v>
      </c>
      <c r="BB243" s="1243" t="s">
        <v>677</v>
      </c>
      <c r="BC243" s="1243" t="s">
        <v>677</v>
      </c>
      <c r="BD243" s="1243" t="s">
        <v>677</v>
      </c>
    </row>
    <row r="244" spans="1:56" s="422" customFormat="1" ht="38.25" x14ac:dyDescent="0.25">
      <c r="A244" s="1879">
        <v>162</v>
      </c>
      <c r="B244" s="1276" t="s">
        <v>2189</v>
      </c>
      <c r="C244" s="1239" t="s">
        <v>7082</v>
      </c>
      <c r="D244" s="1239" t="s">
        <v>6730</v>
      </c>
      <c r="E244" s="1239" t="s">
        <v>5811</v>
      </c>
      <c r="F244" s="1291" t="s">
        <v>7266</v>
      </c>
      <c r="G244" s="1243">
        <v>11024</v>
      </c>
      <c r="H244" s="1246" t="s">
        <v>2119</v>
      </c>
      <c r="I244" s="1273" t="s">
        <v>7085</v>
      </c>
      <c r="J244" s="1239" t="s">
        <v>1564</v>
      </c>
      <c r="K244" s="1244">
        <v>41858</v>
      </c>
      <c r="L244" s="187">
        <v>1970</v>
      </c>
      <c r="M244" s="1243">
        <v>11383</v>
      </c>
      <c r="N244" s="1244">
        <v>41883</v>
      </c>
      <c r="O244" s="1332">
        <v>41944</v>
      </c>
      <c r="P244" s="1239" t="s">
        <v>6763</v>
      </c>
      <c r="Q244" s="1239" t="s">
        <v>677</v>
      </c>
      <c r="R244" s="1239" t="s">
        <v>677</v>
      </c>
      <c r="S244" s="1239" t="s">
        <v>677</v>
      </c>
      <c r="T244" s="1239" t="s">
        <v>408</v>
      </c>
      <c r="U244" s="1246" t="s">
        <v>677</v>
      </c>
      <c r="V244" s="1239" t="s">
        <v>677</v>
      </c>
      <c r="W244" s="1243" t="s">
        <v>677</v>
      </c>
      <c r="X244" s="1239" t="s">
        <v>677</v>
      </c>
      <c r="Y244" s="1244" t="s">
        <v>677</v>
      </c>
      <c r="Z244" s="1244" t="s">
        <v>677</v>
      </c>
      <c r="AA244" s="1242" t="s">
        <v>677</v>
      </c>
      <c r="AB244" s="1239" t="s">
        <v>677</v>
      </c>
      <c r="AC244" s="1319">
        <v>0</v>
      </c>
      <c r="AD244" s="1319">
        <v>0</v>
      </c>
      <c r="AE244" s="1319">
        <v>1970</v>
      </c>
      <c r="AF244" s="1319"/>
      <c r="AG244" s="187">
        <v>1970</v>
      </c>
      <c r="AH244" s="187">
        <v>1970</v>
      </c>
      <c r="AI244" s="1265" t="s">
        <v>765</v>
      </c>
      <c r="AJ244" s="1243">
        <v>11258</v>
      </c>
      <c r="AK244" s="1284" t="s">
        <v>677</v>
      </c>
      <c r="AL244" s="1243" t="s">
        <v>677</v>
      </c>
      <c r="AM244" s="1248" t="s">
        <v>677</v>
      </c>
      <c r="AN244" s="1248" t="s">
        <v>677</v>
      </c>
      <c r="AO244" s="1248" t="s">
        <v>677</v>
      </c>
      <c r="AP244" s="1248" t="s">
        <v>677</v>
      </c>
      <c r="AQ244" s="1248" t="s">
        <v>677</v>
      </c>
      <c r="AR244" s="1248" t="s">
        <v>677</v>
      </c>
      <c r="AS244" s="1243" t="s">
        <v>677</v>
      </c>
      <c r="AT244" s="1243" t="s">
        <v>677</v>
      </c>
      <c r="AU244" s="1243" t="s">
        <v>677</v>
      </c>
      <c r="AV244" s="1243" t="s">
        <v>677</v>
      </c>
      <c r="AW244" s="1243" t="s">
        <v>677</v>
      </c>
      <c r="AX244" s="1243" t="s">
        <v>677</v>
      </c>
      <c r="AY244" s="1243" t="s">
        <v>677</v>
      </c>
      <c r="AZ244" s="1243" t="s">
        <v>677</v>
      </c>
      <c r="BA244" s="1243" t="s">
        <v>677</v>
      </c>
      <c r="BB244" s="1243" t="s">
        <v>677</v>
      </c>
      <c r="BC244" s="1243" t="s">
        <v>677</v>
      </c>
      <c r="BD244" s="1243" t="s">
        <v>677</v>
      </c>
    </row>
    <row r="245" spans="1:56" s="422" customFormat="1" x14ac:dyDescent="0.25">
      <c r="A245" s="2639">
        <v>163</v>
      </c>
      <c r="B245" s="2080" t="s">
        <v>1856</v>
      </c>
      <c r="C245" s="1967" t="s">
        <v>7267</v>
      </c>
      <c r="D245" s="1967" t="s">
        <v>6730</v>
      </c>
      <c r="E245" s="1967" t="s">
        <v>5811</v>
      </c>
      <c r="F245" s="1967" t="s">
        <v>7109</v>
      </c>
      <c r="G245" s="1972">
        <v>10089</v>
      </c>
      <c r="H245" s="1978" t="s">
        <v>2124</v>
      </c>
      <c r="I245" s="2050" t="s">
        <v>7111</v>
      </c>
      <c r="J245" s="1967" t="s">
        <v>7112</v>
      </c>
      <c r="K245" s="1973">
        <v>41879</v>
      </c>
      <c r="L245" s="2638">
        <v>10668.57</v>
      </c>
      <c r="M245" s="1978" t="s">
        <v>7268</v>
      </c>
      <c r="N245" s="1973">
        <v>41879</v>
      </c>
      <c r="O245" s="1973">
        <v>42004</v>
      </c>
      <c r="P245" s="1967" t="s">
        <v>6763</v>
      </c>
      <c r="Q245" s="1967" t="s">
        <v>677</v>
      </c>
      <c r="R245" s="1967" t="s">
        <v>677</v>
      </c>
      <c r="S245" s="1967" t="s">
        <v>677</v>
      </c>
      <c r="T245" s="1967" t="s">
        <v>208</v>
      </c>
      <c r="U245" s="1246" t="s">
        <v>677</v>
      </c>
      <c r="V245" s="1239" t="s">
        <v>677</v>
      </c>
      <c r="W245" s="1243" t="s">
        <v>677</v>
      </c>
      <c r="X245" s="1239" t="s">
        <v>677</v>
      </c>
      <c r="Y245" s="1244" t="s">
        <v>677</v>
      </c>
      <c r="Z245" s="1244" t="s">
        <v>677</v>
      </c>
      <c r="AA245" s="1242" t="s">
        <v>677</v>
      </c>
      <c r="AB245" s="1239" t="s">
        <v>677</v>
      </c>
      <c r="AC245" s="1319">
        <v>0</v>
      </c>
      <c r="AD245" s="1319">
        <v>0</v>
      </c>
      <c r="AE245" s="1319">
        <v>10668.57</v>
      </c>
      <c r="AF245" s="1971"/>
      <c r="AG245" s="2637">
        <v>2070.85</v>
      </c>
      <c r="AH245" s="187"/>
      <c r="AI245" s="1265" t="s">
        <v>677</v>
      </c>
      <c r="AJ245" s="1243" t="s">
        <v>677</v>
      </c>
      <c r="AK245" s="1284" t="s">
        <v>677</v>
      </c>
      <c r="AL245" s="1243" t="s">
        <v>677</v>
      </c>
      <c r="AM245" s="1248" t="s">
        <v>677</v>
      </c>
      <c r="AN245" s="1248" t="s">
        <v>677</v>
      </c>
      <c r="AO245" s="1248" t="s">
        <v>677</v>
      </c>
      <c r="AP245" s="1248" t="s">
        <v>677</v>
      </c>
      <c r="AQ245" s="1248" t="s">
        <v>677</v>
      </c>
      <c r="AR245" s="1248" t="s">
        <v>677</v>
      </c>
      <c r="AS245" s="1243" t="s">
        <v>677</v>
      </c>
      <c r="AT245" s="1243" t="s">
        <v>677</v>
      </c>
      <c r="AU245" s="1243" t="s">
        <v>677</v>
      </c>
      <c r="AV245" s="1243" t="s">
        <v>677</v>
      </c>
      <c r="AW245" s="1243" t="s">
        <v>677</v>
      </c>
      <c r="AX245" s="1243" t="s">
        <v>677</v>
      </c>
      <c r="AY245" s="1243" t="s">
        <v>677</v>
      </c>
      <c r="AZ245" s="1243" t="s">
        <v>677</v>
      </c>
      <c r="BA245" s="1243" t="s">
        <v>677</v>
      </c>
      <c r="BB245" s="1243" t="s">
        <v>677</v>
      </c>
      <c r="BC245" s="1243" t="s">
        <v>677</v>
      </c>
      <c r="BD245" s="1243" t="s">
        <v>677</v>
      </c>
    </row>
    <row r="246" spans="1:56" s="422" customFormat="1" ht="38.25" x14ac:dyDescent="0.25">
      <c r="A246" s="2639"/>
      <c r="B246" s="2080"/>
      <c r="C246" s="1967"/>
      <c r="D246" s="1967"/>
      <c r="E246" s="1967"/>
      <c r="F246" s="1967"/>
      <c r="G246" s="1972"/>
      <c r="H246" s="1978"/>
      <c r="I246" s="2050"/>
      <c r="J246" s="1967"/>
      <c r="K246" s="1973"/>
      <c r="L246" s="2638"/>
      <c r="M246" s="1978"/>
      <c r="N246" s="1973"/>
      <c r="O246" s="1973"/>
      <c r="P246" s="1967"/>
      <c r="Q246" s="1967"/>
      <c r="R246" s="1967"/>
      <c r="S246" s="1967"/>
      <c r="T246" s="1967"/>
      <c r="U246" s="1246" t="s">
        <v>267</v>
      </c>
      <c r="V246" s="1244">
        <v>42002</v>
      </c>
      <c r="W246" s="1246" t="s">
        <v>6829</v>
      </c>
      <c r="X246" s="1239" t="s">
        <v>7269</v>
      </c>
      <c r="Y246" s="1244">
        <v>42002</v>
      </c>
      <c r="Z246" s="1244">
        <v>41699</v>
      </c>
      <c r="AA246" s="1242"/>
      <c r="AB246" s="1239"/>
      <c r="AC246" s="1319">
        <v>0</v>
      </c>
      <c r="AD246" s="1319">
        <v>0</v>
      </c>
      <c r="AE246" s="1319"/>
      <c r="AF246" s="1971"/>
      <c r="AG246" s="2637"/>
      <c r="AH246" s="187">
        <f>AG245</f>
        <v>2070.85</v>
      </c>
      <c r="AI246" s="1265"/>
      <c r="AJ246" s="1243"/>
      <c r="AK246" s="1284"/>
      <c r="AL246" s="1243"/>
      <c r="AM246" s="1248"/>
      <c r="AN246" s="1248"/>
      <c r="AO246" s="1248"/>
      <c r="AP246" s="1248"/>
      <c r="AQ246" s="1248"/>
      <c r="AR246" s="1248"/>
      <c r="AS246" s="1243"/>
      <c r="AT246" s="1243"/>
      <c r="AU246" s="1243"/>
      <c r="AV246" s="1243"/>
      <c r="AW246" s="1243"/>
      <c r="AX246" s="1243"/>
      <c r="AY246" s="1243"/>
      <c r="AZ246" s="1243"/>
      <c r="BA246" s="1243"/>
      <c r="BB246" s="1243"/>
      <c r="BC246" s="1243"/>
      <c r="BD246" s="1243"/>
    </row>
    <row r="247" spans="1:56" s="422" customFormat="1" ht="38.25" x14ac:dyDescent="0.25">
      <c r="A247" s="1879">
        <v>164</v>
      </c>
      <c r="B247" s="1276" t="s">
        <v>774</v>
      </c>
      <c r="C247" s="1239" t="s">
        <v>7132</v>
      </c>
      <c r="D247" s="1239" t="s">
        <v>6730</v>
      </c>
      <c r="E247" s="1239" t="s">
        <v>5811</v>
      </c>
      <c r="F247" s="1291" t="s">
        <v>7270</v>
      </c>
      <c r="G247" s="1243">
        <v>11244</v>
      </c>
      <c r="H247" s="1246" t="s">
        <v>2125</v>
      </c>
      <c r="I247" s="1273" t="s">
        <v>7271</v>
      </c>
      <c r="J247" s="1239" t="s">
        <v>452</v>
      </c>
      <c r="K247" s="1244">
        <v>41883</v>
      </c>
      <c r="L247" s="187">
        <v>365.08</v>
      </c>
      <c r="M247" s="1246" t="s">
        <v>7272</v>
      </c>
      <c r="N247" s="1244">
        <v>41883</v>
      </c>
      <c r="O247" s="1244">
        <v>41944</v>
      </c>
      <c r="P247" s="1239" t="s">
        <v>6735</v>
      </c>
      <c r="Q247" s="1239" t="s">
        <v>677</v>
      </c>
      <c r="R247" s="1239" t="s">
        <v>677</v>
      </c>
      <c r="S247" s="1239" t="s">
        <v>677</v>
      </c>
      <c r="T247" s="1239" t="s">
        <v>408</v>
      </c>
      <c r="U247" s="1246" t="s">
        <v>677</v>
      </c>
      <c r="V247" s="1239" t="s">
        <v>677</v>
      </c>
      <c r="W247" s="1243" t="s">
        <v>677</v>
      </c>
      <c r="X247" s="1239" t="s">
        <v>677</v>
      </c>
      <c r="Y247" s="1244" t="s">
        <v>677</v>
      </c>
      <c r="Z247" s="1244" t="s">
        <v>677</v>
      </c>
      <c r="AA247" s="1242" t="s">
        <v>677</v>
      </c>
      <c r="AB247" s="1239" t="s">
        <v>677</v>
      </c>
      <c r="AC247" s="1319">
        <v>0</v>
      </c>
      <c r="AD247" s="1319">
        <v>0</v>
      </c>
      <c r="AE247" s="1319">
        <v>365.08</v>
      </c>
      <c r="AF247" s="1319"/>
      <c r="AG247" s="187">
        <v>365.08</v>
      </c>
      <c r="AH247" s="187">
        <v>365.08</v>
      </c>
      <c r="AI247" s="1265" t="s">
        <v>677</v>
      </c>
      <c r="AJ247" s="1243" t="s">
        <v>677</v>
      </c>
      <c r="AK247" s="1284" t="s">
        <v>677</v>
      </c>
      <c r="AL247" s="1243" t="s">
        <v>677</v>
      </c>
      <c r="AM247" s="1248" t="s">
        <v>677</v>
      </c>
      <c r="AN247" s="1248" t="s">
        <v>677</v>
      </c>
      <c r="AO247" s="1248" t="s">
        <v>677</v>
      </c>
      <c r="AP247" s="1248" t="s">
        <v>677</v>
      </c>
      <c r="AQ247" s="1248" t="s">
        <v>677</v>
      </c>
      <c r="AR247" s="1248" t="s">
        <v>677</v>
      </c>
      <c r="AS247" s="1243" t="s">
        <v>677</v>
      </c>
      <c r="AT247" s="1243" t="s">
        <v>677</v>
      </c>
      <c r="AU247" s="1243" t="s">
        <v>677</v>
      </c>
      <c r="AV247" s="1243" t="s">
        <v>677</v>
      </c>
      <c r="AW247" s="1243" t="s">
        <v>677</v>
      </c>
      <c r="AX247" s="1243" t="s">
        <v>677</v>
      </c>
      <c r="AY247" s="1243" t="s">
        <v>677</v>
      </c>
      <c r="AZ247" s="1243" t="s">
        <v>677</v>
      </c>
      <c r="BA247" s="1243" t="s">
        <v>677</v>
      </c>
      <c r="BB247" s="1243" t="s">
        <v>677</v>
      </c>
      <c r="BC247" s="1243" t="s">
        <v>677</v>
      </c>
      <c r="BD247" s="1243" t="s">
        <v>677</v>
      </c>
    </row>
    <row r="248" spans="1:56" s="422" customFormat="1" ht="38.25" x14ac:dyDescent="0.25">
      <c r="A248" s="1879">
        <v>165</v>
      </c>
      <c r="B248" s="1276" t="s">
        <v>3968</v>
      </c>
      <c r="C248" s="1239" t="s">
        <v>7191</v>
      </c>
      <c r="D248" s="1239" t="s">
        <v>6730</v>
      </c>
      <c r="E248" s="1239" t="s">
        <v>5811</v>
      </c>
      <c r="F248" s="1291" t="s">
        <v>7273</v>
      </c>
      <c r="G248" s="1243">
        <v>11175</v>
      </c>
      <c r="H248" s="1340" t="s">
        <v>2128</v>
      </c>
      <c r="I248" s="1273" t="s">
        <v>5516</v>
      </c>
      <c r="J248" s="1239" t="s">
        <v>5266</v>
      </c>
      <c r="K248" s="1244">
        <v>41883</v>
      </c>
      <c r="L248" s="187">
        <v>38000</v>
      </c>
      <c r="M248" s="1246" t="s">
        <v>7272</v>
      </c>
      <c r="N248" s="1244">
        <v>41883</v>
      </c>
      <c r="O248" s="1244">
        <v>42004</v>
      </c>
      <c r="P248" s="1239" t="s">
        <v>6763</v>
      </c>
      <c r="Q248" s="1239" t="s">
        <v>677</v>
      </c>
      <c r="R248" s="1239" t="s">
        <v>677</v>
      </c>
      <c r="S248" s="1239" t="s">
        <v>677</v>
      </c>
      <c r="T248" s="1239" t="s">
        <v>316</v>
      </c>
      <c r="U248" s="1246" t="s">
        <v>677</v>
      </c>
      <c r="V248" s="1239" t="s">
        <v>677</v>
      </c>
      <c r="W248" s="1243" t="s">
        <v>677</v>
      </c>
      <c r="X248" s="1239" t="s">
        <v>677</v>
      </c>
      <c r="Y248" s="1244" t="s">
        <v>677</v>
      </c>
      <c r="Z248" s="1244" t="s">
        <v>677</v>
      </c>
      <c r="AA248" s="1242" t="s">
        <v>677</v>
      </c>
      <c r="AB248" s="1239" t="s">
        <v>677</v>
      </c>
      <c r="AC248" s="1319">
        <v>0</v>
      </c>
      <c r="AD248" s="1319">
        <v>0</v>
      </c>
      <c r="AE248" s="1319">
        <v>38000</v>
      </c>
      <c r="AF248" s="1319"/>
      <c r="AG248" s="187">
        <v>34776.71</v>
      </c>
      <c r="AH248" s="187">
        <f>AG248</f>
        <v>34776.71</v>
      </c>
      <c r="AI248" s="1265" t="s">
        <v>1608</v>
      </c>
      <c r="AJ248" s="1243">
        <v>11194</v>
      </c>
      <c r="AK248" s="1284" t="s">
        <v>677</v>
      </c>
      <c r="AL248" s="1243" t="s">
        <v>677</v>
      </c>
      <c r="AM248" s="1248" t="s">
        <v>677</v>
      </c>
      <c r="AN248" s="1248" t="s">
        <v>677</v>
      </c>
      <c r="AO248" s="1248" t="s">
        <v>677</v>
      </c>
      <c r="AP248" s="1248" t="s">
        <v>677</v>
      </c>
      <c r="AQ248" s="1248" t="s">
        <v>677</v>
      </c>
      <c r="AR248" s="1248" t="s">
        <v>677</v>
      </c>
      <c r="AS248" s="1243" t="s">
        <v>677</v>
      </c>
      <c r="AT248" s="1243" t="s">
        <v>677</v>
      </c>
      <c r="AU248" s="1243" t="s">
        <v>677</v>
      </c>
      <c r="AV248" s="1243" t="s">
        <v>677</v>
      </c>
      <c r="AW248" s="1243" t="s">
        <v>677</v>
      </c>
      <c r="AX248" s="1243" t="s">
        <v>677</v>
      </c>
      <c r="AY248" s="1243" t="s">
        <v>677</v>
      </c>
      <c r="AZ248" s="1243" t="s">
        <v>677</v>
      </c>
      <c r="BA248" s="1243" t="s">
        <v>677</v>
      </c>
      <c r="BB248" s="1243" t="s">
        <v>677</v>
      </c>
      <c r="BC248" s="1243" t="s">
        <v>677</v>
      </c>
      <c r="BD248" s="1243" t="s">
        <v>677</v>
      </c>
    </row>
    <row r="249" spans="1:56" s="422" customFormat="1" ht="63.75" x14ac:dyDescent="0.25">
      <c r="A249" s="1879">
        <v>166</v>
      </c>
      <c r="B249" s="1276" t="s">
        <v>6149</v>
      </c>
      <c r="C249" s="1239" t="s">
        <v>7274</v>
      </c>
      <c r="D249" s="1239" t="s">
        <v>6800</v>
      </c>
      <c r="E249" s="1239" t="s">
        <v>5811</v>
      </c>
      <c r="F249" s="1291" t="s">
        <v>7226</v>
      </c>
      <c r="G249" s="1243">
        <v>11211</v>
      </c>
      <c r="H249" s="1246" t="s">
        <v>2136</v>
      </c>
      <c r="I249" s="1273" t="s">
        <v>7275</v>
      </c>
      <c r="J249" s="1239" t="s">
        <v>7276</v>
      </c>
      <c r="K249" s="1244">
        <v>41869</v>
      </c>
      <c r="L249" s="187">
        <v>15990.66</v>
      </c>
      <c r="M249" s="1246" t="s">
        <v>7277</v>
      </c>
      <c r="N249" s="1244">
        <v>41869</v>
      </c>
      <c r="O249" s="1244">
        <v>42004</v>
      </c>
      <c r="P249" s="1239" t="s">
        <v>6763</v>
      </c>
      <c r="Q249" s="1239" t="s">
        <v>677</v>
      </c>
      <c r="R249" s="1239" t="s">
        <v>677</v>
      </c>
      <c r="S249" s="1239" t="s">
        <v>677</v>
      </c>
      <c r="T249" s="1239" t="s">
        <v>158</v>
      </c>
      <c r="U249" s="1246" t="s">
        <v>677</v>
      </c>
      <c r="V249" s="1239" t="s">
        <v>677</v>
      </c>
      <c r="W249" s="1243" t="s">
        <v>677</v>
      </c>
      <c r="X249" s="1239" t="s">
        <v>677</v>
      </c>
      <c r="Y249" s="1244" t="s">
        <v>677</v>
      </c>
      <c r="Z249" s="1244" t="s">
        <v>677</v>
      </c>
      <c r="AA249" s="1242" t="s">
        <v>677</v>
      </c>
      <c r="AB249" s="1239" t="s">
        <v>677</v>
      </c>
      <c r="AC249" s="1319">
        <v>0</v>
      </c>
      <c r="AD249" s="1319">
        <v>0</v>
      </c>
      <c r="AE249" s="1319">
        <f>L249-AD249+AC249</f>
        <v>15990.66</v>
      </c>
      <c r="AF249" s="1319"/>
      <c r="AG249" s="187">
        <v>15990.66</v>
      </c>
      <c r="AH249" s="187">
        <v>15990.66</v>
      </c>
      <c r="AI249" s="1265" t="s">
        <v>680</v>
      </c>
      <c r="AJ249" s="1243">
        <v>11233</v>
      </c>
      <c r="AK249" s="1284" t="s">
        <v>7229</v>
      </c>
      <c r="AL249" s="1243">
        <v>11365</v>
      </c>
      <c r="AM249" s="1248" t="s">
        <v>677</v>
      </c>
      <c r="AN249" s="1248" t="s">
        <v>677</v>
      </c>
      <c r="AO249" s="1248" t="s">
        <v>677</v>
      </c>
      <c r="AP249" s="1248" t="s">
        <v>677</v>
      </c>
      <c r="AQ249" s="1248" t="s">
        <v>677</v>
      </c>
      <c r="AR249" s="1248" t="s">
        <v>677</v>
      </c>
      <c r="AS249" s="1243" t="s">
        <v>677</v>
      </c>
      <c r="AT249" s="1243" t="s">
        <v>677</v>
      </c>
      <c r="AU249" s="1243" t="s">
        <v>677</v>
      </c>
      <c r="AV249" s="1243" t="s">
        <v>677</v>
      </c>
      <c r="AW249" s="1243" t="s">
        <v>677</v>
      </c>
      <c r="AX249" s="1243" t="s">
        <v>677</v>
      </c>
      <c r="AY249" s="1243" t="s">
        <v>677</v>
      </c>
      <c r="AZ249" s="1243" t="s">
        <v>677</v>
      </c>
      <c r="BA249" s="1243" t="s">
        <v>677</v>
      </c>
      <c r="BB249" s="1243" t="s">
        <v>677</v>
      </c>
      <c r="BC249" s="1243" t="s">
        <v>677</v>
      </c>
      <c r="BD249" s="1243" t="s">
        <v>677</v>
      </c>
    </row>
    <row r="250" spans="1:56" s="422" customFormat="1" ht="51" x14ac:dyDescent="0.25">
      <c r="A250" s="1879">
        <v>167</v>
      </c>
      <c r="B250" s="1276" t="s">
        <v>7278</v>
      </c>
      <c r="C250" s="1239" t="s">
        <v>7279</v>
      </c>
      <c r="D250" s="1239" t="s">
        <v>6800</v>
      </c>
      <c r="E250" s="1239" t="s">
        <v>5811</v>
      </c>
      <c r="F250" s="1291" t="s">
        <v>7280</v>
      </c>
      <c r="G250" s="1243">
        <v>11247</v>
      </c>
      <c r="H250" s="1246" t="s">
        <v>2138</v>
      </c>
      <c r="I250" s="1273" t="s">
        <v>7281</v>
      </c>
      <c r="J250" s="1239" t="s">
        <v>7282</v>
      </c>
      <c r="K250" s="1244">
        <v>41884</v>
      </c>
      <c r="L250" s="187">
        <v>25650</v>
      </c>
      <c r="M250" s="1246" t="s">
        <v>7277</v>
      </c>
      <c r="N250" s="1244">
        <v>41884</v>
      </c>
      <c r="O250" s="1244">
        <v>42004</v>
      </c>
      <c r="P250" s="1239" t="s">
        <v>6763</v>
      </c>
      <c r="Q250" s="1239" t="s">
        <v>677</v>
      </c>
      <c r="R250" s="1239" t="s">
        <v>677</v>
      </c>
      <c r="S250" s="1239" t="s">
        <v>677</v>
      </c>
      <c r="T250" s="1239" t="s">
        <v>208</v>
      </c>
      <c r="U250" s="1246" t="s">
        <v>677</v>
      </c>
      <c r="V250" s="1239" t="s">
        <v>677</v>
      </c>
      <c r="W250" s="1243" t="s">
        <v>677</v>
      </c>
      <c r="X250" s="1239" t="s">
        <v>677</v>
      </c>
      <c r="Y250" s="1244" t="s">
        <v>677</v>
      </c>
      <c r="Z250" s="1244" t="s">
        <v>677</v>
      </c>
      <c r="AA250" s="1242" t="s">
        <v>677</v>
      </c>
      <c r="AB250" s="1239" t="s">
        <v>677</v>
      </c>
      <c r="AC250" s="1319">
        <v>0</v>
      </c>
      <c r="AD250" s="1319">
        <v>0</v>
      </c>
      <c r="AE250" s="1319">
        <v>25650</v>
      </c>
      <c r="AF250" s="1319"/>
      <c r="AG250" s="187">
        <v>25650</v>
      </c>
      <c r="AH250" s="187">
        <v>25650</v>
      </c>
      <c r="AI250" s="1265" t="s">
        <v>7283</v>
      </c>
      <c r="AJ250" s="1243">
        <v>11321</v>
      </c>
      <c r="AK250" s="1284" t="s">
        <v>7284</v>
      </c>
      <c r="AL250" s="1243">
        <v>11359</v>
      </c>
      <c r="AM250" s="1248" t="s">
        <v>677</v>
      </c>
      <c r="AN250" s="1248" t="s">
        <v>677</v>
      </c>
      <c r="AO250" s="1248" t="s">
        <v>677</v>
      </c>
      <c r="AP250" s="1248" t="s">
        <v>677</v>
      </c>
      <c r="AQ250" s="1248" t="s">
        <v>677</v>
      </c>
      <c r="AR250" s="1248" t="s">
        <v>677</v>
      </c>
      <c r="AS250" s="1243" t="s">
        <v>677</v>
      </c>
      <c r="AT250" s="1243" t="s">
        <v>677</v>
      </c>
      <c r="AU250" s="1243" t="s">
        <v>677</v>
      </c>
      <c r="AV250" s="1243" t="s">
        <v>677</v>
      </c>
      <c r="AW250" s="1243" t="s">
        <v>677</v>
      </c>
      <c r="AX250" s="1243" t="s">
        <v>677</v>
      </c>
      <c r="AY250" s="1243" t="s">
        <v>677</v>
      </c>
      <c r="AZ250" s="1243" t="s">
        <v>677</v>
      </c>
      <c r="BA250" s="1243" t="s">
        <v>677</v>
      </c>
      <c r="BB250" s="1243" t="s">
        <v>677</v>
      </c>
      <c r="BC250" s="1243" t="s">
        <v>677</v>
      </c>
      <c r="BD250" s="1243" t="s">
        <v>677</v>
      </c>
    </row>
    <row r="251" spans="1:56" s="422" customFormat="1" ht="89.25" x14ac:dyDescent="0.25">
      <c r="A251" s="1879">
        <v>168</v>
      </c>
      <c r="B251" s="1276" t="s">
        <v>7285</v>
      </c>
      <c r="C251" s="1239" t="s">
        <v>7286</v>
      </c>
      <c r="D251" s="1239" t="s">
        <v>6800</v>
      </c>
      <c r="E251" s="1239" t="s">
        <v>5811</v>
      </c>
      <c r="F251" s="1291" t="s">
        <v>7287</v>
      </c>
      <c r="G251" s="1239" t="s">
        <v>677</v>
      </c>
      <c r="H251" s="1246" t="s">
        <v>2139</v>
      </c>
      <c r="I251" s="1273" t="s">
        <v>7288</v>
      </c>
      <c r="J251" s="1239" t="s">
        <v>7289</v>
      </c>
      <c r="K251" s="1244">
        <v>41879</v>
      </c>
      <c r="L251" s="187">
        <v>8310</v>
      </c>
      <c r="M251" s="1246" t="s">
        <v>7290</v>
      </c>
      <c r="N251" s="1244">
        <v>41879</v>
      </c>
      <c r="O251" s="1244">
        <v>41939</v>
      </c>
      <c r="P251" s="1239" t="s">
        <v>6763</v>
      </c>
      <c r="Q251" s="1239" t="s">
        <v>677</v>
      </c>
      <c r="R251" s="1239" t="s">
        <v>677</v>
      </c>
      <c r="S251" s="1239" t="s">
        <v>677</v>
      </c>
      <c r="T251" s="1239" t="s">
        <v>316</v>
      </c>
      <c r="U251" s="1246" t="s">
        <v>677</v>
      </c>
      <c r="V251" s="1239" t="s">
        <v>677</v>
      </c>
      <c r="W251" s="1243" t="s">
        <v>677</v>
      </c>
      <c r="X251" s="1239" t="s">
        <v>677</v>
      </c>
      <c r="Y251" s="1244" t="s">
        <v>677</v>
      </c>
      <c r="Z251" s="1244" t="s">
        <v>677</v>
      </c>
      <c r="AA251" s="1242" t="s">
        <v>677</v>
      </c>
      <c r="AB251" s="1239" t="s">
        <v>677</v>
      </c>
      <c r="AC251" s="1319">
        <v>0</v>
      </c>
      <c r="AD251" s="1319">
        <v>0</v>
      </c>
      <c r="AE251" s="1319">
        <v>8310</v>
      </c>
      <c r="AF251" s="1319"/>
      <c r="AG251" s="187">
        <v>8310</v>
      </c>
      <c r="AH251" s="187">
        <v>8310</v>
      </c>
      <c r="AI251" s="1265" t="s">
        <v>1461</v>
      </c>
      <c r="AJ251" s="1243" t="s">
        <v>677</v>
      </c>
      <c r="AK251" s="1284" t="s">
        <v>7291</v>
      </c>
      <c r="AL251" s="1243" t="s">
        <v>677</v>
      </c>
      <c r="AM251" s="1248" t="s">
        <v>677</v>
      </c>
      <c r="AN251" s="1248" t="s">
        <v>677</v>
      </c>
      <c r="AO251" s="1248" t="s">
        <v>677</v>
      </c>
      <c r="AP251" s="1248" t="s">
        <v>677</v>
      </c>
      <c r="AQ251" s="1248" t="s">
        <v>677</v>
      </c>
      <c r="AR251" s="1248" t="s">
        <v>677</v>
      </c>
      <c r="AS251" s="1243" t="s">
        <v>677</v>
      </c>
      <c r="AT251" s="1243" t="s">
        <v>677</v>
      </c>
      <c r="AU251" s="1243" t="s">
        <v>677</v>
      </c>
      <c r="AV251" s="1243" t="s">
        <v>677</v>
      </c>
      <c r="AW251" s="1243" t="s">
        <v>677</v>
      </c>
      <c r="AX251" s="1243" t="s">
        <v>677</v>
      </c>
      <c r="AY251" s="1243" t="s">
        <v>677</v>
      </c>
      <c r="AZ251" s="1243" t="s">
        <v>677</v>
      </c>
      <c r="BA251" s="1243" t="s">
        <v>677</v>
      </c>
      <c r="BB251" s="1243" t="s">
        <v>677</v>
      </c>
      <c r="BC251" s="1243" t="s">
        <v>677</v>
      </c>
      <c r="BD251" s="1243" t="s">
        <v>677</v>
      </c>
    </row>
    <row r="252" spans="1:56" s="422" customFormat="1" ht="38.25" x14ac:dyDescent="0.25">
      <c r="A252" s="1879">
        <v>169</v>
      </c>
      <c r="B252" s="1276" t="s">
        <v>7292</v>
      </c>
      <c r="C252" s="1239" t="s">
        <v>7293</v>
      </c>
      <c r="D252" s="1239" t="s">
        <v>6800</v>
      </c>
      <c r="E252" s="1239" t="s">
        <v>5811</v>
      </c>
      <c r="F252" s="1291" t="s">
        <v>7294</v>
      </c>
      <c r="G252" s="1243">
        <v>11016</v>
      </c>
      <c r="H252" s="1246" t="s">
        <v>2143</v>
      </c>
      <c r="I252" s="1273" t="s">
        <v>2702</v>
      </c>
      <c r="J252" s="1239" t="s">
        <v>759</v>
      </c>
      <c r="K252" s="1244">
        <v>41884</v>
      </c>
      <c r="L252" s="187">
        <v>7735</v>
      </c>
      <c r="M252" s="1246" t="s">
        <v>7295</v>
      </c>
      <c r="N252" s="1244">
        <v>41885</v>
      </c>
      <c r="O252" s="1244">
        <v>42004</v>
      </c>
      <c r="P252" s="1239" t="s">
        <v>6763</v>
      </c>
      <c r="Q252" s="1239" t="s">
        <v>677</v>
      </c>
      <c r="R252" s="1239" t="s">
        <v>677</v>
      </c>
      <c r="S252" s="1239" t="s">
        <v>677</v>
      </c>
      <c r="T252" s="1239" t="s">
        <v>208</v>
      </c>
      <c r="U252" s="1246" t="s">
        <v>677</v>
      </c>
      <c r="V252" s="1239" t="s">
        <v>677</v>
      </c>
      <c r="W252" s="1243" t="s">
        <v>677</v>
      </c>
      <c r="X252" s="1239" t="s">
        <v>677</v>
      </c>
      <c r="Y252" s="1244" t="s">
        <v>677</v>
      </c>
      <c r="Z252" s="1244" t="s">
        <v>677</v>
      </c>
      <c r="AA252" s="1242" t="s">
        <v>677</v>
      </c>
      <c r="AB252" s="1239" t="s">
        <v>677</v>
      </c>
      <c r="AC252" s="1319">
        <v>0</v>
      </c>
      <c r="AD252" s="1319">
        <v>0</v>
      </c>
      <c r="AE252" s="1319">
        <v>7735</v>
      </c>
      <c r="AF252" s="1319"/>
      <c r="AG252" s="187">
        <v>7735</v>
      </c>
      <c r="AH252" s="187">
        <v>7735</v>
      </c>
      <c r="AI252" s="1265" t="s">
        <v>7296</v>
      </c>
      <c r="AJ252" s="1243">
        <v>11165</v>
      </c>
      <c r="AK252" s="1284"/>
      <c r="AL252" s="1243"/>
      <c r="AM252" s="1248"/>
      <c r="AN252" s="1248"/>
      <c r="AO252" s="1248"/>
      <c r="AP252" s="1248"/>
      <c r="AQ252" s="1248"/>
      <c r="AR252" s="1248"/>
      <c r="AS252" s="1243"/>
      <c r="AT252" s="1243"/>
      <c r="AU252" s="1243"/>
      <c r="AV252" s="1243"/>
      <c r="AW252" s="1243"/>
      <c r="AX252" s="1243"/>
      <c r="AY252" s="1243"/>
      <c r="AZ252" s="1243"/>
      <c r="BA252" s="1243"/>
      <c r="BB252" s="1243"/>
      <c r="BC252" s="1243"/>
      <c r="BD252" s="1243"/>
    </row>
    <row r="253" spans="1:56" s="422" customFormat="1" ht="51" x14ac:dyDescent="0.25">
      <c r="A253" s="1879">
        <v>170</v>
      </c>
      <c r="B253" s="1276" t="s">
        <v>7297</v>
      </c>
      <c r="C253" s="1239" t="s">
        <v>7298</v>
      </c>
      <c r="D253" s="1239" t="s">
        <v>6730</v>
      </c>
      <c r="E253" s="1239" t="s">
        <v>5811</v>
      </c>
      <c r="F253" s="1291" t="s">
        <v>7299</v>
      </c>
      <c r="G253" s="1243">
        <v>11179</v>
      </c>
      <c r="H253" s="1246" t="s">
        <v>2150</v>
      </c>
      <c r="I253" s="1273" t="s">
        <v>7001</v>
      </c>
      <c r="J253" s="1239" t="s">
        <v>7002</v>
      </c>
      <c r="K253" s="1244">
        <v>41899</v>
      </c>
      <c r="L253" s="187">
        <v>1405.8</v>
      </c>
      <c r="M253" s="1246" t="s">
        <v>7300</v>
      </c>
      <c r="N253" s="1244">
        <v>41899</v>
      </c>
      <c r="O253" s="1244">
        <v>41959</v>
      </c>
      <c r="P253" s="1239" t="s">
        <v>6763</v>
      </c>
      <c r="Q253" s="1239" t="s">
        <v>677</v>
      </c>
      <c r="R253" s="1239" t="s">
        <v>677</v>
      </c>
      <c r="S253" s="1239" t="s">
        <v>677</v>
      </c>
      <c r="T253" s="1239" t="s">
        <v>316</v>
      </c>
      <c r="U253" s="1246" t="s">
        <v>677</v>
      </c>
      <c r="V253" s="1239" t="s">
        <v>677</v>
      </c>
      <c r="W253" s="1243" t="s">
        <v>677</v>
      </c>
      <c r="X253" s="1239" t="s">
        <v>677</v>
      </c>
      <c r="Y253" s="1244" t="s">
        <v>677</v>
      </c>
      <c r="Z253" s="1244" t="s">
        <v>677</v>
      </c>
      <c r="AA253" s="1242" t="s">
        <v>677</v>
      </c>
      <c r="AB253" s="1239" t="s">
        <v>677</v>
      </c>
      <c r="AC253" s="1319">
        <v>0</v>
      </c>
      <c r="AD253" s="1319">
        <v>0</v>
      </c>
      <c r="AE253" s="1319">
        <v>1405.8</v>
      </c>
      <c r="AF253" s="1319"/>
      <c r="AG253" s="187">
        <v>1405.8</v>
      </c>
      <c r="AH253" s="187">
        <v>1405.8</v>
      </c>
      <c r="AI253" s="1265" t="s">
        <v>7296</v>
      </c>
      <c r="AJ253" s="1243">
        <v>11016</v>
      </c>
      <c r="AK253" s="1284" t="s">
        <v>7301</v>
      </c>
      <c r="AL253" s="1243">
        <v>11165</v>
      </c>
      <c r="AM253" s="1248" t="s">
        <v>677</v>
      </c>
      <c r="AN253" s="1248" t="s">
        <v>677</v>
      </c>
      <c r="AO253" s="1248" t="s">
        <v>677</v>
      </c>
      <c r="AP253" s="1248" t="s">
        <v>677</v>
      </c>
      <c r="AQ253" s="1248" t="s">
        <v>677</v>
      </c>
      <c r="AR253" s="1248" t="s">
        <v>677</v>
      </c>
      <c r="AS253" s="1243" t="s">
        <v>677</v>
      </c>
      <c r="AT253" s="1243" t="s">
        <v>677</v>
      </c>
      <c r="AU253" s="1243" t="s">
        <v>677</v>
      </c>
      <c r="AV253" s="1243" t="s">
        <v>677</v>
      </c>
      <c r="AW253" s="1243" t="s">
        <v>677</v>
      </c>
      <c r="AX253" s="1243" t="s">
        <v>677</v>
      </c>
      <c r="AY253" s="1243" t="s">
        <v>677</v>
      </c>
      <c r="AZ253" s="1243" t="s">
        <v>677</v>
      </c>
      <c r="BA253" s="1243" t="s">
        <v>677</v>
      </c>
      <c r="BB253" s="1243" t="s">
        <v>677</v>
      </c>
      <c r="BC253" s="1243" t="s">
        <v>677</v>
      </c>
      <c r="BD253" s="1243" t="s">
        <v>677</v>
      </c>
    </row>
    <row r="254" spans="1:56" s="422" customFormat="1" ht="38.25" x14ac:dyDescent="0.25">
      <c r="A254" s="1879">
        <v>171</v>
      </c>
      <c r="B254" s="1276" t="s">
        <v>802</v>
      </c>
      <c r="C254" s="1239" t="s">
        <v>7302</v>
      </c>
      <c r="D254" s="1239" t="s">
        <v>6730</v>
      </c>
      <c r="E254" s="1239" t="s">
        <v>5811</v>
      </c>
      <c r="F254" s="1291" t="s">
        <v>6976</v>
      </c>
      <c r="G254" s="1243">
        <v>11182</v>
      </c>
      <c r="H254" s="1246" t="s">
        <v>2155</v>
      </c>
      <c r="I254" s="1273" t="s">
        <v>2110</v>
      </c>
      <c r="J254" s="1239" t="s">
        <v>718</v>
      </c>
      <c r="K254" s="1244">
        <v>41886</v>
      </c>
      <c r="L254" s="187">
        <v>2700</v>
      </c>
      <c r="M254" s="1246" t="s">
        <v>7300</v>
      </c>
      <c r="N254" s="1244">
        <v>41893</v>
      </c>
      <c r="O254" s="1244">
        <v>41954</v>
      </c>
      <c r="P254" s="1239" t="s">
        <v>6763</v>
      </c>
      <c r="Q254" s="1239" t="s">
        <v>677</v>
      </c>
      <c r="R254" s="1239" t="s">
        <v>677</v>
      </c>
      <c r="S254" s="1239" t="s">
        <v>677</v>
      </c>
      <c r="T254" s="1239" t="s">
        <v>316</v>
      </c>
      <c r="U254" s="1246" t="s">
        <v>677</v>
      </c>
      <c r="V254" s="1239" t="s">
        <v>677</v>
      </c>
      <c r="W254" s="1243" t="s">
        <v>677</v>
      </c>
      <c r="X254" s="1239" t="s">
        <v>677</v>
      </c>
      <c r="Y254" s="1244" t="s">
        <v>677</v>
      </c>
      <c r="Z254" s="1244" t="s">
        <v>677</v>
      </c>
      <c r="AA254" s="1242" t="s">
        <v>677</v>
      </c>
      <c r="AB254" s="1239" t="s">
        <v>677</v>
      </c>
      <c r="AC254" s="1319">
        <v>0</v>
      </c>
      <c r="AD254" s="1319">
        <v>0</v>
      </c>
      <c r="AE254" s="1319">
        <v>2700</v>
      </c>
      <c r="AF254" s="1319"/>
      <c r="AG254" s="187">
        <v>2700</v>
      </c>
      <c r="AH254" s="187">
        <v>2700</v>
      </c>
      <c r="AI254" s="1265" t="s">
        <v>677</v>
      </c>
      <c r="AJ254" s="1243" t="s">
        <v>677</v>
      </c>
      <c r="AK254" s="1284" t="s">
        <v>677</v>
      </c>
      <c r="AL254" s="1243" t="s">
        <v>677</v>
      </c>
      <c r="AM254" s="1248" t="s">
        <v>677</v>
      </c>
      <c r="AN254" s="1248" t="s">
        <v>677</v>
      </c>
      <c r="AO254" s="1248" t="s">
        <v>677</v>
      </c>
      <c r="AP254" s="1248" t="s">
        <v>677</v>
      </c>
      <c r="AQ254" s="1248" t="s">
        <v>677</v>
      </c>
      <c r="AR254" s="1248" t="s">
        <v>677</v>
      </c>
      <c r="AS254" s="1243" t="s">
        <v>677</v>
      </c>
      <c r="AT254" s="1243" t="s">
        <v>677</v>
      </c>
      <c r="AU254" s="1243" t="s">
        <v>677</v>
      </c>
      <c r="AV254" s="1243" t="s">
        <v>677</v>
      </c>
      <c r="AW254" s="1243" t="s">
        <v>677</v>
      </c>
      <c r="AX254" s="1243" t="s">
        <v>677</v>
      </c>
      <c r="AY254" s="1243" t="s">
        <v>677</v>
      </c>
      <c r="AZ254" s="1243" t="s">
        <v>677</v>
      </c>
      <c r="BA254" s="1243" t="s">
        <v>677</v>
      </c>
      <c r="BB254" s="1243" t="s">
        <v>677</v>
      </c>
      <c r="BC254" s="1243" t="s">
        <v>677</v>
      </c>
      <c r="BD254" s="1243" t="s">
        <v>677</v>
      </c>
    </row>
    <row r="255" spans="1:56" s="422" customFormat="1" ht="38.25" x14ac:dyDescent="0.25">
      <c r="A255" s="1879">
        <v>172</v>
      </c>
      <c r="B255" s="1276" t="s">
        <v>7297</v>
      </c>
      <c r="C255" s="1239" t="s">
        <v>7303</v>
      </c>
      <c r="D255" s="1239" t="s">
        <v>6730</v>
      </c>
      <c r="E255" s="1239" t="s">
        <v>5811</v>
      </c>
      <c r="F255" s="1291" t="s">
        <v>7304</v>
      </c>
      <c r="G255" s="1243">
        <v>11194</v>
      </c>
      <c r="H255" s="1246" t="s">
        <v>2160</v>
      </c>
      <c r="I255" s="1273" t="s">
        <v>7305</v>
      </c>
      <c r="J255" s="1248" t="s">
        <v>1707</v>
      </c>
      <c r="K255" s="1244">
        <v>41891</v>
      </c>
      <c r="L255" s="187">
        <v>30314</v>
      </c>
      <c r="M255" s="1243">
        <v>11391</v>
      </c>
      <c r="N255" s="1244">
        <v>41891</v>
      </c>
      <c r="O255" s="1244">
        <v>41952</v>
      </c>
      <c r="P255" s="1239" t="s">
        <v>6763</v>
      </c>
      <c r="Q255" s="1239" t="s">
        <v>677</v>
      </c>
      <c r="R255" s="1239" t="s">
        <v>677</v>
      </c>
      <c r="S255" s="1239" t="s">
        <v>677</v>
      </c>
      <c r="T255" s="1239" t="s">
        <v>316</v>
      </c>
      <c r="U255" s="1246" t="s">
        <v>677</v>
      </c>
      <c r="V255" s="1239" t="s">
        <v>677</v>
      </c>
      <c r="W255" s="1243" t="s">
        <v>677</v>
      </c>
      <c r="X255" s="1239" t="s">
        <v>677</v>
      </c>
      <c r="Y255" s="1244" t="s">
        <v>677</v>
      </c>
      <c r="Z255" s="1244" t="s">
        <v>677</v>
      </c>
      <c r="AA255" s="1242" t="s">
        <v>677</v>
      </c>
      <c r="AB255" s="1239" t="s">
        <v>677</v>
      </c>
      <c r="AC255" s="1319">
        <v>0</v>
      </c>
      <c r="AD255" s="1319">
        <v>0</v>
      </c>
      <c r="AE255" s="1319">
        <v>30314</v>
      </c>
      <c r="AF255" s="1319"/>
      <c r="AG255" s="187">
        <v>30314</v>
      </c>
      <c r="AH255" s="187">
        <v>30314</v>
      </c>
      <c r="AI255" s="1265" t="s">
        <v>677</v>
      </c>
      <c r="AJ255" s="1243" t="s">
        <v>677</v>
      </c>
      <c r="AK255" s="1284" t="s">
        <v>677</v>
      </c>
      <c r="AL255" s="1243" t="s">
        <v>677</v>
      </c>
      <c r="AM255" s="1248" t="s">
        <v>677</v>
      </c>
      <c r="AN255" s="1248" t="s">
        <v>677</v>
      </c>
      <c r="AO255" s="1248" t="s">
        <v>677</v>
      </c>
      <c r="AP255" s="1248" t="s">
        <v>677</v>
      </c>
      <c r="AQ255" s="1248" t="s">
        <v>677</v>
      </c>
      <c r="AR255" s="1248" t="s">
        <v>677</v>
      </c>
      <c r="AS255" s="1243" t="s">
        <v>677</v>
      </c>
      <c r="AT255" s="1243" t="s">
        <v>677</v>
      </c>
      <c r="AU255" s="1243" t="s">
        <v>677</v>
      </c>
      <c r="AV255" s="1243" t="s">
        <v>677</v>
      </c>
      <c r="AW255" s="1243" t="s">
        <v>677</v>
      </c>
      <c r="AX255" s="1243" t="s">
        <v>677</v>
      </c>
      <c r="AY255" s="1243" t="s">
        <v>677</v>
      </c>
      <c r="AZ255" s="1243" t="s">
        <v>677</v>
      </c>
      <c r="BA255" s="1243" t="s">
        <v>677</v>
      </c>
      <c r="BB255" s="1243" t="s">
        <v>677</v>
      </c>
      <c r="BC255" s="1243" t="s">
        <v>677</v>
      </c>
      <c r="BD255" s="1243" t="s">
        <v>677</v>
      </c>
    </row>
    <row r="256" spans="1:56" s="422" customFormat="1" ht="25.5" x14ac:dyDescent="0.25">
      <c r="A256" s="1879">
        <v>173</v>
      </c>
      <c r="B256" s="1276" t="s">
        <v>2051</v>
      </c>
      <c r="C256" s="1239" t="s">
        <v>7306</v>
      </c>
      <c r="D256" s="1239" t="s">
        <v>6730</v>
      </c>
      <c r="E256" s="1239" t="s">
        <v>5811</v>
      </c>
      <c r="F256" s="1291" t="s">
        <v>7307</v>
      </c>
      <c r="G256" s="1243">
        <v>11227</v>
      </c>
      <c r="H256" s="1246" t="s">
        <v>2162</v>
      </c>
      <c r="I256" s="1273" t="s">
        <v>1949</v>
      </c>
      <c r="J256" s="1239" t="s">
        <v>752</v>
      </c>
      <c r="K256" s="1244">
        <v>41899</v>
      </c>
      <c r="L256" s="187">
        <v>1400</v>
      </c>
      <c r="M256" s="1243">
        <v>11396</v>
      </c>
      <c r="N256" s="1244">
        <v>41899</v>
      </c>
      <c r="O256" s="1244">
        <v>41960</v>
      </c>
      <c r="P256" s="1239" t="s">
        <v>6763</v>
      </c>
      <c r="Q256" s="1239" t="s">
        <v>677</v>
      </c>
      <c r="R256" s="1239" t="s">
        <v>677</v>
      </c>
      <c r="S256" s="1239" t="s">
        <v>677</v>
      </c>
      <c r="T256" s="1239" t="s">
        <v>316</v>
      </c>
      <c r="U256" s="1246" t="s">
        <v>677</v>
      </c>
      <c r="V256" s="1239" t="s">
        <v>677</v>
      </c>
      <c r="W256" s="1243" t="s">
        <v>677</v>
      </c>
      <c r="X256" s="1239" t="s">
        <v>677</v>
      </c>
      <c r="Y256" s="1244" t="s">
        <v>677</v>
      </c>
      <c r="Z256" s="1244" t="s">
        <v>677</v>
      </c>
      <c r="AA256" s="1242" t="s">
        <v>677</v>
      </c>
      <c r="AB256" s="1239" t="s">
        <v>677</v>
      </c>
      <c r="AC256" s="1319">
        <v>0</v>
      </c>
      <c r="AD256" s="1319">
        <v>0</v>
      </c>
      <c r="AE256" s="1319">
        <v>1400</v>
      </c>
      <c r="AF256" s="1319"/>
      <c r="AG256" s="187">
        <v>1400</v>
      </c>
      <c r="AH256" s="187">
        <v>1400</v>
      </c>
      <c r="AI256" s="1265" t="s">
        <v>677</v>
      </c>
      <c r="AJ256" s="1243" t="s">
        <v>677</v>
      </c>
      <c r="AK256" s="1284" t="s">
        <v>677</v>
      </c>
      <c r="AL256" s="1243" t="s">
        <v>677</v>
      </c>
      <c r="AM256" s="1248" t="s">
        <v>677</v>
      </c>
      <c r="AN256" s="1248" t="s">
        <v>677</v>
      </c>
      <c r="AO256" s="1248" t="s">
        <v>677</v>
      </c>
      <c r="AP256" s="1248" t="s">
        <v>677</v>
      </c>
      <c r="AQ256" s="1248" t="s">
        <v>677</v>
      </c>
      <c r="AR256" s="1248" t="s">
        <v>677</v>
      </c>
      <c r="AS256" s="1243" t="s">
        <v>677</v>
      </c>
      <c r="AT256" s="1243" t="s">
        <v>677</v>
      </c>
      <c r="AU256" s="1243" t="s">
        <v>677</v>
      </c>
      <c r="AV256" s="1243" t="s">
        <v>677</v>
      </c>
      <c r="AW256" s="1243" t="s">
        <v>677</v>
      </c>
      <c r="AX256" s="1243" t="s">
        <v>677</v>
      </c>
      <c r="AY256" s="1243" t="s">
        <v>677</v>
      </c>
      <c r="AZ256" s="1243" t="s">
        <v>677</v>
      </c>
      <c r="BA256" s="1243" t="s">
        <v>677</v>
      </c>
      <c r="BB256" s="1243" t="s">
        <v>677</v>
      </c>
      <c r="BC256" s="1243" t="s">
        <v>677</v>
      </c>
      <c r="BD256" s="1243" t="s">
        <v>677</v>
      </c>
    </row>
    <row r="257" spans="1:56" s="422" customFormat="1" ht="25.5" x14ac:dyDescent="0.25">
      <c r="A257" s="1879">
        <v>174</v>
      </c>
      <c r="B257" s="1276" t="s">
        <v>7308</v>
      </c>
      <c r="C257" s="1239" t="s">
        <v>7298</v>
      </c>
      <c r="D257" s="1239" t="s">
        <v>6730</v>
      </c>
      <c r="E257" s="1239" t="s">
        <v>5811</v>
      </c>
      <c r="F257" s="1291" t="s">
        <v>7309</v>
      </c>
      <c r="G257" s="1243">
        <v>11342</v>
      </c>
      <c r="H257" s="1246" t="s">
        <v>2165</v>
      </c>
      <c r="I257" s="1273" t="s">
        <v>1672</v>
      </c>
      <c r="J257" s="1239" t="s">
        <v>7310</v>
      </c>
      <c r="K257" s="1244">
        <v>41899</v>
      </c>
      <c r="L257" s="187">
        <v>4647.2</v>
      </c>
      <c r="M257" s="1243">
        <v>11396</v>
      </c>
      <c r="N257" s="1244">
        <v>41900</v>
      </c>
      <c r="O257" s="1244">
        <v>41961</v>
      </c>
      <c r="P257" s="1239" t="s">
        <v>6763</v>
      </c>
      <c r="Q257" s="1239" t="s">
        <v>677</v>
      </c>
      <c r="R257" s="1239" t="s">
        <v>677</v>
      </c>
      <c r="S257" s="1239" t="s">
        <v>677</v>
      </c>
      <c r="T257" s="1239" t="s">
        <v>316</v>
      </c>
      <c r="U257" s="1246" t="s">
        <v>677</v>
      </c>
      <c r="V257" s="1239" t="s">
        <v>677</v>
      </c>
      <c r="W257" s="1243" t="s">
        <v>677</v>
      </c>
      <c r="X257" s="1239" t="s">
        <v>677</v>
      </c>
      <c r="Y257" s="1244" t="s">
        <v>677</v>
      </c>
      <c r="Z257" s="1244" t="s">
        <v>677</v>
      </c>
      <c r="AA257" s="1242" t="s">
        <v>677</v>
      </c>
      <c r="AB257" s="1239" t="s">
        <v>677</v>
      </c>
      <c r="AC257" s="1319">
        <v>0</v>
      </c>
      <c r="AD257" s="1319">
        <v>0</v>
      </c>
      <c r="AE257" s="1319">
        <v>4647.2</v>
      </c>
      <c r="AF257" s="1319"/>
      <c r="AG257" s="187">
        <v>4647.2</v>
      </c>
      <c r="AH257" s="187">
        <v>4647.2</v>
      </c>
      <c r="AI257" s="1265" t="s">
        <v>811</v>
      </c>
      <c r="AJ257" s="1243">
        <v>11377</v>
      </c>
      <c r="AK257" s="1284" t="s">
        <v>677</v>
      </c>
      <c r="AL257" s="1243" t="s">
        <v>677</v>
      </c>
      <c r="AM257" s="1248" t="s">
        <v>677</v>
      </c>
      <c r="AN257" s="1248" t="s">
        <v>677</v>
      </c>
      <c r="AO257" s="1248" t="s">
        <v>677</v>
      </c>
      <c r="AP257" s="1248" t="s">
        <v>677</v>
      </c>
      <c r="AQ257" s="1248" t="s">
        <v>677</v>
      </c>
      <c r="AR257" s="1248" t="s">
        <v>677</v>
      </c>
      <c r="AS257" s="1243" t="s">
        <v>677</v>
      </c>
      <c r="AT257" s="1243" t="s">
        <v>677</v>
      </c>
      <c r="AU257" s="1243" t="s">
        <v>677</v>
      </c>
      <c r="AV257" s="1243" t="s">
        <v>677</v>
      </c>
      <c r="AW257" s="1243" t="s">
        <v>677</v>
      </c>
      <c r="AX257" s="1243" t="s">
        <v>677</v>
      </c>
      <c r="AY257" s="1243" t="s">
        <v>677</v>
      </c>
      <c r="AZ257" s="1243" t="s">
        <v>677</v>
      </c>
      <c r="BA257" s="1243" t="s">
        <v>677</v>
      </c>
      <c r="BB257" s="1243" t="s">
        <v>677</v>
      </c>
      <c r="BC257" s="1243" t="s">
        <v>677</v>
      </c>
      <c r="BD257" s="1243" t="s">
        <v>677</v>
      </c>
    </row>
    <row r="258" spans="1:56" s="422" customFormat="1" ht="25.5" x14ac:dyDescent="0.25">
      <c r="A258" s="1879">
        <v>175</v>
      </c>
      <c r="B258" s="1276" t="s">
        <v>7311</v>
      </c>
      <c r="C258" s="1239" t="s">
        <v>7312</v>
      </c>
      <c r="D258" s="1239" t="s">
        <v>6730</v>
      </c>
      <c r="E258" s="1239" t="s">
        <v>5811</v>
      </c>
      <c r="F258" s="1291" t="s">
        <v>6974</v>
      </c>
      <c r="G258" s="1243">
        <v>11301</v>
      </c>
      <c r="H258" s="1246" t="s">
        <v>2170</v>
      </c>
      <c r="I258" s="1273" t="s">
        <v>1672</v>
      </c>
      <c r="J258" s="1239" t="s">
        <v>380</v>
      </c>
      <c r="K258" s="1244">
        <v>41899</v>
      </c>
      <c r="L258" s="187">
        <v>2980</v>
      </c>
      <c r="M258" s="1243">
        <v>11396</v>
      </c>
      <c r="N258" s="1244">
        <v>41900</v>
      </c>
      <c r="O258" s="1244">
        <v>41961</v>
      </c>
      <c r="P258" s="1239" t="s">
        <v>6763</v>
      </c>
      <c r="Q258" s="1239" t="s">
        <v>677</v>
      </c>
      <c r="R258" s="1239" t="s">
        <v>677</v>
      </c>
      <c r="S258" s="1239" t="s">
        <v>677</v>
      </c>
      <c r="T258" s="1239" t="s">
        <v>316</v>
      </c>
      <c r="U258" s="1246" t="s">
        <v>677</v>
      </c>
      <c r="V258" s="1239" t="s">
        <v>677</v>
      </c>
      <c r="W258" s="1243" t="s">
        <v>677</v>
      </c>
      <c r="X258" s="1239" t="s">
        <v>677</v>
      </c>
      <c r="Y258" s="1244" t="s">
        <v>677</v>
      </c>
      <c r="Z258" s="1244" t="s">
        <v>677</v>
      </c>
      <c r="AA258" s="1242" t="s">
        <v>677</v>
      </c>
      <c r="AB258" s="1239" t="s">
        <v>677</v>
      </c>
      <c r="AC258" s="1319">
        <v>0</v>
      </c>
      <c r="AD258" s="1319">
        <v>0</v>
      </c>
      <c r="AE258" s="1319">
        <v>2980</v>
      </c>
      <c r="AF258" s="1319"/>
      <c r="AG258" s="187">
        <v>2980</v>
      </c>
      <c r="AH258" s="187">
        <v>2980</v>
      </c>
      <c r="AI258" s="1265" t="s">
        <v>798</v>
      </c>
      <c r="AJ258" s="1243">
        <v>11319</v>
      </c>
      <c r="AK258" s="1284" t="s">
        <v>677</v>
      </c>
      <c r="AL258" s="1243" t="s">
        <v>677</v>
      </c>
      <c r="AM258" s="1248" t="s">
        <v>677</v>
      </c>
      <c r="AN258" s="1248" t="s">
        <v>677</v>
      </c>
      <c r="AO258" s="1248" t="s">
        <v>677</v>
      </c>
      <c r="AP258" s="1248" t="s">
        <v>677</v>
      </c>
      <c r="AQ258" s="1248" t="s">
        <v>677</v>
      </c>
      <c r="AR258" s="1248" t="s">
        <v>677</v>
      </c>
      <c r="AS258" s="1243" t="s">
        <v>677</v>
      </c>
      <c r="AT258" s="1243" t="s">
        <v>677</v>
      </c>
      <c r="AU258" s="1243" t="s">
        <v>677</v>
      </c>
      <c r="AV258" s="1243" t="s">
        <v>677</v>
      </c>
      <c r="AW258" s="1243" t="s">
        <v>677</v>
      </c>
      <c r="AX258" s="1243" t="s">
        <v>677</v>
      </c>
      <c r="AY258" s="1243" t="s">
        <v>677</v>
      </c>
      <c r="AZ258" s="1243" t="s">
        <v>677</v>
      </c>
      <c r="BA258" s="1243" t="s">
        <v>677</v>
      </c>
      <c r="BB258" s="1243" t="s">
        <v>677</v>
      </c>
      <c r="BC258" s="1243" t="s">
        <v>677</v>
      </c>
      <c r="BD258" s="1243" t="s">
        <v>677</v>
      </c>
    </row>
    <row r="259" spans="1:56" s="422" customFormat="1" ht="25.5" x14ac:dyDescent="0.25">
      <c r="A259" s="1879">
        <v>176</v>
      </c>
      <c r="B259" s="1276" t="s">
        <v>702</v>
      </c>
      <c r="C259" s="1239" t="s">
        <v>7313</v>
      </c>
      <c r="D259" s="1239" t="s">
        <v>6730</v>
      </c>
      <c r="E259" s="1239" t="s">
        <v>5811</v>
      </c>
      <c r="F259" s="1291" t="s">
        <v>7314</v>
      </c>
      <c r="G259" s="1243">
        <v>11331</v>
      </c>
      <c r="H259" s="1246" t="s">
        <v>2175</v>
      </c>
      <c r="I259" s="1273" t="s">
        <v>1584</v>
      </c>
      <c r="J259" s="1239" t="s">
        <v>7190</v>
      </c>
      <c r="K259" s="1244">
        <v>41904</v>
      </c>
      <c r="L259" s="187">
        <v>30000</v>
      </c>
      <c r="M259" s="1243">
        <v>11395</v>
      </c>
      <c r="N259" s="1244">
        <v>41904</v>
      </c>
      <c r="O259" s="1244">
        <v>41965</v>
      </c>
      <c r="P259" s="1239" t="s">
        <v>6763</v>
      </c>
      <c r="Q259" s="1239" t="s">
        <v>677</v>
      </c>
      <c r="R259" s="1239" t="s">
        <v>677</v>
      </c>
      <c r="S259" s="1239" t="s">
        <v>677</v>
      </c>
      <c r="T259" s="1239" t="s">
        <v>408</v>
      </c>
      <c r="U259" s="1246" t="s">
        <v>677</v>
      </c>
      <c r="V259" s="1239" t="s">
        <v>677</v>
      </c>
      <c r="W259" s="1243" t="s">
        <v>677</v>
      </c>
      <c r="X259" s="1239" t="s">
        <v>677</v>
      </c>
      <c r="Y259" s="1244" t="s">
        <v>677</v>
      </c>
      <c r="Z259" s="1244" t="s">
        <v>677</v>
      </c>
      <c r="AA259" s="1242" t="s">
        <v>677</v>
      </c>
      <c r="AB259" s="1239" t="s">
        <v>677</v>
      </c>
      <c r="AC259" s="1319">
        <v>0</v>
      </c>
      <c r="AD259" s="1319">
        <v>0</v>
      </c>
      <c r="AE259" s="1319">
        <v>30000</v>
      </c>
      <c r="AF259" s="1319"/>
      <c r="AG259" s="187">
        <v>30000</v>
      </c>
      <c r="AH259" s="187">
        <v>30000</v>
      </c>
      <c r="AI259" s="1265" t="s">
        <v>807</v>
      </c>
      <c r="AJ259" s="1243">
        <v>11346</v>
      </c>
      <c r="AK259" s="1284" t="s">
        <v>677</v>
      </c>
      <c r="AL259" s="1243" t="s">
        <v>677</v>
      </c>
      <c r="AM259" s="1248" t="s">
        <v>677</v>
      </c>
      <c r="AN259" s="1248" t="s">
        <v>677</v>
      </c>
      <c r="AO259" s="1248" t="s">
        <v>677</v>
      </c>
      <c r="AP259" s="1248" t="s">
        <v>677</v>
      </c>
      <c r="AQ259" s="1248" t="s">
        <v>677</v>
      </c>
      <c r="AR259" s="1248" t="s">
        <v>677</v>
      </c>
      <c r="AS259" s="1243" t="s">
        <v>677</v>
      </c>
      <c r="AT259" s="1243" t="s">
        <v>677</v>
      </c>
      <c r="AU259" s="1243" t="s">
        <v>677</v>
      </c>
      <c r="AV259" s="1243" t="s">
        <v>677</v>
      </c>
      <c r="AW259" s="1243" t="s">
        <v>677</v>
      </c>
      <c r="AX259" s="1243" t="s">
        <v>677</v>
      </c>
      <c r="AY259" s="1243" t="s">
        <v>677</v>
      </c>
      <c r="AZ259" s="1243" t="s">
        <v>677</v>
      </c>
      <c r="BA259" s="1243" t="s">
        <v>677</v>
      </c>
      <c r="BB259" s="1243" t="s">
        <v>677</v>
      </c>
      <c r="BC259" s="1243" t="s">
        <v>677</v>
      </c>
      <c r="BD259" s="1243" t="s">
        <v>677</v>
      </c>
    </row>
    <row r="260" spans="1:56" s="422" customFormat="1" ht="51" x14ac:dyDescent="0.25">
      <c r="A260" s="1879">
        <v>177</v>
      </c>
      <c r="B260" s="1276" t="s">
        <v>7315</v>
      </c>
      <c r="C260" s="1239" t="s">
        <v>7316</v>
      </c>
      <c r="D260" s="1239" t="s">
        <v>6800</v>
      </c>
      <c r="E260" s="1239" t="s">
        <v>5811</v>
      </c>
      <c r="F260" s="1291" t="s">
        <v>7317</v>
      </c>
      <c r="G260" s="1243">
        <v>11253</v>
      </c>
      <c r="H260" s="1246" t="s">
        <v>2178</v>
      </c>
      <c r="I260" s="1273" t="s">
        <v>7001</v>
      </c>
      <c r="J260" s="1239" t="s">
        <v>7002</v>
      </c>
      <c r="K260" s="1244">
        <v>41904</v>
      </c>
      <c r="L260" s="187">
        <v>5785</v>
      </c>
      <c r="M260" s="1243">
        <v>11400</v>
      </c>
      <c r="N260" s="1244">
        <v>41904</v>
      </c>
      <c r="O260" s="1244">
        <v>41965</v>
      </c>
      <c r="P260" s="1239" t="s">
        <v>6763</v>
      </c>
      <c r="Q260" s="1239" t="s">
        <v>677</v>
      </c>
      <c r="R260" s="1239" t="s">
        <v>677</v>
      </c>
      <c r="S260" s="1239" t="s">
        <v>677</v>
      </c>
      <c r="T260" s="1239" t="s">
        <v>316</v>
      </c>
      <c r="U260" s="1246" t="s">
        <v>677</v>
      </c>
      <c r="V260" s="1239" t="s">
        <v>677</v>
      </c>
      <c r="W260" s="1243" t="s">
        <v>677</v>
      </c>
      <c r="X260" s="1239" t="s">
        <v>677</v>
      </c>
      <c r="Y260" s="1244" t="s">
        <v>677</v>
      </c>
      <c r="Z260" s="1244" t="s">
        <v>677</v>
      </c>
      <c r="AA260" s="1242" t="s">
        <v>677</v>
      </c>
      <c r="AB260" s="1239" t="s">
        <v>677</v>
      </c>
      <c r="AC260" s="1319">
        <v>0</v>
      </c>
      <c r="AD260" s="1319">
        <v>0</v>
      </c>
      <c r="AE260" s="1319">
        <v>5785</v>
      </c>
      <c r="AF260" s="1319"/>
      <c r="AG260" s="187">
        <v>5785</v>
      </c>
      <c r="AH260" s="187">
        <v>5785</v>
      </c>
      <c r="AI260" s="1265" t="s">
        <v>704</v>
      </c>
      <c r="AJ260" s="1243">
        <v>11253</v>
      </c>
      <c r="AK260" s="1284" t="s">
        <v>7318</v>
      </c>
      <c r="AL260" s="1243">
        <v>11253</v>
      </c>
      <c r="AM260" s="1248" t="s">
        <v>677</v>
      </c>
      <c r="AN260" s="1248" t="s">
        <v>677</v>
      </c>
      <c r="AO260" s="1248" t="s">
        <v>677</v>
      </c>
      <c r="AP260" s="1248" t="s">
        <v>677</v>
      </c>
      <c r="AQ260" s="1248" t="s">
        <v>677</v>
      </c>
      <c r="AR260" s="1248" t="s">
        <v>677</v>
      </c>
      <c r="AS260" s="1243" t="s">
        <v>677</v>
      </c>
      <c r="AT260" s="1243" t="s">
        <v>677</v>
      </c>
      <c r="AU260" s="1243" t="s">
        <v>677</v>
      </c>
      <c r="AV260" s="1243" t="s">
        <v>677</v>
      </c>
      <c r="AW260" s="1243" t="s">
        <v>677</v>
      </c>
      <c r="AX260" s="1243" t="s">
        <v>677</v>
      </c>
      <c r="AY260" s="1243" t="s">
        <v>677</v>
      </c>
      <c r="AZ260" s="1243" t="s">
        <v>677</v>
      </c>
      <c r="BA260" s="1243" t="s">
        <v>677</v>
      </c>
      <c r="BB260" s="1243" t="s">
        <v>677</v>
      </c>
      <c r="BC260" s="1243" t="s">
        <v>677</v>
      </c>
      <c r="BD260" s="1243" t="s">
        <v>677</v>
      </c>
    </row>
    <row r="261" spans="1:56" s="422" customFormat="1" ht="38.25" x14ac:dyDescent="0.25">
      <c r="A261" s="1879">
        <v>178</v>
      </c>
      <c r="B261" s="1276" t="s">
        <v>7319</v>
      </c>
      <c r="C261" s="1239" t="s">
        <v>7320</v>
      </c>
      <c r="D261" s="1239" t="s">
        <v>7321</v>
      </c>
      <c r="E261" s="1239" t="s">
        <v>5811</v>
      </c>
      <c r="F261" s="1291" t="s">
        <v>7322</v>
      </c>
      <c r="G261" s="1243">
        <v>11222</v>
      </c>
      <c r="H261" s="1246" t="s">
        <v>2179</v>
      </c>
      <c r="I261" s="1273" t="s">
        <v>5061</v>
      </c>
      <c r="J261" s="1239" t="s">
        <v>5062</v>
      </c>
      <c r="K261" s="1244">
        <v>41887</v>
      </c>
      <c r="L261" s="187">
        <v>57732</v>
      </c>
      <c r="M261" s="1243">
        <v>11403</v>
      </c>
      <c r="N261" s="1244">
        <v>41887</v>
      </c>
      <c r="O261" s="1244">
        <v>42252</v>
      </c>
      <c r="P261" s="1239" t="s">
        <v>6763</v>
      </c>
      <c r="Q261" s="1239" t="s">
        <v>677</v>
      </c>
      <c r="R261" s="1239" t="s">
        <v>677</v>
      </c>
      <c r="S261" s="1239" t="s">
        <v>677</v>
      </c>
      <c r="T261" s="1239" t="s">
        <v>208</v>
      </c>
      <c r="U261" s="1246" t="s">
        <v>677</v>
      </c>
      <c r="V261" s="1239" t="s">
        <v>677</v>
      </c>
      <c r="W261" s="1243" t="s">
        <v>677</v>
      </c>
      <c r="X261" s="1239" t="s">
        <v>677</v>
      </c>
      <c r="Y261" s="1244" t="s">
        <v>677</v>
      </c>
      <c r="Z261" s="1244" t="s">
        <v>677</v>
      </c>
      <c r="AA261" s="1242" t="s">
        <v>677</v>
      </c>
      <c r="AB261" s="1239" t="s">
        <v>677</v>
      </c>
      <c r="AC261" s="1319">
        <v>0</v>
      </c>
      <c r="AD261" s="1319">
        <v>0</v>
      </c>
      <c r="AE261" s="1319">
        <v>57732</v>
      </c>
      <c r="AF261" s="1319"/>
      <c r="AG261" s="187">
        <v>18602.53</v>
      </c>
      <c r="AH261" s="187">
        <v>57732</v>
      </c>
      <c r="AI261" s="1265" t="s">
        <v>677</v>
      </c>
      <c r="AJ261" s="1243" t="s">
        <v>677</v>
      </c>
      <c r="AK261" s="1284" t="s">
        <v>677</v>
      </c>
      <c r="AL261" s="1243" t="s">
        <v>677</v>
      </c>
      <c r="AM261" s="1248" t="s">
        <v>677</v>
      </c>
      <c r="AN261" s="1248" t="s">
        <v>677</v>
      </c>
      <c r="AO261" s="1248" t="s">
        <v>677</v>
      </c>
      <c r="AP261" s="1248" t="s">
        <v>677</v>
      </c>
      <c r="AQ261" s="1248" t="s">
        <v>677</v>
      </c>
      <c r="AR261" s="1248" t="s">
        <v>677</v>
      </c>
      <c r="AS261" s="1243" t="s">
        <v>677</v>
      </c>
      <c r="AT261" s="1243" t="s">
        <v>677</v>
      </c>
      <c r="AU261" s="1243" t="s">
        <v>677</v>
      </c>
      <c r="AV261" s="1243" t="s">
        <v>677</v>
      </c>
      <c r="AW261" s="1243" t="s">
        <v>677</v>
      </c>
      <c r="AX261" s="1243" t="s">
        <v>677</v>
      </c>
      <c r="AY261" s="1243" t="s">
        <v>677</v>
      </c>
      <c r="AZ261" s="1243" t="s">
        <v>677</v>
      </c>
      <c r="BA261" s="1243" t="s">
        <v>677</v>
      </c>
      <c r="BB261" s="1243" t="s">
        <v>677</v>
      </c>
      <c r="BC261" s="1243" t="s">
        <v>677</v>
      </c>
      <c r="BD261" s="1243" t="s">
        <v>677</v>
      </c>
    </row>
    <row r="262" spans="1:56" s="422" customFormat="1" ht="38.25" x14ac:dyDescent="0.25">
      <c r="A262" s="1879">
        <v>179</v>
      </c>
      <c r="B262" s="1276" t="s">
        <v>1712</v>
      </c>
      <c r="C262" s="1239" t="s">
        <v>7323</v>
      </c>
      <c r="D262" s="1239" t="s">
        <v>6730</v>
      </c>
      <c r="E262" s="1239" t="s">
        <v>5811</v>
      </c>
      <c r="F262" s="1291" t="s">
        <v>7324</v>
      </c>
      <c r="G262" s="1243">
        <v>11183</v>
      </c>
      <c r="H262" s="1246" t="s">
        <v>2183</v>
      </c>
      <c r="I262" s="1273" t="s">
        <v>2161</v>
      </c>
      <c r="J262" s="1239" t="s">
        <v>537</v>
      </c>
      <c r="K262" s="1244">
        <v>41907</v>
      </c>
      <c r="L262" s="187">
        <v>12504.1</v>
      </c>
      <c r="M262" s="1243">
        <v>11402</v>
      </c>
      <c r="N262" s="1244">
        <v>41908</v>
      </c>
      <c r="O262" s="1244">
        <v>41969</v>
      </c>
      <c r="P262" s="1239" t="s">
        <v>6763</v>
      </c>
      <c r="Q262" s="1239" t="s">
        <v>677</v>
      </c>
      <c r="R262" s="1239" t="s">
        <v>677</v>
      </c>
      <c r="S262" s="1239" t="s">
        <v>677</v>
      </c>
      <c r="T262" s="1239" t="s">
        <v>316</v>
      </c>
      <c r="U262" s="1246" t="s">
        <v>677</v>
      </c>
      <c r="V262" s="1239" t="s">
        <v>677</v>
      </c>
      <c r="W262" s="1243" t="s">
        <v>677</v>
      </c>
      <c r="X262" s="1239" t="s">
        <v>677</v>
      </c>
      <c r="Y262" s="1244" t="s">
        <v>677</v>
      </c>
      <c r="Z262" s="1244" t="s">
        <v>677</v>
      </c>
      <c r="AA262" s="1242" t="s">
        <v>677</v>
      </c>
      <c r="AB262" s="1239" t="s">
        <v>677</v>
      </c>
      <c r="AC262" s="1319">
        <v>0</v>
      </c>
      <c r="AD262" s="1319">
        <v>0</v>
      </c>
      <c r="AE262" s="1319">
        <v>12504.1</v>
      </c>
      <c r="AF262" s="1319"/>
      <c r="AG262" s="187">
        <v>12504.1</v>
      </c>
      <c r="AH262" s="187">
        <v>12504.1</v>
      </c>
      <c r="AI262" s="1265" t="s">
        <v>677</v>
      </c>
      <c r="AJ262" s="1243" t="s">
        <v>677</v>
      </c>
      <c r="AK262" s="1284" t="s">
        <v>677</v>
      </c>
      <c r="AL262" s="1243" t="s">
        <v>677</v>
      </c>
      <c r="AM262" s="1248" t="s">
        <v>677</v>
      </c>
      <c r="AN262" s="1248" t="s">
        <v>677</v>
      </c>
      <c r="AO262" s="1248" t="s">
        <v>677</v>
      </c>
      <c r="AP262" s="1248" t="s">
        <v>677</v>
      </c>
      <c r="AQ262" s="1248" t="s">
        <v>677</v>
      </c>
      <c r="AR262" s="1248" t="s">
        <v>677</v>
      </c>
      <c r="AS262" s="1243" t="s">
        <v>677</v>
      </c>
      <c r="AT262" s="1243" t="s">
        <v>677</v>
      </c>
      <c r="AU262" s="1243" t="s">
        <v>677</v>
      </c>
      <c r="AV262" s="1243" t="s">
        <v>677</v>
      </c>
      <c r="AW262" s="1243" t="s">
        <v>677</v>
      </c>
      <c r="AX262" s="1243" t="s">
        <v>677</v>
      </c>
      <c r="AY262" s="1243" t="s">
        <v>677</v>
      </c>
      <c r="AZ262" s="1243" t="s">
        <v>677</v>
      </c>
      <c r="BA262" s="1895" t="s">
        <v>677</v>
      </c>
      <c r="BB262" s="1243" t="s">
        <v>677</v>
      </c>
      <c r="BC262" s="1243" t="s">
        <v>677</v>
      </c>
      <c r="BD262" s="1243" t="s">
        <v>677</v>
      </c>
    </row>
    <row r="263" spans="1:56" s="422" customFormat="1" ht="25.5" x14ac:dyDescent="0.25">
      <c r="A263" s="1879">
        <v>180</v>
      </c>
      <c r="B263" s="1276" t="s">
        <v>1699</v>
      </c>
      <c r="C263" s="1239" t="s">
        <v>7323</v>
      </c>
      <c r="D263" s="1239" t="s">
        <v>6730</v>
      </c>
      <c r="E263" s="1239" t="s">
        <v>5811</v>
      </c>
      <c r="F263" s="1291" t="s">
        <v>7325</v>
      </c>
      <c r="G263" s="1243">
        <v>11183</v>
      </c>
      <c r="H263" s="1246" t="s">
        <v>2186</v>
      </c>
      <c r="I263" s="1273" t="s">
        <v>2069</v>
      </c>
      <c r="J263" s="1239" t="s">
        <v>467</v>
      </c>
      <c r="K263" s="1244">
        <v>41907</v>
      </c>
      <c r="L263" s="187">
        <v>4835.7</v>
      </c>
      <c r="M263" s="1243">
        <v>11402</v>
      </c>
      <c r="N263" s="1244">
        <v>41908</v>
      </c>
      <c r="O263" s="1244">
        <v>41969</v>
      </c>
      <c r="P263" s="1239" t="s">
        <v>6763</v>
      </c>
      <c r="Q263" s="1239" t="s">
        <v>677</v>
      </c>
      <c r="R263" s="1239" t="s">
        <v>677</v>
      </c>
      <c r="S263" s="1239" t="s">
        <v>677</v>
      </c>
      <c r="T263" s="1239" t="s">
        <v>316</v>
      </c>
      <c r="U263" s="1246" t="s">
        <v>677</v>
      </c>
      <c r="V263" s="1239" t="s">
        <v>677</v>
      </c>
      <c r="W263" s="1243" t="s">
        <v>677</v>
      </c>
      <c r="X263" s="1239" t="s">
        <v>677</v>
      </c>
      <c r="Y263" s="1244" t="s">
        <v>677</v>
      </c>
      <c r="Z263" s="1244" t="s">
        <v>677</v>
      </c>
      <c r="AA263" s="1242" t="s">
        <v>677</v>
      </c>
      <c r="AB263" s="1239" t="s">
        <v>677</v>
      </c>
      <c r="AC263" s="1319">
        <v>0</v>
      </c>
      <c r="AD263" s="1319">
        <v>0</v>
      </c>
      <c r="AE263" s="1319">
        <v>4835.7</v>
      </c>
      <c r="AF263" s="1319"/>
      <c r="AG263" s="187">
        <v>4835.7</v>
      </c>
      <c r="AH263" s="187">
        <v>4835.7</v>
      </c>
      <c r="AI263" s="1265" t="s">
        <v>677</v>
      </c>
      <c r="AJ263" s="1243" t="s">
        <v>677</v>
      </c>
      <c r="AK263" s="1284" t="s">
        <v>677</v>
      </c>
      <c r="AL263" s="1243" t="s">
        <v>677</v>
      </c>
      <c r="AM263" s="1248" t="s">
        <v>677</v>
      </c>
      <c r="AN263" s="1248" t="s">
        <v>677</v>
      </c>
      <c r="AO263" s="1248" t="s">
        <v>677</v>
      </c>
      <c r="AP263" s="1248" t="s">
        <v>677</v>
      </c>
      <c r="AQ263" s="1248" t="s">
        <v>677</v>
      </c>
      <c r="AR263" s="1248" t="s">
        <v>677</v>
      </c>
      <c r="AS263" s="1243" t="s">
        <v>677</v>
      </c>
      <c r="AT263" s="1243" t="s">
        <v>677</v>
      </c>
      <c r="AU263" s="1243" t="s">
        <v>677</v>
      </c>
      <c r="AV263" s="1243" t="s">
        <v>677</v>
      </c>
      <c r="AW263" s="1243" t="s">
        <v>677</v>
      </c>
      <c r="AX263" s="1243" t="s">
        <v>677</v>
      </c>
      <c r="AY263" s="1243" t="s">
        <v>677</v>
      </c>
      <c r="AZ263" s="1243" t="s">
        <v>677</v>
      </c>
      <c r="BA263" s="1243" t="s">
        <v>677</v>
      </c>
      <c r="BB263" s="1243" t="s">
        <v>677</v>
      </c>
      <c r="BC263" s="1243" t="s">
        <v>677</v>
      </c>
      <c r="BD263" s="1243" t="s">
        <v>677</v>
      </c>
    </row>
    <row r="264" spans="1:56" s="422" customFormat="1" ht="51" x14ac:dyDescent="0.25">
      <c r="A264" s="1879">
        <v>181</v>
      </c>
      <c r="B264" s="1276" t="s">
        <v>7326</v>
      </c>
      <c r="C264" s="1239" t="s">
        <v>7327</v>
      </c>
      <c r="D264" s="1239" t="s">
        <v>6730</v>
      </c>
      <c r="E264" s="1239" t="s">
        <v>5811</v>
      </c>
      <c r="F264" s="1291" t="s">
        <v>7328</v>
      </c>
      <c r="G264" s="1243">
        <v>11396</v>
      </c>
      <c r="H264" s="1246" t="s">
        <v>2189</v>
      </c>
      <c r="I264" s="1273" t="s">
        <v>7329</v>
      </c>
      <c r="J264" s="1239" t="s">
        <v>800</v>
      </c>
      <c r="K264" s="1244">
        <v>41908</v>
      </c>
      <c r="L264" s="187">
        <v>13540.25</v>
      </c>
      <c r="M264" s="1243">
        <v>11403</v>
      </c>
      <c r="N264" s="1244">
        <v>41908</v>
      </c>
      <c r="O264" s="1244">
        <v>41968</v>
      </c>
      <c r="P264" s="1239" t="s">
        <v>6735</v>
      </c>
      <c r="Q264" s="1239" t="s">
        <v>677</v>
      </c>
      <c r="R264" s="1239" t="s">
        <v>677</v>
      </c>
      <c r="S264" s="1239" t="s">
        <v>677</v>
      </c>
      <c r="T264" s="1239" t="s">
        <v>316</v>
      </c>
      <c r="U264" s="1246" t="s">
        <v>677</v>
      </c>
      <c r="V264" s="1239" t="s">
        <v>677</v>
      </c>
      <c r="W264" s="1243" t="s">
        <v>677</v>
      </c>
      <c r="X264" s="1239" t="s">
        <v>677</v>
      </c>
      <c r="Y264" s="1244" t="s">
        <v>677</v>
      </c>
      <c r="Z264" s="1244" t="s">
        <v>677</v>
      </c>
      <c r="AA264" s="1242" t="s">
        <v>677</v>
      </c>
      <c r="AB264" s="1239" t="s">
        <v>677</v>
      </c>
      <c r="AC264" s="1319">
        <v>0</v>
      </c>
      <c r="AD264" s="1319">
        <v>0</v>
      </c>
      <c r="AE264" s="1319">
        <v>13540.25</v>
      </c>
      <c r="AF264" s="1319"/>
      <c r="AG264" s="187">
        <v>13540.25</v>
      </c>
      <c r="AH264" s="187">
        <v>13540.25</v>
      </c>
      <c r="AI264" s="1265" t="s">
        <v>823</v>
      </c>
      <c r="AJ264" s="1243">
        <v>11400</v>
      </c>
      <c r="AK264" s="1284" t="s">
        <v>677</v>
      </c>
      <c r="AL264" s="1243" t="s">
        <v>677</v>
      </c>
      <c r="AM264" s="1248" t="s">
        <v>677</v>
      </c>
      <c r="AN264" s="1248" t="s">
        <v>677</v>
      </c>
      <c r="AO264" s="1248" t="s">
        <v>677</v>
      </c>
      <c r="AP264" s="1248" t="s">
        <v>677</v>
      </c>
      <c r="AQ264" s="1248" t="s">
        <v>677</v>
      </c>
      <c r="AR264" s="1248" t="s">
        <v>677</v>
      </c>
      <c r="AS264" s="1243" t="s">
        <v>677</v>
      </c>
      <c r="AT264" s="1243" t="s">
        <v>677</v>
      </c>
      <c r="AU264" s="1243" t="s">
        <v>677</v>
      </c>
      <c r="AV264" s="1243" t="s">
        <v>677</v>
      </c>
      <c r="AW264" s="1243" t="s">
        <v>677</v>
      </c>
      <c r="AX264" s="1243" t="s">
        <v>677</v>
      </c>
      <c r="AY264" s="1243" t="s">
        <v>677</v>
      </c>
      <c r="AZ264" s="1243" t="s">
        <v>677</v>
      </c>
      <c r="BA264" s="1243" t="s">
        <v>677</v>
      </c>
      <c r="BB264" s="1243" t="s">
        <v>677</v>
      </c>
      <c r="BC264" s="1243" t="s">
        <v>677</v>
      </c>
      <c r="BD264" s="1243" t="s">
        <v>677</v>
      </c>
    </row>
    <row r="265" spans="1:56" s="422" customFormat="1" ht="25.5" x14ac:dyDescent="0.25">
      <c r="A265" s="1879">
        <v>182</v>
      </c>
      <c r="B265" s="1276" t="s">
        <v>7330</v>
      </c>
      <c r="C265" s="1239" t="s">
        <v>7327</v>
      </c>
      <c r="D265" s="1239" t="s">
        <v>6730</v>
      </c>
      <c r="E265" s="1239" t="s">
        <v>5811</v>
      </c>
      <c r="F265" s="1291" t="s">
        <v>7328</v>
      </c>
      <c r="G265" s="1243">
        <v>11287</v>
      </c>
      <c r="H265" s="1246" t="s">
        <v>2192</v>
      </c>
      <c r="I265" s="1273" t="s">
        <v>7127</v>
      </c>
      <c r="J265" s="1239" t="s">
        <v>1159</v>
      </c>
      <c r="K265" s="1244">
        <v>41911</v>
      </c>
      <c r="L265" s="187">
        <v>8579.85</v>
      </c>
      <c r="M265" s="1243">
        <v>11404</v>
      </c>
      <c r="N265" s="1244">
        <v>41911</v>
      </c>
      <c r="O265" s="1244">
        <v>41913</v>
      </c>
      <c r="P265" s="1239" t="s">
        <v>6735</v>
      </c>
      <c r="Q265" s="1239" t="s">
        <v>677</v>
      </c>
      <c r="R265" s="1239" t="s">
        <v>677</v>
      </c>
      <c r="S265" s="1239" t="s">
        <v>677</v>
      </c>
      <c r="T265" s="1239" t="s">
        <v>316</v>
      </c>
      <c r="U265" s="1246" t="s">
        <v>677</v>
      </c>
      <c r="V265" s="1239" t="s">
        <v>677</v>
      </c>
      <c r="W265" s="1243" t="s">
        <v>677</v>
      </c>
      <c r="X265" s="1239" t="s">
        <v>677</v>
      </c>
      <c r="Y265" s="1244" t="s">
        <v>677</v>
      </c>
      <c r="Z265" s="1244" t="s">
        <v>677</v>
      </c>
      <c r="AA265" s="1242" t="s">
        <v>677</v>
      </c>
      <c r="AB265" s="1239" t="s">
        <v>677</v>
      </c>
      <c r="AC265" s="1319">
        <v>0</v>
      </c>
      <c r="AD265" s="1319">
        <v>0</v>
      </c>
      <c r="AE265" s="1319">
        <v>8579.85</v>
      </c>
      <c r="AF265" s="1319"/>
      <c r="AG265" s="187">
        <v>8579.85</v>
      </c>
      <c r="AH265" s="187">
        <v>8579.85</v>
      </c>
      <c r="AI265" s="1265" t="s">
        <v>823</v>
      </c>
      <c r="AJ265" s="1243">
        <v>11400</v>
      </c>
      <c r="AK265" s="1284" t="s">
        <v>677</v>
      </c>
      <c r="AL265" s="1243" t="s">
        <v>677</v>
      </c>
      <c r="AM265" s="1248" t="s">
        <v>677</v>
      </c>
      <c r="AN265" s="1248" t="s">
        <v>677</v>
      </c>
      <c r="AO265" s="1248" t="s">
        <v>677</v>
      </c>
      <c r="AP265" s="1248" t="s">
        <v>677</v>
      </c>
      <c r="AQ265" s="1248" t="s">
        <v>677</v>
      </c>
      <c r="AR265" s="1248" t="s">
        <v>677</v>
      </c>
      <c r="AS265" s="1243" t="s">
        <v>677</v>
      </c>
      <c r="AT265" s="1243" t="s">
        <v>677</v>
      </c>
      <c r="AU265" s="1243" t="s">
        <v>677</v>
      </c>
      <c r="AV265" s="1243" t="s">
        <v>677</v>
      </c>
      <c r="AW265" s="1243" t="s">
        <v>677</v>
      </c>
      <c r="AX265" s="1243" t="s">
        <v>677</v>
      </c>
      <c r="AY265" s="1243" t="s">
        <v>677</v>
      </c>
      <c r="AZ265" s="1243" t="s">
        <v>677</v>
      </c>
      <c r="BA265" s="1243" t="s">
        <v>677</v>
      </c>
      <c r="BB265" s="1243" t="s">
        <v>677</v>
      </c>
      <c r="BC265" s="1243" t="s">
        <v>677</v>
      </c>
      <c r="BD265" s="1243" t="s">
        <v>677</v>
      </c>
    </row>
    <row r="266" spans="1:56" s="422" customFormat="1" ht="25.5" x14ac:dyDescent="0.25">
      <c r="A266" s="1879">
        <v>183</v>
      </c>
      <c r="B266" s="1276" t="s">
        <v>3197</v>
      </c>
      <c r="C266" s="1239" t="s">
        <v>7331</v>
      </c>
      <c r="D266" s="1239" t="s">
        <v>6730</v>
      </c>
      <c r="E266" s="1239" t="s">
        <v>5811</v>
      </c>
      <c r="F266" s="1291" t="s">
        <v>7332</v>
      </c>
      <c r="G266" s="1243">
        <v>11394</v>
      </c>
      <c r="H266" s="1246" t="s">
        <v>2194</v>
      </c>
      <c r="I266" s="1273" t="s">
        <v>2069</v>
      </c>
      <c r="J266" s="1239" t="s">
        <v>467</v>
      </c>
      <c r="K266" s="1244">
        <v>41914</v>
      </c>
      <c r="L266" s="187">
        <v>1100</v>
      </c>
      <c r="M266" s="1243">
        <v>11407</v>
      </c>
      <c r="N266" s="1244">
        <v>41914</v>
      </c>
      <c r="O266" s="1244">
        <v>41974</v>
      </c>
      <c r="P266" s="1239" t="s">
        <v>6763</v>
      </c>
      <c r="Q266" s="1239" t="s">
        <v>677</v>
      </c>
      <c r="R266" s="1239" t="s">
        <v>677</v>
      </c>
      <c r="S266" s="1239" t="s">
        <v>677</v>
      </c>
      <c r="T266" s="1239" t="s">
        <v>316</v>
      </c>
      <c r="U266" s="1246" t="s">
        <v>677</v>
      </c>
      <c r="V266" s="1239" t="s">
        <v>677</v>
      </c>
      <c r="W266" s="1243" t="s">
        <v>677</v>
      </c>
      <c r="X266" s="1239" t="s">
        <v>677</v>
      </c>
      <c r="Y266" s="1244" t="s">
        <v>677</v>
      </c>
      <c r="Z266" s="1244" t="s">
        <v>677</v>
      </c>
      <c r="AA266" s="1242" t="s">
        <v>677</v>
      </c>
      <c r="AB266" s="1239" t="s">
        <v>677</v>
      </c>
      <c r="AC266" s="1319">
        <v>0</v>
      </c>
      <c r="AD266" s="1319">
        <v>0</v>
      </c>
      <c r="AE266" s="1319">
        <v>1100</v>
      </c>
      <c r="AF266" s="1319"/>
      <c r="AG266" s="187">
        <v>1100</v>
      </c>
      <c r="AH266" s="187">
        <f>AG266</f>
        <v>1100</v>
      </c>
      <c r="AI266" s="1265"/>
      <c r="AJ266" s="1243"/>
      <c r="AK266" s="1284" t="s">
        <v>677</v>
      </c>
      <c r="AL266" s="1243" t="s">
        <v>677</v>
      </c>
      <c r="AM266" s="1610" t="s">
        <v>677</v>
      </c>
      <c r="AN266" s="1248" t="s">
        <v>677</v>
      </c>
      <c r="AO266" s="1248" t="s">
        <v>677</v>
      </c>
      <c r="AP266" s="1248" t="s">
        <v>677</v>
      </c>
      <c r="AQ266" s="1248" t="s">
        <v>677</v>
      </c>
      <c r="AR266" s="1248" t="s">
        <v>677</v>
      </c>
      <c r="AS266" s="1243" t="s">
        <v>677</v>
      </c>
      <c r="AT266" s="1243" t="s">
        <v>677</v>
      </c>
      <c r="AU266" s="1243" t="s">
        <v>677</v>
      </c>
      <c r="AV266" s="1243" t="s">
        <v>677</v>
      </c>
      <c r="AW266" s="1243" t="s">
        <v>677</v>
      </c>
      <c r="AX266" s="1243" t="s">
        <v>677</v>
      </c>
      <c r="AY266" s="1243" t="s">
        <v>677</v>
      </c>
      <c r="AZ266" s="1243" t="s">
        <v>677</v>
      </c>
      <c r="BA266" s="1243" t="s">
        <v>677</v>
      </c>
      <c r="BB266" s="1243" t="s">
        <v>677</v>
      </c>
      <c r="BC266" s="1243" t="s">
        <v>677</v>
      </c>
      <c r="BD266" s="1243" t="s">
        <v>677</v>
      </c>
    </row>
    <row r="267" spans="1:56" s="422" customFormat="1" ht="38.25" x14ac:dyDescent="0.25">
      <c r="A267" s="1879">
        <v>184</v>
      </c>
      <c r="B267" s="1276" t="s">
        <v>780</v>
      </c>
      <c r="C267" s="1239" t="s">
        <v>7333</v>
      </c>
      <c r="D267" s="1239" t="s">
        <v>6730</v>
      </c>
      <c r="E267" s="1239" t="s">
        <v>5811</v>
      </c>
      <c r="F267" s="1291" t="s">
        <v>7334</v>
      </c>
      <c r="G267" s="1243">
        <v>11170</v>
      </c>
      <c r="H267" s="1246" t="s">
        <v>2196</v>
      </c>
      <c r="I267" s="1273" t="s">
        <v>7335</v>
      </c>
      <c r="J267" s="1239" t="s">
        <v>2333</v>
      </c>
      <c r="K267" s="1244">
        <v>41914</v>
      </c>
      <c r="L267" s="187">
        <v>4996.13</v>
      </c>
      <c r="M267" s="1243">
        <v>11408</v>
      </c>
      <c r="N267" s="1244">
        <v>41914</v>
      </c>
      <c r="O267" s="1244">
        <v>42004</v>
      </c>
      <c r="P267" s="1239" t="s">
        <v>6763</v>
      </c>
      <c r="Q267" s="1239" t="s">
        <v>677</v>
      </c>
      <c r="R267" s="1239" t="s">
        <v>677</v>
      </c>
      <c r="S267" s="1239" t="s">
        <v>677</v>
      </c>
      <c r="T267" s="1239" t="s">
        <v>208</v>
      </c>
      <c r="U267" s="1246" t="s">
        <v>677</v>
      </c>
      <c r="V267" s="1239" t="s">
        <v>677</v>
      </c>
      <c r="W267" s="1243" t="s">
        <v>677</v>
      </c>
      <c r="X267" s="1239" t="s">
        <v>677</v>
      </c>
      <c r="Y267" s="1244" t="s">
        <v>677</v>
      </c>
      <c r="Z267" s="1244" t="s">
        <v>677</v>
      </c>
      <c r="AA267" s="1242" t="s">
        <v>677</v>
      </c>
      <c r="AB267" s="1239" t="s">
        <v>677</v>
      </c>
      <c r="AC267" s="1319">
        <v>0</v>
      </c>
      <c r="AD267" s="1319">
        <v>0</v>
      </c>
      <c r="AE267" s="1319">
        <v>4996.13</v>
      </c>
      <c r="AF267" s="1319"/>
      <c r="AG267" s="187">
        <v>3637.32</v>
      </c>
      <c r="AH267" s="187">
        <v>3637.32</v>
      </c>
      <c r="AI267" s="1265"/>
      <c r="AJ267" s="1243"/>
      <c r="AK267" s="1284" t="s">
        <v>677</v>
      </c>
      <c r="AL267" s="1243" t="s">
        <v>677</v>
      </c>
      <c r="AM267" s="1610" t="s">
        <v>677</v>
      </c>
      <c r="AN267" s="1248" t="s">
        <v>677</v>
      </c>
      <c r="AO267" s="1248" t="s">
        <v>677</v>
      </c>
      <c r="AP267" s="1248" t="s">
        <v>677</v>
      </c>
      <c r="AQ267" s="1248" t="s">
        <v>677</v>
      </c>
      <c r="AR267" s="1248" t="s">
        <v>677</v>
      </c>
      <c r="AS267" s="1243" t="s">
        <v>677</v>
      </c>
      <c r="AT267" s="1243" t="s">
        <v>677</v>
      </c>
      <c r="AU267" s="1243" t="s">
        <v>677</v>
      </c>
      <c r="AV267" s="1243" t="s">
        <v>677</v>
      </c>
      <c r="AW267" s="1243" t="s">
        <v>677</v>
      </c>
      <c r="AX267" s="1243" t="s">
        <v>677</v>
      </c>
      <c r="AY267" s="1243" t="s">
        <v>677</v>
      </c>
      <c r="AZ267" s="1243" t="s">
        <v>677</v>
      </c>
      <c r="BA267" s="1243" t="s">
        <v>677</v>
      </c>
      <c r="BB267" s="1243" t="s">
        <v>677</v>
      </c>
      <c r="BC267" s="1243" t="s">
        <v>677</v>
      </c>
      <c r="BD267" s="1243" t="s">
        <v>677</v>
      </c>
    </row>
    <row r="268" spans="1:56" s="422" customFormat="1" ht="25.5" x14ac:dyDescent="0.25">
      <c r="A268" s="1879">
        <v>185</v>
      </c>
      <c r="B268" s="1276" t="s">
        <v>787</v>
      </c>
      <c r="C268" s="1239" t="s">
        <v>7336</v>
      </c>
      <c r="D268" s="1239" t="s">
        <v>6730</v>
      </c>
      <c r="E268" s="1239" t="s">
        <v>5811</v>
      </c>
      <c r="F268" s="1291" t="s">
        <v>7337</v>
      </c>
      <c r="G268" s="1243">
        <v>11169</v>
      </c>
      <c r="H268" s="1246" t="s">
        <v>2198</v>
      </c>
      <c r="I268" s="1273" t="s">
        <v>7338</v>
      </c>
      <c r="J268" s="1239" t="s">
        <v>1551</v>
      </c>
      <c r="K268" s="1244">
        <v>41914</v>
      </c>
      <c r="L268" s="187">
        <v>5000</v>
      </c>
      <c r="M268" s="1243">
        <v>11408</v>
      </c>
      <c r="N268" s="1244">
        <v>41914</v>
      </c>
      <c r="O268" s="1244">
        <v>41974</v>
      </c>
      <c r="P268" s="1239" t="s">
        <v>6763</v>
      </c>
      <c r="Q268" s="1239" t="s">
        <v>677</v>
      </c>
      <c r="R268" s="1239" t="s">
        <v>677</v>
      </c>
      <c r="S268" s="1239" t="s">
        <v>677</v>
      </c>
      <c r="T268" s="1239" t="s">
        <v>208</v>
      </c>
      <c r="U268" s="1246" t="s">
        <v>677</v>
      </c>
      <c r="V268" s="1239" t="s">
        <v>677</v>
      </c>
      <c r="W268" s="1243" t="s">
        <v>677</v>
      </c>
      <c r="X268" s="1239" t="s">
        <v>677</v>
      </c>
      <c r="Y268" s="1244" t="s">
        <v>677</v>
      </c>
      <c r="Z268" s="1244" t="s">
        <v>677</v>
      </c>
      <c r="AA268" s="1242" t="s">
        <v>677</v>
      </c>
      <c r="AB268" s="1239" t="s">
        <v>677</v>
      </c>
      <c r="AC268" s="1319">
        <v>0</v>
      </c>
      <c r="AD268" s="1319">
        <v>0</v>
      </c>
      <c r="AE268" s="1319">
        <v>5000</v>
      </c>
      <c r="AF268" s="1319"/>
      <c r="AG268" s="187">
        <v>3357</v>
      </c>
      <c r="AH268" s="187">
        <v>3357</v>
      </c>
      <c r="AI268" s="1265"/>
      <c r="AJ268" s="1243"/>
      <c r="AK268" s="1284" t="s">
        <v>677</v>
      </c>
      <c r="AL268" s="1243" t="s">
        <v>677</v>
      </c>
      <c r="AM268" s="1610" t="s">
        <v>677</v>
      </c>
      <c r="AN268" s="1248" t="s">
        <v>677</v>
      </c>
      <c r="AO268" s="1248" t="s">
        <v>677</v>
      </c>
      <c r="AP268" s="1248" t="s">
        <v>677</v>
      </c>
      <c r="AQ268" s="1248" t="s">
        <v>677</v>
      </c>
      <c r="AR268" s="1248" t="s">
        <v>677</v>
      </c>
      <c r="AS268" s="1243" t="s">
        <v>677</v>
      </c>
      <c r="AT268" s="1243" t="s">
        <v>677</v>
      </c>
      <c r="AU268" s="1243" t="s">
        <v>677</v>
      </c>
      <c r="AV268" s="1243" t="s">
        <v>677</v>
      </c>
      <c r="AW268" s="1243" t="s">
        <v>677</v>
      </c>
      <c r="AX268" s="1243" t="s">
        <v>677</v>
      </c>
      <c r="AY268" s="1243" t="s">
        <v>677</v>
      </c>
      <c r="AZ268" s="1243" t="s">
        <v>677</v>
      </c>
      <c r="BA268" s="1243" t="s">
        <v>677</v>
      </c>
      <c r="BB268" s="1243" t="s">
        <v>677</v>
      </c>
      <c r="BC268" s="1243" t="s">
        <v>677</v>
      </c>
      <c r="BD268" s="1243" t="s">
        <v>677</v>
      </c>
    </row>
    <row r="269" spans="1:56" s="422" customFormat="1" ht="25.5" x14ac:dyDescent="0.25">
      <c r="A269" s="1879">
        <v>186</v>
      </c>
      <c r="B269" s="1276" t="s">
        <v>459</v>
      </c>
      <c r="C269" s="1239" t="s">
        <v>7313</v>
      </c>
      <c r="D269" s="1239" t="s">
        <v>6800</v>
      </c>
      <c r="E269" s="1239" t="s">
        <v>5811</v>
      </c>
      <c r="F269" s="28" t="s">
        <v>7339</v>
      </c>
      <c r="G269" s="1243">
        <v>11219</v>
      </c>
      <c r="H269" s="1246" t="s">
        <v>2200</v>
      </c>
      <c r="I269" s="1273" t="s">
        <v>3920</v>
      </c>
      <c r="J269" s="1239" t="s">
        <v>3921</v>
      </c>
      <c r="K269" s="1244">
        <v>41915</v>
      </c>
      <c r="L269" s="187">
        <v>5000</v>
      </c>
      <c r="M269" s="1243">
        <v>11408</v>
      </c>
      <c r="N269" s="1244">
        <v>41921</v>
      </c>
      <c r="O269" s="1244">
        <v>41981</v>
      </c>
      <c r="P269" s="1239" t="s">
        <v>6763</v>
      </c>
      <c r="Q269" s="1239" t="s">
        <v>677</v>
      </c>
      <c r="R269" s="1239" t="s">
        <v>677</v>
      </c>
      <c r="S269" s="1239" t="s">
        <v>677</v>
      </c>
      <c r="T269" s="1239" t="s">
        <v>208</v>
      </c>
      <c r="U269" s="1246" t="s">
        <v>677</v>
      </c>
      <c r="V269" s="1239" t="s">
        <v>677</v>
      </c>
      <c r="W269" s="1243" t="s">
        <v>677</v>
      </c>
      <c r="X269" s="1239" t="s">
        <v>677</v>
      </c>
      <c r="Y269" s="1244" t="s">
        <v>677</v>
      </c>
      <c r="Z269" s="1244" t="s">
        <v>677</v>
      </c>
      <c r="AA269" s="1242" t="s">
        <v>677</v>
      </c>
      <c r="AB269" s="1239" t="s">
        <v>677</v>
      </c>
      <c r="AC269" s="1319">
        <v>0</v>
      </c>
      <c r="AD269" s="1319">
        <v>0</v>
      </c>
      <c r="AE269" s="1319">
        <v>5000</v>
      </c>
      <c r="AF269" s="1319"/>
      <c r="AG269" s="187">
        <v>5000</v>
      </c>
      <c r="AH269" s="187">
        <v>5000</v>
      </c>
      <c r="AI269" s="1265"/>
      <c r="AJ269" s="1243"/>
      <c r="AK269" s="1284" t="s">
        <v>677</v>
      </c>
      <c r="AL269" s="1243" t="s">
        <v>677</v>
      </c>
      <c r="AM269" s="1610" t="s">
        <v>677</v>
      </c>
      <c r="AN269" s="1248" t="s">
        <v>677</v>
      </c>
      <c r="AO269" s="1248" t="s">
        <v>677</v>
      </c>
      <c r="AP269" s="1248" t="s">
        <v>677</v>
      </c>
      <c r="AQ269" s="1248" t="s">
        <v>677</v>
      </c>
      <c r="AR269" s="1248" t="s">
        <v>677</v>
      </c>
      <c r="AS269" s="1243" t="s">
        <v>677</v>
      </c>
      <c r="AT269" s="1243" t="s">
        <v>677</v>
      </c>
      <c r="AU269" s="1243" t="s">
        <v>677</v>
      </c>
      <c r="AV269" s="1243" t="s">
        <v>677</v>
      </c>
      <c r="AW269" s="1243" t="s">
        <v>677</v>
      </c>
      <c r="AX269" s="1243" t="s">
        <v>677</v>
      </c>
      <c r="AY269" s="1243" t="s">
        <v>677</v>
      </c>
      <c r="AZ269" s="1243" t="s">
        <v>677</v>
      </c>
      <c r="BA269" s="1243" t="s">
        <v>677</v>
      </c>
      <c r="BB269" s="1243" t="s">
        <v>677</v>
      </c>
      <c r="BC269" s="1243" t="s">
        <v>677</v>
      </c>
      <c r="BD269" s="1243" t="s">
        <v>677</v>
      </c>
    </row>
    <row r="270" spans="1:56" s="422" customFormat="1" ht="25.5" x14ac:dyDescent="0.25">
      <c r="A270" s="1879">
        <v>187</v>
      </c>
      <c r="B270" s="1276" t="s">
        <v>7340</v>
      </c>
      <c r="C270" s="1239" t="s">
        <v>7341</v>
      </c>
      <c r="D270" s="1239" t="s">
        <v>690</v>
      </c>
      <c r="E270" s="1239" t="s">
        <v>677</v>
      </c>
      <c r="F270" s="28" t="s">
        <v>7342</v>
      </c>
      <c r="G270" s="1243">
        <v>11408</v>
      </c>
      <c r="H270" s="1246" t="s">
        <v>2203</v>
      </c>
      <c r="I270" s="1273" t="s">
        <v>7343</v>
      </c>
      <c r="J270" s="1239" t="s">
        <v>1154</v>
      </c>
      <c r="K270" s="1244">
        <v>41915</v>
      </c>
      <c r="L270" s="187">
        <v>2439</v>
      </c>
      <c r="M270" s="1243">
        <v>11409</v>
      </c>
      <c r="N270" s="1244">
        <v>41918</v>
      </c>
      <c r="O270" s="1244">
        <v>41978</v>
      </c>
      <c r="P270" s="1239" t="s">
        <v>6735</v>
      </c>
      <c r="Q270" s="1239" t="s">
        <v>677</v>
      </c>
      <c r="R270" s="1239" t="s">
        <v>677</v>
      </c>
      <c r="S270" s="1239" t="s">
        <v>677</v>
      </c>
      <c r="T270" s="1239" t="s">
        <v>208</v>
      </c>
      <c r="U270" s="1246" t="s">
        <v>677</v>
      </c>
      <c r="V270" s="1239" t="s">
        <v>677</v>
      </c>
      <c r="W270" s="1243" t="s">
        <v>677</v>
      </c>
      <c r="X270" s="1239" t="s">
        <v>677</v>
      </c>
      <c r="Y270" s="1244" t="s">
        <v>677</v>
      </c>
      <c r="Z270" s="1244" t="s">
        <v>677</v>
      </c>
      <c r="AA270" s="1242" t="s">
        <v>677</v>
      </c>
      <c r="AB270" s="1239" t="s">
        <v>677</v>
      </c>
      <c r="AC270" s="1319">
        <v>0</v>
      </c>
      <c r="AD270" s="1319">
        <v>0</v>
      </c>
      <c r="AE270" s="1319">
        <v>2439</v>
      </c>
      <c r="AF270" s="1319"/>
      <c r="AG270" s="187">
        <v>2439</v>
      </c>
      <c r="AH270" s="187">
        <v>2439</v>
      </c>
      <c r="AI270" s="1265"/>
      <c r="AJ270" s="1243"/>
      <c r="AK270" s="1284" t="s">
        <v>677</v>
      </c>
      <c r="AL270" s="1243" t="s">
        <v>677</v>
      </c>
      <c r="AM270" s="1610" t="s">
        <v>677</v>
      </c>
      <c r="AN270" s="1248" t="s">
        <v>677</v>
      </c>
      <c r="AO270" s="1248" t="s">
        <v>677</v>
      </c>
      <c r="AP270" s="1248" t="s">
        <v>677</v>
      </c>
      <c r="AQ270" s="1248" t="s">
        <v>677</v>
      </c>
      <c r="AR270" s="1248" t="s">
        <v>677</v>
      </c>
      <c r="AS270" s="1243" t="s">
        <v>677</v>
      </c>
      <c r="AT270" s="1243" t="s">
        <v>677</v>
      </c>
      <c r="AU270" s="1243" t="s">
        <v>677</v>
      </c>
      <c r="AV270" s="1243" t="s">
        <v>677</v>
      </c>
      <c r="AW270" s="1243" t="s">
        <v>677</v>
      </c>
      <c r="AX270" s="1243" t="s">
        <v>677</v>
      </c>
      <c r="AY270" s="1243" t="s">
        <v>677</v>
      </c>
      <c r="AZ270" s="1243" t="s">
        <v>677</v>
      </c>
      <c r="BA270" s="1243" t="s">
        <v>677</v>
      </c>
      <c r="BB270" s="1243" t="s">
        <v>677</v>
      </c>
      <c r="BC270" s="1243" t="s">
        <v>677</v>
      </c>
      <c r="BD270" s="1243" t="s">
        <v>677</v>
      </c>
    </row>
    <row r="271" spans="1:56" s="422" customFormat="1" ht="25.5" x14ac:dyDescent="0.25">
      <c r="A271" s="1879">
        <v>188</v>
      </c>
      <c r="B271" s="1276" t="s">
        <v>442</v>
      </c>
      <c r="C271" s="1239" t="s">
        <v>7344</v>
      </c>
      <c r="D271" s="1239" t="s">
        <v>6730</v>
      </c>
      <c r="E271" s="1239" t="s">
        <v>5811</v>
      </c>
      <c r="F271" s="28" t="s">
        <v>7345</v>
      </c>
      <c r="G271" s="1243">
        <v>11346</v>
      </c>
      <c r="H271" s="1246" t="s">
        <v>773</v>
      </c>
      <c r="I271" s="1273" t="s">
        <v>2113</v>
      </c>
      <c r="J271" s="1239" t="s">
        <v>407</v>
      </c>
      <c r="K271" s="1244">
        <v>41915</v>
      </c>
      <c r="L271" s="187">
        <v>9821.25</v>
      </c>
      <c r="M271" s="1243">
        <v>11409</v>
      </c>
      <c r="N271" s="1244">
        <v>41918</v>
      </c>
      <c r="O271" s="1244">
        <v>41978</v>
      </c>
      <c r="P271" s="1239" t="s">
        <v>6763</v>
      </c>
      <c r="Q271" s="1239" t="s">
        <v>677</v>
      </c>
      <c r="R271" s="1239" t="s">
        <v>677</v>
      </c>
      <c r="S271" s="1239" t="s">
        <v>677</v>
      </c>
      <c r="T271" s="1239" t="s">
        <v>408</v>
      </c>
      <c r="U271" s="1246" t="s">
        <v>677</v>
      </c>
      <c r="V271" s="1239" t="s">
        <v>677</v>
      </c>
      <c r="W271" s="1243" t="s">
        <v>677</v>
      </c>
      <c r="X271" s="1239" t="s">
        <v>677</v>
      </c>
      <c r="Y271" s="1244" t="s">
        <v>677</v>
      </c>
      <c r="Z271" s="1244" t="s">
        <v>677</v>
      </c>
      <c r="AA271" s="1242" t="s">
        <v>677</v>
      </c>
      <c r="AB271" s="1239" t="s">
        <v>677</v>
      </c>
      <c r="AC271" s="1319">
        <v>0</v>
      </c>
      <c r="AD271" s="1319">
        <v>0</v>
      </c>
      <c r="AE271" s="1319">
        <v>9821.25</v>
      </c>
      <c r="AF271" s="1319"/>
      <c r="AG271" s="187">
        <v>9821.25</v>
      </c>
      <c r="AH271" s="187">
        <v>9821.25</v>
      </c>
      <c r="AI271" s="1265"/>
      <c r="AJ271" s="1243"/>
      <c r="AK271" s="1284" t="s">
        <v>677</v>
      </c>
      <c r="AL271" s="1243" t="s">
        <v>677</v>
      </c>
      <c r="AM271" s="1610" t="s">
        <v>677</v>
      </c>
      <c r="AN271" s="1248" t="s">
        <v>677</v>
      </c>
      <c r="AO271" s="1248" t="s">
        <v>677</v>
      </c>
      <c r="AP271" s="1248" t="s">
        <v>677</v>
      </c>
      <c r="AQ271" s="1248" t="s">
        <v>677</v>
      </c>
      <c r="AR271" s="1248" t="s">
        <v>677</v>
      </c>
      <c r="AS271" s="1243" t="s">
        <v>677</v>
      </c>
      <c r="AT271" s="1243" t="s">
        <v>677</v>
      </c>
      <c r="AU271" s="1243" t="s">
        <v>677</v>
      </c>
      <c r="AV271" s="1243" t="s">
        <v>677</v>
      </c>
      <c r="AW271" s="1243" t="s">
        <v>677</v>
      </c>
      <c r="AX271" s="1243" t="s">
        <v>677</v>
      </c>
      <c r="AY271" s="1243" t="s">
        <v>677</v>
      </c>
      <c r="AZ271" s="1243" t="s">
        <v>677</v>
      </c>
      <c r="BA271" s="1243" t="s">
        <v>677</v>
      </c>
      <c r="BB271" s="1243" t="s">
        <v>677</v>
      </c>
      <c r="BC271" s="1243" t="s">
        <v>677</v>
      </c>
      <c r="BD271" s="1243" t="s">
        <v>677</v>
      </c>
    </row>
    <row r="272" spans="1:56" s="422" customFormat="1" ht="25.5" x14ac:dyDescent="0.25">
      <c r="A272" s="1879">
        <v>189</v>
      </c>
      <c r="B272" s="1276" t="s">
        <v>2878</v>
      </c>
      <c r="C272" s="1239" t="s">
        <v>7346</v>
      </c>
      <c r="D272" s="1239" t="s">
        <v>6730</v>
      </c>
      <c r="E272" s="1239" t="s">
        <v>5811</v>
      </c>
      <c r="F272" s="28" t="s">
        <v>7347</v>
      </c>
      <c r="G272" s="1243">
        <v>11373</v>
      </c>
      <c r="H272" s="1246" t="s">
        <v>2212</v>
      </c>
      <c r="I272" s="1273" t="s">
        <v>2113</v>
      </c>
      <c r="J272" s="1239" t="s">
        <v>407</v>
      </c>
      <c r="K272" s="1244">
        <v>41920</v>
      </c>
      <c r="L272" s="187">
        <v>3690</v>
      </c>
      <c r="M272" s="1243">
        <v>11410</v>
      </c>
      <c r="N272" s="1244">
        <v>41920</v>
      </c>
      <c r="O272" s="1244">
        <v>41980</v>
      </c>
      <c r="P272" s="1239" t="s">
        <v>6763</v>
      </c>
      <c r="Q272" s="1239" t="s">
        <v>677</v>
      </c>
      <c r="R272" s="1239" t="s">
        <v>677</v>
      </c>
      <c r="S272" s="1239" t="s">
        <v>677</v>
      </c>
      <c r="T272" s="1239" t="s">
        <v>408</v>
      </c>
      <c r="U272" s="1246" t="s">
        <v>677</v>
      </c>
      <c r="V272" s="1239" t="s">
        <v>677</v>
      </c>
      <c r="W272" s="1243" t="s">
        <v>677</v>
      </c>
      <c r="X272" s="1239" t="s">
        <v>677</v>
      </c>
      <c r="Y272" s="1244" t="s">
        <v>677</v>
      </c>
      <c r="Z272" s="1244" t="s">
        <v>677</v>
      </c>
      <c r="AA272" s="1242" t="s">
        <v>677</v>
      </c>
      <c r="AB272" s="1239" t="s">
        <v>677</v>
      </c>
      <c r="AC272" s="1319">
        <v>0</v>
      </c>
      <c r="AD272" s="1319">
        <v>0</v>
      </c>
      <c r="AE272" s="1319">
        <v>3690</v>
      </c>
      <c r="AF272" s="1319"/>
      <c r="AG272" s="187">
        <v>3690</v>
      </c>
      <c r="AH272" s="187">
        <v>3690</v>
      </c>
      <c r="AI272" s="1265"/>
      <c r="AJ272" s="1243"/>
      <c r="AK272" s="1284" t="s">
        <v>677</v>
      </c>
      <c r="AL272" s="1243" t="s">
        <v>677</v>
      </c>
      <c r="AM272" s="1610" t="s">
        <v>677</v>
      </c>
      <c r="AN272" s="1248" t="s">
        <v>677</v>
      </c>
      <c r="AO272" s="1248" t="s">
        <v>677</v>
      </c>
      <c r="AP272" s="1248" t="s">
        <v>677</v>
      </c>
      <c r="AQ272" s="1248" t="s">
        <v>677</v>
      </c>
      <c r="AR272" s="1248" t="s">
        <v>677</v>
      </c>
      <c r="AS272" s="1243" t="s">
        <v>677</v>
      </c>
      <c r="AT272" s="1243" t="s">
        <v>677</v>
      </c>
      <c r="AU272" s="1243" t="s">
        <v>677</v>
      </c>
      <c r="AV272" s="1243" t="s">
        <v>677</v>
      </c>
      <c r="AW272" s="1243" t="s">
        <v>677</v>
      </c>
      <c r="AX272" s="1243" t="s">
        <v>677</v>
      </c>
      <c r="AY272" s="1243" t="s">
        <v>677</v>
      </c>
      <c r="AZ272" s="1243" t="s">
        <v>677</v>
      </c>
      <c r="BA272" s="1243" t="s">
        <v>677</v>
      </c>
      <c r="BB272" s="1243" t="s">
        <v>677</v>
      </c>
      <c r="BC272" s="1243" t="s">
        <v>677</v>
      </c>
      <c r="BD272" s="1243" t="s">
        <v>677</v>
      </c>
    </row>
    <row r="273" spans="1:56" s="422" customFormat="1" ht="25.5" x14ac:dyDescent="0.25">
      <c r="A273" s="1879">
        <v>190</v>
      </c>
      <c r="B273" s="1276" t="s">
        <v>1886</v>
      </c>
      <c r="C273" s="1239" t="s">
        <v>7306</v>
      </c>
      <c r="D273" s="1239" t="s">
        <v>6730</v>
      </c>
      <c r="E273" s="1239" t="s">
        <v>5811</v>
      </c>
      <c r="F273" s="28" t="s">
        <v>7348</v>
      </c>
      <c r="G273" s="1243">
        <v>11223</v>
      </c>
      <c r="H273" s="1246" t="s">
        <v>2213</v>
      </c>
      <c r="I273" s="1273" t="s">
        <v>7001</v>
      </c>
      <c r="J273" s="1239" t="s">
        <v>7002</v>
      </c>
      <c r="K273" s="1244">
        <v>41921</v>
      </c>
      <c r="L273" s="187">
        <v>2400</v>
      </c>
      <c r="M273" s="1243">
        <v>11410</v>
      </c>
      <c r="N273" s="1244">
        <v>41925</v>
      </c>
      <c r="O273" s="1244">
        <v>41985</v>
      </c>
      <c r="P273" s="1239" t="s">
        <v>6763</v>
      </c>
      <c r="Q273" s="1239" t="s">
        <v>677</v>
      </c>
      <c r="R273" s="1239" t="s">
        <v>677</v>
      </c>
      <c r="S273" s="1239" t="s">
        <v>677</v>
      </c>
      <c r="T273" s="1239" t="s">
        <v>316</v>
      </c>
      <c r="U273" s="1246" t="s">
        <v>677</v>
      </c>
      <c r="V273" s="1239" t="s">
        <v>677</v>
      </c>
      <c r="W273" s="1243" t="s">
        <v>677</v>
      </c>
      <c r="X273" s="1239" t="s">
        <v>677</v>
      </c>
      <c r="Y273" s="1244" t="s">
        <v>677</v>
      </c>
      <c r="Z273" s="1244" t="s">
        <v>677</v>
      </c>
      <c r="AA273" s="1242" t="s">
        <v>677</v>
      </c>
      <c r="AB273" s="1239" t="s">
        <v>677</v>
      </c>
      <c r="AC273" s="1319">
        <v>0</v>
      </c>
      <c r="AD273" s="1319">
        <v>0</v>
      </c>
      <c r="AE273" s="1319">
        <v>2400</v>
      </c>
      <c r="AF273" s="1319"/>
      <c r="AG273" s="187">
        <v>2400</v>
      </c>
      <c r="AH273" s="187">
        <f>AG273</f>
        <v>2400</v>
      </c>
      <c r="AI273" s="1265"/>
      <c r="AJ273" s="1243"/>
      <c r="AK273" s="1284" t="s">
        <v>677</v>
      </c>
      <c r="AL273" s="1243" t="s">
        <v>677</v>
      </c>
      <c r="AM273" s="1610" t="s">
        <v>677</v>
      </c>
      <c r="AN273" s="1248" t="s">
        <v>677</v>
      </c>
      <c r="AO273" s="1248" t="s">
        <v>677</v>
      </c>
      <c r="AP273" s="1248" t="s">
        <v>677</v>
      </c>
      <c r="AQ273" s="1248" t="s">
        <v>677</v>
      </c>
      <c r="AR273" s="1248" t="s">
        <v>677</v>
      </c>
      <c r="AS273" s="1243" t="s">
        <v>677</v>
      </c>
      <c r="AT273" s="1243" t="s">
        <v>677</v>
      </c>
      <c r="AU273" s="1243" t="s">
        <v>677</v>
      </c>
      <c r="AV273" s="1243" t="s">
        <v>677</v>
      </c>
      <c r="AW273" s="1243" t="s">
        <v>677</v>
      </c>
      <c r="AX273" s="1243" t="s">
        <v>677</v>
      </c>
      <c r="AY273" s="1243" t="s">
        <v>677</v>
      </c>
      <c r="AZ273" s="1243" t="s">
        <v>677</v>
      </c>
      <c r="BA273" s="1243" t="s">
        <v>677</v>
      </c>
      <c r="BB273" s="1243" t="s">
        <v>677</v>
      </c>
      <c r="BC273" s="1243" t="s">
        <v>677</v>
      </c>
      <c r="BD273" s="1243" t="s">
        <v>677</v>
      </c>
    </row>
    <row r="274" spans="1:56" s="422" customFormat="1" ht="25.5" x14ac:dyDescent="0.25">
      <c r="A274" s="1879">
        <v>191</v>
      </c>
      <c r="B274" s="1276" t="s">
        <v>575</v>
      </c>
      <c r="C274" s="1239" t="s">
        <v>677</v>
      </c>
      <c r="D274" s="1239" t="s">
        <v>7349</v>
      </c>
      <c r="E274" s="1239" t="s">
        <v>5811</v>
      </c>
      <c r="F274" s="28" t="s">
        <v>7350</v>
      </c>
      <c r="G274" s="1239" t="s">
        <v>677</v>
      </c>
      <c r="H274" s="1246" t="s">
        <v>801</v>
      </c>
      <c r="I274" s="1273" t="s">
        <v>7081</v>
      </c>
      <c r="J274" s="1239" t="s">
        <v>7071</v>
      </c>
      <c r="K274" s="1244">
        <v>41922</v>
      </c>
      <c r="L274" s="187">
        <v>1150</v>
      </c>
      <c r="M274" s="1243">
        <v>11411</v>
      </c>
      <c r="N274" s="1244">
        <v>41922</v>
      </c>
      <c r="O274" s="1244">
        <v>41982</v>
      </c>
      <c r="P274" s="1239" t="s">
        <v>6735</v>
      </c>
      <c r="Q274" s="1239" t="s">
        <v>677</v>
      </c>
      <c r="R274" s="1239" t="s">
        <v>677</v>
      </c>
      <c r="S274" s="1239" t="s">
        <v>677</v>
      </c>
      <c r="T274" s="1239" t="s">
        <v>208</v>
      </c>
      <c r="U274" s="1246" t="s">
        <v>677</v>
      </c>
      <c r="V274" s="1239" t="s">
        <v>677</v>
      </c>
      <c r="W274" s="1243" t="s">
        <v>677</v>
      </c>
      <c r="X274" s="1239" t="s">
        <v>677</v>
      </c>
      <c r="Y274" s="1244" t="s">
        <v>677</v>
      </c>
      <c r="Z274" s="1244" t="s">
        <v>677</v>
      </c>
      <c r="AA274" s="1242" t="s">
        <v>677</v>
      </c>
      <c r="AB274" s="1239" t="s">
        <v>677</v>
      </c>
      <c r="AC274" s="1319">
        <v>0</v>
      </c>
      <c r="AD274" s="1319">
        <v>0</v>
      </c>
      <c r="AE274" s="1319">
        <v>1150</v>
      </c>
      <c r="AF274" s="1319"/>
      <c r="AG274" s="187">
        <v>1150</v>
      </c>
      <c r="AH274" s="187">
        <v>1150</v>
      </c>
      <c r="AI274" s="1265" t="s">
        <v>677</v>
      </c>
      <c r="AJ274" s="1243" t="s">
        <v>677</v>
      </c>
      <c r="AK274" s="1284" t="s">
        <v>677</v>
      </c>
      <c r="AL274" s="1243" t="s">
        <v>677</v>
      </c>
      <c r="AM274" s="1610" t="s">
        <v>677</v>
      </c>
      <c r="AN274" s="1248" t="s">
        <v>677</v>
      </c>
      <c r="AO274" s="1248" t="s">
        <v>677</v>
      </c>
      <c r="AP274" s="1248" t="s">
        <v>677</v>
      </c>
      <c r="AQ274" s="1248" t="s">
        <v>677</v>
      </c>
      <c r="AR274" s="1248" t="s">
        <v>677</v>
      </c>
      <c r="AS274" s="1243" t="s">
        <v>677</v>
      </c>
      <c r="AT274" s="1243" t="s">
        <v>677</v>
      </c>
      <c r="AU274" s="1243" t="s">
        <v>677</v>
      </c>
      <c r="AV274" s="1243" t="s">
        <v>677</v>
      </c>
      <c r="AW274" s="1243" t="s">
        <v>677</v>
      </c>
      <c r="AX274" s="1243" t="s">
        <v>677</v>
      </c>
      <c r="AY274" s="1243" t="s">
        <v>677</v>
      </c>
      <c r="AZ274" s="1243" t="s">
        <v>677</v>
      </c>
      <c r="BA274" s="1243" t="s">
        <v>677</v>
      </c>
      <c r="BB274" s="1243" t="s">
        <v>677</v>
      </c>
      <c r="BC274" s="1243" t="s">
        <v>677</v>
      </c>
      <c r="BD274" s="1243" t="s">
        <v>677</v>
      </c>
    </row>
    <row r="275" spans="1:56" s="422" customFormat="1" ht="51" x14ac:dyDescent="0.25">
      <c r="A275" s="1879">
        <v>192</v>
      </c>
      <c r="B275" s="1276" t="s">
        <v>7330</v>
      </c>
      <c r="C275" s="1239" t="s">
        <v>7327</v>
      </c>
      <c r="D275" s="1239" t="s">
        <v>6730</v>
      </c>
      <c r="E275" s="1239" t="s">
        <v>5811</v>
      </c>
      <c r="F275" s="1291" t="s">
        <v>7328</v>
      </c>
      <c r="G275" s="1243">
        <v>11223</v>
      </c>
      <c r="H275" s="1246" t="s">
        <v>819</v>
      </c>
      <c r="I275" s="1273" t="s">
        <v>7329</v>
      </c>
      <c r="J275" s="1239" t="s">
        <v>800</v>
      </c>
      <c r="K275" s="1244">
        <v>41926</v>
      </c>
      <c r="L275" s="187">
        <v>19766.75</v>
      </c>
      <c r="M275" s="1243">
        <v>11414</v>
      </c>
      <c r="N275" s="1244">
        <v>41926</v>
      </c>
      <c r="O275" s="1244">
        <v>41986</v>
      </c>
      <c r="P275" s="1239" t="s">
        <v>6763</v>
      </c>
      <c r="Q275" s="1239" t="s">
        <v>677</v>
      </c>
      <c r="R275" s="1239" t="s">
        <v>677</v>
      </c>
      <c r="S275" s="1239" t="s">
        <v>677</v>
      </c>
      <c r="T275" s="1239" t="s">
        <v>316</v>
      </c>
      <c r="U275" s="1246" t="s">
        <v>677</v>
      </c>
      <c r="V275" s="1239" t="s">
        <v>677</v>
      </c>
      <c r="W275" s="1243" t="s">
        <v>677</v>
      </c>
      <c r="X275" s="1239" t="s">
        <v>677</v>
      </c>
      <c r="Y275" s="1244" t="s">
        <v>677</v>
      </c>
      <c r="Z275" s="1244" t="s">
        <v>677</v>
      </c>
      <c r="AA275" s="1242" t="s">
        <v>677</v>
      </c>
      <c r="AB275" s="1239" t="s">
        <v>677</v>
      </c>
      <c r="AC275" s="1319">
        <v>0</v>
      </c>
      <c r="AD275" s="1319">
        <v>0</v>
      </c>
      <c r="AE275" s="1319">
        <v>19766.75</v>
      </c>
      <c r="AF275" s="1319"/>
      <c r="AG275" s="187">
        <v>19766.75</v>
      </c>
      <c r="AH275" s="187">
        <v>19766.75</v>
      </c>
      <c r="AI275" s="1265" t="s">
        <v>677</v>
      </c>
      <c r="AJ275" s="1243" t="s">
        <v>677</v>
      </c>
      <c r="AK275" s="1284" t="s">
        <v>677</v>
      </c>
      <c r="AL275" s="1243" t="s">
        <v>677</v>
      </c>
      <c r="AM275" s="1610" t="s">
        <v>677</v>
      </c>
      <c r="AN275" s="1248" t="s">
        <v>677</v>
      </c>
      <c r="AO275" s="1248" t="s">
        <v>677</v>
      </c>
      <c r="AP275" s="1248" t="s">
        <v>677</v>
      </c>
      <c r="AQ275" s="1248" t="s">
        <v>677</v>
      </c>
      <c r="AR275" s="1248" t="s">
        <v>677</v>
      </c>
      <c r="AS275" s="1243" t="s">
        <v>677</v>
      </c>
      <c r="AT275" s="1243" t="s">
        <v>677</v>
      </c>
      <c r="AU275" s="1243" t="s">
        <v>677</v>
      </c>
      <c r="AV275" s="1243" t="s">
        <v>677</v>
      </c>
      <c r="AW275" s="1243" t="s">
        <v>677</v>
      </c>
      <c r="AX275" s="1243" t="s">
        <v>677</v>
      </c>
      <c r="AY275" s="1243" t="s">
        <v>677</v>
      </c>
      <c r="AZ275" s="1243" t="s">
        <v>677</v>
      </c>
      <c r="BA275" s="1243" t="s">
        <v>677</v>
      </c>
      <c r="BB275" s="1243" t="s">
        <v>677</v>
      </c>
      <c r="BC275" s="1243" t="s">
        <v>677</v>
      </c>
      <c r="BD275" s="1243" t="s">
        <v>677</v>
      </c>
    </row>
    <row r="276" spans="1:56" s="422" customFormat="1" ht="25.5" x14ac:dyDescent="0.25">
      <c r="A276" s="1879">
        <v>193</v>
      </c>
      <c r="B276" s="1276" t="s">
        <v>4592</v>
      </c>
      <c r="C276" s="1239" t="s">
        <v>7327</v>
      </c>
      <c r="D276" s="1239" t="s">
        <v>6730</v>
      </c>
      <c r="E276" s="1239" t="s">
        <v>5811</v>
      </c>
      <c r="F276" s="1291" t="s">
        <v>7328</v>
      </c>
      <c r="G276" s="1243">
        <v>11223</v>
      </c>
      <c r="H276" s="1246" t="s">
        <v>783</v>
      </c>
      <c r="I276" s="1273" t="s">
        <v>7351</v>
      </c>
      <c r="J276" s="1239" t="s">
        <v>467</v>
      </c>
      <c r="K276" s="1244">
        <v>41932</v>
      </c>
      <c r="L276" s="187">
        <v>1425</v>
      </c>
      <c r="M276" s="1243">
        <v>11418</v>
      </c>
      <c r="N276" s="1244">
        <v>41932</v>
      </c>
      <c r="O276" s="1244">
        <v>41993</v>
      </c>
      <c r="P276" s="1239" t="s">
        <v>6735</v>
      </c>
      <c r="Q276" s="1239" t="s">
        <v>677</v>
      </c>
      <c r="R276" s="1239" t="s">
        <v>677</v>
      </c>
      <c r="S276" s="1239" t="s">
        <v>677</v>
      </c>
      <c r="T276" s="1239" t="s">
        <v>316</v>
      </c>
      <c r="U276" s="1246" t="s">
        <v>677</v>
      </c>
      <c r="V276" s="1239" t="s">
        <v>677</v>
      </c>
      <c r="W276" s="1243" t="s">
        <v>677</v>
      </c>
      <c r="X276" s="1239" t="s">
        <v>677</v>
      </c>
      <c r="Y276" s="1244" t="s">
        <v>677</v>
      </c>
      <c r="Z276" s="1244" t="s">
        <v>677</v>
      </c>
      <c r="AA276" s="1242" t="s">
        <v>677</v>
      </c>
      <c r="AB276" s="1239" t="s">
        <v>677</v>
      </c>
      <c r="AC276" s="1319">
        <v>0</v>
      </c>
      <c r="AD276" s="1319">
        <v>0</v>
      </c>
      <c r="AE276" s="1319">
        <v>1425</v>
      </c>
      <c r="AF276" s="1319"/>
      <c r="AG276" s="187">
        <v>1425</v>
      </c>
      <c r="AH276" s="187">
        <f>AG276</f>
        <v>1425</v>
      </c>
      <c r="AI276" s="1265" t="s">
        <v>677</v>
      </c>
      <c r="AJ276" s="1243" t="s">
        <v>677</v>
      </c>
      <c r="AK276" s="1284" t="s">
        <v>677</v>
      </c>
      <c r="AL276" s="1243" t="s">
        <v>677</v>
      </c>
      <c r="AM276" s="1610" t="s">
        <v>677</v>
      </c>
      <c r="AN276" s="1248" t="s">
        <v>677</v>
      </c>
      <c r="AO276" s="1248" t="s">
        <v>677</v>
      </c>
      <c r="AP276" s="1248" t="s">
        <v>677</v>
      </c>
      <c r="AQ276" s="1248" t="s">
        <v>677</v>
      </c>
      <c r="AR276" s="1248" t="s">
        <v>677</v>
      </c>
      <c r="AS276" s="1243" t="s">
        <v>677</v>
      </c>
      <c r="AT276" s="1243" t="s">
        <v>677</v>
      </c>
      <c r="AU276" s="1243" t="s">
        <v>677</v>
      </c>
      <c r="AV276" s="1243" t="s">
        <v>677</v>
      </c>
      <c r="AW276" s="1243" t="s">
        <v>677</v>
      </c>
      <c r="AX276" s="1243" t="s">
        <v>677</v>
      </c>
      <c r="AY276" s="1243" t="s">
        <v>677</v>
      </c>
      <c r="AZ276" s="1243" t="s">
        <v>677</v>
      </c>
      <c r="BA276" s="1243" t="s">
        <v>677</v>
      </c>
      <c r="BB276" s="1243" t="s">
        <v>677</v>
      </c>
      <c r="BC276" s="1243" t="s">
        <v>677</v>
      </c>
      <c r="BD276" s="1243" t="s">
        <v>677</v>
      </c>
    </row>
    <row r="277" spans="1:56" s="422" customFormat="1" ht="25.5" x14ac:dyDescent="0.25">
      <c r="A277" s="1879">
        <v>194</v>
      </c>
      <c r="B277" s="1276" t="s">
        <v>802</v>
      </c>
      <c r="C277" s="1239" t="s">
        <v>7352</v>
      </c>
      <c r="D277" s="1239" t="s">
        <v>6730</v>
      </c>
      <c r="E277" s="1239" t="s">
        <v>5811</v>
      </c>
      <c r="F277" s="1291" t="s">
        <v>7051</v>
      </c>
      <c r="G277" s="1243">
        <v>11238</v>
      </c>
      <c r="H277" s="1246" t="s">
        <v>2219</v>
      </c>
      <c r="I277" s="1273" t="s">
        <v>7053</v>
      </c>
      <c r="J277" s="1239" t="s">
        <v>5630</v>
      </c>
      <c r="K277" s="1244">
        <v>41933</v>
      </c>
      <c r="L277" s="187">
        <v>6054.4</v>
      </c>
      <c r="M277" s="1243">
        <v>11419</v>
      </c>
      <c r="N277" s="1244">
        <v>41933</v>
      </c>
      <c r="O277" s="1244">
        <v>41993</v>
      </c>
      <c r="P277" s="1239" t="s">
        <v>6763</v>
      </c>
      <c r="Q277" s="1239" t="s">
        <v>677</v>
      </c>
      <c r="R277" s="1239" t="s">
        <v>677</v>
      </c>
      <c r="S277" s="1239" t="s">
        <v>677</v>
      </c>
      <c r="T277" s="1239" t="s">
        <v>316</v>
      </c>
      <c r="U277" s="1246" t="s">
        <v>677</v>
      </c>
      <c r="V277" s="1239" t="s">
        <v>677</v>
      </c>
      <c r="W277" s="1243" t="s">
        <v>677</v>
      </c>
      <c r="X277" s="1239" t="s">
        <v>677</v>
      </c>
      <c r="Y277" s="1244" t="s">
        <v>677</v>
      </c>
      <c r="Z277" s="1244" t="s">
        <v>677</v>
      </c>
      <c r="AA277" s="1242" t="s">
        <v>677</v>
      </c>
      <c r="AB277" s="1239" t="s">
        <v>677</v>
      </c>
      <c r="AC277" s="1319">
        <v>0</v>
      </c>
      <c r="AD277" s="1319">
        <v>0</v>
      </c>
      <c r="AE277" s="1319">
        <v>6054.4</v>
      </c>
      <c r="AF277" s="1319"/>
      <c r="AG277" s="187">
        <v>6054.4</v>
      </c>
      <c r="AH277" s="187">
        <f>AG277</f>
        <v>6054.4</v>
      </c>
      <c r="AI277" s="1265" t="s">
        <v>677</v>
      </c>
      <c r="AJ277" s="1243" t="s">
        <v>677</v>
      </c>
      <c r="AK277" s="1284" t="s">
        <v>677</v>
      </c>
      <c r="AL277" s="1243" t="s">
        <v>677</v>
      </c>
      <c r="AM277" s="1610" t="s">
        <v>677</v>
      </c>
      <c r="AN277" s="1248" t="s">
        <v>677</v>
      </c>
      <c r="AO277" s="1248" t="s">
        <v>677</v>
      </c>
      <c r="AP277" s="1248" t="s">
        <v>677</v>
      </c>
      <c r="AQ277" s="1248" t="s">
        <v>677</v>
      </c>
      <c r="AR277" s="1248" t="s">
        <v>677</v>
      </c>
      <c r="AS277" s="1243" t="s">
        <v>677</v>
      </c>
      <c r="AT277" s="1243" t="s">
        <v>677</v>
      </c>
      <c r="AU277" s="1243" t="s">
        <v>677</v>
      </c>
      <c r="AV277" s="1243" t="s">
        <v>677</v>
      </c>
      <c r="AW277" s="1243" t="s">
        <v>677</v>
      </c>
      <c r="AX277" s="1243" t="s">
        <v>677</v>
      </c>
      <c r="AY277" s="1243" t="s">
        <v>677</v>
      </c>
      <c r="AZ277" s="1243" t="s">
        <v>677</v>
      </c>
      <c r="BA277" s="1243" t="s">
        <v>677</v>
      </c>
      <c r="BB277" s="1243" t="s">
        <v>677</v>
      </c>
      <c r="BC277" s="1243" t="s">
        <v>677</v>
      </c>
      <c r="BD277" s="1243" t="s">
        <v>677</v>
      </c>
    </row>
    <row r="278" spans="1:56" s="422" customFormat="1" ht="63.75" x14ac:dyDescent="0.25">
      <c r="A278" s="1879">
        <v>195</v>
      </c>
      <c r="B278" s="1276" t="s">
        <v>7214</v>
      </c>
      <c r="C278" s="1239" t="s">
        <v>7353</v>
      </c>
      <c r="D278" s="1239" t="s">
        <v>6800</v>
      </c>
      <c r="E278" s="1239" t="s">
        <v>5811</v>
      </c>
      <c r="F278" s="1291" t="s">
        <v>7216</v>
      </c>
      <c r="G278" s="1243" t="s">
        <v>7354</v>
      </c>
      <c r="H278" s="1246" t="s">
        <v>2223</v>
      </c>
      <c r="I278" s="1273" t="s">
        <v>4538</v>
      </c>
      <c r="J278" s="1239" t="s">
        <v>4539</v>
      </c>
      <c r="K278" s="1244">
        <v>41941</v>
      </c>
      <c r="L278" s="187">
        <v>15730</v>
      </c>
      <c r="M278" s="1243">
        <v>11425</v>
      </c>
      <c r="N278" s="1244">
        <v>41942</v>
      </c>
      <c r="O278" s="1244">
        <v>42003</v>
      </c>
      <c r="P278" s="1239" t="s">
        <v>6763</v>
      </c>
      <c r="Q278" s="1239" t="s">
        <v>677</v>
      </c>
      <c r="R278" s="1239" t="s">
        <v>677</v>
      </c>
      <c r="S278" s="1239" t="s">
        <v>677</v>
      </c>
      <c r="T278" s="1239" t="s">
        <v>408</v>
      </c>
      <c r="U278" s="1246" t="s">
        <v>677</v>
      </c>
      <c r="V278" s="1239" t="s">
        <v>677</v>
      </c>
      <c r="W278" s="1243" t="s">
        <v>677</v>
      </c>
      <c r="X278" s="1239" t="s">
        <v>677</v>
      </c>
      <c r="Y278" s="1244" t="s">
        <v>677</v>
      </c>
      <c r="Z278" s="1244" t="s">
        <v>677</v>
      </c>
      <c r="AA278" s="1242" t="s">
        <v>677</v>
      </c>
      <c r="AB278" s="1239" t="s">
        <v>677</v>
      </c>
      <c r="AC278" s="1319">
        <v>0</v>
      </c>
      <c r="AD278" s="1319">
        <v>0</v>
      </c>
      <c r="AE278" s="1319">
        <f>L278-AD278+AC278</f>
        <v>15730</v>
      </c>
      <c r="AF278" s="1319"/>
      <c r="AG278" s="187">
        <v>15730</v>
      </c>
      <c r="AH278" s="187">
        <f t="shared" ref="AH278" si="16">AF278+AG278</f>
        <v>15730</v>
      </c>
      <c r="AI278" s="1265" t="s">
        <v>1070</v>
      </c>
      <c r="AJ278" s="1243" t="s">
        <v>7219</v>
      </c>
      <c r="AK278" s="1284" t="s">
        <v>6448</v>
      </c>
      <c r="AL278" s="1243">
        <v>11363</v>
      </c>
      <c r="AM278" s="1248" t="s">
        <v>677</v>
      </c>
      <c r="AN278" s="1248" t="s">
        <v>677</v>
      </c>
      <c r="AO278" s="1248" t="s">
        <v>677</v>
      </c>
      <c r="AP278" s="1248" t="s">
        <v>677</v>
      </c>
      <c r="AQ278" s="1248" t="s">
        <v>677</v>
      </c>
      <c r="AR278" s="1248" t="s">
        <v>677</v>
      </c>
      <c r="AS278" s="1243" t="s">
        <v>677</v>
      </c>
      <c r="AT278" s="1243" t="s">
        <v>677</v>
      </c>
      <c r="AU278" s="1243" t="s">
        <v>677</v>
      </c>
      <c r="AV278" s="1243" t="s">
        <v>677</v>
      </c>
      <c r="AW278" s="1243" t="s">
        <v>677</v>
      </c>
      <c r="AX278" s="1243" t="s">
        <v>677</v>
      </c>
      <c r="AY278" s="1243" t="s">
        <v>677</v>
      </c>
      <c r="AZ278" s="1243" t="s">
        <v>677</v>
      </c>
      <c r="BA278" s="1243" t="s">
        <v>677</v>
      </c>
      <c r="BB278" s="1243" t="s">
        <v>677</v>
      </c>
      <c r="BC278" s="1243" t="s">
        <v>677</v>
      </c>
      <c r="BD278" s="1243" t="s">
        <v>677</v>
      </c>
    </row>
    <row r="279" spans="1:56" s="422" customFormat="1" ht="25.5" x14ac:dyDescent="0.25">
      <c r="A279" s="1879">
        <v>196</v>
      </c>
      <c r="B279" s="1276" t="s">
        <v>1750</v>
      </c>
      <c r="C279" s="1239" t="s">
        <v>7355</v>
      </c>
      <c r="D279" s="1239" t="s">
        <v>6730</v>
      </c>
      <c r="E279" s="1239" t="s">
        <v>5811</v>
      </c>
      <c r="F279" s="1291" t="s">
        <v>6961</v>
      </c>
      <c r="G279" s="1243">
        <v>11192</v>
      </c>
      <c r="H279" s="1246" t="s">
        <v>2227</v>
      </c>
      <c r="I279" s="1273" t="s">
        <v>4405</v>
      </c>
      <c r="J279" s="1239" t="s">
        <v>330</v>
      </c>
      <c r="K279" s="1244">
        <v>41947</v>
      </c>
      <c r="L279" s="187">
        <v>980</v>
      </c>
      <c r="M279" s="1243">
        <v>11428</v>
      </c>
      <c r="N279" s="1244">
        <v>41948</v>
      </c>
      <c r="O279" s="1244">
        <v>42009</v>
      </c>
      <c r="P279" s="1239" t="s">
        <v>6763</v>
      </c>
      <c r="Q279" s="1239" t="s">
        <v>677</v>
      </c>
      <c r="R279" s="1239" t="s">
        <v>677</v>
      </c>
      <c r="S279" s="1239" t="s">
        <v>677</v>
      </c>
      <c r="T279" s="1239" t="s">
        <v>316</v>
      </c>
      <c r="U279" s="1246" t="s">
        <v>677</v>
      </c>
      <c r="V279" s="1239" t="s">
        <v>677</v>
      </c>
      <c r="W279" s="1243" t="s">
        <v>677</v>
      </c>
      <c r="X279" s="1239" t="s">
        <v>677</v>
      </c>
      <c r="Y279" s="1244" t="s">
        <v>677</v>
      </c>
      <c r="Z279" s="1244" t="s">
        <v>677</v>
      </c>
      <c r="AA279" s="1242" t="s">
        <v>677</v>
      </c>
      <c r="AB279" s="1239" t="s">
        <v>677</v>
      </c>
      <c r="AC279" s="1319">
        <v>0</v>
      </c>
      <c r="AD279" s="1319">
        <v>0</v>
      </c>
      <c r="AE279" s="1319">
        <v>980</v>
      </c>
      <c r="AF279" s="1319"/>
      <c r="AG279" s="187">
        <v>980</v>
      </c>
      <c r="AH279" s="187">
        <v>980</v>
      </c>
      <c r="AI279" s="1265" t="s">
        <v>677</v>
      </c>
      <c r="AJ279" s="1243" t="s">
        <v>677</v>
      </c>
      <c r="AK279" s="1284" t="s">
        <v>677</v>
      </c>
      <c r="AL279" s="1243" t="s">
        <v>677</v>
      </c>
      <c r="AM279" s="1610" t="s">
        <v>677</v>
      </c>
      <c r="AN279" s="1248" t="s">
        <v>677</v>
      </c>
      <c r="AO279" s="1248" t="s">
        <v>677</v>
      </c>
      <c r="AP279" s="1248" t="s">
        <v>677</v>
      </c>
      <c r="AQ279" s="1248" t="s">
        <v>677</v>
      </c>
      <c r="AR279" s="1248" t="s">
        <v>677</v>
      </c>
      <c r="AS279" s="1243" t="s">
        <v>677</v>
      </c>
      <c r="AT279" s="1243" t="s">
        <v>677</v>
      </c>
      <c r="AU279" s="1243" t="s">
        <v>677</v>
      </c>
      <c r="AV279" s="1243" t="s">
        <v>677</v>
      </c>
      <c r="AW279" s="1243" t="s">
        <v>677</v>
      </c>
      <c r="AX279" s="1243" t="s">
        <v>677</v>
      </c>
      <c r="AY279" s="1243" t="s">
        <v>677</v>
      </c>
      <c r="AZ279" s="1243" t="s">
        <v>677</v>
      </c>
      <c r="BA279" s="1243" t="s">
        <v>677</v>
      </c>
      <c r="BB279" s="1243" t="s">
        <v>677</v>
      </c>
      <c r="BC279" s="1243" t="s">
        <v>677</v>
      </c>
      <c r="BD279" s="1243" t="s">
        <v>677</v>
      </c>
    </row>
    <row r="280" spans="1:56" s="422" customFormat="1" ht="25.5" x14ac:dyDescent="0.25">
      <c r="A280" s="1879">
        <v>197</v>
      </c>
      <c r="B280" s="1276" t="s">
        <v>383</v>
      </c>
      <c r="C280" s="1239" t="s">
        <v>7355</v>
      </c>
      <c r="D280" s="1239" t="s">
        <v>6730</v>
      </c>
      <c r="E280" s="1239" t="s">
        <v>5811</v>
      </c>
      <c r="F280" s="1291" t="s">
        <v>6961</v>
      </c>
      <c r="G280" s="1243">
        <v>11192</v>
      </c>
      <c r="H280" s="1246" t="s">
        <v>2230</v>
      </c>
      <c r="I280" s="1273" t="s">
        <v>6965</v>
      </c>
      <c r="J280" s="1239" t="s">
        <v>458</v>
      </c>
      <c r="K280" s="1244">
        <v>41947</v>
      </c>
      <c r="L280" s="187">
        <v>3076</v>
      </c>
      <c r="M280" s="1243">
        <v>11428</v>
      </c>
      <c r="N280" s="1244">
        <v>41948</v>
      </c>
      <c r="O280" s="1244">
        <v>42009</v>
      </c>
      <c r="P280" s="1239" t="s">
        <v>6763</v>
      </c>
      <c r="Q280" s="1239" t="s">
        <v>677</v>
      </c>
      <c r="R280" s="1239" t="s">
        <v>677</v>
      </c>
      <c r="S280" s="1239" t="s">
        <v>677</v>
      </c>
      <c r="T280" s="1239" t="s">
        <v>316</v>
      </c>
      <c r="U280" s="1246" t="s">
        <v>677</v>
      </c>
      <c r="V280" s="1239" t="s">
        <v>677</v>
      </c>
      <c r="W280" s="1243" t="s">
        <v>677</v>
      </c>
      <c r="X280" s="1239" t="s">
        <v>677</v>
      </c>
      <c r="Y280" s="1244" t="s">
        <v>677</v>
      </c>
      <c r="Z280" s="1244" t="s">
        <v>677</v>
      </c>
      <c r="AA280" s="1242" t="s">
        <v>677</v>
      </c>
      <c r="AB280" s="1239" t="s">
        <v>677</v>
      </c>
      <c r="AC280" s="1319">
        <v>0</v>
      </c>
      <c r="AD280" s="1319">
        <v>0</v>
      </c>
      <c r="AE280" s="1319">
        <v>3076</v>
      </c>
      <c r="AF280" s="1319"/>
      <c r="AG280" s="187">
        <v>3076</v>
      </c>
      <c r="AH280" s="187">
        <v>3076</v>
      </c>
      <c r="AI280" s="1265" t="s">
        <v>677</v>
      </c>
      <c r="AJ280" s="1243" t="s">
        <v>677</v>
      </c>
      <c r="AK280" s="1284" t="s">
        <v>677</v>
      </c>
      <c r="AL280" s="1243" t="s">
        <v>677</v>
      </c>
      <c r="AM280" s="1610" t="s">
        <v>677</v>
      </c>
      <c r="AN280" s="1248" t="s">
        <v>677</v>
      </c>
      <c r="AO280" s="1248" t="s">
        <v>677</v>
      </c>
      <c r="AP280" s="1248" t="s">
        <v>677</v>
      </c>
      <c r="AQ280" s="1248" t="s">
        <v>677</v>
      </c>
      <c r="AR280" s="1248" t="s">
        <v>677</v>
      </c>
      <c r="AS280" s="1243" t="s">
        <v>677</v>
      </c>
      <c r="AT280" s="1243" t="s">
        <v>677</v>
      </c>
      <c r="AU280" s="1243" t="s">
        <v>677</v>
      </c>
      <c r="AV280" s="1243" t="s">
        <v>677</v>
      </c>
      <c r="AW280" s="1243" t="s">
        <v>677</v>
      </c>
      <c r="AX280" s="1243" t="s">
        <v>677</v>
      </c>
      <c r="AY280" s="1243" t="s">
        <v>677</v>
      </c>
      <c r="AZ280" s="1243" t="s">
        <v>677</v>
      </c>
      <c r="BA280" s="1243" t="s">
        <v>677</v>
      </c>
      <c r="BB280" s="1243" t="s">
        <v>677</v>
      </c>
      <c r="BC280" s="1243" t="s">
        <v>677</v>
      </c>
      <c r="BD280" s="1243" t="s">
        <v>677</v>
      </c>
    </row>
    <row r="281" spans="1:56" s="422" customFormat="1" ht="25.5" x14ac:dyDescent="0.25">
      <c r="A281" s="1879">
        <v>198</v>
      </c>
      <c r="B281" s="1276" t="s">
        <v>1741</v>
      </c>
      <c r="C281" s="1239" t="s">
        <v>7355</v>
      </c>
      <c r="D281" s="1239" t="s">
        <v>6730</v>
      </c>
      <c r="E281" s="1239" t="s">
        <v>5811</v>
      </c>
      <c r="F281" s="1291" t="s">
        <v>6961</v>
      </c>
      <c r="G281" s="1243">
        <v>11192</v>
      </c>
      <c r="H281" s="1246" t="s">
        <v>2232</v>
      </c>
      <c r="I281" s="1273" t="s">
        <v>6966</v>
      </c>
      <c r="J281" s="1239" t="s">
        <v>2130</v>
      </c>
      <c r="K281" s="1244">
        <v>41947</v>
      </c>
      <c r="L281" s="187">
        <v>3568</v>
      </c>
      <c r="M281" s="1243">
        <v>11428</v>
      </c>
      <c r="N281" s="1244">
        <v>41949</v>
      </c>
      <c r="O281" s="1244">
        <v>42010</v>
      </c>
      <c r="P281" s="1239" t="s">
        <v>6763</v>
      </c>
      <c r="Q281" s="1239" t="s">
        <v>677</v>
      </c>
      <c r="R281" s="1239" t="s">
        <v>677</v>
      </c>
      <c r="S281" s="1239" t="s">
        <v>677</v>
      </c>
      <c r="T281" s="1239" t="s">
        <v>316</v>
      </c>
      <c r="U281" s="1246" t="s">
        <v>677</v>
      </c>
      <c r="V281" s="1239" t="s">
        <v>677</v>
      </c>
      <c r="W281" s="1243" t="s">
        <v>677</v>
      </c>
      <c r="X281" s="1239" t="s">
        <v>677</v>
      </c>
      <c r="Y281" s="1244" t="s">
        <v>677</v>
      </c>
      <c r="Z281" s="1244" t="s">
        <v>677</v>
      </c>
      <c r="AA281" s="1242" t="s">
        <v>677</v>
      </c>
      <c r="AB281" s="1239" t="s">
        <v>677</v>
      </c>
      <c r="AC281" s="1319">
        <v>0</v>
      </c>
      <c r="AD281" s="1319">
        <v>0</v>
      </c>
      <c r="AE281" s="1319">
        <v>3568</v>
      </c>
      <c r="AF281" s="1319"/>
      <c r="AG281" s="187">
        <v>3568</v>
      </c>
      <c r="AH281" s="187">
        <v>3568</v>
      </c>
      <c r="AI281" s="1265" t="s">
        <v>677</v>
      </c>
      <c r="AJ281" s="1243" t="s">
        <v>677</v>
      </c>
      <c r="AK281" s="1284" t="s">
        <v>677</v>
      </c>
      <c r="AL281" s="1243" t="s">
        <v>677</v>
      </c>
      <c r="AM281" s="1610" t="s">
        <v>677</v>
      </c>
      <c r="AN281" s="1248" t="s">
        <v>677</v>
      </c>
      <c r="AO281" s="1248" t="s">
        <v>677</v>
      </c>
      <c r="AP281" s="1248" t="s">
        <v>677</v>
      </c>
      <c r="AQ281" s="1248" t="s">
        <v>677</v>
      </c>
      <c r="AR281" s="1248" t="s">
        <v>677</v>
      </c>
      <c r="AS281" s="1243" t="s">
        <v>677</v>
      </c>
      <c r="AT281" s="1243" t="s">
        <v>677</v>
      </c>
      <c r="AU281" s="1243" t="s">
        <v>677</v>
      </c>
      <c r="AV281" s="1243" t="s">
        <v>677</v>
      </c>
      <c r="AW281" s="1243" t="s">
        <v>677</v>
      </c>
      <c r="AX281" s="1243" t="s">
        <v>677</v>
      </c>
      <c r="AY281" s="1243" t="s">
        <v>677</v>
      </c>
      <c r="AZ281" s="1243" t="s">
        <v>677</v>
      </c>
      <c r="BA281" s="1243" t="s">
        <v>677</v>
      </c>
      <c r="BB281" s="1243" t="s">
        <v>677</v>
      </c>
      <c r="BC281" s="1243" t="s">
        <v>677</v>
      </c>
      <c r="BD281" s="1243" t="s">
        <v>677</v>
      </c>
    </row>
    <row r="282" spans="1:56" s="422" customFormat="1" ht="25.5" x14ac:dyDescent="0.25">
      <c r="A282" s="1879">
        <v>199</v>
      </c>
      <c r="B282" s="1276" t="s">
        <v>1712</v>
      </c>
      <c r="C282" s="1239" t="s">
        <v>7323</v>
      </c>
      <c r="D282" s="1239" t="s">
        <v>6730</v>
      </c>
      <c r="E282" s="1239" t="s">
        <v>5811</v>
      </c>
      <c r="F282" s="1291" t="s">
        <v>7324</v>
      </c>
      <c r="G282" s="1243">
        <v>11183</v>
      </c>
      <c r="H282" s="1246" t="s">
        <v>389</v>
      </c>
      <c r="I282" s="1273" t="s">
        <v>7356</v>
      </c>
      <c r="J282" s="1239" t="s">
        <v>537</v>
      </c>
      <c r="K282" s="1244">
        <v>41947</v>
      </c>
      <c r="L282" s="187">
        <v>1856</v>
      </c>
      <c r="M282" s="1243">
        <v>11428</v>
      </c>
      <c r="N282" s="1244">
        <v>41948</v>
      </c>
      <c r="O282" s="1244">
        <v>42009</v>
      </c>
      <c r="P282" s="1239" t="s">
        <v>6763</v>
      </c>
      <c r="Q282" s="1239" t="s">
        <v>677</v>
      </c>
      <c r="R282" s="1239" t="s">
        <v>677</v>
      </c>
      <c r="S282" s="1239" t="s">
        <v>677</v>
      </c>
      <c r="T282" s="1239" t="s">
        <v>316</v>
      </c>
      <c r="U282" s="1246" t="s">
        <v>677</v>
      </c>
      <c r="V282" s="1239" t="s">
        <v>677</v>
      </c>
      <c r="W282" s="1243" t="s">
        <v>677</v>
      </c>
      <c r="X282" s="1239" t="s">
        <v>677</v>
      </c>
      <c r="Y282" s="1244" t="s">
        <v>677</v>
      </c>
      <c r="Z282" s="1244" t="s">
        <v>677</v>
      </c>
      <c r="AA282" s="1242" t="s">
        <v>677</v>
      </c>
      <c r="AB282" s="1239" t="s">
        <v>677</v>
      </c>
      <c r="AC282" s="1319">
        <v>0</v>
      </c>
      <c r="AD282" s="1319">
        <v>0</v>
      </c>
      <c r="AE282" s="1319">
        <v>1856</v>
      </c>
      <c r="AF282" s="1319"/>
      <c r="AG282" s="187">
        <v>1856</v>
      </c>
      <c r="AH282" s="187">
        <v>1856</v>
      </c>
      <c r="AI282" s="1265" t="s">
        <v>677</v>
      </c>
      <c r="AJ282" s="1243" t="s">
        <v>677</v>
      </c>
      <c r="AK282" s="1284" t="s">
        <v>677</v>
      </c>
      <c r="AL282" s="1243" t="s">
        <v>677</v>
      </c>
      <c r="AM282" s="1610" t="s">
        <v>677</v>
      </c>
      <c r="AN282" s="1248" t="s">
        <v>677</v>
      </c>
      <c r="AO282" s="1248" t="s">
        <v>677</v>
      </c>
      <c r="AP282" s="1248" t="s">
        <v>677</v>
      </c>
      <c r="AQ282" s="1248" t="s">
        <v>677</v>
      </c>
      <c r="AR282" s="1248" t="s">
        <v>677</v>
      </c>
      <c r="AS282" s="1243" t="s">
        <v>677</v>
      </c>
      <c r="AT282" s="1243" t="s">
        <v>677</v>
      </c>
      <c r="AU282" s="1243" t="s">
        <v>677</v>
      </c>
      <c r="AV282" s="1243" t="s">
        <v>677</v>
      </c>
      <c r="AW282" s="1243" t="s">
        <v>677</v>
      </c>
      <c r="AX282" s="1243" t="s">
        <v>677</v>
      </c>
      <c r="AY282" s="1243" t="s">
        <v>677</v>
      </c>
      <c r="AZ282" s="1243" t="s">
        <v>677</v>
      </c>
      <c r="BA282" s="1243" t="s">
        <v>677</v>
      </c>
      <c r="BB282" s="1243" t="s">
        <v>677</v>
      </c>
      <c r="BC282" s="1243" t="s">
        <v>677</v>
      </c>
      <c r="BD282" s="1243" t="s">
        <v>677</v>
      </c>
    </row>
    <row r="283" spans="1:56" s="422" customFormat="1" ht="38.25" x14ac:dyDescent="0.25">
      <c r="A283" s="1879">
        <v>200</v>
      </c>
      <c r="B283" s="1276" t="s">
        <v>1880</v>
      </c>
      <c r="C283" s="1239" t="s">
        <v>7137</v>
      </c>
      <c r="D283" s="1239" t="s">
        <v>6730</v>
      </c>
      <c r="E283" s="1239" t="s">
        <v>5811</v>
      </c>
      <c r="F283" s="1291" t="s">
        <v>7357</v>
      </c>
      <c r="G283" s="1243">
        <v>11227</v>
      </c>
      <c r="H283" s="1246" t="s">
        <v>2235</v>
      </c>
      <c r="I283" s="1273" t="s">
        <v>1958</v>
      </c>
      <c r="J283" s="1239" t="s">
        <v>746</v>
      </c>
      <c r="K283" s="1244">
        <v>41947</v>
      </c>
      <c r="L283" s="187">
        <v>2553.6</v>
      </c>
      <c r="M283" s="1243">
        <v>11428</v>
      </c>
      <c r="N283" s="1244">
        <v>41948</v>
      </c>
      <c r="O283" s="1244">
        <v>41644</v>
      </c>
      <c r="P283" s="1239" t="s">
        <v>6763</v>
      </c>
      <c r="Q283" s="1239" t="s">
        <v>677</v>
      </c>
      <c r="R283" s="1239" t="s">
        <v>677</v>
      </c>
      <c r="S283" s="1239" t="s">
        <v>677</v>
      </c>
      <c r="T283" s="1239" t="s">
        <v>316</v>
      </c>
      <c r="U283" s="1246" t="s">
        <v>677</v>
      </c>
      <c r="V283" s="1239" t="s">
        <v>677</v>
      </c>
      <c r="W283" s="1243" t="s">
        <v>677</v>
      </c>
      <c r="X283" s="1239" t="s">
        <v>677</v>
      </c>
      <c r="Y283" s="1244" t="s">
        <v>677</v>
      </c>
      <c r="Z283" s="1244" t="s">
        <v>677</v>
      </c>
      <c r="AA283" s="1242" t="s">
        <v>677</v>
      </c>
      <c r="AB283" s="1239" t="s">
        <v>677</v>
      </c>
      <c r="AC283" s="1319">
        <v>0</v>
      </c>
      <c r="AD283" s="1319">
        <v>0</v>
      </c>
      <c r="AE283" s="1319">
        <v>2553.6</v>
      </c>
      <c r="AF283" s="1319"/>
      <c r="AG283" s="187">
        <v>2553.6</v>
      </c>
      <c r="AH283" s="187">
        <v>2553.6</v>
      </c>
      <c r="AI283" s="1265" t="s">
        <v>677</v>
      </c>
      <c r="AJ283" s="1243" t="s">
        <v>677</v>
      </c>
      <c r="AK283" s="1284" t="s">
        <v>677</v>
      </c>
      <c r="AL283" s="1243" t="s">
        <v>677</v>
      </c>
      <c r="AM283" s="1610" t="s">
        <v>677</v>
      </c>
      <c r="AN283" s="1248" t="s">
        <v>677</v>
      </c>
      <c r="AO283" s="1248" t="s">
        <v>677</v>
      </c>
      <c r="AP283" s="1248" t="s">
        <v>677</v>
      </c>
      <c r="AQ283" s="1248" t="s">
        <v>677</v>
      </c>
      <c r="AR283" s="1248" t="s">
        <v>677</v>
      </c>
      <c r="AS283" s="1243" t="s">
        <v>677</v>
      </c>
      <c r="AT283" s="1243" t="s">
        <v>677</v>
      </c>
      <c r="AU283" s="1243" t="s">
        <v>677</v>
      </c>
      <c r="AV283" s="1243" t="s">
        <v>677</v>
      </c>
      <c r="AW283" s="1243" t="s">
        <v>677</v>
      </c>
      <c r="AX283" s="1243" t="s">
        <v>677</v>
      </c>
      <c r="AY283" s="1243" t="s">
        <v>677</v>
      </c>
      <c r="AZ283" s="1243" t="s">
        <v>677</v>
      </c>
      <c r="BA283" s="1243" t="s">
        <v>677</v>
      </c>
      <c r="BB283" s="1243" t="s">
        <v>677</v>
      </c>
      <c r="BC283" s="1243" t="s">
        <v>677</v>
      </c>
      <c r="BD283" s="1243" t="s">
        <v>677</v>
      </c>
    </row>
    <row r="284" spans="1:56" s="422" customFormat="1" ht="38.25" x14ac:dyDescent="0.25">
      <c r="A284" s="1879">
        <v>201</v>
      </c>
      <c r="B284" s="1276" t="s">
        <v>7358</v>
      </c>
      <c r="C284" s="1239" t="s">
        <v>7359</v>
      </c>
      <c r="D284" s="1239" t="s">
        <v>6730</v>
      </c>
      <c r="E284" s="1239" t="s">
        <v>5811</v>
      </c>
      <c r="F284" s="1291" t="s">
        <v>7360</v>
      </c>
      <c r="G284" s="1243">
        <v>11397</v>
      </c>
      <c r="H284" s="1246" t="s">
        <v>2237</v>
      </c>
      <c r="I284" s="1273" t="s">
        <v>7361</v>
      </c>
      <c r="J284" s="1239" t="s">
        <v>7362</v>
      </c>
      <c r="K284" s="1244">
        <v>41947</v>
      </c>
      <c r="L284" s="187">
        <v>7836.12</v>
      </c>
      <c r="M284" s="1243">
        <v>11429</v>
      </c>
      <c r="N284" s="1244">
        <v>41947</v>
      </c>
      <c r="O284" s="1244">
        <v>42008</v>
      </c>
      <c r="P284" s="1239" t="s">
        <v>6735</v>
      </c>
      <c r="Q284" s="1239" t="s">
        <v>677</v>
      </c>
      <c r="R284" s="1239" t="s">
        <v>677</v>
      </c>
      <c r="S284" s="1239" t="s">
        <v>677</v>
      </c>
      <c r="T284" s="1239" t="s">
        <v>208</v>
      </c>
      <c r="U284" s="1246" t="s">
        <v>677</v>
      </c>
      <c r="V284" s="1239" t="s">
        <v>677</v>
      </c>
      <c r="W284" s="1243" t="s">
        <v>677</v>
      </c>
      <c r="X284" s="1239" t="s">
        <v>677</v>
      </c>
      <c r="Y284" s="1244" t="s">
        <v>677</v>
      </c>
      <c r="Z284" s="1244" t="s">
        <v>677</v>
      </c>
      <c r="AA284" s="1242" t="s">
        <v>677</v>
      </c>
      <c r="AB284" s="1239" t="s">
        <v>677</v>
      </c>
      <c r="AC284" s="1319">
        <v>0</v>
      </c>
      <c r="AD284" s="1319">
        <v>0</v>
      </c>
      <c r="AE284" s="1319">
        <v>7836.12</v>
      </c>
      <c r="AF284" s="1319"/>
      <c r="AG284" s="187">
        <v>7836.12</v>
      </c>
      <c r="AH284" s="187">
        <v>7836.12</v>
      </c>
      <c r="AI284" s="1265" t="s">
        <v>677</v>
      </c>
      <c r="AJ284" s="1243" t="s">
        <v>677</v>
      </c>
      <c r="AK284" s="1284" t="s">
        <v>677</v>
      </c>
      <c r="AL284" s="1243" t="s">
        <v>677</v>
      </c>
      <c r="AM284" s="1610" t="s">
        <v>677</v>
      </c>
      <c r="AN284" s="1248" t="s">
        <v>677</v>
      </c>
      <c r="AO284" s="1248" t="s">
        <v>677</v>
      </c>
      <c r="AP284" s="1248" t="s">
        <v>677</v>
      </c>
      <c r="AQ284" s="1248" t="s">
        <v>677</v>
      </c>
      <c r="AR284" s="1248" t="s">
        <v>677</v>
      </c>
      <c r="AS284" s="1243" t="s">
        <v>677</v>
      </c>
      <c r="AT284" s="1243" t="s">
        <v>677</v>
      </c>
      <c r="AU284" s="1243" t="s">
        <v>677</v>
      </c>
      <c r="AV284" s="1243" t="s">
        <v>677</v>
      </c>
      <c r="AW284" s="1243" t="s">
        <v>677</v>
      </c>
      <c r="AX284" s="1243" t="s">
        <v>677</v>
      </c>
      <c r="AY284" s="1243" t="s">
        <v>677</v>
      </c>
      <c r="AZ284" s="1243" t="s">
        <v>677</v>
      </c>
      <c r="BA284" s="1243" t="s">
        <v>677</v>
      </c>
      <c r="BB284" s="1243" t="s">
        <v>677</v>
      </c>
      <c r="BC284" s="1243" t="s">
        <v>677</v>
      </c>
      <c r="BD284" s="1243" t="s">
        <v>677</v>
      </c>
    </row>
    <row r="285" spans="1:56" s="422" customFormat="1" ht="25.5" x14ac:dyDescent="0.25">
      <c r="A285" s="1879">
        <v>202</v>
      </c>
      <c r="B285" s="1276" t="s">
        <v>2138</v>
      </c>
      <c r="C285" s="1239" t="s">
        <v>7363</v>
      </c>
      <c r="D285" s="1239" t="s">
        <v>6730</v>
      </c>
      <c r="E285" s="1239" t="s">
        <v>5811</v>
      </c>
      <c r="F285" s="1291" t="s">
        <v>7105</v>
      </c>
      <c r="G285" s="1243">
        <v>11223</v>
      </c>
      <c r="H285" s="1246" t="s">
        <v>2239</v>
      </c>
      <c r="I285" s="1273" t="s">
        <v>7106</v>
      </c>
      <c r="J285" s="1239" t="s">
        <v>7107</v>
      </c>
      <c r="K285" s="1244">
        <v>41948</v>
      </c>
      <c r="L285" s="187">
        <v>1904.5</v>
      </c>
      <c r="M285" s="1243">
        <v>11431</v>
      </c>
      <c r="N285" s="1244">
        <v>41948</v>
      </c>
      <c r="O285" s="1244">
        <v>42008</v>
      </c>
      <c r="P285" s="1239" t="s">
        <v>6763</v>
      </c>
      <c r="Q285" s="1239" t="s">
        <v>677</v>
      </c>
      <c r="R285" s="1239" t="s">
        <v>677</v>
      </c>
      <c r="S285" s="1239" t="s">
        <v>677</v>
      </c>
      <c r="T285" s="1239" t="s">
        <v>208</v>
      </c>
      <c r="U285" s="1246" t="s">
        <v>677</v>
      </c>
      <c r="V285" s="1239" t="s">
        <v>677</v>
      </c>
      <c r="W285" s="1243" t="s">
        <v>677</v>
      </c>
      <c r="X285" s="1239" t="s">
        <v>677</v>
      </c>
      <c r="Y285" s="1244" t="s">
        <v>677</v>
      </c>
      <c r="Z285" s="1244" t="s">
        <v>677</v>
      </c>
      <c r="AA285" s="1242" t="s">
        <v>677</v>
      </c>
      <c r="AB285" s="1239" t="s">
        <v>677</v>
      </c>
      <c r="AC285" s="1319">
        <v>0</v>
      </c>
      <c r="AD285" s="1319">
        <v>0</v>
      </c>
      <c r="AE285" s="1319">
        <v>1904.5</v>
      </c>
      <c r="AF285" s="1319"/>
      <c r="AG285" s="187">
        <v>1904.5</v>
      </c>
      <c r="AH285" s="187">
        <v>1904.5</v>
      </c>
      <c r="AI285" s="1265" t="s">
        <v>677</v>
      </c>
      <c r="AJ285" s="1243" t="s">
        <v>677</v>
      </c>
      <c r="AK285" s="1284" t="s">
        <v>677</v>
      </c>
      <c r="AL285" s="1243" t="s">
        <v>677</v>
      </c>
      <c r="AM285" s="1610" t="s">
        <v>677</v>
      </c>
      <c r="AN285" s="1248" t="s">
        <v>677</v>
      </c>
      <c r="AO285" s="1248" t="s">
        <v>677</v>
      </c>
      <c r="AP285" s="1248" t="s">
        <v>677</v>
      </c>
      <c r="AQ285" s="1248" t="s">
        <v>677</v>
      </c>
      <c r="AR285" s="1248" t="s">
        <v>677</v>
      </c>
      <c r="AS285" s="1243" t="s">
        <v>677</v>
      </c>
      <c r="AT285" s="1243" t="s">
        <v>677</v>
      </c>
      <c r="AU285" s="1243" t="s">
        <v>677</v>
      </c>
      <c r="AV285" s="1243" t="s">
        <v>677</v>
      </c>
      <c r="AW285" s="1243" t="s">
        <v>677</v>
      </c>
      <c r="AX285" s="1243" t="s">
        <v>677</v>
      </c>
      <c r="AY285" s="1243" t="s">
        <v>677</v>
      </c>
      <c r="AZ285" s="1243" t="s">
        <v>677</v>
      </c>
      <c r="BA285" s="1243" t="s">
        <v>677</v>
      </c>
      <c r="BB285" s="1243" t="s">
        <v>677</v>
      </c>
      <c r="BC285" s="1243" t="s">
        <v>677</v>
      </c>
      <c r="BD285" s="1243" t="s">
        <v>677</v>
      </c>
    </row>
    <row r="286" spans="1:56" s="422" customFormat="1" ht="25.5" x14ac:dyDescent="0.25">
      <c r="A286" s="1879">
        <v>203</v>
      </c>
      <c r="B286" s="1276" t="s">
        <v>2138</v>
      </c>
      <c r="C286" s="1239" t="s">
        <v>7363</v>
      </c>
      <c r="D286" s="1239" t="s">
        <v>6730</v>
      </c>
      <c r="E286" s="1239" t="s">
        <v>5811</v>
      </c>
      <c r="F286" s="1291" t="s">
        <v>7105</v>
      </c>
      <c r="G286" s="1243">
        <v>11223</v>
      </c>
      <c r="H286" s="1246" t="s">
        <v>2241</v>
      </c>
      <c r="I286" s="1273" t="s">
        <v>7106</v>
      </c>
      <c r="J286" s="1239" t="s">
        <v>7107</v>
      </c>
      <c r="K286" s="1244">
        <v>41949</v>
      </c>
      <c r="L286" s="187">
        <v>9661.5</v>
      </c>
      <c r="M286" s="1243">
        <v>11431</v>
      </c>
      <c r="N286" s="1244">
        <v>41948</v>
      </c>
      <c r="O286" s="1244">
        <v>42008</v>
      </c>
      <c r="P286" s="1239" t="s">
        <v>6735</v>
      </c>
      <c r="Q286" s="1239" t="s">
        <v>677</v>
      </c>
      <c r="R286" s="1239" t="s">
        <v>677</v>
      </c>
      <c r="S286" s="1239" t="s">
        <v>677</v>
      </c>
      <c r="T286" s="1239" t="s">
        <v>208</v>
      </c>
      <c r="U286" s="1246" t="s">
        <v>677</v>
      </c>
      <c r="V286" s="1239" t="s">
        <v>677</v>
      </c>
      <c r="W286" s="1243" t="s">
        <v>677</v>
      </c>
      <c r="X286" s="1239" t="s">
        <v>677</v>
      </c>
      <c r="Y286" s="1244" t="s">
        <v>677</v>
      </c>
      <c r="Z286" s="1244" t="s">
        <v>677</v>
      </c>
      <c r="AA286" s="1242" t="s">
        <v>677</v>
      </c>
      <c r="AB286" s="1239" t="s">
        <v>677</v>
      </c>
      <c r="AC286" s="1319">
        <v>0</v>
      </c>
      <c r="AD286" s="1319">
        <v>0</v>
      </c>
      <c r="AE286" s="1319">
        <v>9661.5</v>
      </c>
      <c r="AF286" s="1319"/>
      <c r="AG286" s="187">
        <v>9661.5</v>
      </c>
      <c r="AH286" s="187">
        <v>9661.5</v>
      </c>
      <c r="AI286" s="1265" t="s">
        <v>677</v>
      </c>
      <c r="AJ286" s="1243" t="s">
        <v>677</v>
      </c>
      <c r="AK286" s="1284" t="s">
        <v>677</v>
      </c>
      <c r="AL286" s="1243" t="s">
        <v>677</v>
      </c>
      <c r="AM286" s="1610" t="s">
        <v>677</v>
      </c>
      <c r="AN286" s="1248" t="s">
        <v>677</v>
      </c>
      <c r="AO286" s="1248" t="s">
        <v>677</v>
      </c>
      <c r="AP286" s="1248" t="s">
        <v>677</v>
      </c>
      <c r="AQ286" s="1248" t="s">
        <v>677</v>
      </c>
      <c r="AR286" s="1248" t="s">
        <v>677</v>
      </c>
      <c r="AS286" s="1243" t="s">
        <v>677</v>
      </c>
      <c r="AT286" s="1243" t="s">
        <v>677</v>
      </c>
      <c r="AU286" s="1243" t="s">
        <v>677</v>
      </c>
      <c r="AV286" s="1243" t="s">
        <v>677</v>
      </c>
      <c r="AW286" s="1243" t="s">
        <v>677</v>
      </c>
      <c r="AX286" s="1243" t="s">
        <v>677</v>
      </c>
      <c r="AY286" s="1243" t="s">
        <v>677</v>
      </c>
      <c r="AZ286" s="1243" t="s">
        <v>677</v>
      </c>
      <c r="BA286" s="1243" t="s">
        <v>677</v>
      </c>
      <c r="BB286" s="1243" t="s">
        <v>677</v>
      </c>
      <c r="BC286" s="1243" t="s">
        <v>677</v>
      </c>
      <c r="BD286" s="1243" t="s">
        <v>677</v>
      </c>
    </row>
    <row r="287" spans="1:56" s="422" customFormat="1" ht="25.5" x14ac:dyDescent="0.25">
      <c r="A287" s="1879">
        <v>204</v>
      </c>
      <c r="B287" s="1276" t="s">
        <v>7330</v>
      </c>
      <c r="C287" s="1239" t="s">
        <v>7327</v>
      </c>
      <c r="D287" s="1239" t="s">
        <v>6730</v>
      </c>
      <c r="E287" s="1239" t="s">
        <v>5811</v>
      </c>
      <c r="F287" s="1291" t="s">
        <v>7328</v>
      </c>
      <c r="G287" s="1243">
        <v>11223</v>
      </c>
      <c r="H287" s="1246" t="s">
        <v>2243</v>
      </c>
      <c r="I287" s="1273" t="s">
        <v>7127</v>
      </c>
      <c r="J287" s="1239" t="s">
        <v>1159</v>
      </c>
      <c r="K287" s="1244">
        <v>41949</v>
      </c>
      <c r="L287" s="187">
        <v>10365.94</v>
      </c>
      <c r="M287" s="1243">
        <v>11431</v>
      </c>
      <c r="N287" s="1244">
        <v>41948</v>
      </c>
      <c r="O287" s="1244">
        <v>42008</v>
      </c>
      <c r="P287" s="1239" t="s">
        <v>6763</v>
      </c>
      <c r="Q287" s="1239" t="s">
        <v>677</v>
      </c>
      <c r="R287" s="1239" t="s">
        <v>677</v>
      </c>
      <c r="S287" s="1239" t="s">
        <v>677</v>
      </c>
      <c r="T287" s="1239" t="s">
        <v>316</v>
      </c>
      <c r="U287" s="1246" t="s">
        <v>677</v>
      </c>
      <c r="V287" s="1239" t="s">
        <v>677</v>
      </c>
      <c r="W287" s="1243" t="s">
        <v>677</v>
      </c>
      <c r="X287" s="1239" t="s">
        <v>677</v>
      </c>
      <c r="Y287" s="1244" t="s">
        <v>677</v>
      </c>
      <c r="Z287" s="1244" t="s">
        <v>677</v>
      </c>
      <c r="AA287" s="1242" t="s">
        <v>677</v>
      </c>
      <c r="AB287" s="1239" t="s">
        <v>677</v>
      </c>
      <c r="AC287" s="1319">
        <v>0</v>
      </c>
      <c r="AD287" s="1319">
        <v>0</v>
      </c>
      <c r="AE287" s="1319">
        <v>10365.94</v>
      </c>
      <c r="AF287" s="1319"/>
      <c r="AG287" s="187">
        <v>10365.94</v>
      </c>
      <c r="AH287" s="187">
        <v>10365.94</v>
      </c>
      <c r="AI287" s="1265" t="s">
        <v>677</v>
      </c>
      <c r="AJ287" s="1243" t="s">
        <v>677</v>
      </c>
      <c r="AK287" s="1284" t="s">
        <v>677</v>
      </c>
      <c r="AL287" s="1243" t="s">
        <v>677</v>
      </c>
      <c r="AM287" s="1610" t="s">
        <v>677</v>
      </c>
      <c r="AN287" s="1248" t="s">
        <v>677</v>
      </c>
      <c r="AO287" s="1248" t="s">
        <v>677</v>
      </c>
      <c r="AP287" s="1248" t="s">
        <v>677</v>
      </c>
      <c r="AQ287" s="1248" t="s">
        <v>677</v>
      </c>
      <c r="AR287" s="1248" t="s">
        <v>677</v>
      </c>
      <c r="AS287" s="1243" t="s">
        <v>677</v>
      </c>
      <c r="AT287" s="1243" t="s">
        <v>677</v>
      </c>
      <c r="AU287" s="1243" t="s">
        <v>677</v>
      </c>
      <c r="AV287" s="1243" t="s">
        <v>677</v>
      </c>
      <c r="AW287" s="1243" t="s">
        <v>677</v>
      </c>
      <c r="AX287" s="1243" t="s">
        <v>677</v>
      </c>
      <c r="AY287" s="1243" t="s">
        <v>677</v>
      </c>
      <c r="AZ287" s="1243" t="s">
        <v>677</v>
      </c>
      <c r="BA287" s="1243" t="s">
        <v>677</v>
      </c>
      <c r="BB287" s="1243" t="s">
        <v>677</v>
      </c>
      <c r="BC287" s="1243" t="s">
        <v>677</v>
      </c>
      <c r="BD287" s="1243" t="s">
        <v>677</v>
      </c>
    </row>
    <row r="288" spans="1:56" s="422" customFormat="1" ht="38.25" x14ac:dyDescent="0.25">
      <c r="A288" s="1879">
        <v>205</v>
      </c>
      <c r="B288" s="1276" t="s">
        <v>7247</v>
      </c>
      <c r="C288" s="1239" t="s">
        <v>7248</v>
      </c>
      <c r="D288" s="1239" t="s">
        <v>6730</v>
      </c>
      <c r="E288" s="1239" t="s">
        <v>5811</v>
      </c>
      <c r="F288" s="1291" t="s">
        <v>7249</v>
      </c>
      <c r="G288" s="1243">
        <v>11364</v>
      </c>
      <c r="H288" s="1246" t="s">
        <v>2247</v>
      </c>
      <c r="I288" s="1273" t="s">
        <v>7250</v>
      </c>
      <c r="J288" s="1239" t="s">
        <v>7251</v>
      </c>
      <c r="K288" s="1244">
        <v>41964</v>
      </c>
      <c r="L288" s="187">
        <v>35988.5</v>
      </c>
      <c r="M288" s="1243">
        <v>11443</v>
      </c>
      <c r="N288" s="1244">
        <v>41968</v>
      </c>
      <c r="O288" s="1244">
        <v>42149</v>
      </c>
      <c r="P288" s="1239" t="s">
        <v>6735</v>
      </c>
      <c r="Q288" s="1239" t="s">
        <v>677</v>
      </c>
      <c r="R288" s="1239" t="s">
        <v>677</v>
      </c>
      <c r="S288" s="1239" t="s">
        <v>677</v>
      </c>
      <c r="T288" s="1239" t="s">
        <v>208</v>
      </c>
      <c r="U288" s="1246" t="s">
        <v>677</v>
      </c>
      <c r="V288" s="1239" t="s">
        <v>677</v>
      </c>
      <c r="W288" s="1243" t="s">
        <v>677</v>
      </c>
      <c r="X288" s="1239" t="s">
        <v>677</v>
      </c>
      <c r="Y288" s="1244" t="s">
        <v>677</v>
      </c>
      <c r="Z288" s="1244" t="s">
        <v>677</v>
      </c>
      <c r="AA288" s="1242" t="s">
        <v>677</v>
      </c>
      <c r="AB288" s="1239" t="s">
        <v>677</v>
      </c>
      <c r="AC288" s="1319">
        <v>0</v>
      </c>
      <c r="AD288" s="1319">
        <v>0</v>
      </c>
      <c r="AE288" s="1319">
        <v>35988.5</v>
      </c>
      <c r="AF288" s="1319"/>
      <c r="AG288" s="187">
        <v>35988.5</v>
      </c>
      <c r="AH288" s="187">
        <v>35988.5</v>
      </c>
      <c r="AI288" s="1265" t="s">
        <v>677</v>
      </c>
      <c r="AJ288" s="1243" t="s">
        <v>677</v>
      </c>
      <c r="AK288" s="1284" t="s">
        <v>677</v>
      </c>
      <c r="AL288" s="1243" t="s">
        <v>677</v>
      </c>
      <c r="AM288" s="1610" t="s">
        <v>677</v>
      </c>
      <c r="AN288" s="1248" t="s">
        <v>677</v>
      </c>
      <c r="AO288" s="1248" t="s">
        <v>677</v>
      </c>
      <c r="AP288" s="1248" t="s">
        <v>677</v>
      </c>
      <c r="AQ288" s="1248" t="s">
        <v>677</v>
      </c>
      <c r="AR288" s="1248" t="s">
        <v>677</v>
      </c>
      <c r="AS288" s="1243" t="s">
        <v>677</v>
      </c>
      <c r="AT288" s="1243" t="s">
        <v>677</v>
      </c>
      <c r="AU288" s="1243" t="s">
        <v>677</v>
      </c>
      <c r="AV288" s="1243" t="s">
        <v>677</v>
      </c>
      <c r="AW288" s="1243" t="s">
        <v>677</v>
      </c>
      <c r="AX288" s="1243" t="s">
        <v>677</v>
      </c>
      <c r="AY288" s="1243" t="s">
        <v>677</v>
      </c>
      <c r="AZ288" s="1243" t="s">
        <v>677</v>
      </c>
      <c r="BA288" s="1243" t="s">
        <v>677</v>
      </c>
      <c r="BB288" s="1243" t="s">
        <v>677</v>
      </c>
      <c r="BC288" s="1243" t="s">
        <v>677</v>
      </c>
      <c r="BD288" s="1243" t="s">
        <v>677</v>
      </c>
    </row>
    <row r="289" spans="1:56" s="422" customFormat="1" ht="38.25" x14ac:dyDescent="0.25">
      <c r="A289" s="1879">
        <v>206</v>
      </c>
      <c r="B289" s="1276" t="s">
        <v>7364</v>
      </c>
      <c r="C289" s="1239" t="s">
        <v>677</v>
      </c>
      <c r="D289" s="1239" t="s">
        <v>690</v>
      </c>
      <c r="E289" s="1239" t="s">
        <v>677</v>
      </c>
      <c r="F289" s="1291" t="s">
        <v>7365</v>
      </c>
      <c r="G289" s="1243">
        <v>11456</v>
      </c>
      <c r="H289" s="1246" t="s">
        <v>2255</v>
      </c>
      <c r="I289" s="1273" t="s">
        <v>7366</v>
      </c>
      <c r="J289" s="1239" t="s">
        <v>7367</v>
      </c>
      <c r="K289" s="1244">
        <v>41969</v>
      </c>
      <c r="L289" s="187">
        <v>1385</v>
      </c>
      <c r="M289" s="1243">
        <v>11448</v>
      </c>
      <c r="N289" s="1244">
        <v>41969</v>
      </c>
      <c r="O289" s="1244">
        <v>42030</v>
      </c>
      <c r="P289" s="1239" t="s">
        <v>6763</v>
      </c>
      <c r="Q289" s="1239" t="s">
        <v>677</v>
      </c>
      <c r="R289" s="1239" t="s">
        <v>677</v>
      </c>
      <c r="S289" s="1239" t="s">
        <v>677</v>
      </c>
      <c r="T289" s="1239" t="s">
        <v>316</v>
      </c>
      <c r="U289" s="1246" t="s">
        <v>677</v>
      </c>
      <c r="V289" s="1239" t="s">
        <v>677</v>
      </c>
      <c r="W289" s="1243" t="s">
        <v>677</v>
      </c>
      <c r="X289" s="1239" t="s">
        <v>677</v>
      </c>
      <c r="Y289" s="1244" t="s">
        <v>677</v>
      </c>
      <c r="Z289" s="1244" t="s">
        <v>677</v>
      </c>
      <c r="AA289" s="1242" t="s">
        <v>677</v>
      </c>
      <c r="AB289" s="1239" t="s">
        <v>677</v>
      </c>
      <c r="AC289" s="1319">
        <v>0</v>
      </c>
      <c r="AD289" s="1319">
        <v>0</v>
      </c>
      <c r="AE289" s="1319">
        <v>1385</v>
      </c>
      <c r="AF289" s="1319"/>
      <c r="AG289" s="187">
        <v>1385</v>
      </c>
      <c r="AH289" s="187">
        <v>1385</v>
      </c>
      <c r="AI289" s="1265" t="s">
        <v>677</v>
      </c>
      <c r="AJ289" s="1243" t="s">
        <v>677</v>
      </c>
      <c r="AK289" s="1284" t="s">
        <v>677</v>
      </c>
      <c r="AL289" s="1243" t="s">
        <v>677</v>
      </c>
      <c r="AM289" s="1610" t="s">
        <v>677</v>
      </c>
      <c r="AN289" s="1248" t="s">
        <v>677</v>
      </c>
      <c r="AO289" s="1248" t="s">
        <v>677</v>
      </c>
      <c r="AP289" s="1248" t="s">
        <v>677</v>
      </c>
      <c r="AQ289" s="1248" t="s">
        <v>677</v>
      </c>
      <c r="AR289" s="1248" t="s">
        <v>677</v>
      </c>
      <c r="AS289" s="1243" t="s">
        <v>677</v>
      </c>
      <c r="AT289" s="1243" t="s">
        <v>677</v>
      </c>
      <c r="AU289" s="1243" t="s">
        <v>677</v>
      </c>
      <c r="AV289" s="1243" t="s">
        <v>677</v>
      </c>
      <c r="AW289" s="1243" t="s">
        <v>677</v>
      </c>
      <c r="AX289" s="1243" t="s">
        <v>677</v>
      </c>
      <c r="AY289" s="1243" t="s">
        <v>677</v>
      </c>
      <c r="AZ289" s="1243" t="s">
        <v>677</v>
      </c>
      <c r="BA289" s="1243" t="s">
        <v>677</v>
      </c>
      <c r="BB289" s="1243" t="s">
        <v>677</v>
      </c>
      <c r="BC289" s="1243" t="s">
        <v>677</v>
      </c>
      <c r="BD289" s="1243" t="s">
        <v>677</v>
      </c>
    </row>
    <row r="290" spans="1:56" s="422" customFormat="1" ht="38.25" x14ac:dyDescent="0.25">
      <c r="A290" s="1879">
        <v>207</v>
      </c>
      <c r="B290" s="1276" t="s">
        <v>7368</v>
      </c>
      <c r="C290" s="1239" t="s">
        <v>7369</v>
      </c>
      <c r="D290" s="1239" t="s">
        <v>6800</v>
      </c>
      <c r="E290" s="1239" t="s">
        <v>5811</v>
      </c>
      <c r="F290" s="1291" t="s">
        <v>7294</v>
      </c>
      <c r="G290" s="1243">
        <v>11133</v>
      </c>
      <c r="H290" s="1246" t="s">
        <v>2262</v>
      </c>
      <c r="I290" s="1273" t="s">
        <v>2702</v>
      </c>
      <c r="J290" s="1239" t="s">
        <v>759</v>
      </c>
      <c r="K290" s="1244">
        <v>41932</v>
      </c>
      <c r="L290" s="187">
        <v>27300</v>
      </c>
      <c r="M290" s="1243">
        <v>11448</v>
      </c>
      <c r="N290" s="1244">
        <v>41944</v>
      </c>
      <c r="O290" s="1244">
        <v>42369</v>
      </c>
      <c r="P290" s="1239" t="s">
        <v>6763</v>
      </c>
      <c r="Q290" s="1239" t="s">
        <v>677</v>
      </c>
      <c r="R290" s="1239" t="s">
        <v>677</v>
      </c>
      <c r="S290" s="1239" t="s">
        <v>677</v>
      </c>
      <c r="T290" s="1239" t="s">
        <v>208</v>
      </c>
      <c r="U290" s="1246" t="s">
        <v>677</v>
      </c>
      <c r="V290" s="1239" t="s">
        <v>677</v>
      </c>
      <c r="W290" s="1243" t="s">
        <v>677</v>
      </c>
      <c r="X290" s="1239" t="s">
        <v>677</v>
      </c>
      <c r="Y290" s="1244" t="s">
        <v>677</v>
      </c>
      <c r="Z290" s="1244" t="s">
        <v>677</v>
      </c>
      <c r="AA290" s="1242" t="s">
        <v>677</v>
      </c>
      <c r="AB290" s="1239" t="s">
        <v>677</v>
      </c>
      <c r="AC290" s="1319">
        <v>0</v>
      </c>
      <c r="AD290" s="1319">
        <v>0</v>
      </c>
      <c r="AE290" s="1319">
        <v>27300</v>
      </c>
      <c r="AF290" s="1319"/>
      <c r="AG290" s="187">
        <v>3900</v>
      </c>
      <c r="AH290" s="187">
        <f>AG290</f>
        <v>3900</v>
      </c>
      <c r="AI290" s="1265" t="s">
        <v>677</v>
      </c>
      <c r="AJ290" s="1243" t="s">
        <v>677</v>
      </c>
      <c r="AK290" s="1284" t="s">
        <v>677</v>
      </c>
      <c r="AL290" s="1243" t="s">
        <v>677</v>
      </c>
      <c r="AM290" s="1610" t="s">
        <v>677</v>
      </c>
      <c r="AN290" s="1248" t="s">
        <v>677</v>
      </c>
      <c r="AO290" s="1248" t="s">
        <v>677</v>
      </c>
      <c r="AP290" s="1248" t="s">
        <v>677</v>
      </c>
      <c r="AQ290" s="1248" t="s">
        <v>677</v>
      </c>
      <c r="AR290" s="1248" t="s">
        <v>677</v>
      </c>
      <c r="AS290" s="1243" t="s">
        <v>677</v>
      </c>
      <c r="AT290" s="1243" t="s">
        <v>677</v>
      </c>
      <c r="AU290" s="1243" t="s">
        <v>677</v>
      </c>
      <c r="AV290" s="1243" t="s">
        <v>677</v>
      </c>
      <c r="AW290" s="1243" t="s">
        <v>677</v>
      </c>
      <c r="AX290" s="1243" t="s">
        <v>677</v>
      </c>
      <c r="AY290" s="1243" t="s">
        <v>677</v>
      </c>
      <c r="AZ290" s="1243" t="s">
        <v>677</v>
      </c>
      <c r="BA290" s="1243" t="s">
        <v>677</v>
      </c>
      <c r="BB290" s="1243" t="s">
        <v>677</v>
      </c>
      <c r="BC290" s="1243" t="s">
        <v>677</v>
      </c>
      <c r="BD290" s="1243" t="s">
        <v>677</v>
      </c>
    </row>
    <row r="291" spans="1:56" s="422" customFormat="1" ht="38.25" x14ac:dyDescent="0.25">
      <c r="A291" s="1879">
        <v>208</v>
      </c>
      <c r="B291" s="1276" t="s">
        <v>1943</v>
      </c>
      <c r="C291" s="1239" t="s">
        <v>6992</v>
      </c>
      <c r="D291" s="1239" t="s">
        <v>6730</v>
      </c>
      <c r="E291" s="1239" t="str">
        <f>$E$288</f>
        <v>Menor preço por item</v>
      </c>
      <c r="F291" s="1291" t="s">
        <v>6993</v>
      </c>
      <c r="G291" s="1243">
        <v>11244</v>
      </c>
      <c r="H291" s="1246" t="s">
        <v>2266</v>
      </c>
      <c r="I291" s="1273" t="s">
        <v>4178</v>
      </c>
      <c r="J291" s="1239" t="s">
        <v>4179</v>
      </c>
      <c r="K291" s="1244">
        <v>41974</v>
      </c>
      <c r="L291" s="187">
        <v>5500</v>
      </c>
      <c r="M291" s="1243">
        <v>11449</v>
      </c>
      <c r="N291" s="1244">
        <v>41978</v>
      </c>
      <c r="O291" s="1244">
        <v>42040</v>
      </c>
      <c r="P291" s="1239" t="s">
        <v>6763</v>
      </c>
      <c r="Q291" s="1239" t="s">
        <v>677</v>
      </c>
      <c r="R291" s="1239" t="s">
        <v>677</v>
      </c>
      <c r="S291" s="1239" t="s">
        <v>677</v>
      </c>
      <c r="T291" s="1239" t="s">
        <v>316</v>
      </c>
      <c r="U291" s="1246" t="s">
        <v>677</v>
      </c>
      <c r="V291" s="1239" t="s">
        <v>677</v>
      </c>
      <c r="W291" s="1243" t="s">
        <v>677</v>
      </c>
      <c r="X291" s="1239" t="s">
        <v>677</v>
      </c>
      <c r="Y291" s="1244" t="s">
        <v>677</v>
      </c>
      <c r="Z291" s="1244" t="s">
        <v>677</v>
      </c>
      <c r="AA291" s="1242" t="s">
        <v>677</v>
      </c>
      <c r="AB291" s="1239" t="s">
        <v>677</v>
      </c>
      <c r="AC291" s="1319">
        <v>0</v>
      </c>
      <c r="AD291" s="1319">
        <v>0</v>
      </c>
      <c r="AE291" s="1319">
        <v>5500</v>
      </c>
      <c r="AF291" s="1319"/>
      <c r="AG291" s="187">
        <v>5500</v>
      </c>
      <c r="AH291" s="187">
        <v>5500</v>
      </c>
      <c r="AI291" s="1265" t="s">
        <v>677</v>
      </c>
      <c r="AJ291" s="1243" t="s">
        <v>677</v>
      </c>
      <c r="AK291" s="1284" t="s">
        <v>677</v>
      </c>
      <c r="AL291" s="1243" t="s">
        <v>677</v>
      </c>
      <c r="AM291" s="1610" t="s">
        <v>677</v>
      </c>
      <c r="AN291" s="1248" t="s">
        <v>677</v>
      </c>
      <c r="AO291" s="1248" t="s">
        <v>677</v>
      </c>
      <c r="AP291" s="1248" t="s">
        <v>677</v>
      </c>
      <c r="AQ291" s="1248" t="s">
        <v>677</v>
      </c>
      <c r="AR291" s="1248" t="s">
        <v>677</v>
      </c>
      <c r="AS291" s="1243" t="s">
        <v>677</v>
      </c>
      <c r="AT291" s="1243" t="s">
        <v>677</v>
      </c>
      <c r="AU291" s="1243" t="s">
        <v>677</v>
      </c>
      <c r="AV291" s="1243" t="s">
        <v>677</v>
      </c>
      <c r="AW291" s="1243" t="s">
        <v>677</v>
      </c>
      <c r="AX291" s="1243" t="s">
        <v>677</v>
      </c>
      <c r="AY291" s="1243" t="s">
        <v>677</v>
      </c>
      <c r="AZ291" s="1243" t="s">
        <v>677</v>
      </c>
      <c r="BA291" s="1243" t="s">
        <v>677</v>
      </c>
      <c r="BB291" s="1243" t="s">
        <v>677</v>
      </c>
      <c r="BC291" s="1243" t="s">
        <v>677</v>
      </c>
      <c r="BD291" s="1243" t="s">
        <v>677</v>
      </c>
    </row>
    <row r="292" spans="1:56" s="422" customFormat="1" ht="38.25" x14ac:dyDescent="0.25">
      <c r="A292" s="1879">
        <v>209</v>
      </c>
      <c r="B292" s="1276" t="s">
        <v>7370</v>
      </c>
      <c r="C292" s="1239" t="s">
        <v>7371</v>
      </c>
      <c r="D292" s="1239" t="s">
        <v>6730</v>
      </c>
      <c r="E292" s="1239" t="str">
        <f>$E$288</f>
        <v>Menor preço por item</v>
      </c>
      <c r="F292" s="1291" t="s">
        <v>7372</v>
      </c>
      <c r="G292" s="1243">
        <v>11405</v>
      </c>
      <c r="H292" s="1246" t="s">
        <v>2271</v>
      </c>
      <c r="I292" s="1273" t="s">
        <v>7256</v>
      </c>
      <c r="J292" s="1239" t="s">
        <v>7042</v>
      </c>
      <c r="K292" s="1244">
        <v>41982</v>
      </c>
      <c r="L292" s="187">
        <v>10650</v>
      </c>
      <c r="M292" s="1243">
        <v>11456</v>
      </c>
      <c r="N292" s="1244">
        <v>41988</v>
      </c>
      <c r="O292" s="1244">
        <v>42170</v>
      </c>
      <c r="P292" s="1239" t="s">
        <v>6735</v>
      </c>
      <c r="Q292" s="1239" t="s">
        <v>677</v>
      </c>
      <c r="R292" s="1239" t="s">
        <v>677</v>
      </c>
      <c r="S292" s="1239" t="s">
        <v>677</v>
      </c>
      <c r="T292" s="1239" t="s">
        <v>316</v>
      </c>
      <c r="U292" s="1246" t="s">
        <v>677</v>
      </c>
      <c r="V292" s="1239" t="s">
        <v>677</v>
      </c>
      <c r="W292" s="1243" t="s">
        <v>677</v>
      </c>
      <c r="X292" s="1239" t="s">
        <v>677</v>
      </c>
      <c r="Y292" s="1244" t="s">
        <v>677</v>
      </c>
      <c r="Z292" s="1244" t="s">
        <v>677</v>
      </c>
      <c r="AA292" s="1242" t="s">
        <v>677</v>
      </c>
      <c r="AB292" s="1239" t="s">
        <v>677</v>
      </c>
      <c r="AC292" s="1319">
        <v>0</v>
      </c>
      <c r="AD292" s="1319">
        <v>0</v>
      </c>
      <c r="AE292" s="1319">
        <v>10650</v>
      </c>
      <c r="AF292" s="1319"/>
      <c r="AG292" s="187">
        <v>10650</v>
      </c>
      <c r="AH292" s="187">
        <v>10650</v>
      </c>
      <c r="AI292" s="1265" t="s">
        <v>677</v>
      </c>
      <c r="AJ292" s="1243" t="s">
        <v>677</v>
      </c>
      <c r="AK292" s="1284" t="s">
        <v>677</v>
      </c>
      <c r="AL292" s="1243" t="s">
        <v>677</v>
      </c>
      <c r="AM292" s="1610" t="s">
        <v>677</v>
      </c>
      <c r="AN292" s="1248" t="s">
        <v>677</v>
      </c>
      <c r="AO292" s="1248" t="s">
        <v>677</v>
      </c>
      <c r="AP292" s="1248" t="s">
        <v>677</v>
      </c>
      <c r="AQ292" s="1248" t="s">
        <v>677</v>
      </c>
      <c r="AR292" s="1248" t="s">
        <v>677</v>
      </c>
      <c r="AS292" s="1243" t="s">
        <v>677</v>
      </c>
      <c r="AT292" s="1243" t="s">
        <v>677</v>
      </c>
      <c r="AU292" s="1243" t="s">
        <v>677</v>
      </c>
      <c r="AV292" s="1243" t="s">
        <v>677</v>
      </c>
      <c r="AW292" s="1243" t="s">
        <v>677</v>
      </c>
      <c r="AX292" s="1243" t="s">
        <v>677</v>
      </c>
      <c r="AY292" s="1243" t="s">
        <v>677</v>
      </c>
      <c r="AZ292" s="1243" t="s">
        <v>677</v>
      </c>
      <c r="BA292" s="1243" t="s">
        <v>677</v>
      </c>
      <c r="BB292" s="1243" t="s">
        <v>677</v>
      </c>
      <c r="BC292" s="1243" t="s">
        <v>677</v>
      </c>
      <c r="BD292" s="1243" t="s">
        <v>677</v>
      </c>
    </row>
    <row r="293" spans="1:56" s="422" customFormat="1" ht="38.25" x14ac:dyDescent="0.25">
      <c r="A293" s="1879">
        <v>210</v>
      </c>
      <c r="B293" s="1276" t="s">
        <v>7373</v>
      </c>
      <c r="C293" s="1239" t="s">
        <v>7371</v>
      </c>
      <c r="D293" s="1239" t="s">
        <v>6730</v>
      </c>
      <c r="E293" s="1239" t="str">
        <f>$E$288</f>
        <v>Menor preço por item</v>
      </c>
      <c r="F293" s="1291" t="s">
        <v>7374</v>
      </c>
      <c r="G293" s="1243">
        <v>11405</v>
      </c>
      <c r="H293" s="1246" t="s">
        <v>2275</v>
      </c>
      <c r="I293" s="1273" t="s">
        <v>7045</v>
      </c>
      <c r="J293" s="1239" t="s">
        <v>7046</v>
      </c>
      <c r="K293" s="1244">
        <v>41982</v>
      </c>
      <c r="L293" s="187">
        <v>28760</v>
      </c>
      <c r="M293" s="1243">
        <v>11456</v>
      </c>
      <c r="N293" s="1244">
        <v>41983</v>
      </c>
      <c r="O293" s="1244">
        <v>42165</v>
      </c>
      <c r="P293" s="1239" t="s">
        <v>6735</v>
      </c>
      <c r="Q293" s="1239" t="s">
        <v>677</v>
      </c>
      <c r="R293" s="1239" t="s">
        <v>677</v>
      </c>
      <c r="S293" s="1239" t="s">
        <v>677</v>
      </c>
      <c r="T293" s="1239" t="s">
        <v>316</v>
      </c>
      <c r="U293" s="1246" t="s">
        <v>677</v>
      </c>
      <c r="V293" s="1239" t="s">
        <v>677</v>
      </c>
      <c r="W293" s="1243" t="s">
        <v>677</v>
      </c>
      <c r="X293" s="1239" t="s">
        <v>677</v>
      </c>
      <c r="Y293" s="1244" t="s">
        <v>677</v>
      </c>
      <c r="Z293" s="1244" t="s">
        <v>677</v>
      </c>
      <c r="AA293" s="1242" t="s">
        <v>677</v>
      </c>
      <c r="AB293" s="1239" t="s">
        <v>677</v>
      </c>
      <c r="AC293" s="1319">
        <v>0</v>
      </c>
      <c r="AD293" s="1319">
        <v>0</v>
      </c>
      <c r="AE293" s="1319">
        <v>28760</v>
      </c>
      <c r="AF293" s="1319"/>
      <c r="AG293" s="187">
        <v>28760</v>
      </c>
      <c r="AH293" s="187">
        <v>28760</v>
      </c>
      <c r="AI293" s="1265" t="s">
        <v>677</v>
      </c>
      <c r="AJ293" s="1243" t="s">
        <v>677</v>
      </c>
      <c r="AK293" s="1284" t="s">
        <v>677</v>
      </c>
      <c r="AL293" s="1243" t="s">
        <v>677</v>
      </c>
      <c r="AM293" s="1610" t="s">
        <v>677</v>
      </c>
      <c r="AN293" s="1248" t="s">
        <v>677</v>
      </c>
      <c r="AO293" s="1248" t="s">
        <v>677</v>
      </c>
      <c r="AP293" s="1248" t="s">
        <v>677</v>
      </c>
      <c r="AQ293" s="1248" t="s">
        <v>677</v>
      </c>
      <c r="AR293" s="1248" t="s">
        <v>677</v>
      </c>
      <c r="AS293" s="1243" t="s">
        <v>677</v>
      </c>
      <c r="AT293" s="1243" t="s">
        <v>677</v>
      </c>
      <c r="AU293" s="1243" t="s">
        <v>677</v>
      </c>
      <c r="AV293" s="1243" t="s">
        <v>677</v>
      </c>
      <c r="AW293" s="1243" t="s">
        <v>677</v>
      </c>
      <c r="AX293" s="1243" t="s">
        <v>677</v>
      </c>
      <c r="AY293" s="1243" t="s">
        <v>677</v>
      </c>
      <c r="AZ293" s="1243" t="s">
        <v>677</v>
      </c>
      <c r="BA293" s="1243" t="s">
        <v>677</v>
      </c>
      <c r="BB293" s="1243" t="s">
        <v>677</v>
      </c>
      <c r="BC293" s="1243" t="s">
        <v>677</v>
      </c>
      <c r="BD293" s="1243" t="s">
        <v>677</v>
      </c>
    </row>
    <row r="294" spans="1:56" s="422" customFormat="1" ht="63.75" x14ac:dyDescent="0.25">
      <c r="A294" s="1879">
        <v>211</v>
      </c>
      <c r="B294" s="1276" t="s">
        <v>7375</v>
      </c>
      <c r="C294" s="1239" t="s">
        <v>7376</v>
      </c>
      <c r="D294" s="1239" t="s">
        <v>6800</v>
      </c>
      <c r="E294" s="1239" t="str">
        <f>$E$288</f>
        <v>Menor preço por item</v>
      </c>
      <c r="F294" s="1291" t="s">
        <v>7377</v>
      </c>
      <c r="G294" s="1243">
        <v>11351</v>
      </c>
      <c r="H294" s="1246" t="s">
        <v>2277</v>
      </c>
      <c r="I294" s="1273" t="s">
        <v>7378</v>
      </c>
      <c r="J294" s="1239" t="s">
        <v>5273</v>
      </c>
      <c r="K294" s="1244">
        <v>41983</v>
      </c>
      <c r="L294" s="187">
        <v>2250</v>
      </c>
      <c r="M294" s="1243">
        <v>11456</v>
      </c>
      <c r="N294" s="1244">
        <v>41983</v>
      </c>
      <c r="O294" s="1244">
        <v>42045</v>
      </c>
      <c r="P294" s="1239" t="s">
        <v>6763</v>
      </c>
      <c r="Q294" s="1239" t="s">
        <v>677</v>
      </c>
      <c r="R294" s="1239" t="s">
        <v>677</v>
      </c>
      <c r="S294" s="1239" t="s">
        <v>677</v>
      </c>
      <c r="T294" s="1239" t="s">
        <v>208</v>
      </c>
      <c r="U294" s="1246" t="s">
        <v>677</v>
      </c>
      <c r="V294" s="1239" t="s">
        <v>677</v>
      </c>
      <c r="W294" s="1243" t="s">
        <v>677</v>
      </c>
      <c r="X294" s="1239" t="s">
        <v>677</v>
      </c>
      <c r="Y294" s="1244" t="s">
        <v>677</v>
      </c>
      <c r="Z294" s="1244" t="s">
        <v>677</v>
      </c>
      <c r="AA294" s="1242" t="s">
        <v>677</v>
      </c>
      <c r="AB294" s="1239" t="s">
        <v>677</v>
      </c>
      <c r="AC294" s="1319">
        <v>0</v>
      </c>
      <c r="AD294" s="1319">
        <v>0</v>
      </c>
      <c r="AE294" s="1319">
        <v>2250</v>
      </c>
      <c r="AF294" s="1319"/>
      <c r="AG294" s="187">
        <v>2250</v>
      </c>
      <c r="AH294" s="187">
        <v>2250</v>
      </c>
      <c r="AI294" s="1265" t="s">
        <v>686</v>
      </c>
      <c r="AJ294" s="1243">
        <v>11378</v>
      </c>
      <c r="AK294" s="1284" t="s">
        <v>7379</v>
      </c>
      <c r="AL294" s="1243">
        <v>11378</v>
      </c>
      <c r="AM294" s="1610" t="s">
        <v>677</v>
      </c>
      <c r="AN294" s="1248" t="s">
        <v>677</v>
      </c>
      <c r="AO294" s="1248" t="s">
        <v>677</v>
      </c>
      <c r="AP294" s="1248" t="s">
        <v>677</v>
      </c>
      <c r="AQ294" s="1248" t="s">
        <v>677</v>
      </c>
      <c r="AR294" s="1248" t="s">
        <v>677</v>
      </c>
      <c r="AS294" s="1243" t="s">
        <v>677</v>
      </c>
      <c r="AT294" s="1243" t="s">
        <v>677</v>
      </c>
      <c r="AU294" s="1243" t="s">
        <v>677</v>
      </c>
      <c r="AV294" s="1243" t="s">
        <v>677</v>
      </c>
      <c r="AW294" s="1243" t="s">
        <v>677</v>
      </c>
      <c r="AX294" s="1243" t="s">
        <v>677</v>
      </c>
      <c r="AY294" s="1243" t="s">
        <v>677</v>
      </c>
      <c r="AZ294" s="1243" t="s">
        <v>677</v>
      </c>
      <c r="BA294" s="1243" t="s">
        <v>677</v>
      </c>
      <c r="BB294" s="1243" t="s">
        <v>677</v>
      </c>
      <c r="BC294" s="1243" t="s">
        <v>677</v>
      </c>
      <c r="BD294" s="1243" t="s">
        <v>677</v>
      </c>
    </row>
    <row r="295" spans="1:56" s="422" customFormat="1" ht="25.5" x14ac:dyDescent="0.25">
      <c r="A295" s="1879">
        <v>212</v>
      </c>
      <c r="B295" s="1276" t="s">
        <v>7308</v>
      </c>
      <c r="C295" s="1239" t="s">
        <v>7298</v>
      </c>
      <c r="D295" s="1239" t="s">
        <v>6730</v>
      </c>
      <c r="E295" s="1239" t="s">
        <v>5811</v>
      </c>
      <c r="F295" s="1291" t="s">
        <v>7309</v>
      </c>
      <c r="G295" s="1243">
        <v>11342</v>
      </c>
      <c r="H295" s="1246" t="s">
        <v>7380</v>
      </c>
      <c r="I295" s="1273" t="s">
        <v>1672</v>
      </c>
      <c r="J295" s="1239" t="s">
        <v>380</v>
      </c>
      <c r="K295" s="1244">
        <v>41983</v>
      </c>
      <c r="L295" s="187">
        <v>8305.7999999999993</v>
      </c>
      <c r="M295" s="1243">
        <v>11456</v>
      </c>
      <c r="N295" s="1244">
        <v>41985</v>
      </c>
      <c r="O295" s="1244">
        <v>42047</v>
      </c>
      <c r="P295" s="1239" t="s">
        <v>6763</v>
      </c>
      <c r="Q295" s="1239" t="s">
        <v>677</v>
      </c>
      <c r="R295" s="1239" t="s">
        <v>677</v>
      </c>
      <c r="S295" s="1239" t="s">
        <v>677</v>
      </c>
      <c r="T295" s="1239" t="s">
        <v>316</v>
      </c>
      <c r="U295" s="1246" t="s">
        <v>677</v>
      </c>
      <c r="V295" s="1239" t="s">
        <v>677</v>
      </c>
      <c r="W295" s="1243" t="s">
        <v>677</v>
      </c>
      <c r="X295" s="1239" t="s">
        <v>677</v>
      </c>
      <c r="Y295" s="1244" t="s">
        <v>677</v>
      </c>
      <c r="Z295" s="1244" t="s">
        <v>677</v>
      </c>
      <c r="AA295" s="1242" t="s">
        <v>677</v>
      </c>
      <c r="AB295" s="1239" t="s">
        <v>677</v>
      </c>
      <c r="AC295" s="1319">
        <v>0</v>
      </c>
      <c r="AD295" s="1319">
        <v>0</v>
      </c>
      <c r="AE295" s="1319">
        <v>8305.7999999999993</v>
      </c>
      <c r="AF295" s="1319"/>
      <c r="AG295" s="187">
        <v>8305.7999999999993</v>
      </c>
      <c r="AH295" s="187">
        <v>8305.7999999999993</v>
      </c>
      <c r="AI295" s="1265" t="s">
        <v>677</v>
      </c>
      <c r="AJ295" s="1243" t="s">
        <v>677</v>
      </c>
      <c r="AK295" s="1284" t="s">
        <v>677</v>
      </c>
      <c r="AL295" s="1243" t="s">
        <v>677</v>
      </c>
      <c r="AM295" s="1610" t="s">
        <v>677</v>
      </c>
      <c r="AN295" s="1610" t="s">
        <v>677</v>
      </c>
      <c r="AO295" s="1610" t="s">
        <v>677</v>
      </c>
      <c r="AP295" s="1610" t="s">
        <v>677</v>
      </c>
      <c r="AQ295" s="1610" t="s">
        <v>677</v>
      </c>
      <c r="AR295" s="1610" t="s">
        <v>677</v>
      </c>
      <c r="AS295" s="1610" t="s">
        <v>677</v>
      </c>
      <c r="AT295" s="1610" t="s">
        <v>677</v>
      </c>
      <c r="AU295" s="1610" t="s">
        <v>677</v>
      </c>
      <c r="AV295" s="1610" t="s">
        <v>677</v>
      </c>
      <c r="AW295" s="1610" t="s">
        <v>677</v>
      </c>
      <c r="AX295" s="1610" t="s">
        <v>677</v>
      </c>
      <c r="AY295" s="1610" t="s">
        <v>677</v>
      </c>
      <c r="AZ295" s="1610" t="s">
        <v>677</v>
      </c>
      <c r="BA295" s="1610" t="s">
        <v>677</v>
      </c>
      <c r="BB295" s="1610" t="s">
        <v>677</v>
      </c>
      <c r="BC295" s="1610" t="s">
        <v>677</v>
      </c>
      <c r="BD295" s="1610" t="s">
        <v>677</v>
      </c>
    </row>
    <row r="296" spans="1:56" s="422" customFormat="1" ht="38.25" x14ac:dyDescent="0.25">
      <c r="A296" s="1879">
        <v>213</v>
      </c>
      <c r="B296" s="1276" t="s">
        <v>2321</v>
      </c>
      <c r="C296" s="1239" t="s">
        <v>7195</v>
      </c>
      <c r="D296" s="1239" t="s">
        <v>6730</v>
      </c>
      <c r="E296" s="1239" t="s">
        <v>5811</v>
      </c>
      <c r="F296" s="1291" t="s">
        <v>7381</v>
      </c>
      <c r="G296" s="1243">
        <v>11345</v>
      </c>
      <c r="H296" s="1246" t="s">
        <v>2282</v>
      </c>
      <c r="I296" s="1273" t="s">
        <v>1672</v>
      </c>
      <c r="J296" s="1239" t="s">
        <v>380</v>
      </c>
      <c r="K296" s="1244">
        <v>41985</v>
      </c>
      <c r="L296" s="187">
        <v>16804.8</v>
      </c>
      <c r="M296" s="1243">
        <v>11457</v>
      </c>
      <c r="N296" s="1244">
        <v>41985</v>
      </c>
      <c r="O296" s="1244">
        <v>41682</v>
      </c>
      <c r="P296" s="1239" t="s">
        <v>6763</v>
      </c>
      <c r="Q296" s="1239" t="s">
        <v>677</v>
      </c>
      <c r="R296" s="1239" t="s">
        <v>677</v>
      </c>
      <c r="S296" s="1239" t="s">
        <v>677</v>
      </c>
      <c r="T296" s="1239" t="s">
        <v>316</v>
      </c>
      <c r="U296" s="1246" t="s">
        <v>677</v>
      </c>
      <c r="V296" s="1239" t="s">
        <v>677</v>
      </c>
      <c r="W296" s="1243" t="s">
        <v>677</v>
      </c>
      <c r="X296" s="1239" t="s">
        <v>677</v>
      </c>
      <c r="Y296" s="1244" t="s">
        <v>677</v>
      </c>
      <c r="Z296" s="1244" t="s">
        <v>677</v>
      </c>
      <c r="AA296" s="1242" t="s">
        <v>677</v>
      </c>
      <c r="AB296" s="1239" t="s">
        <v>677</v>
      </c>
      <c r="AC296" s="1319">
        <v>0</v>
      </c>
      <c r="AD296" s="1319">
        <v>0</v>
      </c>
      <c r="AE296" s="1319">
        <v>16804.8</v>
      </c>
      <c r="AF296" s="1319"/>
      <c r="AG296" s="187">
        <v>16804.8</v>
      </c>
      <c r="AH296" s="187">
        <v>16804.8</v>
      </c>
      <c r="AI296" s="1265" t="s">
        <v>677</v>
      </c>
      <c r="AJ296" s="1243" t="s">
        <v>677</v>
      </c>
      <c r="AK296" s="1284" t="s">
        <v>677</v>
      </c>
      <c r="AL296" s="1243" t="s">
        <v>677</v>
      </c>
      <c r="AM296" s="1610" t="s">
        <v>677</v>
      </c>
      <c r="AN296" s="1248" t="s">
        <v>677</v>
      </c>
      <c r="AO296" s="1248" t="s">
        <v>677</v>
      </c>
      <c r="AP296" s="1248" t="s">
        <v>677</v>
      </c>
      <c r="AQ296" s="1248" t="s">
        <v>677</v>
      </c>
      <c r="AR296" s="1248" t="s">
        <v>677</v>
      </c>
      <c r="AS296" s="1243" t="s">
        <v>677</v>
      </c>
      <c r="AT296" s="1243" t="s">
        <v>677</v>
      </c>
      <c r="AU296" s="1243" t="s">
        <v>677</v>
      </c>
      <c r="AV296" s="1243" t="s">
        <v>677</v>
      </c>
      <c r="AW296" s="1243" t="s">
        <v>677</v>
      </c>
      <c r="AX296" s="1243" t="s">
        <v>677</v>
      </c>
      <c r="AY296" s="1243" t="s">
        <v>677</v>
      </c>
      <c r="AZ296" s="1243" t="s">
        <v>677</v>
      </c>
      <c r="BA296" s="1243" t="s">
        <v>677</v>
      </c>
      <c r="BB296" s="1243" t="s">
        <v>677</v>
      </c>
      <c r="BC296" s="1243" t="s">
        <v>677</v>
      </c>
      <c r="BD296" s="1243" t="s">
        <v>677</v>
      </c>
    </row>
    <row r="297" spans="1:56" s="422" customFormat="1" ht="39" thickBot="1" x14ac:dyDescent="0.3">
      <c r="A297" s="1882">
        <v>214</v>
      </c>
      <c r="B297" s="1301" t="s">
        <v>7308</v>
      </c>
      <c r="C297" s="1250" t="s">
        <v>7195</v>
      </c>
      <c r="D297" s="1250" t="s">
        <v>6730</v>
      </c>
      <c r="E297" s="1250" t="s">
        <v>5811</v>
      </c>
      <c r="F297" s="1296" t="s">
        <v>7063</v>
      </c>
      <c r="G297" s="1256">
        <v>11342</v>
      </c>
      <c r="H297" s="1253" t="s">
        <v>2288</v>
      </c>
      <c r="I297" s="1281" t="s">
        <v>1672</v>
      </c>
      <c r="J297" s="1250" t="s">
        <v>380</v>
      </c>
      <c r="K297" s="1258">
        <v>41991</v>
      </c>
      <c r="L297" s="1877">
        <v>5186.16</v>
      </c>
      <c r="M297" s="1256">
        <v>11467</v>
      </c>
      <c r="N297" s="1258">
        <v>41991</v>
      </c>
      <c r="O297" s="1258">
        <v>42053</v>
      </c>
      <c r="P297" s="1250" t="s">
        <v>6735</v>
      </c>
      <c r="Q297" s="1250" t="s">
        <v>677</v>
      </c>
      <c r="R297" s="1250" t="s">
        <v>677</v>
      </c>
      <c r="S297" s="1250" t="s">
        <v>677</v>
      </c>
      <c r="T297" s="1250" t="s">
        <v>316</v>
      </c>
      <c r="U297" s="1253" t="s">
        <v>677</v>
      </c>
      <c r="V297" s="1250" t="s">
        <v>677</v>
      </c>
      <c r="W297" s="1256" t="s">
        <v>677</v>
      </c>
      <c r="X297" s="1250" t="s">
        <v>677</v>
      </c>
      <c r="Y297" s="1258" t="s">
        <v>677</v>
      </c>
      <c r="Z297" s="1258" t="s">
        <v>677</v>
      </c>
      <c r="AA297" s="1260" t="s">
        <v>677</v>
      </c>
      <c r="AB297" s="1250" t="s">
        <v>677</v>
      </c>
      <c r="AC297" s="1320">
        <v>0</v>
      </c>
      <c r="AD297" s="1320">
        <v>0</v>
      </c>
      <c r="AE297" s="1320">
        <v>5186.16</v>
      </c>
      <c r="AF297" s="1320"/>
      <c r="AG297" s="1877">
        <v>5186.16</v>
      </c>
      <c r="AH297" s="1877">
        <v>5186.16</v>
      </c>
      <c r="AI297" s="1264" t="s">
        <v>677</v>
      </c>
      <c r="AJ297" s="1256" t="s">
        <v>677</v>
      </c>
      <c r="AK297" s="1363" t="s">
        <v>677</v>
      </c>
      <c r="AL297" s="1256" t="s">
        <v>677</v>
      </c>
      <c r="AM297" s="1900" t="s">
        <v>677</v>
      </c>
      <c r="AN297" s="1322" t="s">
        <v>677</v>
      </c>
      <c r="AO297" s="1322" t="s">
        <v>677</v>
      </c>
      <c r="AP297" s="1322" t="s">
        <v>677</v>
      </c>
      <c r="AQ297" s="1322" t="s">
        <v>677</v>
      </c>
      <c r="AR297" s="1322" t="s">
        <v>677</v>
      </c>
      <c r="AS297" s="1256" t="s">
        <v>677</v>
      </c>
      <c r="AT297" s="1256" t="s">
        <v>677</v>
      </c>
      <c r="AU297" s="1256" t="s">
        <v>677</v>
      </c>
      <c r="AV297" s="1256" t="s">
        <v>677</v>
      </c>
      <c r="AW297" s="1256" t="s">
        <v>677</v>
      </c>
      <c r="AX297" s="1256" t="s">
        <v>677</v>
      </c>
      <c r="AY297" s="1256" t="s">
        <v>677</v>
      </c>
      <c r="AZ297" s="1256" t="s">
        <v>677</v>
      </c>
      <c r="BA297" s="1256" t="s">
        <v>677</v>
      </c>
      <c r="BB297" s="1256" t="s">
        <v>677</v>
      </c>
      <c r="BC297" s="1256" t="s">
        <v>677</v>
      </c>
      <c r="BD297" s="1256" t="s">
        <v>677</v>
      </c>
    </row>
    <row r="298" spans="1:56" s="422" customFormat="1" ht="15.75" thickBot="1" x14ac:dyDescent="0.3">
      <c r="A298" s="2444" t="s">
        <v>5809</v>
      </c>
      <c r="B298" s="2445"/>
      <c r="C298" s="2445"/>
      <c r="D298" s="2445"/>
      <c r="E298" s="2445"/>
      <c r="F298" s="2445"/>
      <c r="G298" s="2445"/>
      <c r="H298" s="2445"/>
      <c r="I298" s="2445"/>
      <c r="J298" s="2445"/>
      <c r="K298" s="2445"/>
      <c r="L298" s="1875">
        <f>SUM(L26:L297)</f>
        <v>5455058.46</v>
      </c>
      <c r="M298" s="296"/>
      <c r="N298" s="296"/>
      <c r="O298" s="296"/>
      <c r="P298" s="296"/>
      <c r="Q298" s="296"/>
      <c r="R298" s="296"/>
      <c r="S298" s="296"/>
      <c r="T298" s="1901"/>
      <c r="U298" s="1902"/>
      <c r="V298" s="296"/>
      <c r="W298" s="1903"/>
      <c r="X298" s="1904"/>
      <c r="Y298" s="296"/>
      <c r="Z298" s="296"/>
      <c r="AA298" s="296"/>
      <c r="AB298" s="296"/>
      <c r="AC298" s="1875">
        <f t="shared" ref="AC298:AH298" si="17">SUM(AC26:AC297)</f>
        <v>428610.4499999999</v>
      </c>
      <c r="AD298" s="1875">
        <f t="shared" si="17"/>
        <v>200782.47</v>
      </c>
      <c r="AE298" s="1875">
        <f t="shared" si="17"/>
        <v>11469603.869999999</v>
      </c>
      <c r="AF298" s="1875">
        <f t="shared" si="17"/>
        <v>3739886.3299999996</v>
      </c>
      <c r="AG298" s="1875">
        <f t="shared" si="17"/>
        <v>5302670.2300000004</v>
      </c>
      <c r="AH298" s="1875">
        <f t="shared" si="17"/>
        <v>9218908.7199999988</v>
      </c>
      <c r="AI298" s="1885" t="s">
        <v>677</v>
      </c>
      <c r="AJ298" s="1885" t="s">
        <v>677</v>
      </c>
      <c r="AK298" s="1885" t="s">
        <v>677</v>
      </c>
      <c r="AL298" s="1885" t="s">
        <v>677</v>
      </c>
      <c r="AM298" s="1885" t="s">
        <v>677</v>
      </c>
      <c r="AN298" s="1885" t="s">
        <v>677</v>
      </c>
      <c r="AO298" s="1885" t="s">
        <v>677</v>
      </c>
      <c r="AP298" s="1885" t="s">
        <v>677</v>
      </c>
      <c r="AQ298" s="1885" t="s">
        <v>677</v>
      </c>
      <c r="AR298" s="1885" t="s">
        <v>677</v>
      </c>
      <c r="AS298" s="1885" t="s">
        <v>677</v>
      </c>
      <c r="AT298" s="1885" t="s">
        <v>677</v>
      </c>
      <c r="AU298" s="1885" t="s">
        <v>677</v>
      </c>
      <c r="AV298" s="1885" t="s">
        <v>677</v>
      </c>
      <c r="AW298" s="1885" t="s">
        <v>677</v>
      </c>
      <c r="AX298" s="1885" t="s">
        <v>677</v>
      </c>
      <c r="AY298" s="1885" t="s">
        <v>677</v>
      </c>
      <c r="AZ298" s="1885" t="s">
        <v>677</v>
      </c>
      <c r="BA298" s="1885" t="s">
        <v>677</v>
      </c>
      <c r="BB298" s="1885" t="s">
        <v>677</v>
      </c>
      <c r="BC298" s="1885" t="s">
        <v>677</v>
      </c>
      <c r="BD298" s="1905" t="s">
        <v>677</v>
      </c>
    </row>
  </sheetData>
  <mergeCells count="663">
    <mergeCell ref="AS22:BD22"/>
    <mergeCell ref="H23:T23"/>
    <mergeCell ref="U23:AD23"/>
    <mergeCell ref="AT23:AT24"/>
    <mergeCell ref="AU23:AW23"/>
    <mergeCell ref="A9:BD9"/>
    <mergeCell ref="A11:BD11"/>
    <mergeCell ref="AE23:AH23"/>
    <mergeCell ref="AI23:AI24"/>
    <mergeCell ref="AJ23:AJ24"/>
    <mergeCell ref="AK23:AK24"/>
    <mergeCell ref="AL23:AL24"/>
    <mergeCell ref="AM23:AM24"/>
    <mergeCell ref="A22:A25"/>
    <mergeCell ref="B22:G23"/>
    <mergeCell ref="H22:AH22"/>
    <mergeCell ref="AI22:AL22"/>
    <mergeCell ref="AM22:AR22"/>
    <mergeCell ref="AX23:AY23"/>
    <mergeCell ref="AZ23:AZ24"/>
    <mergeCell ref="BA23:BA24"/>
    <mergeCell ref="BB23:BD23"/>
    <mergeCell ref="AN23:AN24"/>
    <mergeCell ref="AO23:AO24"/>
    <mergeCell ref="AP23:AP24"/>
    <mergeCell ref="AQ23:AQ24"/>
    <mergeCell ref="AR23:AR24"/>
    <mergeCell ref="AS23:AS24"/>
    <mergeCell ref="A35:A41"/>
    <mergeCell ref="B35:B41"/>
    <mergeCell ref="C35:C41"/>
    <mergeCell ref="D35:D41"/>
    <mergeCell ref="E35:E41"/>
    <mergeCell ref="F35:F41"/>
    <mergeCell ref="G35:G41"/>
    <mergeCell ref="H35:H41"/>
    <mergeCell ref="M28:M34"/>
    <mergeCell ref="G28:G34"/>
    <mergeCell ref="H28:H34"/>
    <mergeCell ref="I28:I34"/>
    <mergeCell ref="J28:J34"/>
    <mergeCell ref="K28:K34"/>
    <mergeCell ref="L28:L34"/>
    <mergeCell ref="A28:A34"/>
    <mergeCell ref="B28:B34"/>
    <mergeCell ref="C28:C34"/>
    <mergeCell ref="D28:D34"/>
    <mergeCell ref="E28:E34"/>
    <mergeCell ref="F28:F34"/>
    <mergeCell ref="T35:T41"/>
    <mergeCell ref="I35:I41"/>
    <mergeCell ref="J35:J41"/>
    <mergeCell ref="K35:K41"/>
    <mergeCell ref="L35:L41"/>
    <mergeCell ref="M35:M41"/>
    <mergeCell ref="N35:N41"/>
    <mergeCell ref="S28:S34"/>
    <mergeCell ref="T28:T34"/>
    <mergeCell ref="N28:N34"/>
    <mergeCell ref="O28:O34"/>
    <mergeCell ref="P28:P34"/>
    <mergeCell ref="Q28:Q34"/>
    <mergeCell ref="R28:R34"/>
    <mergeCell ref="C42:C43"/>
    <mergeCell ref="D42:D43"/>
    <mergeCell ref="E42:E43"/>
    <mergeCell ref="F42:F43"/>
    <mergeCell ref="O35:O41"/>
    <mergeCell ref="P35:P41"/>
    <mergeCell ref="Q35:Q41"/>
    <mergeCell ref="R35:R41"/>
    <mergeCell ref="S35:S41"/>
    <mergeCell ref="S42:S43"/>
    <mergeCell ref="T42:T43"/>
    <mergeCell ref="A44:A51"/>
    <mergeCell ref="B44:B51"/>
    <mergeCell ref="C44:C51"/>
    <mergeCell ref="D44:D51"/>
    <mergeCell ref="E44:E51"/>
    <mergeCell ref="F44:F51"/>
    <mergeCell ref="G44:G51"/>
    <mergeCell ref="H44:H51"/>
    <mergeCell ref="M42:M43"/>
    <mergeCell ref="N42:N43"/>
    <mergeCell ref="O42:O43"/>
    <mergeCell ref="P42:P43"/>
    <mergeCell ref="Q42:Q43"/>
    <mergeCell ref="R42:R43"/>
    <mergeCell ref="G42:G43"/>
    <mergeCell ref="H42:H43"/>
    <mergeCell ref="I42:I43"/>
    <mergeCell ref="J42:J43"/>
    <mergeCell ref="K42:K43"/>
    <mergeCell ref="L42:L43"/>
    <mergeCell ref="A42:A43"/>
    <mergeCell ref="B42:B43"/>
    <mergeCell ref="O44:O51"/>
    <mergeCell ref="P44:P51"/>
    <mergeCell ref="Q44:Q51"/>
    <mergeCell ref="R44:R51"/>
    <mergeCell ref="S44:S51"/>
    <mergeCell ref="T44:T51"/>
    <mergeCell ref="I44:I51"/>
    <mergeCell ref="J44:J51"/>
    <mergeCell ref="K44:K51"/>
    <mergeCell ref="L44:L51"/>
    <mergeCell ref="M44:M51"/>
    <mergeCell ref="N44:N51"/>
    <mergeCell ref="G52:G57"/>
    <mergeCell ref="H52:H57"/>
    <mergeCell ref="I52:I57"/>
    <mergeCell ref="J52:J57"/>
    <mergeCell ref="K52:K57"/>
    <mergeCell ref="L52:L57"/>
    <mergeCell ref="A52:A57"/>
    <mergeCell ref="B52:B57"/>
    <mergeCell ref="C52:C57"/>
    <mergeCell ref="D52:D57"/>
    <mergeCell ref="E52:E57"/>
    <mergeCell ref="F52:F57"/>
    <mergeCell ref="S52:S57"/>
    <mergeCell ref="T52:T57"/>
    <mergeCell ref="AI52:AI57"/>
    <mergeCell ref="AJ52:AJ57"/>
    <mergeCell ref="AK52:AK57"/>
    <mergeCell ref="AL52:AL57"/>
    <mergeCell ref="M52:M57"/>
    <mergeCell ref="N52:N57"/>
    <mergeCell ref="O52:O57"/>
    <mergeCell ref="P52:P57"/>
    <mergeCell ref="Q52:Q57"/>
    <mergeCell ref="R52:R57"/>
    <mergeCell ref="G58:G61"/>
    <mergeCell ref="H58:H61"/>
    <mergeCell ref="I58:I61"/>
    <mergeCell ref="J58:J61"/>
    <mergeCell ref="K58:K61"/>
    <mergeCell ref="L58:L61"/>
    <mergeCell ref="A58:A61"/>
    <mergeCell ref="B58:B61"/>
    <mergeCell ref="C58:C61"/>
    <mergeCell ref="D58:D61"/>
    <mergeCell ref="E58:E61"/>
    <mergeCell ref="F58:F61"/>
    <mergeCell ref="S58:S61"/>
    <mergeCell ref="T58:T61"/>
    <mergeCell ref="AI58:AI61"/>
    <mergeCell ref="AJ58:AJ61"/>
    <mergeCell ref="AK58:AK61"/>
    <mergeCell ref="AL58:AL61"/>
    <mergeCell ref="M58:M61"/>
    <mergeCell ref="N58:N61"/>
    <mergeCell ref="O58:O61"/>
    <mergeCell ref="P58:P61"/>
    <mergeCell ref="Q58:Q61"/>
    <mergeCell ref="R58:R61"/>
    <mergeCell ref="G62:G65"/>
    <mergeCell ref="H62:H65"/>
    <mergeCell ref="I62:I65"/>
    <mergeCell ref="J62:J65"/>
    <mergeCell ref="K62:K65"/>
    <mergeCell ref="L62:L65"/>
    <mergeCell ref="A62:A65"/>
    <mergeCell ref="B62:B65"/>
    <mergeCell ref="C62:C65"/>
    <mergeCell ref="D62:D65"/>
    <mergeCell ref="E62:E65"/>
    <mergeCell ref="F62:F65"/>
    <mergeCell ref="S62:S65"/>
    <mergeCell ref="T62:T65"/>
    <mergeCell ref="AI62:AI65"/>
    <mergeCell ref="AJ62:AJ65"/>
    <mergeCell ref="AK62:AK65"/>
    <mergeCell ref="AL62:AL65"/>
    <mergeCell ref="M62:M65"/>
    <mergeCell ref="N62:N65"/>
    <mergeCell ref="O62:O65"/>
    <mergeCell ref="P62:P65"/>
    <mergeCell ref="Q62:Q65"/>
    <mergeCell ref="R62:R65"/>
    <mergeCell ref="G67:G73"/>
    <mergeCell ref="H67:H73"/>
    <mergeCell ref="I67:I73"/>
    <mergeCell ref="J67:J73"/>
    <mergeCell ref="K67:K73"/>
    <mergeCell ref="L67:L73"/>
    <mergeCell ref="A67:A73"/>
    <mergeCell ref="B67:B73"/>
    <mergeCell ref="C67:C73"/>
    <mergeCell ref="D67:D73"/>
    <mergeCell ref="E67:E73"/>
    <mergeCell ref="F67:F73"/>
    <mergeCell ref="S67:S73"/>
    <mergeCell ref="T67:T73"/>
    <mergeCell ref="AI67:AI73"/>
    <mergeCell ref="AJ67:AJ73"/>
    <mergeCell ref="AK67:AK73"/>
    <mergeCell ref="AL67:AL73"/>
    <mergeCell ref="M67:M73"/>
    <mergeCell ref="N67:N73"/>
    <mergeCell ref="O67:O73"/>
    <mergeCell ref="P67:P73"/>
    <mergeCell ref="Q67:Q73"/>
    <mergeCell ref="R67:R73"/>
    <mergeCell ref="G74:G75"/>
    <mergeCell ref="H74:H75"/>
    <mergeCell ref="I74:I75"/>
    <mergeCell ref="J74:J75"/>
    <mergeCell ref="K74:K75"/>
    <mergeCell ref="L74:L75"/>
    <mergeCell ref="A74:A75"/>
    <mergeCell ref="B74:B75"/>
    <mergeCell ref="C74:C75"/>
    <mergeCell ref="D74:D75"/>
    <mergeCell ref="E74:E75"/>
    <mergeCell ref="F74:F75"/>
    <mergeCell ref="S74:S75"/>
    <mergeCell ref="T74:T75"/>
    <mergeCell ref="AI74:AI75"/>
    <mergeCell ref="AJ74:AJ75"/>
    <mergeCell ref="AK74:AK75"/>
    <mergeCell ref="AL74:AL75"/>
    <mergeCell ref="M74:M75"/>
    <mergeCell ref="N74:N75"/>
    <mergeCell ref="O74:O75"/>
    <mergeCell ref="P74:P75"/>
    <mergeCell ref="Q74:Q75"/>
    <mergeCell ref="R74:R75"/>
    <mergeCell ref="AJ76:AJ77"/>
    <mergeCell ref="AK76:AK77"/>
    <mergeCell ref="AL76:AL77"/>
    <mergeCell ref="M76:M77"/>
    <mergeCell ref="N76:N77"/>
    <mergeCell ref="O76:O77"/>
    <mergeCell ref="P76:P77"/>
    <mergeCell ref="Q76:Q77"/>
    <mergeCell ref="R76:R77"/>
    <mergeCell ref="A79:A80"/>
    <mergeCell ref="B79:B80"/>
    <mergeCell ref="C79:C80"/>
    <mergeCell ref="D79:D80"/>
    <mergeCell ref="E79:E80"/>
    <mergeCell ref="F79:F80"/>
    <mergeCell ref="S76:S77"/>
    <mergeCell ref="T76:T77"/>
    <mergeCell ref="AI76:AI77"/>
    <mergeCell ref="G76:G77"/>
    <mergeCell ref="H76:H77"/>
    <mergeCell ref="I76:I77"/>
    <mergeCell ref="J76:J77"/>
    <mergeCell ref="K76:K77"/>
    <mergeCell ref="L76:L77"/>
    <mergeCell ref="A76:A77"/>
    <mergeCell ref="B76:B77"/>
    <mergeCell ref="C76:C77"/>
    <mergeCell ref="D76:D77"/>
    <mergeCell ref="E76:E77"/>
    <mergeCell ref="F76:F77"/>
    <mergeCell ref="M79:M80"/>
    <mergeCell ref="N79:N80"/>
    <mergeCell ref="O79:O80"/>
    <mergeCell ref="P79:P80"/>
    <mergeCell ref="Q79:Q80"/>
    <mergeCell ref="R79:R80"/>
    <mergeCell ref="G79:G80"/>
    <mergeCell ref="H79:H80"/>
    <mergeCell ref="I79:I80"/>
    <mergeCell ref="J79:J80"/>
    <mergeCell ref="K79:K80"/>
    <mergeCell ref="L79:L80"/>
    <mergeCell ref="AM79:AM80"/>
    <mergeCell ref="AN79:AN80"/>
    <mergeCell ref="AO79:AO80"/>
    <mergeCell ref="AP79:AP80"/>
    <mergeCell ref="AQ79:AQ80"/>
    <mergeCell ref="AR79:AR80"/>
    <mergeCell ref="S79:S80"/>
    <mergeCell ref="T79:T80"/>
    <mergeCell ref="AI79:AI80"/>
    <mergeCell ref="AJ79:AJ80"/>
    <mergeCell ref="AK79:AK80"/>
    <mergeCell ref="AL79:AL80"/>
    <mergeCell ref="AY79:AY80"/>
    <mergeCell ref="AZ79:AZ80"/>
    <mergeCell ref="BA79:BA80"/>
    <mergeCell ref="BB79:BB80"/>
    <mergeCell ref="BC79:BC80"/>
    <mergeCell ref="BD79:BD80"/>
    <mergeCell ref="AS79:AS80"/>
    <mergeCell ref="AT79:AT80"/>
    <mergeCell ref="AU79:AU80"/>
    <mergeCell ref="AV79:AV80"/>
    <mergeCell ref="AW79:AW80"/>
    <mergeCell ref="AX79:AX80"/>
    <mergeCell ref="AJ82:AJ83"/>
    <mergeCell ref="AK82:AK83"/>
    <mergeCell ref="AL82:AL83"/>
    <mergeCell ref="M82:M83"/>
    <mergeCell ref="N82:N83"/>
    <mergeCell ref="O82:O83"/>
    <mergeCell ref="P82:P83"/>
    <mergeCell ref="Q82:Q83"/>
    <mergeCell ref="R82:R83"/>
    <mergeCell ref="A84:A86"/>
    <mergeCell ref="B84:B86"/>
    <mergeCell ref="C84:C86"/>
    <mergeCell ref="D84:D86"/>
    <mergeCell ref="E84:E86"/>
    <mergeCell ref="F84:F86"/>
    <mergeCell ref="S82:S83"/>
    <mergeCell ref="T82:T83"/>
    <mergeCell ref="AI82:AI83"/>
    <mergeCell ref="G82:G83"/>
    <mergeCell ref="H82:H83"/>
    <mergeCell ref="I82:I83"/>
    <mergeCell ref="J82:J83"/>
    <mergeCell ref="K82:K83"/>
    <mergeCell ref="L82:L83"/>
    <mergeCell ref="A82:A83"/>
    <mergeCell ref="B82:B83"/>
    <mergeCell ref="C82:C83"/>
    <mergeCell ref="D82:D83"/>
    <mergeCell ref="E82:E83"/>
    <mergeCell ref="F82:F83"/>
    <mergeCell ref="M84:M86"/>
    <mergeCell ref="N84:N86"/>
    <mergeCell ref="O84:O86"/>
    <mergeCell ref="P84:P86"/>
    <mergeCell ref="Q84:Q86"/>
    <mergeCell ref="R84:R86"/>
    <mergeCell ref="G84:G86"/>
    <mergeCell ref="H84:H86"/>
    <mergeCell ref="I84:I86"/>
    <mergeCell ref="J84:J86"/>
    <mergeCell ref="K84:K86"/>
    <mergeCell ref="L84:L86"/>
    <mergeCell ref="Y84:Y85"/>
    <mergeCell ref="Z84:Z85"/>
    <mergeCell ref="AA84:AA85"/>
    <mergeCell ref="AB84:AB85"/>
    <mergeCell ref="AC84:AC85"/>
    <mergeCell ref="AD84:AD85"/>
    <mergeCell ref="S84:S86"/>
    <mergeCell ref="T84:T86"/>
    <mergeCell ref="U84:U85"/>
    <mergeCell ref="V84:V85"/>
    <mergeCell ref="W84:W85"/>
    <mergeCell ref="X84:X85"/>
    <mergeCell ref="AM84:AM86"/>
    <mergeCell ref="AN84:AN86"/>
    <mergeCell ref="AO84:AO86"/>
    <mergeCell ref="AP84:AP86"/>
    <mergeCell ref="AE84:AE85"/>
    <mergeCell ref="AF84:AF85"/>
    <mergeCell ref="AG84:AG85"/>
    <mergeCell ref="AH84:AH85"/>
    <mergeCell ref="AI84:AI86"/>
    <mergeCell ref="AJ84:AJ86"/>
    <mergeCell ref="BC84:BC86"/>
    <mergeCell ref="BD84:BD86"/>
    <mergeCell ref="A88:A93"/>
    <mergeCell ref="B88:B93"/>
    <mergeCell ref="C88:C93"/>
    <mergeCell ref="D88:D93"/>
    <mergeCell ref="E88:E93"/>
    <mergeCell ref="F88:F93"/>
    <mergeCell ref="G88:G93"/>
    <mergeCell ref="H88:H93"/>
    <mergeCell ref="AW84:AW86"/>
    <mergeCell ref="AX84:AX86"/>
    <mergeCell ref="AY84:AY86"/>
    <mergeCell ref="AZ84:AZ86"/>
    <mergeCell ref="BA84:BA86"/>
    <mergeCell ref="BB84:BB86"/>
    <mergeCell ref="AQ84:AQ86"/>
    <mergeCell ref="AR84:AR86"/>
    <mergeCell ref="AS84:AS86"/>
    <mergeCell ref="AT84:AT86"/>
    <mergeCell ref="AU84:AU86"/>
    <mergeCell ref="AV84:AV86"/>
    <mergeCell ref="AK84:AK86"/>
    <mergeCell ref="AL84:AL86"/>
    <mergeCell ref="AP88:AP92"/>
    <mergeCell ref="AQ88:AQ92"/>
    <mergeCell ref="AR88:AR92"/>
    <mergeCell ref="O88:O93"/>
    <mergeCell ref="P88:P93"/>
    <mergeCell ref="Q88:Q93"/>
    <mergeCell ref="R88:R93"/>
    <mergeCell ref="S88:S93"/>
    <mergeCell ref="T88:T93"/>
    <mergeCell ref="A96:A97"/>
    <mergeCell ref="B96:B97"/>
    <mergeCell ref="C96:C97"/>
    <mergeCell ref="D96:D97"/>
    <mergeCell ref="E96:E97"/>
    <mergeCell ref="F96:F97"/>
    <mergeCell ref="AM88:AM92"/>
    <mergeCell ref="AN88:AN92"/>
    <mergeCell ref="AO88:AO92"/>
    <mergeCell ref="I88:I93"/>
    <mergeCell ref="J88:J93"/>
    <mergeCell ref="K88:K93"/>
    <mergeCell ref="L88:L93"/>
    <mergeCell ref="M88:M93"/>
    <mergeCell ref="N88:N93"/>
    <mergeCell ref="P96:P97"/>
    <mergeCell ref="Q96:Q97"/>
    <mergeCell ref="R96:R97"/>
    <mergeCell ref="S96:S97"/>
    <mergeCell ref="G96:G97"/>
    <mergeCell ref="H96:H97"/>
    <mergeCell ref="I96:I97"/>
    <mergeCell ref="J96:J97"/>
    <mergeCell ref="K96:K97"/>
    <mergeCell ref="M96:M97"/>
    <mergeCell ref="AG96:AG97"/>
    <mergeCell ref="AH96:AH97"/>
    <mergeCell ref="A98:A99"/>
    <mergeCell ref="B98:B99"/>
    <mergeCell ref="C98:C99"/>
    <mergeCell ref="D98:D99"/>
    <mergeCell ref="E98:E99"/>
    <mergeCell ref="F98:F99"/>
    <mergeCell ref="G98:G99"/>
    <mergeCell ref="H98:H99"/>
    <mergeCell ref="AA96:AA97"/>
    <mergeCell ref="AB96:AB97"/>
    <mergeCell ref="AC96:AC97"/>
    <mergeCell ref="AD96:AD97"/>
    <mergeCell ref="AE96:AE97"/>
    <mergeCell ref="AF96:AF97"/>
    <mergeCell ref="U96:U97"/>
    <mergeCell ref="V96:V97"/>
    <mergeCell ref="W96:W97"/>
    <mergeCell ref="X96:X97"/>
    <mergeCell ref="Y96:Y97"/>
    <mergeCell ref="Z96:Z97"/>
    <mergeCell ref="N96:N97"/>
    <mergeCell ref="O96:O97"/>
    <mergeCell ref="AH98:AH99"/>
    <mergeCell ref="W98:W99"/>
    <mergeCell ref="X98:X99"/>
    <mergeCell ref="Y98:Y99"/>
    <mergeCell ref="Z98:Z99"/>
    <mergeCell ref="AA98:AA99"/>
    <mergeCell ref="AB98:AB99"/>
    <mergeCell ref="P98:P99"/>
    <mergeCell ref="Q98:Q99"/>
    <mergeCell ref="R98:R99"/>
    <mergeCell ref="S98:S99"/>
    <mergeCell ref="U98:U99"/>
    <mergeCell ref="V98:V99"/>
    <mergeCell ref="AC98:AC99"/>
    <mergeCell ref="AD98:AD99"/>
    <mergeCell ref="AE98:AE99"/>
    <mergeCell ref="AF98:AF99"/>
    <mergeCell ref="AG98:AG99"/>
    <mergeCell ref="I98:I99"/>
    <mergeCell ref="J98:J99"/>
    <mergeCell ref="K98:K99"/>
    <mergeCell ref="M98:M99"/>
    <mergeCell ref="N98:N99"/>
    <mergeCell ref="O98:O99"/>
    <mergeCell ref="A105:A106"/>
    <mergeCell ref="B105:B106"/>
    <mergeCell ref="C105:C106"/>
    <mergeCell ref="D105:D106"/>
    <mergeCell ref="E105:E106"/>
    <mergeCell ref="F105:F106"/>
    <mergeCell ref="G105:G106"/>
    <mergeCell ref="H105:H106"/>
    <mergeCell ref="M103:M104"/>
    <mergeCell ref="G103:G104"/>
    <mergeCell ref="H103:H104"/>
    <mergeCell ref="I103:I104"/>
    <mergeCell ref="J103:J104"/>
    <mergeCell ref="K103:K104"/>
    <mergeCell ref="L103:L104"/>
    <mergeCell ref="A103:A104"/>
    <mergeCell ref="B103:B104"/>
    <mergeCell ref="C103:C104"/>
    <mergeCell ref="D103:D104"/>
    <mergeCell ref="E103:E104"/>
    <mergeCell ref="F103:F104"/>
    <mergeCell ref="Q105:Q106"/>
    <mergeCell ref="R105:R106"/>
    <mergeCell ref="S105:S106"/>
    <mergeCell ref="T105:T106"/>
    <mergeCell ref="I105:I106"/>
    <mergeCell ref="J105:J106"/>
    <mergeCell ref="K105:K106"/>
    <mergeCell ref="L105:L106"/>
    <mergeCell ref="M105:M106"/>
    <mergeCell ref="N105:N106"/>
    <mergeCell ref="S103:S104"/>
    <mergeCell ref="T103:T104"/>
    <mergeCell ref="N103:N104"/>
    <mergeCell ref="O103:O104"/>
    <mergeCell ref="P103:P104"/>
    <mergeCell ref="Q103:Q104"/>
    <mergeCell ref="R103:R104"/>
    <mergeCell ref="BA105:BA106"/>
    <mergeCell ref="BB105:BB106"/>
    <mergeCell ref="BC105:BC106"/>
    <mergeCell ref="BD105:BD106"/>
    <mergeCell ref="A115:A116"/>
    <mergeCell ref="B115:B116"/>
    <mergeCell ref="C115:C116"/>
    <mergeCell ref="D115:D116"/>
    <mergeCell ref="E115:E116"/>
    <mergeCell ref="F115:F116"/>
    <mergeCell ref="AU105:AU106"/>
    <mergeCell ref="AV105:AV106"/>
    <mergeCell ref="AW105:AW106"/>
    <mergeCell ref="AX105:AX106"/>
    <mergeCell ref="AY105:AY106"/>
    <mergeCell ref="AZ105:AZ106"/>
    <mergeCell ref="AE105:AE106"/>
    <mergeCell ref="AF105:AF106"/>
    <mergeCell ref="AG105:AG106"/>
    <mergeCell ref="AH105:AH106"/>
    <mergeCell ref="AS105:AS106"/>
    <mergeCell ref="AT105:AT106"/>
    <mergeCell ref="O105:O106"/>
    <mergeCell ref="P105:P106"/>
    <mergeCell ref="M115:M116"/>
    <mergeCell ref="N115:N116"/>
    <mergeCell ref="O115:O116"/>
    <mergeCell ref="P115:P116"/>
    <mergeCell ref="Q115:Q116"/>
    <mergeCell ref="R115:R116"/>
    <mergeCell ref="G115:G116"/>
    <mergeCell ref="H115:H116"/>
    <mergeCell ref="I115:I116"/>
    <mergeCell ref="J115:J116"/>
    <mergeCell ref="K115:K116"/>
    <mergeCell ref="L115:L116"/>
    <mergeCell ref="Y115:Y116"/>
    <mergeCell ref="Z115:Z116"/>
    <mergeCell ref="AA115:AA116"/>
    <mergeCell ref="AB115:AB116"/>
    <mergeCell ref="AC115:AC116"/>
    <mergeCell ref="AD115:AD116"/>
    <mergeCell ref="S115:S116"/>
    <mergeCell ref="T115:T116"/>
    <mergeCell ref="U115:U116"/>
    <mergeCell ref="V115:V116"/>
    <mergeCell ref="W115:W116"/>
    <mergeCell ref="X115:X116"/>
    <mergeCell ref="AM115:AM116"/>
    <mergeCell ref="AN115:AN116"/>
    <mergeCell ref="AO115:AO116"/>
    <mergeCell ref="AP115:AP116"/>
    <mergeCell ref="AE115:AE116"/>
    <mergeCell ref="AF115:AF116"/>
    <mergeCell ref="AG115:AG116"/>
    <mergeCell ref="AH115:AH116"/>
    <mergeCell ref="AI115:AI116"/>
    <mergeCell ref="AJ115:AJ116"/>
    <mergeCell ref="BC115:BC116"/>
    <mergeCell ref="BD115:BD116"/>
    <mergeCell ref="A127:A128"/>
    <mergeCell ref="B127:B128"/>
    <mergeCell ref="C127:C128"/>
    <mergeCell ref="D127:D128"/>
    <mergeCell ref="E127:E128"/>
    <mergeCell ref="F127:F128"/>
    <mergeCell ref="G127:G128"/>
    <mergeCell ref="H127:H128"/>
    <mergeCell ref="AW115:AW116"/>
    <mergeCell ref="AX115:AX116"/>
    <mergeCell ref="AY115:AY116"/>
    <mergeCell ref="AZ115:AZ116"/>
    <mergeCell ref="BA115:BA116"/>
    <mergeCell ref="BB115:BB116"/>
    <mergeCell ref="AQ115:AQ116"/>
    <mergeCell ref="AR115:AR116"/>
    <mergeCell ref="AS115:AS116"/>
    <mergeCell ref="AT115:AT116"/>
    <mergeCell ref="AU115:AU116"/>
    <mergeCell ref="AV115:AV116"/>
    <mergeCell ref="AK115:AK116"/>
    <mergeCell ref="AL115:AL116"/>
    <mergeCell ref="AG127:AG128"/>
    <mergeCell ref="AH127:AH128"/>
    <mergeCell ref="A182:A183"/>
    <mergeCell ref="B182:B183"/>
    <mergeCell ref="C182:C183"/>
    <mergeCell ref="D182:D183"/>
    <mergeCell ref="E182:E183"/>
    <mergeCell ref="F182:F183"/>
    <mergeCell ref="G182:G183"/>
    <mergeCell ref="H182:H183"/>
    <mergeCell ref="O127:O128"/>
    <mergeCell ref="P127:P128"/>
    <mergeCell ref="Q127:Q128"/>
    <mergeCell ref="R127:R128"/>
    <mergeCell ref="S127:S128"/>
    <mergeCell ref="T127:T128"/>
    <mergeCell ref="I127:I128"/>
    <mergeCell ref="J127:J128"/>
    <mergeCell ref="K127:K128"/>
    <mergeCell ref="L127:L128"/>
    <mergeCell ref="M127:M128"/>
    <mergeCell ref="N127:N128"/>
    <mergeCell ref="AG182:AG183"/>
    <mergeCell ref="AH182:AH183"/>
    <mergeCell ref="A214:A216"/>
    <mergeCell ref="B214:B216"/>
    <mergeCell ref="C214:C216"/>
    <mergeCell ref="D214:D216"/>
    <mergeCell ref="E214:E216"/>
    <mergeCell ref="F214:F216"/>
    <mergeCell ref="G214:G216"/>
    <mergeCell ref="H214:H216"/>
    <mergeCell ref="O182:O183"/>
    <mergeCell ref="O214:O216"/>
    <mergeCell ref="P182:P183"/>
    <mergeCell ref="Q182:Q183"/>
    <mergeCell ref="R182:R183"/>
    <mergeCell ref="S182:S183"/>
    <mergeCell ref="T182:T183"/>
    <mergeCell ref="I182:I183"/>
    <mergeCell ref="J182:J183"/>
    <mergeCell ref="K182:K183"/>
    <mergeCell ref="L182:L183"/>
    <mergeCell ref="M182:M183"/>
    <mergeCell ref="N182:N183"/>
    <mergeCell ref="P214:P216"/>
    <mergeCell ref="Q214:Q216"/>
    <mergeCell ref="R214:R216"/>
    <mergeCell ref="S214:S216"/>
    <mergeCell ref="T214:T216"/>
    <mergeCell ref="I214:I216"/>
    <mergeCell ref="J214:J216"/>
    <mergeCell ref="K214:K216"/>
    <mergeCell ref="L214:L216"/>
    <mergeCell ref="M214:M216"/>
    <mergeCell ref="N214:N216"/>
    <mergeCell ref="AF245:AF246"/>
    <mergeCell ref="AG245:AG246"/>
    <mergeCell ref="A298:K298"/>
    <mergeCell ref="M245:M246"/>
    <mergeCell ref="N245:N246"/>
    <mergeCell ref="O245:O246"/>
    <mergeCell ref="P245:P246"/>
    <mergeCell ref="Q245:Q246"/>
    <mergeCell ref="R245:R246"/>
    <mergeCell ref="G245:G246"/>
    <mergeCell ref="H245:H246"/>
    <mergeCell ref="I245:I246"/>
    <mergeCell ref="J245:J246"/>
    <mergeCell ref="K245:K246"/>
    <mergeCell ref="L245:L246"/>
    <mergeCell ref="A245:A246"/>
    <mergeCell ref="B245:B246"/>
    <mergeCell ref="C245:C246"/>
    <mergeCell ref="D245:D246"/>
    <mergeCell ref="E245:E246"/>
    <mergeCell ref="F245:F246"/>
    <mergeCell ref="S245:S246"/>
    <mergeCell ref="T245:T246"/>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79"/>
  <sheetViews>
    <sheetView workbookViewId="0">
      <selection sqref="A1:XFD11"/>
    </sheetView>
  </sheetViews>
  <sheetFormatPr defaultRowHeight="15" x14ac:dyDescent="0.25"/>
  <cols>
    <col min="1" max="1" width="6.85546875" customWidth="1"/>
    <col min="2" max="2" width="13.5703125" customWidth="1"/>
    <col min="3" max="3" width="11.5703125" customWidth="1"/>
    <col min="4" max="4" width="32.5703125" customWidth="1"/>
    <col min="5" max="5" width="13.7109375" customWidth="1"/>
    <col min="6" max="6" width="55.7109375" customWidth="1"/>
    <col min="7" max="7" width="0.140625" customWidth="1"/>
    <col min="8" max="8" width="12.7109375" customWidth="1"/>
    <col min="9" max="9" width="50.140625" customWidth="1"/>
    <col min="10" max="10" width="19.85546875" customWidth="1"/>
    <col min="11" max="11" width="12.7109375" customWidth="1"/>
    <col min="12" max="12" width="12.7109375" bestFit="1" customWidth="1"/>
    <col min="13" max="13" width="11.7109375" customWidth="1"/>
    <col min="14" max="14" width="11.5703125" customWidth="1"/>
    <col min="15" max="16" width="10.5703125" customWidth="1"/>
    <col min="17" max="17" width="12" customWidth="1"/>
    <col min="18" max="18" width="10.5703125" customWidth="1"/>
    <col min="19" max="19" width="10" bestFit="1" customWidth="1"/>
    <col min="20" max="20" width="13" customWidth="1"/>
    <col min="21" max="21" width="11.7109375" customWidth="1"/>
    <col min="22" max="22" width="17.5703125" bestFit="1" customWidth="1"/>
    <col min="23" max="23" width="14.7109375" customWidth="1"/>
    <col min="24" max="24" width="42.42578125" customWidth="1"/>
    <col min="25" max="25" width="13.7109375" customWidth="1"/>
    <col min="26" max="26" width="12" bestFit="1" customWidth="1"/>
    <col min="27" max="30" width="10.5703125" customWidth="1"/>
    <col min="31" max="31" width="21" customWidth="1"/>
    <col min="32" max="32" width="18.7109375" customWidth="1"/>
    <col min="33" max="33" width="16.140625" customWidth="1"/>
    <col min="34" max="34" width="20.85546875" customWidth="1"/>
    <col min="35" max="35" width="11.5703125" customWidth="1"/>
    <col min="36" max="36" width="13.85546875" customWidth="1"/>
    <col min="37" max="37" width="33.140625" customWidth="1"/>
    <col min="38" max="38" width="13.140625" customWidth="1"/>
    <col min="39" max="39" width="15.85546875" customWidth="1"/>
    <col min="40" max="40" width="14.42578125" customWidth="1"/>
    <col min="41" max="41" width="13.85546875" customWidth="1"/>
    <col min="42" max="42" width="13.7109375" customWidth="1"/>
    <col min="43" max="43" width="13.28515625" customWidth="1"/>
    <col min="44" max="44" width="12.28515625" customWidth="1"/>
    <col min="47" max="47" width="11.7109375" customWidth="1"/>
    <col min="48" max="48" width="10.85546875" customWidth="1"/>
    <col min="53" max="53" width="10.140625" customWidth="1"/>
    <col min="56" max="56" width="55.28515625"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1" customFormat="1" ht="12.75" x14ac:dyDescent="0.25">
      <c r="A12" s="1024"/>
      <c r="B12" s="1024"/>
      <c r="C12" s="1024"/>
      <c r="D12" s="1024"/>
      <c r="E12" s="1024"/>
      <c r="F12" s="10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c r="AP12" s="1024"/>
      <c r="AQ12" s="1024"/>
      <c r="AR12" s="1024"/>
    </row>
    <row r="13" spans="1:56" s="1221" customFormat="1" x14ac:dyDescent="0.25">
      <c r="A13" s="2109" t="s">
        <v>1</v>
      </c>
      <c r="B13" s="2109"/>
      <c r="C13" s="2109"/>
      <c r="D13" s="2109"/>
      <c r="E13" s="2109"/>
      <c r="F13" s="2109"/>
      <c r="G13" s="2109"/>
      <c r="H13" s="2109"/>
      <c r="I13" s="2109"/>
      <c r="J13" s="2109"/>
      <c r="K13" s="2109"/>
      <c r="L13" s="2109"/>
      <c r="M13" s="2109"/>
      <c r="N13" s="2109"/>
      <c r="O13" s="2109"/>
      <c r="P13" s="2109"/>
      <c r="Q13" s="2109"/>
      <c r="R13" s="2109"/>
      <c r="S13" s="2109"/>
      <c r="T13" s="2109"/>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56" s="1221" customFormat="1" x14ac:dyDescent="0.25">
      <c r="A14" s="2109" t="s">
        <v>2</v>
      </c>
      <c r="B14" s="2109"/>
      <c r="C14" s="2109"/>
      <c r="D14" s="2109"/>
      <c r="E14" s="2109"/>
      <c r="F14" s="2109"/>
      <c r="G14" s="2109"/>
      <c r="H14" s="2109"/>
      <c r="I14" s="2109"/>
      <c r="J14" s="2109"/>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row>
    <row r="15" spans="1:56" s="1221" customFormat="1" x14ac:dyDescent="0.25">
      <c r="A15" s="2109" t="s">
        <v>3</v>
      </c>
      <c r="B15" s="2109"/>
      <c r="C15" s="2109"/>
      <c r="D15" s="2109"/>
      <c r="E15" s="2109"/>
      <c r="F15" s="1223"/>
      <c r="G15" s="1223"/>
      <c r="H15" s="1223"/>
      <c r="I15" s="1223"/>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c r="AR15" s="1223"/>
      <c r="AS15" s="1223"/>
    </row>
    <row r="16" spans="1:56" s="1221" customFormat="1" x14ac:dyDescent="0.25">
      <c r="B16" s="1224"/>
      <c r="C16" s="122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224"/>
      <c r="AM16" s="1224"/>
      <c r="AN16" s="1224"/>
      <c r="AO16" s="1224"/>
      <c r="AP16" s="1224"/>
      <c r="AQ16" s="1224"/>
      <c r="AR16" s="1224"/>
      <c r="AS16" s="1224"/>
    </row>
    <row r="17" spans="1:56" s="1221" customFormat="1" x14ac:dyDescent="0.25">
      <c r="A17" s="2109" t="s">
        <v>7531</v>
      </c>
      <c r="B17" s="2109"/>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row>
    <row r="18" spans="1:56" s="1221" customFormat="1" x14ac:dyDescent="0.25">
      <c r="A18" s="2109" t="s">
        <v>7532</v>
      </c>
      <c r="B18" s="2109"/>
      <c r="C18" s="2109"/>
      <c r="D18" s="2109"/>
      <c r="E18" s="2109"/>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c r="AS18" s="2109"/>
    </row>
    <row r="19" spans="1:56" s="1221" customFormat="1" x14ac:dyDescent="0.25">
      <c r="A19" s="2109" t="s">
        <v>7530</v>
      </c>
      <c r="B19" s="2109"/>
      <c r="C19" s="2109"/>
      <c r="D19" s="2109"/>
      <c r="E19" s="2109"/>
      <c r="F19" s="2109"/>
      <c r="G19" s="2109"/>
      <c r="H19" s="2109"/>
      <c r="I19" s="2109"/>
      <c r="J19" s="2109"/>
      <c r="K19" s="2109"/>
      <c r="L19" s="2109"/>
      <c r="M19" s="2109"/>
      <c r="N19" s="2109"/>
      <c r="O19" s="2109"/>
      <c r="P19" s="2109"/>
      <c r="Q19" s="2109"/>
      <c r="R19" s="2109"/>
      <c r="S19" s="2109"/>
      <c r="T19" s="2109"/>
      <c r="U19" s="2109"/>
      <c r="V19" s="2109"/>
      <c r="W19" s="2109"/>
      <c r="X19" s="2109"/>
      <c r="Y19" s="2109"/>
      <c r="Z19" s="2109"/>
      <c r="AA19" s="2109"/>
      <c r="AB19" s="2109"/>
      <c r="AC19" s="2109"/>
      <c r="AD19" s="2109"/>
      <c r="AE19" s="2109"/>
      <c r="AF19" s="2109"/>
      <c r="AG19" s="2109"/>
      <c r="AH19" s="2109"/>
      <c r="AI19" s="2109"/>
      <c r="AJ19" s="2109"/>
      <c r="AK19" s="2109"/>
      <c r="AL19" s="2109"/>
      <c r="AM19" s="2109"/>
      <c r="AN19" s="2109"/>
      <c r="AO19" s="2109"/>
      <c r="AP19" s="2109"/>
      <c r="AQ19" s="2109"/>
      <c r="AR19" s="2109"/>
      <c r="AS19" s="2109"/>
    </row>
    <row r="20" spans="1:56" s="1225" customFormat="1" ht="15.75" x14ac:dyDescent="0.25">
      <c r="B20" s="1226"/>
      <c r="C20" s="1227"/>
      <c r="D20" s="1226"/>
      <c r="E20" s="1226"/>
      <c r="F20" s="1226"/>
      <c r="G20" s="1226"/>
      <c r="H20" s="1226"/>
      <c r="I20" s="1226"/>
      <c r="J20" s="1226"/>
      <c r="K20" s="1226"/>
      <c r="L20" s="1226"/>
      <c r="M20" s="1226"/>
      <c r="N20" s="1226"/>
      <c r="O20" s="1226"/>
      <c r="P20" s="1226"/>
      <c r="Q20" s="1226"/>
      <c r="R20" s="1226"/>
      <c r="S20" s="1226"/>
      <c r="T20" s="1226"/>
      <c r="U20" s="1226"/>
      <c r="V20" s="1226"/>
      <c r="W20" s="1226"/>
      <c r="X20" s="1226"/>
      <c r="Y20" s="1226"/>
      <c r="Z20" s="1226"/>
      <c r="AA20" s="1226"/>
      <c r="AB20" s="1226"/>
      <c r="AC20" s="1226"/>
      <c r="AD20" s="1226"/>
      <c r="AE20" s="1226"/>
      <c r="AF20" s="1226"/>
      <c r="AG20" s="1226"/>
      <c r="AH20" s="1226"/>
      <c r="AI20" s="1226"/>
      <c r="AJ20" s="1226"/>
      <c r="AK20" s="1226"/>
      <c r="AL20" s="1226"/>
      <c r="AM20" s="1226"/>
      <c r="AN20" s="1226"/>
      <c r="AO20" s="1226"/>
      <c r="AP20" s="1226"/>
      <c r="AQ20" s="1226"/>
      <c r="AR20" s="1226"/>
    </row>
    <row r="21" spans="1:56" ht="15.75" customHeight="1" thickBot="1" x14ac:dyDescent="0.3">
      <c r="A21" s="2105"/>
      <c r="B21" s="2105"/>
      <c r="C21" s="2105"/>
      <c r="D21" s="2105"/>
      <c r="E21" s="2105"/>
      <c r="F21" s="2105"/>
      <c r="G21" s="2105"/>
      <c r="H21" s="2105"/>
      <c r="I21" s="2105"/>
      <c r="J21" s="2105"/>
      <c r="K21" s="2105"/>
      <c r="L21" s="2105"/>
      <c r="M21" s="2105"/>
      <c r="N21" s="2105"/>
      <c r="O21" s="2105"/>
      <c r="P21" s="2105"/>
      <c r="Q21" s="2105"/>
      <c r="R21" s="2105"/>
      <c r="S21" s="2105"/>
      <c r="T21" s="2105"/>
      <c r="U21" s="2105"/>
      <c r="V21" s="2105"/>
      <c r="W21" s="2105"/>
      <c r="X21" s="2105"/>
      <c r="Y21" s="2105"/>
      <c r="Z21" s="2105"/>
      <c r="AA21" s="2105"/>
      <c r="AB21" s="2105"/>
      <c r="AC21" s="2105"/>
      <c r="AD21" s="2105"/>
      <c r="AE21" s="2105"/>
      <c r="AF21" s="2105"/>
      <c r="AG21" s="2105"/>
      <c r="AH21" s="2105"/>
      <c r="AI21" s="2105"/>
      <c r="AJ21" s="2105"/>
      <c r="AK21" s="2105"/>
      <c r="AL21" s="2105"/>
      <c r="AM21" s="2105"/>
      <c r="AN21" s="2105"/>
      <c r="AO21" s="2105"/>
      <c r="AP21" s="2105"/>
      <c r="AQ21" s="2105"/>
      <c r="AR21" s="2105"/>
      <c r="AS21" s="2105"/>
      <c r="AT21" s="2105"/>
      <c r="AU21" s="2105"/>
      <c r="AV21" s="2105"/>
      <c r="AW21" s="2105"/>
      <c r="AX21" s="2105"/>
      <c r="AY21" s="2105"/>
      <c r="AZ21" s="2105"/>
      <c r="BA21" s="2105"/>
      <c r="BB21" s="2105"/>
      <c r="BC21" s="2105"/>
      <c r="BD21" s="2105"/>
    </row>
    <row r="22" spans="1:56" ht="15.75" customHeight="1" x14ac:dyDescent="0.25">
      <c r="A22" s="2083" t="s">
        <v>5</v>
      </c>
      <c r="B22" s="2086" t="s">
        <v>6</v>
      </c>
      <c r="C22" s="2087"/>
      <c r="D22" s="2087"/>
      <c r="E22" s="2087"/>
      <c r="F22" s="2087"/>
      <c r="G22" s="2088"/>
      <c r="H22" s="2092" t="s">
        <v>7</v>
      </c>
      <c r="I22" s="2093"/>
      <c r="J22" s="2093"/>
      <c r="K22" s="2093"/>
      <c r="L22" s="2093"/>
      <c r="M22" s="2093"/>
      <c r="N22" s="2093"/>
      <c r="O22" s="2093"/>
      <c r="P22" s="2093"/>
      <c r="Q22" s="2093"/>
      <c r="R22" s="2093"/>
      <c r="S22" s="2093"/>
      <c r="T22" s="2093"/>
      <c r="U22" s="2093"/>
      <c r="V22" s="2093"/>
      <c r="W22" s="2093"/>
      <c r="X22" s="2093"/>
      <c r="Y22" s="2093"/>
      <c r="Z22" s="2093"/>
      <c r="AA22" s="2093"/>
      <c r="AB22" s="2093"/>
      <c r="AC22" s="2093"/>
      <c r="AD22" s="2093"/>
      <c r="AE22" s="2093"/>
      <c r="AF22" s="2093"/>
      <c r="AG22" s="2093"/>
      <c r="AH22" s="2093"/>
      <c r="AI22" s="2094" t="s">
        <v>8</v>
      </c>
      <c r="AJ22" s="2095"/>
      <c r="AK22" s="2095"/>
      <c r="AL22" s="2096"/>
      <c r="AM22" s="2092" t="s">
        <v>9</v>
      </c>
      <c r="AN22" s="2093"/>
      <c r="AO22" s="2093"/>
      <c r="AP22" s="2093"/>
      <c r="AQ22" s="2093"/>
      <c r="AR22" s="2097"/>
      <c r="AS22" s="2098" t="s">
        <v>10</v>
      </c>
      <c r="AT22" s="2099"/>
      <c r="AU22" s="2099"/>
      <c r="AV22" s="2099"/>
      <c r="AW22" s="2099"/>
      <c r="AX22" s="2099"/>
      <c r="AY22" s="2099"/>
      <c r="AZ22" s="2099"/>
      <c r="BA22" s="2099"/>
      <c r="BB22" s="2099"/>
      <c r="BC22" s="2099"/>
      <c r="BD22" s="2100"/>
    </row>
    <row r="23" spans="1:56" ht="15.75" customHeight="1" x14ac:dyDescent="0.25">
      <c r="A23" s="2084"/>
      <c r="B23" s="2089"/>
      <c r="C23" s="2090"/>
      <c r="D23" s="2090"/>
      <c r="E23" s="2090"/>
      <c r="F23" s="2090"/>
      <c r="G23" s="2091"/>
      <c r="H23" s="2101" t="s">
        <v>11</v>
      </c>
      <c r="I23" s="2102"/>
      <c r="J23" s="2102"/>
      <c r="K23" s="2102"/>
      <c r="L23" s="2102"/>
      <c r="M23" s="2102"/>
      <c r="N23" s="2102"/>
      <c r="O23" s="2102"/>
      <c r="P23" s="2102"/>
      <c r="Q23" s="2102"/>
      <c r="R23" s="2102"/>
      <c r="S23" s="2102"/>
      <c r="T23" s="2069"/>
      <c r="U23" s="2103" t="s">
        <v>12</v>
      </c>
      <c r="V23" s="2102"/>
      <c r="W23" s="2102"/>
      <c r="X23" s="2102"/>
      <c r="Y23" s="2102"/>
      <c r="Z23" s="2102"/>
      <c r="AA23" s="2102"/>
      <c r="AB23" s="2102"/>
      <c r="AC23" s="2102"/>
      <c r="AD23" s="2069"/>
      <c r="AE23" s="2103" t="s">
        <v>13</v>
      </c>
      <c r="AF23" s="2102"/>
      <c r="AG23" s="2102"/>
      <c r="AH23" s="2102"/>
      <c r="AI23" s="1977" t="s">
        <v>14</v>
      </c>
      <c r="AJ23" s="1967" t="s">
        <v>15</v>
      </c>
      <c r="AK23" s="1967" t="s">
        <v>16</v>
      </c>
      <c r="AL23" s="1983" t="s">
        <v>581</v>
      </c>
      <c r="AM23" s="2009" t="s">
        <v>18</v>
      </c>
      <c r="AN23" s="1985" t="s">
        <v>19</v>
      </c>
      <c r="AO23" s="1985" t="s">
        <v>20</v>
      </c>
      <c r="AP23" s="1985" t="s">
        <v>21</v>
      </c>
      <c r="AQ23" s="1985" t="s">
        <v>22</v>
      </c>
      <c r="AR23" s="1987" t="s">
        <v>21</v>
      </c>
      <c r="AS23" s="2080" t="s">
        <v>23</v>
      </c>
      <c r="AT23" s="2081" t="s">
        <v>24</v>
      </c>
      <c r="AU23" s="2082" t="s">
        <v>25</v>
      </c>
      <c r="AV23" s="2082"/>
      <c r="AW23" s="2082"/>
      <c r="AX23" s="2082" t="s">
        <v>26</v>
      </c>
      <c r="AY23" s="2082"/>
      <c r="AZ23" s="2081" t="s">
        <v>27</v>
      </c>
      <c r="BA23" s="1967" t="s">
        <v>28</v>
      </c>
      <c r="BB23" s="2082" t="s">
        <v>29</v>
      </c>
      <c r="BC23" s="2082"/>
      <c r="BD23" s="2104"/>
    </row>
    <row r="24" spans="1:56" ht="94.5" customHeight="1" x14ac:dyDescent="0.25">
      <c r="A24" s="2084"/>
      <c r="B24" s="44" t="s">
        <v>30</v>
      </c>
      <c r="C24" s="37" t="s">
        <v>31</v>
      </c>
      <c r="D24" s="37" t="s">
        <v>32</v>
      </c>
      <c r="E24" s="37" t="s">
        <v>23</v>
      </c>
      <c r="F24" s="37" t="s">
        <v>33</v>
      </c>
      <c r="G24" s="47" t="s">
        <v>34</v>
      </c>
      <c r="H24" s="73" t="s">
        <v>35</v>
      </c>
      <c r="I24" s="37" t="s">
        <v>36</v>
      </c>
      <c r="J24" s="37" t="s">
        <v>37</v>
      </c>
      <c r="K24" s="37" t="s">
        <v>38</v>
      </c>
      <c r="L24" s="37" t="s">
        <v>39</v>
      </c>
      <c r="M24" s="37" t="s">
        <v>40</v>
      </c>
      <c r="N24" s="37" t="s">
        <v>41</v>
      </c>
      <c r="O24" s="37" t="s">
        <v>42</v>
      </c>
      <c r="P24" s="37" t="s">
        <v>43</v>
      </c>
      <c r="Q24" s="37" t="s">
        <v>44</v>
      </c>
      <c r="R24" s="37" t="s">
        <v>45</v>
      </c>
      <c r="S24" s="37" t="s">
        <v>46</v>
      </c>
      <c r="T24" s="37" t="s">
        <v>47</v>
      </c>
      <c r="U24" s="37" t="s">
        <v>48</v>
      </c>
      <c r="V24" s="37" t="s">
        <v>38</v>
      </c>
      <c r="W24" s="37" t="s">
        <v>40</v>
      </c>
      <c r="X24" s="37" t="s">
        <v>49</v>
      </c>
      <c r="Y24" s="37" t="s">
        <v>41</v>
      </c>
      <c r="Z24" s="37" t="s">
        <v>42</v>
      </c>
      <c r="AA24" s="37" t="s">
        <v>50</v>
      </c>
      <c r="AB24" s="37" t="s">
        <v>51</v>
      </c>
      <c r="AC24" s="37" t="s">
        <v>52</v>
      </c>
      <c r="AD24" s="37" t="s">
        <v>53</v>
      </c>
      <c r="AE24" s="37" t="s">
        <v>54</v>
      </c>
      <c r="AF24" s="37" t="s">
        <v>55</v>
      </c>
      <c r="AG24" s="37" t="s">
        <v>56</v>
      </c>
      <c r="AH24" s="74" t="s">
        <v>57</v>
      </c>
      <c r="AI24" s="1977"/>
      <c r="AJ24" s="1967"/>
      <c r="AK24" s="1967"/>
      <c r="AL24" s="1983"/>
      <c r="AM24" s="2010"/>
      <c r="AN24" s="1986"/>
      <c r="AO24" s="1986"/>
      <c r="AP24" s="1986"/>
      <c r="AQ24" s="1986"/>
      <c r="AR24" s="1988"/>
      <c r="AS24" s="2080"/>
      <c r="AT24" s="2081"/>
      <c r="AU24" s="165" t="s">
        <v>58</v>
      </c>
      <c r="AV24" s="165" t="s">
        <v>59</v>
      </c>
      <c r="AW24" s="165" t="s">
        <v>60</v>
      </c>
      <c r="AX24" s="165" t="s">
        <v>61</v>
      </c>
      <c r="AY24" s="166" t="s">
        <v>62</v>
      </c>
      <c r="AZ24" s="2081"/>
      <c r="BA24" s="1967"/>
      <c r="BB24" s="165" t="s">
        <v>58</v>
      </c>
      <c r="BC24" s="165" t="s">
        <v>63</v>
      </c>
      <c r="BD24" s="167" t="s">
        <v>64</v>
      </c>
    </row>
    <row r="25" spans="1:56" ht="17.25" customHeight="1" thickBot="1" x14ac:dyDescent="0.3">
      <c r="A25" s="2085"/>
      <c r="B25" s="120" t="s">
        <v>65</v>
      </c>
      <c r="C25" s="121" t="s">
        <v>66</v>
      </c>
      <c r="D25" s="122" t="s">
        <v>67</v>
      </c>
      <c r="E25" s="121" t="s">
        <v>68</v>
      </c>
      <c r="F25" s="121" t="s">
        <v>69</v>
      </c>
      <c r="G25" s="129" t="s">
        <v>70</v>
      </c>
      <c r="H25" s="168" t="s">
        <v>71</v>
      </c>
      <c r="I25" s="121" t="s">
        <v>72</v>
      </c>
      <c r="J25" s="121" t="s">
        <v>73</v>
      </c>
      <c r="K25" s="121" t="s">
        <v>74</v>
      </c>
      <c r="L25" s="127" t="s">
        <v>75</v>
      </c>
      <c r="M25" s="121" t="s">
        <v>76</v>
      </c>
      <c r="N25" s="121" t="s">
        <v>77</v>
      </c>
      <c r="O25" s="121" t="s">
        <v>78</v>
      </c>
      <c r="P25" s="121" t="s">
        <v>79</v>
      </c>
      <c r="Q25" s="121" t="s">
        <v>80</v>
      </c>
      <c r="R25" s="121" t="s">
        <v>81</v>
      </c>
      <c r="S25" s="121" t="s">
        <v>82</v>
      </c>
      <c r="T25" s="121" t="s">
        <v>83</v>
      </c>
      <c r="U25" s="121" t="s">
        <v>84</v>
      </c>
      <c r="V25" s="121" t="s">
        <v>85</v>
      </c>
      <c r="W25" s="121" t="s">
        <v>86</v>
      </c>
      <c r="X25" s="121" t="s">
        <v>87</v>
      </c>
      <c r="Y25" s="121" t="s">
        <v>88</v>
      </c>
      <c r="Z25" s="121" t="s">
        <v>89</v>
      </c>
      <c r="AA25" s="121" t="s">
        <v>90</v>
      </c>
      <c r="AB25" s="121" t="s">
        <v>91</v>
      </c>
      <c r="AC25" s="121" t="s">
        <v>92</v>
      </c>
      <c r="AD25" s="121" t="s">
        <v>93</v>
      </c>
      <c r="AE25" s="121" t="s">
        <v>94</v>
      </c>
      <c r="AF25" s="121" t="s">
        <v>95</v>
      </c>
      <c r="AG25" s="169" t="s">
        <v>96</v>
      </c>
      <c r="AH25" s="88" t="s">
        <v>97</v>
      </c>
      <c r="AI25" s="44" t="s">
        <v>98</v>
      </c>
      <c r="AJ25" s="49" t="s">
        <v>99</v>
      </c>
      <c r="AK25" s="49" t="s">
        <v>100</v>
      </c>
      <c r="AL25" s="170" t="s">
        <v>101</v>
      </c>
      <c r="AM25" s="171" t="s">
        <v>102</v>
      </c>
      <c r="AN25" s="172" t="s">
        <v>103</v>
      </c>
      <c r="AO25" s="172" t="s">
        <v>104</v>
      </c>
      <c r="AP25" s="172" t="s">
        <v>105</v>
      </c>
      <c r="AQ25" s="172" t="s">
        <v>106</v>
      </c>
      <c r="AR25" s="173" t="s">
        <v>107</v>
      </c>
      <c r="AS25" s="174" t="s">
        <v>108</v>
      </c>
      <c r="AT25" s="172" t="s">
        <v>109</v>
      </c>
      <c r="AU25" s="172" t="s">
        <v>110</v>
      </c>
      <c r="AV25" s="172" t="s">
        <v>111</v>
      </c>
      <c r="AW25" s="173" t="s">
        <v>112</v>
      </c>
      <c r="AX25" s="173" t="s">
        <v>113</v>
      </c>
      <c r="AY25" s="173" t="s">
        <v>114</v>
      </c>
      <c r="AZ25" s="172" t="s">
        <v>115</v>
      </c>
      <c r="BA25" s="172" t="s">
        <v>116</v>
      </c>
      <c r="BB25" s="172" t="s">
        <v>117</v>
      </c>
      <c r="BC25" s="173" t="s">
        <v>118</v>
      </c>
      <c r="BD25" s="173" t="s">
        <v>119</v>
      </c>
    </row>
    <row r="26" spans="1:56" ht="64.5" customHeight="1" x14ac:dyDescent="0.25">
      <c r="A26" s="175">
        <v>1</v>
      </c>
      <c r="B26" s="150" t="s">
        <v>582</v>
      </c>
      <c r="C26" s="150"/>
      <c r="D26" s="150" t="s">
        <v>583</v>
      </c>
      <c r="E26" s="150" t="s">
        <v>584</v>
      </c>
      <c r="F26" s="150" t="s">
        <v>585</v>
      </c>
      <c r="G26" s="150" t="s">
        <v>586</v>
      </c>
      <c r="H26" s="159" t="s">
        <v>587</v>
      </c>
      <c r="I26" s="176" t="s">
        <v>588</v>
      </c>
      <c r="J26" s="150" t="s">
        <v>589</v>
      </c>
      <c r="K26" s="151">
        <v>40269</v>
      </c>
      <c r="L26" s="160">
        <v>18000</v>
      </c>
      <c r="M26" s="150" t="s">
        <v>590</v>
      </c>
      <c r="N26" s="151">
        <v>40269</v>
      </c>
      <c r="O26" s="151">
        <v>40543</v>
      </c>
      <c r="P26" s="150" t="s">
        <v>591</v>
      </c>
      <c r="Q26" s="150">
        <v>0</v>
      </c>
      <c r="R26" s="150">
        <v>0</v>
      </c>
      <c r="S26" s="150">
        <v>0</v>
      </c>
      <c r="T26" s="150">
        <v>33903600</v>
      </c>
      <c r="U26" s="150"/>
      <c r="V26" s="150"/>
      <c r="W26" s="150"/>
      <c r="X26" s="150" t="s">
        <v>592</v>
      </c>
      <c r="Y26" s="150"/>
      <c r="Z26" s="150"/>
      <c r="AA26" s="150"/>
      <c r="AB26" s="150"/>
      <c r="AC26" s="150"/>
      <c r="AD26" s="150"/>
      <c r="AE26" s="177">
        <v>18000</v>
      </c>
      <c r="AF26" s="177">
        <v>16613.900000000001</v>
      </c>
      <c r="AG26" s="150"/>
      <c r="AH26" s="178">
        <v>18000</v>
      </c>
      <c r="AI26" s="179"/>
      <c r="AJ26" s="107"/>
      <c r="AK26" s="107"/>
      <c r="AL26" s="180"/>
      <c r="AM26" s="179"/>
      <c r="AN26" s="181"/>
      <c r="AO26" s="181"/>
      <c r="AP26" s="181"/>
      <c r="AQ26" s="181"/>
      <c r="AR26" s="182"/>
      <c r="AS26" s="49"/>
      <c r="AT26" s="172"/>
      <c r="AU26" s="172"/>
      <c r="AV26" s="172"/>
      <c r="AW26" s="172"/>
      <c r="AX26" s="172"/>
      <c r="AY26" s="172"/>
      <c r="AZ26" s="172"/>
      <c r="BA26" s="172"/>
      <c r="BB26" s="172"/>
      <c r="BC26" s="172"/>
      <c r="BD26" s="173"/>
    </row>
    <row r="27" spans="1:56" ht="38.25" x14ac:dyDescent="0.25">
      <c r="A27" s="183">
        <v>2</v>
      </c>
      <c r="B27" s="37"/>
      <c r="C27" s="37"/>
      <c r="D27" s="37"/>
      <c r="E27" s="37"/>
      <c r="F27" s="37"/>
      <c r="G27" s="37"/>
      <c r="H27" s="54"/>
      <c r="I27" s="37"/>
      <c r="J27" s="37"/>
      <c r="K27" s="37"/>
      <c r="L27" s="48"/>
      <c r="M27" s="37"/>
      <c r="N27" s="37"/>
      <c r="O27" s="37"/>
      <c r="P27" s="37"/>
      <c r="Q27" s="37"/>
      <c r="R27" s="37" t="s">
        <v>593</v>
      </c>
      <c r="S27" s="37"/>
      <c r="T27" s="37">
        <v>33903600</v>
      </c>
      <c r="U27" s="157">
        <v>1</v>
      </c>
      <c r="V27" s="45">
        <v>40544</v>
      </c>
      <c r="W27" s="37" t="s">
        <v>594</v>
      </c>
      <c r="X27" s="37" t="s">
        <v>595</v>
      </c>
      <c r="Y27" s="45">
        <v>40544</v>
      </c>
      <c r="Z27" s="45">
        <v>40602</v>
      </c>
      <c r="AA27" s="37"/>
      <c r="AB27" s="37"/>
      <c r="AC27" s="37"/>
      <c r="AD27" s="37"/>
      <c r="AE27" s="177">
        <v>3000</v>
      </c>
      <c r="AF27" s="184">
        <v>19534</v>
      </c>
      <c r="AG27" s="37"/>
      <c r="AH27" s="178">
        <v>3000</v>
      </c>
      <c r="AI27" s="179"/>
      <c r="AJ27" s="107"/>
      <c r="AK27" s="107"/>
      <c r="AL27" s="180"/>
      <c r="AM27" s="179"/>
      <c r="AN27" s="181"/>
      <c r="AO27" s="181"/>
      <c r="AP27" s="181"/>
      <c r="AQ27" s="181"/>
      <c r="AR27" s="182"/>
      <c r="AS27" s="49"/>
      <c r="AT27" s="172"/>
      <c r="AU27" s="172"/>
      <c r="AV27" s="172"/>
      <c r="AW27" s="172"/>
      <c r="AX27" s="172"/>
      <c r="AY27" s="172"/>
      <c r="AZ27" s="172"/>
      <c r="BA27" s="172"/>
      <c r="BB27" s="172"/>
      <c r="BC27" s="172"/>
      <c r="BD27" s="173"/>
    </row>
    <row r="28" spans="1:56" x14ac:dyDescent="0.25">
      <c r="A28" s="185">
        <v>3</v>
      </c>
      <c r="B28" s="37"/>
      <c r="C28" s="37"/>
      <c r="D28" s="37"/>
      <c r="E28" s="37"/>
      <c r="F28" s="37"/>
      <c r="G28" s="37"/>
      <c r="H28" s="54"/>
      <c r="I28" s="37"/>
      <c r="J28" s="37"/>
      <c r="K28" s="37"/>
      <c r="L28" s="48"/>
      <c r="M28" s="37"/>
      <c r="N28" s="37"/>
      <c r="O28" s="37"/>
      <c r="P28" s="37"/>
      <c r="Q28" s="37"/>
      <c r="R28" s="37"/>
      <c r="S28" s="37"/>
      <c r="T28" s="37">
        <v>33903600</v>
      </c>
      <c r="U28" s="37">
        <v>2</v>
      </c>
      <c r="V28" s="45">
        <v>40603</v>
      </c>
      <c r="W28" s="37" t="s">
        <v>596</v>
      </c>
      <c r="X28" s="37" t="s">
        <v>597</v>
      </c>
      <c r="Y28" s="45">
        <v>40603</v>
      </c>
      <c r="Z28" s="45">
        <v>40908</v>
      </c>
      <c r="AA28" s="37"/>
      <c r="AB28" s="37"/>
      <c r="AC28" s="37"/>
      <c r="AD28" s="37"/>
      <c r="AE28" s="177">
        <v>17000</v>
      </c>
      <c r="AF28" s="184"/>
      <c r="AG28" s="37"/>
      <c r="AH28" s="178">
        <v>17000</v>
      </c>
      <c r="AI28" s="179"/>
      <c r="AJ28" s="107"/>
      <c r="AK28" s="107"/>
      <c r="AL28" s="180"/>
      <c r="AM28" s="179"/>
      <c r="AN28" s="181"/>
      <c r="AO28" s="181"/>
      <c r="AP28" s="181"/>
      <c r="AQ28" s="181"/>
      <c r="AR28" s="182"/>
      <c r="AS28" s="49"/>
      <c r="AT28" s="172"/>
      <c r="AU28" s="172"/>
      <c r="AV28" s="172"/>
      <c r="AW28" s="172"/>
      <c r="AX28" s="172"/>
      <c r="AY28" s="172"/>
      <c r="AZ28" s="172"/>
      <c r="BA28" s="172"/>
      <c r="BB28" s="172"/>
      <c r="BC28" s="172"/>
      <c r="BD28" s="173"/>
    </row>
    <row r="29" spans="1:56" x14ac:dyDescent="0.25">
      <c r="A29" s="185"/>
      <c r="B29" s="37"/>
      <c r="C29" s="37"/>
      <c r="D29" s="37"/>
      <c r="E29" s="37"/>
      <c r="F29" s="37"/>
      <c r="G29" s="37"/>
      <c r="H29" s="54"/>
      <c r="I29" s="37"/>
      <c r="J29" s="37"/>
      <c r="K29" s="37"/>
      <c r="L29" s="48"/>
      <c r="M29" s="37"/>
      <c r="N29" s="37"/>
      <c r="O29" s="37"/>
      <c r="P29" s="37"/>
      <c r="Q29" s="37"/>
      <c r="R29" s="37"/>
      <c r="S29" s="37"/>
      <c r="T29" s="37">
        <v>33903600</v>
      </c>
      <c r="U29" s="37">
        <v>3</v>
      </c>
      <c r="V29" s="45">
        <v>40909</v>
      </c>
      <c r="W29" s="37" t="s">
        <v>598</v>
      </c>
      <c r="X29" s="37" t="s">
        <v>597</v>
      </c>
      <c r="Y29" s="45">
        <v>40909</v>
      </c>
      <c r="Z29" s="45">
        <v>41274</v>
      </c>
      <c r="AA29" s="37"/>
      <c r="AB29" s="37"/>
      <c r="AC29" s="37"/>
      <c r="AD29" s="37"/>
      <c r="AE29" s="177">
        <v>21000</v>
      </c>
      <c r="AF29" s="184">
        <v>20433</v>
      </c>
      <c r="AG29" s="37"/>
      <c r="AH29" s="178">
        <v>21000</v>
      </c>
      <c r="AI29" s="179"/>
      <c r="AJ29" s="107"/>
      <c r="AK29" s="107"/>
      <c r="AL29" s="180"/>
      <c r="AM29" s="179"/>
      <c r="AN29" s="181"/>
      <c r="AO29" s="181"/>
      <c r="AP29" s="181"/>
      <c r="AQ29" s="181"/>
      <c r="AR29" s="182"/>
      <c r="AS29" s="49"/>
      <c r="AT29" s="172"/>
      <c r="AU29" s="172"/>
      <c r="AV29" s="172"/>
      <c r="AW29" s="172"/>
      <c r="AX29" s="172"/>
      <c r="AY29" s="172"/>
      <c r="AZ29" s="172"/>
      <c r="BA29" s="172"/>
      <c r="BB29" s="172"/>
      <c r="BC29" s="172"/>
      <c r="BD29" s="173"/>
    </row>
    <row r="30" spans="1:56" x14ac:dyDescent="0.25">
      <c r="A30" s="186"/>
      <c r="B30" s="37"/>
      <c r="C30" s="37"/>
      <c r="D30" s="37"/>
      <c r="E30" s="37"/>
      <c r="F30" s="37"/>
      <c r="G30" s="37"/>
      <c r="H30" s="54"/>
      <c r="I30" s="37"/>
      <c r="J30" s="37"/>
      <c r="K30" s="37"/>
      <c r="L30" s="48"/>
      <c r="M30" s="37"/>
      <c r="N30" s="37"/>
      <c r="O30" s="37"/>
      <c r="P30" s="37"/>
      <c r="Q30" s="37"/>
      <c r="R30" s="37"/>
      <c r="S30" s="37"/>
      <c r="T30" s="37">
        <v>33903600</v>
      </c>
      <c r="U30" s="37">
        <v>4</v>
      </c>
      <c r="V30" s="45">
        <v>41275</v>
      </c>
      <c r="W30" s="37" t="s">
        <v>599</v>
      </c>
      <c r="X30" s="37" t="s">
        <v>597</v>
      </c>
      <c r="Y30" s="45">
        <v>41275</v>
      </c>
      <c r="Z30" s="45">
        <v>41639</v>
      </c>
      <c r="AA30" s="37"/>
      <c r="AB30" s="37"/>
      <c r="AC30" s="37"/>
      <c r="AD30" s="37"/>
      <c r="AE30" s="177"/>
      <c r="AF30" s="184">
        <v>21392.42</v>
      </c>
      <c r="AG30" s="37"/>
      <c r="AH30" s="178"/>
      <c r="AI30" s="179"/>
      <c r="AJ30" s="107"/>
      <c r="AK30" s="107"/>
      <c r="AL30" s="180"/>
      <c r="AM30" s="179"/>
      <c r="AN30" s="181"/>
      <c r="AO30" s="181"/>
      <c r="AP30" s="181"/>
      <c r="AQ30" s="181"/>
      <c r="AR30" s="182"/>
      <c r="AS30" s="49"/>
      <c r="AT30" s="172"/>
      <c r="AU30" s="172"/>
      <c r="AV30" s="172"/>
      <c r="AW30" s="172"/>
      <c r="AX30" s="172"/>
      <c r="AY30" s="172"/>
      <c r="AZ30" s="172"/>
      <c r="BA30" s="172"/>
      <c r="BB30" s="172"/>
      <c r="BC30" s="172"/>
      <c r="BD30" s="173"/>
    </row>
    <row r="31" spans="1:56" x14ac:dyDescent="0.25">
      <c r="A31" s="186"/>
      <c r="B31" s="37"/>
      <c r="C31" s="37"/>
      <c r="D31" s="37"/>
      <c r="E31" s="37"/>
      <c r="F31" s="37"/>
      <c r="G31" s="37"/>
      <c r="H31" s="54"/>
      <c r="I31" s="37"/>
      <c r="J31" s="37"/>
      <c r="K31" s="37"/>
      <c r="L31" s="48"/>
      <c r="M31" s="37"/>
      <c r="N31" s="37"/>
      <c r="O31" s="37"/>
      <c r="P31" s="37"/>
      <c r="Q31" s="37"/>
      <c r="R31" s="37"/>
      <c r="S31" s="37"/>
      <c r="T31" s="37"/>
      <c r="U31" s="37">
        <v>6</v>
      </c>
      <c r="V31" s="45">
        <v>41604</v>
      </c>
      <c r="W31" s="37" t="s">
        <v>600</v>
      </c>
      <c r="X31" s="37" t="s">
        <v>597</v>
      </c>
      <c r="Y31" s="45">
        <v>41640</v>
      </c>
      <c r="Z31" s="45">
        <v>42004</v>
      </c>
      <c r="AA31" s="37"/>
      <c r="AB31" s="37"/>
      <c r="AC31" s="37"/>
      <c r="AD31" s="37"/>
      <c r="AE31" s="177">
        <v>22690.32</v>
      </c>
      <c r="AF31" s="37"/>
      <c r="AG31" s="187"/>
      <c r="AH31" s="178">
        <v>22690.32</v>
      </c>
      <c r="AI31" s="179"/>
      <c r="AJ31" s="107"/>
      <c r="AK31" s="107"/>
      <c r="AL31" s="180"/>
      <c r="AM31" s="179"/>
      <c r="AN31" s="181"/>
      <c r="AO31" s="181"/>
      <c r="AP31" s="181"/>
      <c r="AQ31" s="181"/>
      <c r="AR31" s="182"/>
      <c r="AS31" s="49"/>
      <c r="AT31" s="172"/>
      <c r="AU31" s="172"/>
      <c r="AV31" s="172"/>
      <c r="AW31" s="172"/>
      <c r="AX31" s="172"/>
      <c r="AY31" s="172"/>
      <c r="AZ31" s="172"/>
      <c r="BA31" s="172"/>
      <c r="BB31" s="172"/>
      <c r="BC31" s="172"/>
      <c r="BD31" s="173"/>
    </row>
    <row r="32" spans="1:56" ht="15.75" thickBot="1" x14ac:dyDescent="0.3">
      <c r="A32" s="2106" t="s">
        <v>601</v>
      </c>
      <c r="B32" s="2107"/>
      <c r="C32" s="2107"/>
      <c r="D32" s="2107"/>
      <c r="E32" s="2107"/>
      <c r="F32" s="2107"/>
      <c r="G32" s="2107"/>
      <c r="H32" s="2107"/>
      <c r="I32" s="2107"/>
      <c r="J32" s="2107"/>
      <c r="K32" s="2108"/>
      <c r="L32" s="188">
        <f>SUM(L25:L31)</f>
        <v>18000</v>
      </c>
      <c r="M32" s="189"/>
      <c r="N32" s="189"/>
      <c r="O32" s="189"/>
      <c r="P32" s="189"/>
      <c r="Q32" s="189"/>
      <c r="R32" s="189"/>
      <c r="S32" s="189"/>
      <c r="T32" s="189"/>
      <c r="U32" s="189"/>
      <c r="V32" s="189"/>
      <c r="W32" s="189"/>
      <c r="X32" s="189"/>
      <c r="Y32" s="189"/>
      <c r="Z32" s="189"/>
      <c r="AA32" s="189"/>
      <c r="AB32" s="189"/>
      <c r="AC32" s="190">
        <f>SUM(AC25:AC31)</f>
        <v>0</v>
      </c>
      <c r="AD32" s="190">
        <f>SUM(AD25:AD31)</f>
        <v>0</v>
      </c>
      <c r="AE32" s="190">
        <f>SUM(AE26:AE31)</f>
        <v>81690.320000000007</v>
      </c>
      <c r="AF32" s="188">
        <v>77973.320000000007</v>
      </c>
      <c r="AG32" s="188">
        <v>22077.72</v>
      </c>
      <c r="AH32" s="191">
        <f>SUM(AH25:AH31)</f>
        <v>81690.320000000007</v>
      </c>
      <c r="AI32" s="192"/>
      <c r="AJ32" s="190"/>
      <c r="AK32" s="190"/>
      <c r="AL32" s="193"/>
      <c r="AM32" s="192"/>
      <c r="AN32" s="194"/>
      <c r="AO32" s="194"/>
      <c r="AP32" s="194"/>
      <c r="AQ32" s="194"/>
      <c r="AR32" s="195"/>
      <c r="AS32" s="196"/>
      <c r="AT32" s="197"/>
      <c r="AU32" s="197"/>
      <c r="AV32" s="197"/>
      <c r="AW32" s="197"/>
      <c r="AX32" s="197"/>
      <c r="AY32" s="197"/>
      <c r="AZ32" s="197"/>
      <c r="BA32" s="197"/>
      <c r="BB32" s="197"/>
      <c r="BC32" s="197"/>
      <c r="BD32" s="198"/>
    </row>
    <row r="33" spans="1:56" x14ac:dyDescent="0.25">
      <c r="A33" s="199"/>
      <c r="B33" s="199"/>
      <c r="C33" s="199"/>
      <c r="D33" s="199"/>
      <c r="E33" s="199"/>
      <c r="F33" s="199"/>
      <c r="G33" s="199"/>
      <c r="H33" s="199"/>
      <c r="I33" s="199"/>
      <c r="J33" s="199"/>
      <c r="K33" s="199"/>
      <c r="L33" s="200"/>
      <c r="M33" s="201"/>
      <c r="N33" s="201"/>
      <c r="O33" s="201"/>
      <c r="P33" s="201"/>
      <c r="Q33" s="201"/>
      <c r="R33" s="201"/>
      <c r="S33" s="201"/>
      <c r="T33" s="201"/>
      <c r="U33" s="201"/>
      <c r="V33" s="201"/>
      <c r="W33" s="201"/>
      <c r="X33" s="201"/>
      <c r="Y33" s="201"/>
      <c r="Z33" s="201"/>
      <c r="AA33" s="201"/>
      <c r="AB33" s="201"/>
      <c r="AC33" s="202"/>
      <c r="AD33" s="202"/>
      <c r="AE33" s="202"/>
      <c r="AF33" s="200"/>
      <c r="AG33" s="200"/>
      <c r="AH33" s="202"/>
      <c r="AI33" s="202"/>
      <c r="AJ33" s="202"/>
      <c r="AK33" s="202"/>
      <c r="AL33" s="202"/>
      <c r="AM33" s="202"/>
      <c r="AN33" s="202"/>
      <c r="AO33" s="202"/>
      <c r="AP33" s="202"/>
      <c r="AQ33" s="202"/>
      <c r="AR33" s="202"/>
      <c r="AS33" s="203"/>
      <c r="AT33" s="204"/>
      <c r="AU33" s="204"/>
      <c r="AV33" s="204"/>
      <c r="AW33" s="204"/>
      <c r="AX33" s="204"/>
      <c r="AY33" s="204"/>
      <c r="AZ33" s="204"/>
      <c r="BA33" s="204"/>
      <c r="BB33" s="204"/>
      <c r="BC33" s="204"/>
      <c r="BD33" s="204"/>
    </row>
    <row r="34" spans="1:56" x14ac:dyDescent="0.25">
      <c r="A34" s="199"/>
      <c r="B34" s="199"/>
      <c r="C34" s="199"/>
      <c r="D34" s="199"/>
      <c r="E34" s="199"/>
      <c r="F34" s="199"/>
      <c r="G34" s="199"/>
      <c r="H34" s="199"/>
      <c r="I34" s="199"/>
      <c r="J34" s="199"/>
      <c r="K34" s="199"/>
      <c r="L34" s="200"/>
      <c r="M34" s="201"/>
      <c r="N34" s="201"/>
      <c r="O34" s="201"/>
      <c r="P34" s="201"/>
      <c r="Q34" s="201"/>
      <c r="R34" s="201"/>
      <c r="S34" s="201"/>
      <c r="T34" s="201"/>
      <c r="U34" s="201"/>
      <c r="V34" s="201"/>
      <c r="W34" s="201"/>
      <c r="X34" s="201"/>
      <c r="Y34" s="201"/>
      <c r="Z34" s="201"/>
      <c r="AA34" s="201"/>
      <c r="AB34" s="201"/>
      <c r="AC34" s="202"/>
      <c r="AD34" s="202"/>
      <c r="AE34" s="202"/>
      <c r="AF34" s="200"/>
      <c r="AG34" s="200"/>
      <c r="AH34" s="202"/>
      <c r="AI34" s="202"/>
      <c r="AJ34" s="202"/>
      <c r="AK34" s="202"/>
      <c r="AL34" s="202"/>
      <c r="AM34" s="202"/>
      <c r="AN34" s="202"/>
      <c r="AO34" s="202"/>
      <c r="AP34" s="202"/>
      <c r="AQ34" s="202"/>
      <c r="AR34" s="202"/>
      <c r="AS34" s="203"/>
      <c r="AT34" s="204"/>
      <c r="AU34" s="204"/>
      <c r="AV34" s="204"/>
      <c r="AW34" s="204"/>
      <c r="AX34" s="204"/>
      <c r="AY34" s="204"/>
      <c r="AZ34" s="204"/>
      <c r="BA34" s="204"/>
      <c r="BB34" s="204"/>
      <c r="BC34" s="204"/>
      <c r="BD34" s="204"/>
    </row>
    <row r="35" spans="1:56" x14ac:dyDescent="0.25">
      <c r="A35" s="199"/>
      <c r="B35" s="199"/>
      <c r="C35" s="199"/>
      <c r="D35" s="199"/>
      <c r="E35" s="199"/>
      <c r="F35" s="199"/>
      <c r="G35" s="199"/>
      <c r="H35" s="199"/>
      <c r="I35" s="199"/>
      <c r="J35" s="199"/>
      <c r="K35" s="199"/>
      <c r="L35" s="200"/>
      <c r="M35" s="201"/>
      <c r="N35" s="201"/>
      <c r="O35" s="201"/>
      <c r="P35" s="201"/>
      <c r="Q35" s="201"/>
      <c r="R35" s="201"/>
      <c r="S35" s="201"/>
      <c r="T35" s="201"/>
      <c r="U35" s="201"/>
      <c r="V35" s="201"/>
      <c r="W35" s="201"/>
      <c r="X35" s="201"/>
      <c r="Y35" s="201"/>
      <c r="Z35" s="201"/>
      <c r="AA35" s="201"/>
      <c r="AB35" s="201"/>
      <c r="AC35" s="202"/>
      <c r="AD35" s="202"/>
      <c r="AE35" s="202"/>
      <c r="AF35" s="200"/>
      <c r="AG35" s="200"/>
      <c r="AH35" s="202"/>
      <c r="AI35" s="202"/>
      <c r="AJ35" s="202"/>
      <c r="AK35" s="202"/>
      <c r="AL35" s="202"/>
      <c r="AM35" s="202"/>
      <c r="AN35" s="202"/>
      <c r="AO35" s="202"/>
      <c r="AP35" s="202"/>
      <c r="AQ35" s="202"/>
      <c r="AR35" s="202"/>
      <c r="AS35" s="203"/>
      <c r="AT35" s="204"/>
      <c r="AU35" s="204"/>
      <c r="AV35" s="204"/>
      <c r="AW35" s="204"/>
      <c r="AX35" s="204"/>
      <c r="AY35" s="204"/>
      <c r="AZ35" s="204"/>
      <c r="BA35" s="204"/>
      <c r="BB35" s="204"/>
      <c r="BC35" s="204"/>
      <c r="BD35" s="204"/>
    </row>
    <row r="36" spans="1:56" ht="15.75" thickBot="1" x14ac:dyDescent="0.3">
      <c r="A36" s="2105" t="s">
        <v>4</v>
      </c>
      <c r="B36" s="2105"/>
      <c r="C36" s="2105"/>
      <c r="D36" s="2105"/>
      <c r="E36" s="2105"/>
      <c r="F36" s="2105"/>
      <c r="G36" s="2105"/>
      <c r="H36" s="2105"/>
      <c r="I36" s="2105"/>
      <c r="J36" s="2105"/>
      <c r="K36" s="2105"/>
      <c r="L36" s="2105"/>
      <c r="M36" s="2105"/>
      <c r="N36" s="2105"/>
      <c r="O36" s="2105"/>
      <c r="P36" s="2105"/>
      <c r="Q36" s="2105"/>
      <c r="R36" s="2105"/>
      <c r="S36" s="2105"/>
      <c r="T36" s="2105"/>
      <c r="U36" s="2105"/>
      <c r="V36" s="2105"/>
      <c r="W36" s="2105"/>
      <c r="X36" s="2105"/>
      <c r="Y36" s="2105"/>
      <c r="Z36" s="2105"/>
      <c r="AA36" s="2105"/>
      <c r="AB36" s="2105"/>
      <c r="AC36" s="2105"/>
      <c r="AD36" s="2105"/>
      <c r="AE36" s="2105"/>
      <c r="AF36" s="2105"/>
      <c r="AG36" s="2105"/>
      <c r="AH36" s="2105"/>
      <c r="AI36" s="2105"/>
      <c r="AJ36" s="2105"/>
      <c r="AK36" s="2105"/>
      <c r="AL36" s="2105"/>
      <c r="AM36" s="2105"/>
      <c r="AN36" s="2105"/>
      <c r="AO36" s="2105"/>
      <c r="AP36" s="2105"/>
      <c r="AQ36" s="2105"/>
      <c r="AR36" s="2105"/>
      <c r="AS36" s="2105"/>
      <c r="AT36" s="2105"/>
      <c r="AU36" s="2105"/>
      <c r="AV36" s="2105"/>
      <c r="AW36" s="2105"/>
      <c r="AX36" s="2105"/>
      <c r="AY36" s="2105"/>
      <c r="AZ36" s="2105"/>
      <c r="BA36" s="2105"/>
      <c r="BB36" s="2105"/>
      <c r="BC36" s="2105"/>
      <c r="BD36" s="2105"/>
    </row>
    <row r="37" spans="1:56" x14ac:dyDescent="0.25">
      <c r="A37" s="2083" t="s">
        <v>5</v>
      </c>
      <c r="B37" s="2086" t="s">
        <v>6</v>
      </c>
      <c r="C37" s="2087"/>
      <c r="D37" s="2087"/>
      <c r="E37" s="2087"/>
      <c r="F37" s="2087"/>
      <c r="G37" s="2088"/>
      <c r="H37" s="2092" t="s">
        <v>7</v>
      </c>
      <c r="I37" s="2093"/>
      <c r="J37" s="2093"/>
      <c r="K37" s="2093"/>
      <c r="L37" s="2093"/>
      <c r="M37" s="2093"/>
      <c r="N37" s="2093"/>
      <c r="O37" s="2093"/>
      <c r="P37" s="2093"/>
      <c r="Q37" s="2093"/>
      <c r="R37" s="2093"/>
      <c r="S37" s="2093"/>
      <c r="T37" s="2093"/>
      <c r="U37" s="2093"/>
      <c r="V37" s="2093"/>
      <c r="W37" s="2093"/>
      <c r="X37" s="2093"/>
      <c r="Y37" s="2093"/>
      <c r="Z37" s="2093"/>
      <c r="AA37" s="2093"/>
      <c r="AB37" s="2093"/>
      <c r="AC37" s="2093"/>
      <c r="AD37" s="2093"/>
      <c r="AE37" s="2093"/>
      <c r="AF37" s="2093"/>
      <c r="AG37" s="2093"/>
      <c r="AH37" s="2093"/>
      <c r="AI37" s="2094" t="s">
        <v>8</v>
      </c>
      <c r="AJ37" s="2095"/>
      <c r="AK37" s="2095"/>
      <c r="AL37" s="2096"/>
      <c r="AM37" s="2092" t="s">
        <v>9</v>
      </c>
      <c r="AN37" s="2093"/>
      <c r="AO37" s="2093"/>
      <c r="AP37" s="2093"/>
      <c r="AQ37" s="2093"/>
      <c r="AR37" s="2097"/>
      <c r="AS37" s="2098" t="s">
        <v>10</v>
      </c>
      <c r="AT37" s="2099"/>
      <c r="AU37" s="2099"/>
      <c r="AV37" s="2099"/>
      <c r="AW37" s="2099"/>
      <c r="AX37" s="2099"/>
      <c r="AY37" s="2099"/>
      <c r="AZ37" s="2099"/>
      <c r="BA37" s="2099"/>
      <c r="BB37" s="2099"/>
      <c r="BC37" s="2099"/>
      <c r="BD37" s="2100"/>
    </row>
    <row r="38" spans="1:56" x14ac:dyDescent="0.25">
      <c r="A38" s="2084"/>
      <c r="B38" s="2089"/>
      <c r="C38" s="2090"/>
      <c r="D38" s="2090"/>
      <c r="E38" s="2090"/>
      <c r="F38" s="2090"/>
      <c r="G38" s="2091"/>
      <c r="H38" s="2101" t="s">
        <v>11</v>
      </c>
      <c r="I38" s="2102"/>
      <c r="J38" s="2102"/>
      <c r="K38" s="2102"/>
      <c r="L38" s="2102"/>
      <c r="M38" s="2102"/>
      <c r="N38" s="2102"/>
      <c r="O38" s="2102"/>
      <c r="P38" s="2102"/>
      <c r="Q38" s="2102"/>
      <c r="R38" s="2102"/>
      <c r="S38" s="2102"/>
      <c r="T38" s="2069"/>
      <c r="U38" s="2103" t="s">
        <v>12</v>
      </c>
      <c r="V38" s="2102"/>
      <c r="W38" s="2102"/>
      <c r="X38" s="2102"/>
      <c r="Y38" s="2102"/>
      <c r="Z38" s="2102"/>
      <c r="AA38" s="2102"/>
      <c r="AB38" s="2102"/>
      <c r="AC38" s="2102"/>
      <c r="AD38" s="2069"/>
      <c r="AE38" s="2103" t="s">
        <v>13</v>
      </c>
      <c r="AF38" s="2102"/>
      <c r="AG38" s="2102"/>
      <c r="AH38" s="2102"/>
      <c r="AI38" s="1977" t="s">
        <v>14</v>
      </c>
      <c r="AJ38" s="1967" t="s">
        <v>15</v>
      </c>
      <c r="AK38" s="1967" t="s">
        <v>16</v>
      </c>
      <c r="AL38" s="1983" t="s">
        <v>581</v>
      </c>
      <c r="AM38" s="2009" t="s">
        <v>18</v>
      </c>
      <c r="AN38" s="1985" t="s">
        <v>19</v>
      </c>
      <c r="AO38" s="1985" t="s">
        <v>20</v>
      </c>
      <c r="AP38" s="1985" t="s">
        <v>21</v>
      </c>
      <c r="AQ38" s="1985" t="s">
        <v>22</v>
      </c>
      <c r="AR38" s="1987" t="s">
        <v>21</v>
      </c>
      <c r="AS38" s="2080" t="s">
        <v>23</v>
      </c>
      <c r="AT38" s="2081" t="s">
        <v>24</v>
      </c>
      <c r="AU38" s="2082" t="s">
        <v>25</v>
      </c>
      <c r="AV38" s="2082"/>
      <c r="AW38" s="2082"/>
      <c r="AX38" s="2082" t="s">
        <v>26</v>
      </c>
      <c r="AY38" s="2082"/>
      <c r="AZ38" s="2081" t="s">
        <v>27</v>
      </c>
      <c r="BA38" s="1967" t="s">
        <v>28</v>
      </c>
      <c r="BB38" s="2082" t="s">
        <v>29</v>
      </c>
      <c r="BC38" s="2082"/>
      <c r="BD38" s="2104"/>
    </row>
    <row r="39" spans="1:56" ht="75" customHeight="1" x14ac:dyDescent="0.25">
      <c r="A39" s="2084"/>
      <c r="B39" s="44" t="s">
        <v>30</v>
      </c>
      <c r="C39" s="37" t="s">
        <v>31</v>
      </c>
      <c r="D39" s="37" t="s">
        <v>32</v>
      </c>
      <c r="E39" s="37" t="s">
        <v>23</v>
      </c>
      <c r="F39" s="37" t="s">
        <v>33</v>
      </c>
      <c r="G39" s="47" t="s">
        <v>34</v>
      </c>
      <c r="H39" s="73" t="s">
        <v>35</v>
      </c>
      <c r="I39" s="37" t="s">
        <v>36</v>
      </c>
      <c r="J39" s="37" t="s">
        <v>37</v>
      </c>
      <c r="K39" s="37" t="s">
        <v>38</v>
      </c>
      <c r="L39" s="37" t="s">
        <v>39</v>
      </c>
      <c r="M39" s="37" t="s">
        <v>40</v>
      </c>
      <c r="N39" s="37" t="s">
        <v>41</v>
      </c>
      <c r="O39" s="37" t="s">
        <v>42</v>
      </c>
      <c r="P39" s="37" t="s">
        <v>43</v>
      </c>
      <c r="Q39" s="37" t="s">
        <v>44</v>
      </c>
      <c r="R39" s="37" t="s">
        <v>45</v>
      </c>
      <c r="S39" s="37" t="s">
        <v>46</v>
      </c>
      <c r="T39" s="37" t="s">
        <v>47</v>
      </c>
      <c r="U39" s="37" t="s">
        <v>48</v>
      </c>
      <c r="V39" s="37" t="s">
        <v>38</v>
      </c>
      <c r="W39" s="37" t="s">
        <v>40</v>
      </c>
      <c r="X39" s="37" t="s">
        <v>49</v>
      </c>
      <c r="Y39" s="37" t="s">
        <v>41</v>
      </c>
      <c r="Z39" s="37" t="s">
        <v>42</v>
      </c>
      <c r="AA39" s="37" t="s">
        <v>50</v>
      </c>
      <c r="AB39" s="37" t="s">
        <v>51</v>
      </c>
      <c r="AC39" s="37" t="s">
        <v>52</v>
      </c>
      <c r="AD39" s="37" t="s">
        <v>53</v>
      </c>
      <c r="AE39" s="37" t="s">
        <v>54</v>
      </c>
      <c r="AF39" s="37" t="s">
        <v>55</v>
      </c>
      <c r="AG39" s="37" t="s">
        <v>56</v>
      </c>
      <c r="AH39" s="74" t="s">
        <v>57</v>
      </c>
      <c r="AI39" s="1977"/>
      <c r="AJ39" s="1967"/>
      <c r="AK39" s="1967"/>
      <c r="AL39" s="1983"/>
      <c r="AM39" s="2010"/>
      <c r="AN39" s="1986"/>
      <c r="AO39" s="1986"/>
      <c r="AP39" s="1986"/>
      <c r="AQ39" s="1986"/>
      <c r="AR39" s="1988"/>
      <c r="AS39" s="2080"/>
      <c r="AT39" s="2081"/>
      <c r="AU39" s="165" t="s">
        <v>58</v>
      </c>
      <c r="AV39" s="165" t="s">
        <v>59</v>
      </c>
      <c r="AW39" s="165" t="s">
        <v>60</v>
      </c>
      <c r="AX39" s="165" t="s">
        <v>61</v>
      </c>
      <c r="AY39" s="166" t="s">
        <v>62</v>
      </c>
      <c r="AZ39" s="2081"/>
      <c r="BA39" s="1967"/>
      <c r="BB39" s="165" t="s">
        <v>58</v>
      </c>
      <c r="BC39" s="165" t="s">
        <v>63</v>
      </c>
      <c r="BD39" s="167" t="s">
        <v>64</v>
      </c>
    </row>
    <row r="40" spans="1:56" ht="39" thickBot="1" x14ac:dyDescent="0.3">
      <c r="A40" s="2085"/>
      <c r="B40" s="120" t="s">
        <v>65</v>
      </c>
      <c r="C40" s="121" t="s">
        <v>66</v>
      </c>
      <c r="D40" s="122" t="s">
        <v>67</v>
      </c>
      <c r="E40" s="121" t="s">
        <v>68</v>
      </c>
      <c r="F40" s="121" t="s">
        <v>69</v>
      </c>
      <c r="G40" s="129" t="s">
        <v>70</v>
      </c>
      <c r="H40" s="168" t="s">
        <v>71</v>
      </c>
      <c r="I40" s="121" t="s">
        <v>72</v>
      </c>
      <c r="J40" s="121" t="s">
        <v>73</v>
      </c>
      <c r="K40" s="121" t="s">
        <v>74</v>
      </c>
      <c r="L40" s="127" t="s">
        <v>75</v>
      </c>
      <c r="M40" s="121" t="s">
        <v>76</v>
      </c>
      <c r="N40" s="121" t="s">
        <v>77</v>
      </c>
      <c r="O40" s="121" t="s">
        <v>78</v>
      </c>
      <c r="P40" s="121" t="s">
        <v>79</v>
      </c>
      <c r="Q40" s="121" t="s">
        <v>80</v>
      </c>
      <c r="R40" s="121" t="s">
        <v>81</v>
      </c>
      <c r="S40" s="121" t="s">
        <v>82</v>
      </c>
      <c r="T40" s="121" t="s">
        <v>83</v>
      </c>
      <c r="U40" s="121" t="s">
        <v>84</v>
      </c>
      <c r="V40" s="121" t="s">
        <v>85</v>
      </c>
      <c r="W40" s="121" t="s">
        <v>86</v>
      </c>
      <c r="X40" s="121" t="s">
        <v>87</v>
      </c>
      <c r="Y40" s="121" t="s">
        <v>88</v>
      </c>
      <c r="Z40" s="121" t="s">
        <v>89</v>
      </c>
      <c r="AA40" s="121" t="s">
        <v>90</v>
      </c>
      <c r="AB40" s="121" t="s">
        <v>91</v>
      </c>
      <c r="AC40" s="121" t="s">
        <v>92</v>
      </c>
      <c r="AD40" s="121" t="s">
        <v>93</v>
      </c>
      <c r="AE40" s="121" t="s">
        <v>94</v>
      </c>
      <c r="AF40" s="121" t="s">
        <v>95</v>
      </c>
      <c r="AG40" s="169" t="s">
        <v>96</v>
      </c>
      <c r="AH40" s="88" t="s">
        <v>97</v>
      </c>
      <c r="AI40" s="44" t="s">
        <v>98</v>
      </c>
      <c r="AJ40" s="49" t="s">
        <v>99</v>
      </c>
      <c r="AK40" s="49" t="s">
        <v>100</v>
      </c>
      <c r="AL40" s="170" t="s">
        <v>101</v>
      </c>
      <c r="AM40" s="171" t="s">
        <v>102</v>
      </c>
      <c r="AN40" s="172" t="s">
        <v>103</v>
      </c>
      <c r="AO40" s="172" t="s">
        <v>104</v>
      </c>
      <c r="AP40" s="172" t="s">
        <v>105</v>
      </c>
      <c r="AQ40" s="172" t="s">
        <v>106</v>
      </c>
      <c r="AR40" s="173" t="s">
        <v>107</v>
      </c>
      <c r="AS40" s="174" t="s">
        <v>108</v>
      </c>
      <c r="AT40" s="172" t="s">
        <v>109</v>
      </c>
      <c r="AU40" s="172" t="s">
        <v>110</v>
      </c>
      <c r="AV40" s="172" t="s">
        <v>111</v>
      </c>
      <c r="AW40" s="173" t="s">
        <v>112</v>
      </c>
      <c r="AX40" s="173" t="s">
        <v>113</v>
      </c>
      <c r="AY40" s="173" t="s">
        <v>114</v>
      </c>
      <c r="AZ40" s="172" t="s">
        <v>115</v>
      </c>
      <c r="BA40" s="172" t="s">
        <v>116</v>
      </c>
      <c r="BB40" s="172" t="s">
        <v>117</v>
      </c>
      <c r="BC40" s="173" t="s">
        <v>118</v>
      </c>
      <c r="BD40" s="173" t="s">
        <v>119</v>
      </c>
    </row>
    <row r="41" spans="1:56" ht="64.5" customHeight="1" x14ac:dyDescent="0.25">
      <c r="A41" s="205">
        <v>1</v>
      </c>
      <c r="B41" s="150" t="s">
        <v>602</v>
      </c>
      <c r="C41" s="150" t="s">
        <v>603</v>
      </c>
      <c r="D41" s="150" t="s">
        <v>583</v>
      </c>
      <c r="E41" s="150" t="s">
        <v>584</v>
      </c>
      <c r="F41" s="150" t="s">
        <v>604</v>
      </c>
      <c r="G41" s="150" t="s">
        <v>586</v>
      </c>
      <c r="H41" s="159" t="s">
        <v>605</v>
      </c>
      <c r="I41" s="176" t="s">
        <v>606</v>
      </c>
      <c r="J41" s="37" t="s">
        <v>607</v>
      </c>
      <c r="K41" s="151">
        <v>41122</v>
      </c>
      <c r="L41" s="160">
        <v>8000</v>
      </c>
      <c r="M41" s="150" t="s">
        <v>608</v>
      </c>
      <c r="N41" s="151" t="s">
        <v>609</v>
      </c>
      <c r="O41" s="151" t="s">
        <v>610</v>
      </c>
      <c r="P41" s="150" t="s">
        <v>591</v>
      </c>
      <c r="Q41" s="150">
        <v>0</v>
      </c>
      <c r="R41" s="150">
        <v>0</v>
      </c>
      <c r="S41" s="150">
        <v>0</v>
      </c>
      <c r="T41" s="150">
        <v>33903900</v>
      </c>
      <c r="U41" s="150"/>
      <c r="V41" s="150"/>
      <c r="W41" s="150"/>
      <c r="X41" s="150"/>
      <c r="Y41" s="150"/>
      <c r="Z41" s="150"/>
      <c r="AA41" s="150"/>
      <c r="AB41" s="150"/>
      <c r="AC41" s="150"/>
      <c r="AD41" s="150"/>
      <c r="AE41" s="177">
        <v>8000</v>
      </c>
      <c r="AF41" s="177">
        <v>8000</v>
      </c>
      <c r="AG41" s="150"/>
      <c r="AH41" s="178"/>
      <c r="AI41" s="179"/>
      <c r="AJ41" s="107"/>
      <c r="AK41" s="107"/>
      <c r="AL41" s="180"/>
      <c r="AM41" s="179"/>
      <c r="AN41" s="181"/>
      <c r="AO41" s="181"/>
      <c r="AP41" s="181"/>
      <c r="AQ41" s="181"/>
      <c r="AR41" s="182"/>
      <c r="AS41" s="49"/>
      <c r="AT41" s="172"/>
      <c r="AU41" s="172"/>
      <c r="AV41" s="172"/>
      <c r="AW41" s="172"/>
      <c r="AX41" s="172"/>
      <c r="AY41" s="172"/>
      <c r="AZ41" s="172"/>
      <c r="BA41" s="172"/>
      <c r="BB41" s="172"/>
      <c r="BC41" s="172"/>
      <c r="BD41" s="173"/>
    </row>
    <row r="42" spans="1:56" x14ac:dyDescent="0.25">
      <c r="A42" s="185">
        <v>2</v>
      </c>
      <c r="B42" s="37">
        <v>123390024</v>
      </c>
      <c r="C42" s="37"/>
      <c r="D42" s="37"/>
      <c r="E42" s="37"/>
      <c r="F42" s="37"/>
      <c r="G42" s="37"/>
      <c r="H42" s="54"/>
      <c r="I42" s="37"/>
      <c r="J42" s="37" t="s">
        <v>607</v>
      </c>
      <c r="K42" s="37"/>
      <c r="L42" s="48"/>
      <c r="M42" s="37"/>
      <c r="N42" s="37"/>
      <c r="O42" s="37"/>
      <c r="P42" s="37"/>
      <c r="Q42" s="37"/>
      <c r="R42" s="37"/>
      <c r="S42" s="37"/>
      <c r="T42" s="37">
        <v>33903900</v>
      </c>
      <c r="U42" s="157">
        <v>1</v>
      </c>
      <c r="V42" s="45">
        <v>41275</v>
      </c>
      <c r="W42" s="37" t="s">
        <v>611</v>
      </c>
      <c r="X42" s="37" t="s">
        <v>597</v>
      </c>
      <c r="Y42" s="45">
        <v>41275</v>
      </c>
      <c r="Z42" s="45">
        <v>41639</v>
      </c>
      <c r="AA42" s="37"/>
      <c r="AB42" s="37"/>
      <c r="AC42" s="37"/>
      <c r="AD42" s="37"/>
      <c r="AE42" s="177"/>
      <c r="AF42" s="184"/>
      <c r="AG42" s="4"/>
      <c r="AH42" s="178"/>
      <c r="AI42" s="179"/>
      <c r="AJ42" s="107"/>
      <c r="AK42" s="107"/>
      <c r="AL42" s="180"/>
      <c r="AM42" s="179"/>
      <c r="AN42" s="181"/>
      <c r="AO42" s="181"/>
      <c r="AP42" s="181"/>
      <c r="AQ42" s="181"/>
      <c r="AR42" s="182"/>
      <c r="AS42" s="49"/>
      <c r="AT42" s="172"/>
      <c r="AU42" s="172"/>
      <c r="AV42" s="172"/>
      <c r="AW42" s="172"/>
      <c r="AX42" s="172"/>
      <c r="AY42" s="172"/>
      <c r="AZ42" s="172"/>
      <c r="BA42" s="172"/>
      <c r="BB42" s="172"/>
      <c r="BC42" s="172"/>
      <c r="BD42" s="173"/>
    </row>
    <row r="43" spans="1:56" x14ac:dyDescent="0.25">
      <c r="A43" s="185">
        <v>3</v>
      </c>
      <c r="B43" s="37" t="s">
        <v>612</v>
      </c>
      <c r="C43" s="37"/>
      <c r="D43" s="37"/>
      <c r="E43" s="37"/>
      <c r="F43" s="37"/>
      <c r="G43" s="37"/>
      <c r="H43" s="54"/>
      <c r="I43" s="37"/>
      <c r="J43" s="37" t="s">
        <v>607</v>
      </c>
      <c r="K43" s="37"/>
      <c r="L43" s="48"/>
      <c r="M43" s="37"/>
      <c r="N43" s="37"/>
      <c r="O43" s="37"/>
      <c r="P43" s="37"/>
      <c r="Q43" s="37"/>
      <c r="R43" s="37"/>
      <c r="S43" s="37"/>
      <c r="T43" s="37"/>
      <c r="U43" s="37">
        <v>2</v>
      </c>
      <c r="V43" s="45">
        <v>41627</v>
      </c>
      <c r="W43" s="37" t="s">
        <v>613</v>
      </c>
      <c r="X43" s="37" t="s">
        <v>597</v>
      </c>
      <c r="Y43" s="45">
        <v>41640</v>
      </c>
      <c r="Z43" s="45">
        <v>42004</v>
      </c>
      <c r="AA43" s="37"/>
      <c r="AD43" s="37"/>
      <c r="AE43" s="37"/>
      <c r="AF43" s="107"/>
      <c r="AG43" s="206">
        <v>2187.63</v>
      </c>
      <c r="AH43" s="178"/>
      <c r="AI43" s="179"/>
      <c r="AJ43" s="107"/>
      <c r="AK43" s="107"/>
      <c r="AL43" s="180"/>
      <c r="AM43" s="179"/>
      <c r="AN43" s="181"/>
      <c r="AO43" s="181"/>
      <c r="AP43" s="181"/>
      <c r="AQ43" s="181"/>
      <c r="AR43" s="182"/>
      <c r="AS43" s="49"/>
      <c r="AT43" s="172"/>
      <c r="AU43" s="172"/>
      <c r="AV43" s="172"/>
      <c r="AW43" s="172"/>
      <c r="AX43" s="172"/>
      <c r="AY43" s="172"/>
      <c r="AZ43" s="172"/>
      <c r="BA43" s="172"/>
      <c r="BB43" s="172"/>
      <c r="BC43" s="172"/>
      <c r="BD43" s="173"/>
    </row>
    <row r="44" spans="1:56" x14ac:dyDescent="0.25">
      <c r="A44" s="186"/>
      <c r="B44" s="37"/>
      <c r="C44" s="37"/>
      <c r="D44" s="37"/>
      <c r="E44" s="37"/>
      <c r="F44" s="37"/>
      <c r="G44" s="37"/>
      <c r="H44" s="54"/>
      <c r="I44" s="37"/>
      <c r="J44" s="37"/>
      <c r="K44" s="37"/>
      <c r="L44" s="48"/>
      <c r="M44" s="37"/>
      <c r="N44" s="37"/>
      <c r="O44" s="37"/>
      <c r="P44" s="37"/>
      <c r="Q44" s="37"/>
      <c r="R44" s="37"/>
      <c r="S44" s="37"/>
      <c r="T44" s="37"/>
      <c r="U44" s="37"/>
      <c r="V44" s="45"/>
      <c r="W44" s="37"/>
      <c r="X44" s="37"/>
      <c r="Y44" s="45"/>
      <c r="Z44" s="45"/>
      <c r="AA44" s="37"/>
      <c r="AB44" s="37"/>
      <c r="AC44" s="37"/>
      <c r="AD44" s="37"/>
      <c r="AE44" s="177"/>
      <c r="AF44" s="184"/>
      <c r="AG44" s="37"/>
      <c r="AH44" s="178"/>
      <c r="AI44" s="179"/>
      <c r="AJ44" s="107"/>
      <c r="AK44" s="107"/>
      <c r="AL44" s="180"/>
      <c r="AM44" s="179"/>
      <c r="AN44" s="181"/>
      <c r="AO44" s="181"/>
      <c r="AP44" s="181"/>
      <c r="AQ44" s="181"/>
      <c r="AR44" s="182"/>
      <c r="AS44" s="49"/>
      <c r="AT44" s="172"/>
      <c r="AU44" s="172"/>
      <c r="AV44" s="172"/>
      <c r="AW44" s="172"/>
      <c r="AX44" s="172"/>
      <c r="AY44" s="172"/>
      <c r="AZ44" s="172"/>
      <c r="BA44" s="172"/>
      <c r="BB44" s="172"/>
      <c r="BC44" s="172"/>
      <c r="BD44" s="173"/>
    </row>
    <row r="45" spans="1:56" x14ac:dyDescent="0.25">
      <c r="A45" s="186"/>
      <c r="B45" s="37"/>
      <c r="C45" s="37"/>
      <c r="D45" s="37"/>
      <c r="E45" s="37"/>
      <c r="F45" s="37"/>
      <c r="G45" s="37"/>
      <c r="H45" s="54"/>
      <c r="I45" s="37"/>
      <c r="J45" s="37"/>
      <c r="K45" s="37"/>
      <c r="L45" s="48"/>
      <c r="M45" s="37"/>
      <c r="N45" s="37"/>
      <c r="O45" s="37"/>
      <c r="P45" s="37"/>
      <c r="Q45" s="37"/>
      <c r="R45" s="37"/>
      <c r="S45" s="37"/>
      <c r="T45" s="37"/>
      <c r="U45" s="37"/>
      <c r="V45" s="45"/>
      <c r="W45" s="37"/>
      <c r="X45" s="37"/>
      <c r="Y45" s="45"/>
      <c r="Z45" s="45"/>
      <c r="AA45" s="37"/>
      <c r="AB45" s="37"/>
      <c r="AC45" s="37"/>
      <c r="AD45" s="37"/>
      <c r="AE45" s="177"/>
      <c r="AF45" s="184"/>
      <c r="AG45" s="37"/>
      <c r="AH45" s="178"/>
      <c r="AI45" s="179"/>
      <c r="AJ45" s="107"/>
      <c r="AK45" s="107"/>
      <c r="AL45" s="180"/>
      <c r="AM45" s="179"/>
      <c r="AN45" s="181"/>
      <c r="AO45" s="181"/>
      <c r="AP45" s="181"/>
      <c r="AQ45" s="181"/>
      <c r="AR45" s="182"/>
      <c r="AS45" s="49"/>
      <c r="AT45" s="172"/>
      <c r="AU45" s="172"/>
      <c r="AV45" s="172"/>
      <c r="AW45" s="172"/>
      <c r="AX45" s="172"/>
      <c r="AY45" s="172"/>
      <c r="AZ45" s="172"/>
      <c r="BA45" s="172"/>
      <c r="BB45" s="172"/>
      <c r="BC45" s="172"/>
      <c r="BD45" s="173"/>
    </row>
    <row r="46" spans="1:56" x14ac:dyDescent="0.25">
      <c r="A46" s="199"/>
      <c r="B46" s="199"/>
      <c r="C46" s="199"/>
      <c r="D46" s="199"/>
      <c r="E46" s="199"/>
      <c r="F46" s="199"/>
      <c r="G46" s="199"/>
      <c r="H46" s="199"/>
      <c r="I46" s="199"/>
      <c r="J46" s="199"/>
      <c r="K46" s="199"/>
      <c r="L46" s="200"/>
      <c r="M46" s="201"/>
      <c r="N46" s="201"/>
      <c r="O46" s="201"/>
      <c r="P46" s="201"/>
      <c r="Q46" s="201"/>
      <c r="R46" s="201"/>
      <c r="S46" s="201"/>
      <c r="T46" s="201"/>
      <c r="U46" s="201"/>
      <c r="V46" s="201"/>
      <c r="W46" s="201"/>
      <c r="X46" s="201"/>
      <c r="Y46" s="201"/>
      <c r="Z46" s="201"/>
      <c r="AA46" s="201"/>
      <c r="AB46" s="201"/>
      <c r="AC46" s="202"/>
      <c r="AD46" s="202"/>
      <c r="AE46" s="202"/>
      <c r="AF46" s="200"/>
      <c r="AG46" s="200"/>
      <c r="AH46" s="202"/>
      <c r="AI46" s="202"/>
      <c r="AJ46" s="202"/>
      <c r="AK46" s="202"/>
      <c r="AL46" s="202"/>
      <c r="AM46" s="202"/>
      <c r="AN46" s="202"/>
      <c r="AO46" s="202"/>
      <c r="AP46" s="202"/>
      <c r="AQ46" s="202"/>
      <c r="AR46" s="202"/>
      <c r="AS46" s="203"/>
      <c r="AT46" s="204"/>
      <c r="AU46" s="204"/>
      <c r="AV46" s="204"/>
      <c r="AW46" s="204"/>
      <c r="AX46" s="204"/>
      <c r="AY46" s="204"/>
      <c r="AZ46" s="204"/>
      <c r="BA46" s="204"/>
      <c r="BB46" s="204"/>
      <c r="BC46" s="204"/>
      <c r="BD46" s="204"/>
    </row>
    <row r="47" spans="1:56" x14ac:dyDescent="0.25">
      <c r="A47" s="199"/>
      <c r="B47" s="199"/>
      <c r="C47" s="199"/>
      <c r="D47" s="199"/>
      <c r="E47" s="199"/>
      <c r="F47" s="199"/>
      <c r="G47" s="199"/>
      <c r="H47" s="199"/>
      <c r="I47" s="199"/>
      <c r="J47" s="199"/>
      <c r="K47" s="199"/>
      <c r="L47" s="200"/>
      <c r="M47" s="201"/>
      <c r="N47" s="201"/>
      <c r="O47" s="201"/>
      <c r="P47" s="201"/>
      <c r="Q47" s="201"/>
      <c r="R47" s="201"/>
      <c r="S47" s="201"/>
      <c r="T47" s="201"/>
      <c r="U47" s="201"/>
      <c r="V47" s="201"/>
      <c r="W47" s="201"/>
      <c r="X47" s="201"/>
      <c r="Y47" s="201"/>
      <c r="Z47" s="201"/>
      <c r="AA47" s="201"/>
      <c r="AB47" s="201"/>
      <c r="AC47" s="202"/>
      <c r="AD47" s="202"/>
      <c r="AE47" s="202"/>
      <c r="AF47" s="200"/>
      <c r="AG47" s="200"/>
      <c r="AH47" s="202"/>
      <c r="AI47" s="202"/>
      <c r="AJ47" s="202"/>
      <c r="AK47" s="202"/>
      <c r="AL47" s="202"/>
      <c r="AM47" s="202"/>
      <c r="AN47" s="202"/>
      <c r="AO47" s="202"/>
      <c r="AP47" s="202"/>
      <c r="AQ47" s="202"/>
      <c r="AR47" s="202"/>
      <c r="AS47" s="203"/>
      <c r="AT47" s="204"/>
      <c r="AU47" s="204"/>
      <c r="AV47" s="204"/>
      <c r="AW47" s="204"/>
      <c r="AX47" s="204"/>
      <c r="AY47" s="204"/>
      <c r="AZ47" s="204"/>
      <c r="BA47" s="204"/>
      <c r="BB47" s="204"/>
      <c r="BC47" s="204"/>
      <c r="BD47" s="204"/>
    </row>
    <row r="48" spans="1:56" x14ac:dyDescent="0.25">
      <c r="A48" s="199"/>
      <c r="B48" s="199"/>
      <c r="C48" s="199"/>
      <c r="D48" s="199"/>
      <c r="E48" s="199"/>
      <c r="F48" s="199"/>
      <c r="G48" s="199"/>
      <c r="H48" s="199"/>
      <c r="I48" s="199"/>
      <c r="J48" s="199"/>
      <c r="K48" s="199"/>
      <c r="L48" s="200"/>
      <c r="M48" s="201"/>
      <c r="N48" s="201"/>
      <c r="O48" s="201"/>
      <c r="P48" s="201"/>
      <c r="Q48" s="201"/>
      <c r="R48" s="201"/>
      <c r="S48" s="201"/>
      <c r="T48" s="201"/>
      <c r="U48" s="201"/>
      <c r="V48" s="201"/>
      <c r="W48" s="201"/>
      <c r="X48" s="201"/>
      <c r="Y48" s="201"/>
      <c r="Z48" s="201"/>
      <c r="AA48" s="201"/>
      <c r="AB48" s="201"/>
      <c r="AC48" s="202"/>
      <c r="AD48" s="202"/>
      <c r="AE48" s="202"/>
      <c r="AF48" s="200"/>
      <c r="AG48" s="200"/>
      <c r="AH48" s="202"/>
      <c r="AI48" s="202"/>
      <c r="AJ48" s="202"/>
      <c r="AK48" s="202"/>
      <c r="AL48" s="202"/>
      <c r="AM48" s="202"/>
      <c r="AN48" s="202"/>
      <c r="AO48" s="202"/>
      <c r="AP48" s="202"/>
      <c r="AQ48" s="202"/>
      <c r="AR48" s="202"/>
      <c r="AS48" s="203"/>
      <c r="AT48" s="204"/>
      <c r="AU48" s="204"/>
      <c r="AV48" s="204"/>
      <c r="AW48" s="204"/>
      <c r="AX48" s="204"/>
      <c r="AY48" s="204"/>
      <c r="AZ48" s="204"/>
      <c r="BA48" s="204"/>
      <c r="BB48" s="204"/>
      <c r="BC48" s="204"/>
      <c r="BD48" s="204"/>
    </row>
    <row r="49" spans="1:56" ht="15.75" thickBot="1" x14ac:dyDescent="0.3">
      <c r="A49" s="2105" t="s">
        <v>4</v>
      </c>
      <c r="B49" s="2105"/>
      <c r="C49" s="2105"/>
      <c r="D49" s="2105"/>
      <c r="E49" s="2105"/>
      <c r="F49" s="2105"/>
      <c r="G49" s="2105"/>
      <c r="H49" s="2105"/>
      <c r="I49" s="2105"/>
      <c r="J49" s="2105"/>
      <c r="K49" s="2105"/>
      <c r="L49" s="2105"/>
      <c r="M49" s="2105"/>
      <c r="N49" s="2105"/>
      <c r="O49" s="2105"/>
      <c r="P49" s="2105"/>
      <c r="Q49" s="2105"/>
      <c r="R49" s="2105"/>
      <c r="S49" s="2105"/>
      <c r="T49" s="2105"/>
      <c r="U49" s="2105"/>
      <c r="V49" s="2105"/>
      <c r="W49" s="2105"/>
      <c r="X49" s="2105"/>
      <c r="Y49" s="2105"/>
      <c r="Z49" s="2105"/>
      <c r="AA49" s="2105"/>
      <c r="AB49" s="2105"/>
      <c r="AC49" s="2105"/>
      <c r="AD49" s="2105"/>
      <c r="AE49" s="2105"/>
      <c r="AF49" s="2105"/>
      <c r="AG49" s="2105"/>
      <c r="AH49" s="2105"/>
      <c r="AI49" s="2105"/>
      <c r="AJ49" s="2105"/>
      <c r="AK49" s="2105"/>
      <c r="AL49" s="2105"/>
      <c r="AM49" s="2105"/>
      <c r="AN49" s="2105"/>
      <c r="AO49" s="2105"/>
      <c r="AP49" s="2105"/>
      <c r="AQ49" s="2105"/>
      <c r="AR49" s="2105"/>
      <c r="AS49" s="2105"/>
      <c r="AT49" s="2105"/>
      <c r="AU49" s="2105"/>
      <c r="AV49" s="2105"/>
      <c r="AW49" s="2105"/>
      <c r="AX49" s="2105"/>
      <c r="AY49" s="2105"/>
      <c r="AZ49" s="2105"/>
      <c r="BA49" s="2105"/>
      <c r="BB49" s="2105"/>
      <c r="BC49" s="2105"/>
      <c r="BD49" s="2105"/>
    </row>
    <row r="50" spans="1:56" x14ac:dyDescent="0.25">
      <c r="A50" s="2083" t="s">
        <v>5</v>
      </c>
      <c r="B50" s="2086" t="s">
        <v>6</v>
      </c>
      <c r="C50" s="2087"/>
      <c r="D50" s="2087"/>
      <c r="E50" s="2087"/>
      <c r="F50" s="2087"/>
      <c r="G50" s="2088"/>
      <c r="H50" s="2092" t="s">
        <v>7</v>
      </c>
      <c r="I50" s="2093"/>
      <c r="J50" s="2093"/>
      <c r="K50" s="2093"/>
      <c r="L50" s="2093"/>
      <c r="M50" s="2093"/>
      <c r="N50" s="2093"/>
      <c r="O50" s="2093"/>
      <c r="P50" s="2093"/>
      <c r="Q50" s="2093"/>
      <c r="R50" s="2093"/>
      <c r="S50" s="2093"/>
      <c r="T50" s="2093"/>
      <c r="U50" s="2093"/>
      <c r="V50" s="2093"/>
      <c r="W50" s="2093"/>
      <c r="X50" s="2093"/>
      <c r="Y50" s="2093"/>
      <c r="Z50" s="2093"/>
      <c r="AA50" s="2093"/>
      <c r="AB50" s="2093"/>
      <c r="AC50" s="2093"/>
      <c r="AD50" s="2093"/>
      <c r="AE50" s="2093"/>
      <c r="AF50" s="2093"/>
      <c r="AG50" s="2093"/>
      <c r="AH50" s="2093"/>
      <c r="AI50" s="2094" t="s">
        <v>8</v>
      </c>
      <c r="AJ50" s="2095"/>
      <c r="AK50" s="2095"/>
      <c r="AL50" s="2096"/>
      <c r="AM50" s="2092" t="s">
        <v>9</v>
      </c>
      <c r="AN50" s="2093"/>
      <c r="AO50" s="2093"/>
      <c r="AP50" s="2093"/>
      <c r="AQ50" s="2093"/>
      <c r="AR50" s="2097"/>
      <c r="AS50" s="2098" t="s">
        <v>10</v>
      </c>
      <c r="AT50" s="2099"/>
      <c r="AU50" s="2099"/>
      <c r="AV50" s="2099"/>
      <c r="AW50" s="2099"/>
      <c r="AX50" s="2099"/>
      <c r="AY50" s="2099"/>
      <c r="AZ50" s="2099"/>
      <c r="BA50" s="2099"/>
      <c r="BB50" s="2099"/>
      <c r="BC50" s="2099"/>
      <c r="BD50" s="2100"/>
    </row>
    <row r="51" spans="1:56" x14ac:dyDescent="0.25">
      <c r="A51" s="2084"/>
      <c r="B51" s="2089"/>
      <c r="C51" s="2090"/>
      <c r="D51" s="2090"/>
      <c r="E51" s="2090"/>
      <c r="F51" s="2090"/>
      <c r="G51" s="2091"/>
      <c r="H51" s="2101" t="s">
        <v>11</v>
      </c>
      <c r="I51" s="2102"/>
      <c r="J51" s="2102"/>
      <c r="K51" s="2102"/>
      <c r="L51" s="2102"/>
      <c r="M51" s="2102"/>
      <c r="N51" s="2102"/>
      <c r="O51" s="2102"/>
      <c r="P51" s="2102"/>
      <c r="Q51" s="2102"/>
      <c r="R51" s="2102"/>
      <c r="S51" s="2102"/>
      <c r="T51" s="2069"/>
      <c r="U51" s="2103" t="s">
        <v>12</v>
      </c>
      <c r="V51" s="2102"/>
      <c r="W51" s="2102"/>
      <c r="X51" s="2102"/>
      <c r="Y51" s="2102"/>
      <c r="Z51" s="2102"/>
      <c r="AA51" s="2102"/>
      <c r="AB51" s="2102"/>
      <c r="AC51" s="2102"/>
      <c r="AD51" s="2069"/>
      <c r="AE51" s="2103" t="s">
        <v>13</v>
      </c>
      <c r="AF51" s="2102"/>
      <c r="AG51" s="2102"/>
      <c r="AH51" s="2102"/>
      <c r="AI51" s="1977" t="s">
        <v>14</v>
      </c>
      <c r="AJ51" s="1967" t="s">
        <v>15</v>
      </c>
      <c r="AK51" s="1967" t="s">
        <v>16</v>
      </c>
      <c r="AL51" s="1983" t="s">
        <v>581</v>
      </c>
      <c r="AM51" s="2009" t="s">
        <v>18</v>
      </c>
      <c r="AN51" s="1985" t="s">
        <v>19</v>
      </c>
      <c r="AO51" s="1985" t="s">
        <v>20</v>
      </c>
      <c r="AP51" s="1985" t="s">
        <v>21</v>
      </c>
      <c r="AQ51" s="1985" t="s">
        <v>22</v>
      </c>
      <c r="AR51" s="1987" t="s">
        <v>21</v>
      </c>
      <c r="AS51" s="2080" t="s">
        <v>23</v>
      </c>
      <c r="AT51" s="2081" t="s">
        <v>24</v>
      </c>
      <c r="AU51" s="2082" t="s">
        <v>25</v>
      </c>
      <c r="AV51" s="2082"/>
      <c r="AW51" s="2082"/>
      <c r="AX51" s="2082" t="s">
        <v>26</v>
      </c>
      <c r="AY51" s="2082"/>
      <c r="AZ51" s="2081" t="s">
        <v>27</v>
      </c>
      <c r="BA51" s="1967" t="s">
        <v>28</v>
      </c>
      <c r="BB51" s="2082" t="s">
        <v>29</v>
      </c>
      <c r="BC51" s="2082"/>
      <c r="BD51" s="2104"/>
    </row>
    <row r="52" spans="1:56" ht="50.25" customHeight="1" x14ac:dyDescent="0.25">
      <c r="A52" s="2084"/>
      <c r="B52" s="44" t="s">
        <v>30</v>
      </c>
      <c r="C52" s="37" t="s">
        <v>31</v>
      </c>
      <c r="D52" s="37" t="s">
        <v>32</v>
      </c>
      <c r="E52" s="37" t="s">
        <v>23</v>
      </c>
      <c r="F52" s="37" t="s">
        <v>33</v>
      </c>
      <c r="G52" s="47" t="s">
        <v>34</v>
      </c>
      <c r="H52" s="73" t="s">
        <v>35</v>
      </c>
      <c r="I52" s="37" t="s">
        <v>36</v>
      </c>
      <c r="J52" s="37" t="s">
        <v>37</v>
      </c>
      <c r="K52" s="37" t="s">
        <v>38</v>
      </c>
      <c r="L52" s="37" t="s">
        <v>39</v>
      </c>
      <c r="M52" s="37" t="s">
        <v>40</v>
      </c>
      <c r="N52" s="37" t="s">
        <v>41</v>
      </c>
      <c r="O52" s="37" t="s">
        <v>42</v>
      </c>
      <c r="P52" s="37" t="s">
        <v>43</v>
      </c>
      <c r="Q52" s="37" t="s">
        <v>44</v>
      </c>
      <c r="R52" s="37" t="s">
        <v>45</v>
      </c>
      <c r="S52" s="37" t="s">
        <v>46</v>
      </c>
      <c r="T52" s="37" t="s">
        <v>47</v>
      </c>
      <c r="U52" s="37" t="s">
        <v>48</v>
      </c>
      <c r="V52" s="37" t="s">
        <v>38</v>
      </c>
      <c r="W52" s="37" t="s">
        <v>40</v>
      </c>
      <c r="X52" s="37" t="s">
        <v>49</v>
      </c>
      <c r="Y52" s="37" t="s">
        <v>41</v>
      </c>
      <c r="Z52" s="37" t="s">
        <v>42</v>
      </c>
      <c r="AA52" s="37" t="s">
        <v>50</v>
      </c>
      <c r="AB52" s="37" t="s">
        <v>51</v>
      </c>
      <c r="AC52" s="37" t="s">
        <v>52</v>
      </c>
      <c r="AD52" s="37" t="s">
        <v>53</v>
      </c>
      <c r="AE52" s="37" t="s">
        <v>54</v>
      </c>
      <c r="AF52" s="37" t="s">
        <v>55</v>
      </c>
      <c r="AG52" s="37" t="s">
        <v>56</v>
      </c>
      <c r="AH52" s="74" t="s">
        <v>57</v>
      </c>
      <c r="AI52" s="1977"/>
      <c r="AJ52" s="1967"/>
      <c r="AK52" s="1967"/>
      <c r="AL52" s="1983"/>
      <c r="AM52" s="2010"/>
      <c r="AN52" s="1986"/>
      <c r="AO52" s="1986"/>
      <c r="AP52" s="1986"/>
      <c r="AQ52" s="1986"/>
      <c r="AR52" s="1988"/>
      <c r="AS52" s="2080"/>
      <c r="AT52" s="2081"/>
      <c r="AU52" s="165" t="s">
        <v>58</v>
      </c>
      <c r="AV52" s="165" t="s">
        <v>59</v>
      </c>
      <c r="AW52" s="165" t="s">
        <v>60</v>
      </c>
      <c r="AX52" s="165" t="s">
        <v>61</v>
      </c>
      <c r="AY52" s="166" t="s">
        <v>62</v>
      </c>
      <c r="AZ52" s="2081"/>
      <c r="BA52" s="1967"/>
      <c r="BB52" s="165" t="s">
        <v>58</v>
      </c>
      <c r="BC52" s="165" t="s">
        <v>63</v>
      </c>
      <c r="BD52" s="167" t="s">
        <v>64</v>
      </c>
    </row>
    <row r="53" spans="1:56" ht="39" thickBot="1" x14ac:dyDescent="0.3">
      <c r="A53" s="2085"/>
      <c r="B53" s="120" t="s">
        <v>65</v>
      </c>
      <c r="C53" s="121" t="s">
        <v>66</v>
      </c>
      <c r="D53" s="122" t="s">
        <v>67</v>
      </c>
      <c r="E53" s="121" t="s">
        <v>68</v>
      </c>
      <c r="F53" s="121" t="s">
        <v>69</v>
      </c>
      <c r="G53" s="129" t="s">
        <v>70</v>
      </c>
      <c r="H53" s="168" t="s">
        <v>71</v>
      </c>
      <c r="I53" s="121" t="s">
        <v>72</v>
      </c>
      <c r="J53" s="121" t="s">
        <v>73</v>
      </c>
      <c r="K53" s="121" t="s">
        <v>74</v>
      </c>
      <c r="L53" s="127" t="s">
        <v>75</v>
      </c>
      <c r="M53" s="121" t="s">
        <v>76</v>
      </c>
      <c r="N53" s="121" t="s">
        <v>77</v>
      </c>
      <c r="O53" s="121" t="s">
        <v>78</v>
      </c>
      <c r="P53" s="121" t="s">
        <v>79</v>
      </c>
      <c r="Q53" s="121" t="s">
        <v>80</v>
      </c>
      <c r="R53" s="121" t="s">
        <v>81</v>
      </c>
      <c r="S53" s="121" t="s">
        <v>82</v>
      </c>
      <c r="T53" s="121" t="s">
        <v>83</v>
      </c>
      <c r="U53" s="121" t="s">
        <v>84</v>
      </c>
      <c r="V53" s="121" t="s">
        <v>85</v>
      </c>
      <c r="W53" s="121" t="s">
        <v>86</v>
      </c>
      <c r="X53" s="121" t="s">
        <v>87</v>
      </c>
      <c r="Y53" s="121" t="s">
        <v>88</v>
      </c>
      <c r="Z53" s="121" t="s">
        <v>89</v>
      </c>
      <c r="AA53" s="121" t="s">
        <v>90</v>
      </c>
      <c r="AB53" s="121" t="s">
        <v>91</v>
      </c>
      <c r="AC53" s="121" t="s">
        <v>92</v>
      </c>
      <c r="AD53" s="121" t="s">
        <v>93</v>
      </c>
      <c r="AE53" s="121" t="s">
        <v>94</v>
      </c>
      <c r="AF53" s="121" t="s">
        <v>95</v>
      </c>
      <c r="AG53" s="169" t="s">
        <v>96</v>
      </c>
      <c r="AH53" s="88" t="s">
        <v>97</v>
      </c>
      <c r="AI53" s="44" t="s">
        <v>98</v>
      </c>
      <c r="AJ53" s="49" t="s">
        <v>99</v>
      </c>
      <c r="AK53" s="49" t="s">
        <v>100</v>
      </c>
      <c r="AL53" s="170" t="s">
        <v>101</v>
      </c>
      <c r="AM53" s="171" t="s">
        <v>102</v>
      </c>
      <c r="AN53" s="172" t="s">
        <v>103</v>
      </c>
      <c r="AO53" s="172" t="s">
        <v>104</v>
      </c>
      <c r="AP53" s="172" t="s">
        <v>105</v>
      </c>
      <c r="AQ53" s="172" t="s">
        <v>106</v>
      </c>
      <c r="AR53" s="173" t="s">
        <v>107</v>
      </c>
      <c r="AS53" s="174" t="s">
        <v>108</v>
      </c>
      <c r="AT53" s="172" t="s">
        <v>109</v>
      </c>
      <c r="AU53" s="172" t="s">
        <v>110</v>
      </c>
      <c r="AV53" s="172" t="s">
        <v>111</v>
      </c>
      <c r="AW53" s="173" t="s">
        <v>112</v>
      </c>
      <c r="AX53" s="173" t="s">
        <v>113</v>
      </c>
      <c r="AY53" s="173" t="s">
        <v>114</v>
      </c>
      <c r="AZ53" s="172" t="s">
        <v>115</v>
      </c>
      <c r="BA53" s="172" t="s">
        <v>116</v>
      </c>
      <c r="BB53" s="172" t="s">
        <v>117</v>
      </c>
      <c r="BC53" s="173" t="s">
        <v>118</v>
      </c>
      <c r="BD53" s="173" t="s">
        <v>119</v>
      </c>
    </row>
    <row r="54" spans="1:56" ht="51" customHeight="1" x14ac:dyDescent="0.25">
      <c r="A54" s="205">
        <v>1</v>
      </c>
      <c r="B54" s="150" t="s">
        <v>614</v>
      </c>
      <c r="C54" s="150">
        <v>4</v>
      </c>
      <c r="D54" s="150" t="s">
        <v>615</v>
      </c>
      <c r="E54" s="150" t="s">
        <v>616</v>
      </c>
      <c r="F54" s="150" t="s">
        <v>617</v>
      </c>
      <c r="G54" s="150" t="s">
        <v>586</v>
      </c>
      <c r="H54" s="159" t="s">
        <v>618</v>
      </c>
      <c r="I54" s="176" t="s">
        <v>619</v>
      </c>
      <c r="J54" s="37" t="s">
        <v>620</v>
      </c>
      <c r="K54" s="151">
        <v>41031</v>
      </c>
      <c r="L54" s="160">
        <v>11920</v>
      </c>
      <c r="M54" s="150" t="s">
        <v>621</v>
      </c>
      <c r="N54" s="151">
        <v>41031</v>
      </c>
      <c r="O54" s="151" t="s">
        <v>610</v>
      </c>
      <c r="P54" s="150" t="s">
        <v>591</v>
      </c>
      <c r="Q54" s="150">
        <v>0</v>
      </c>
      <c r="R54" s="150">
        <v>0</v>
      </c>
      <c r="S54" s="150">
        <v>0</v>
      </c>
      <c r="T54" s="150">
        <v>33903600</v>
      </c>
      <c r="U54" s="150"/>
      <c r="V54" s="150"/>
      <c r="W54" s="150"/>
      <c r="X54" s="150"/>
      <c r="Y54" s="150"/>
      <c r="Z54" s="150"/>
      <c r="AA54" s="150"/>
      <c r="AB54" s="150"/>
      <c r="AC54" s="150"/>
      <c r="AD54" s="150"/>
      <c r="AE54" s="177"/>
      <c r="AF54" s="177">
        <v>11598.16</v>
      </c>
      <c r="AG54" s="150"/>
      <c r="AH54" s="178"/>
      <c r="AI54" s="207">
        <v>4</v>
      </c>
      <c r="AJ54" s="46">
        <v>10747</v>
      </c>
      <c r="AK54" s="112" t="s">
        <v>622</v>
      </c>
      <c r="AL54" s="180"/>
      <c r="AM54" s="179" t="s">
        <v>623</v>
      </c>
      <c r="AN54" s="181" t="s">
        <v>624</v>
      </c>
      <c r="AO54" s="181"/>
      <c r="AP54" s="181"/>
      <c r="AQ54" s="181"/>
      <c r="AR54" s="182"/>
      <c r="AS54" s="49"/>
      <c r="AT54" s="172"/>
      <c r="AU54" s="172"/>
      <c r="AV54" s="172"/>
      <c r="AW54" s="172"/>
      <c r="AX54" s="172"/>
      <c r="AY54" s="172"/>
      <c r="AZ54" s="172"/>
      <c r="BA54" s="172"/>
      <c r="BB54" s="172"/>
      <c r="BC54" s="172"/>
      <c r="BD54" s="173"/>
    </row>
    <row r="55" spans="1:56" x14ac:dyDescent="0.25">
      <c r="A55" s="185">
        <v>2</v>
      </c>
      <c r="B55" s="37"/>
      <c r="C55" s="37"/>
      <c r="D55" s="37"/>
      <c r="E55" s="37"/>
      <c r="F55" s="37"/>
      <c r="G55" s="37"/>
      <c r="H55" s="54"/>
      <c r="I55" s="37"/>
      <c r="J55" s="37"/>
      <c r="K55" s="37"/>
      <c r="L55" s="48"/>
      <c r="M55" s="37"/>
      <c r="N55" s="37"/>
      <c r="O55" s="37"/>
      <c r="P55" s="37"/>
      <c r="Q55" s="37"/>
      <c r="R55" s="37"/>
      <c r="S55" s="37"/>
      <c r="T55" s="37"/>
      <c r="U55" s="157">
        <v>1</v>
      </c>
      <c r="V55" s="45">
        <v>41253</v>
      </c>
      <c r="W55" s="46">
        <v>10949</v>
      </c>
      <c r="X55" s="37" t="s">
        <v>597</v>
      </c>
      <c r="Y55" s="45">
        <v>41275</v>
      </c>
      <c r="Z55" s="45">
        <v>41639</v>
      </c>
      <c r="AA55" s="37"/>
      <c r="AB55" s="37"/>
      <c r="AC55" s="37"/>
      <c r="AD55" s="37"/>
      <c r="AE55" s="177"/>
      <c r="AF55" s="184"/>
      <c r="AG55" s="4"/>
      <c r="AH55" s="178"/>
      <c r="AI55" s="179"/>
      <c r="AJ55" s="107"/>
      <c r="AK55" s="107"/>
      <c r="AL55" s="180"/>
      <c r="AM55" s="179"/>
      <c r="AN55" s="181"/>
      <c r="AO55" s="181"/>
      <c r="AP55" s="181"/>
      <c r="AQ55" s="181"/>
      <c r="AR55" s="182"/>
      <c r="AS55" s="49"/>
      <c r="AT55" s="172"/>
      <c r="AU55" s="172"/>
      <c r="AV55" s="172"/>
      <c r="AW55" s="172"/>
      <c r="AX55" s="172"/>
      <c r="AY55" s="172"/>
      <c r="AZ55" s="172"/>
      <c r="BA55" s="172"/>
      <c r="BB55" s="172"/>
      <c r="BC55" s="172"/>
      <c r="BD55" s="173"/>
    </row>
    <row r="56" spans="1:56" x14ac:dyDescent="0.25">
      <c r="A56" s="185">
        <v>3</v>
      </c>
      <c r="B56" s="37"/>
      <c r="C56" s="37"/>
      <c r="D56" s="37"/>
      <c r="E56" s="37"/>
      <c r="F56" s="37"/>
      <c r="G56" s="37"/>
      <c r="H56" s="54"/>
      <c r="I56" s="37"/>
      <c r="J56" s="37"/>
      <c r="K56" s="37"/>
      <c r="L56" s="48"/>
      <c r="M56" s="37"/>
      <c r="N56" s="37"/>
      <c r="O56" s="37"/>
      <c r="P56" s="37"/>
      <c r="Q56" s="37"/>
      <c r="R56" s="37"/>
      <c r="S56" s="37"/>
      <c r="T56" s="37"/>
      <c r="U56" s="37">
        <v>2</v>
      </c>
      <c r="V56" s="45">
        <v>41428</v>
      </c>
      <c r="W56" s="46">
        <v>11066</v>
      </c>
      <c r="X56" s="37" t="s">
        <v>625</v>
      </c>
      <c r="Y56" s="45">
        <v>41428</v>
      </c>
      <c r="Z56" s="45">
        <v>41639</v>
      </c>
      <c r="AA56" s="70">
        <v>8.0493999999999996E-2</v>
      </c>
      <c r="AC56" s="208">
        <v>530.51</v>
      </c>
      <c r="AD56" s="37"/>
      <c r="AE56" s="37"/>
      <c r="AF56" s="184">
        <v>18214.14</v>
      </c>
      <c r="AG56" s="209"/>
      <c r="AH56" s="178"/>
      <c r="AI56" s="179"/>
      <c r="AJ56" s="107"/>
      <c r="AK56" s="107"/>
      <c r="AL56" s="180"/>
      <c r="AM56" s="179"/>
      <c r="AN56" s="181"/>
      <c r="AO56" s="181"/>
      <c r="AP56" s="181"/>
      <c r="AQ56" s="181"/>
      <c r="AR56" s="182"/>
      <c r="AS56" s="49"/>
      <c r="AT56" s="172"/>
      <c r="AU56" s="172"/>
      <c r="AV56" s="172"/>
      <c r="AW56" s="172"/>
      <c r="AX56" s="172"/>
      <c r="AY56" s="172"/>
      <c r="AZ56" s="172"/>
      <c r="BA56" s="172"/>
      <c r="BB56" s="172"/>
      <c r="BC56" s="172"/>
      <c r="BD56" s="173"/>
    </row>
    <row r="57" spans="1:56" x14ac:dyDescent="0.25">
      <c r="A57" s="185">
        <v>4</v>
      </c>
      <c r="B57" s="37"/>
      <c r="C57" s="37"/>
      <c r="D57" s="37"/>
      <c r="E57" s="37"/>
      <c r="F57" s="37"/>
      <c r="G57" s="37"/>
      <c r="H57" s="54"/>
      <c r="I57" s="37"/>
      <c r="J57" s="37"/>
      <c r="K57" s="37"/>
      <c r="L57" s="48"/>
      <c r="M57" s="37"/>
      <c r="N57" s="37"/>
      <c r="O57" s="37"/>
      <c r="P57" s="37"/>
      <c r="Q57" s="37"/>
      <c r="R57" s="37"/>
      <c r="S57" s="37"/>
      <c r="T57" s="37"/>
      <c r="U57" s="37">
        <v>3</v>
      </c>
      <c r="V57" s="45">
        <v>41604</v>
      </c>
      <c r="W57" s="46">
        <v>11189</v>
      </c>
      <c r="X57" s="37" t="s">
        <v>597</v>
      </c>
      <c r="Y57" s="45">
        <v>41640</v>
      </c>
      <c r="Z57" s="45">
        <v>42004</v>
      </c>
      <c r="AA57" s="37"/>
      <c r="AB57" s="37"/>
      <c r="AC57" s="37"/>
      <c r="AD57" s="37"/>
      <c r="AE57" s="177"/>
      <c r="AF57" s="184"/>
      <c r="AG57" s="187">
        <v>18797.64</v>
      </c>
      <c r="AH57" s="178"/>
      <c r="AI57" s="179"/>
      <c r="AJ57" s="107"/>
      <c r="AK57" s="107"/>
      <c r="AL57" s="180"/>
      <c r="AM57" s="179"/>
      <c r="AN57" s="181"/>
      <c r="AO57" s="181"/>
      <c r="AP57" s="181"/>
      <c r="AQ57" s="181"/>
      <c r="AR57" s="182"/>
      <c r="AS57" s="49"/>
      <c r="AT57" s="172"/>
      <c r="AU57" s="172"/>
      <c r="AV57" s="172"/>
      <c r="AW57" s="172"/>
      <c r="AX57" s="172"/>
      <c r="AY57" s="172"/>
      <c r="AZ57" s="172"/>
      <c r="BA57" s="172"/>
      <c r="BB57" s="172"/>
      <c r="BC57" s="172"/>
      <c r="BD57" s="173"/>
    </row>
    <row r="58" spans="1:56" x14ac:dyDescent="0.25">
      <c r="A58" s="186"/>
      <c r="B58" s="37"/>
      <c r="C58" s="37"/>
      <c r="D58" s="37"/>
      <c r="E58" s="37"/>
      <c r="F58" s="37"/>
      <c r="G58" s="37"/>
      <c r="H58" s="54"/>
      <c r="I58" s="37"/>
      <c r="J58" s="37"/>
      <c r="K58" s="37"/>
      <c r="L58" s="48"/>
      <c r="M58" s="37"/>
      <c r="N58" s="37"/>
      <c r="O58" s="37"/>
      <c r="P58" s="37"/>
      <c r="Q58" s="37"/>
      <c r="R58" s="37"/>
      <c r="S58" s="37"/>
      <c r="T58" s="37"/>
      <c r="U58" s="37"/>
      <c r="V58" s="45"/>
      <c r="W58" s="37"/>
      <c r="X58" s="37"/>
      <c r="Y58" s="45"/>
      <c r="Z58" s="45"/>
      <c r="AA58" s="37"/>
      <c r="AB58" s="37"/>
      <c r="AC58" s="37"/>
      <c r="AD58" s="37"/>
      <c r="AE58" s="177"/>
      <c r="AF58" s="184"/>
      <c r="AG58" s="37"/>
      <c r="AH58" s="178"/>
      <c r="AI58" s="179"/>
      <c r="AJ58" s="107"/>
      <c r="AK58" s="107"/>
      <c r="AL58" s="180"/>
      <c r="AM58" s="179"/>
      <c r="AN58" s="181"/>
      <c r="AO58" s="181"/>
      <c r="AP58" s="181"/>
      <c r="AQ58" s="181"/>
      <c r="AR58" s="182"/>
      <c r="AS58" s="49"/>
      <c r="AT58" s="172"/>
      <c r="AU58" s="172"/>
      <c r="AV58" s="172"/>
      <c r="AW58" s="172"/>
      <c r="AX58" s="172"/>
      <c r="AY58" s="172"/>
      <c r="AZ58" s="172"/>
      <c r="BA58" s="172"/>
      <c r="BB58" s="172"/>
      <c r="BC58" s="172"/>
      <c r="BD58" s="173"/>
    </row>
    <row r="59" spans="1:56" x14ac:dyDescent="0.25">
      <c r="A59" s="199"/>
      <c r="B59" s="199"/>
      <c r="C59" s="199"/>
      <c r="D59" s="199"/>
      <c r="E59" s="199"/>
      <c r="F59" s="199"/>
      <c r="G59" s="199"/>
      <c r="H59" s="199"/>
      <c r="I59" s="199"/>
      <c r="J59" s="199"/>
      <c r="K59" s="199"/>
      <c r="L59" s="200"/>
      <c r="M59" s="201"/>
      <c r="N59" s="201"/>
      <c r="O59" s="201"/>
      <c r="P59" s="201"/>
      <c r="Q59" s="201"/>
      <c r="R59" s="201"/>
      <c r="S59" s="201"/>
      <c r="T59" s="201"/>
      <c r="U59" s="201"/>
      <c r="V59" s="201"/>
      <c r="W59" s="201"/>
      <c r="X59" s="201"/>
      <c r="Y59" s="201"/>
      <c r="Z59" s="201"/>
      <c r="AA59" s="201"/>
      <c r="AB59" s="201"/>
      <c r="AC59" s="202"/>
      <c r="AD59" s="202"/>
      <c r="AE59" s="202"/>
      <c r="AF59" s="200"/>
      <c r="AG59" s="200"/>
      <c r="AH59" s="202"/>
      <c r="AI59" s="202"/>
      <c r="AJ59" s="202"/>
      <c r="AK59" s="202"/>
      <c r="AL59" s="202"/>
      <c r="AM59" s="202"/>
      <c r="AN59" s="202"/>
      <c r="AO59" s="202"/>
      <c r="AP59" s="202"/>
      <c r="AQ59" s="202"/>
      <c r="AR59" s="202"/>
      <c r="AS59" s="203"/>
      <c r="AT59" s="204"/>
      <c r="AU59" s="204"/>
      <c r="AV59" s="204"/>
      <c r="AW59" s="204"/>
      <c r="AX59" s="204"/>
      <c r="AY59" s="204"/>
      <c r="AZ59" s="204"/>
      <c r="BA59" s="204"/>
      <c r="BB59" s="204"/>
      <c r="BC59" s="204"/>
      <c r="BD59" s="204"/>
    </row>
    <row r="60" spans="1:56" x14ac:dyDescent="0.25">
      <c r="A60" s="199"/>
      <c r="B60" s="199"/>
      <c r="C60" s="199"/>
      <c r="D60" s="199"/>
      <c r="E60" s="199"/>
      <c r="F60" s="199"/>
      <c r="G60" s="199"/>
      <c r="H60" s="199"/>
      <c r="I60" s="199"/>
      <c r="J60" s="199"/>
      <c r="K60" s="199"/>
      <c r="L60" s="200"/>
      <c r="M60" s="201"/>
      <c r="N60" s="201"/>
      <c r="O60" s="201"/>
      <c r="P60" s="201"/>
      <c r="Q60" s="201"/>
      <c r="R60" s="201"/>
      <c r="S60" s="201"/>
      <c r="T60" s="201"/>
      <c r="U60" s="201"/>
      <c r="V60" s="201"/>
      <c r="W60" s="201"/>
      <c r="X60" s="201"/>
      <c r="Y60" s="201"/>
      <c r="Z60" s="201"/>
      <c r="AA60" s="201"/>
      <c r="AB60" s="201"/>
      <c r="AC60" s="202"/>
      <c r="AD60" s="202"/>
      <c r="AE60" s="202"/>
      <c r="AF60" s="200"/>
      <c r="AG60" s="200"/>
      <c r="AH60" s="202"/>
      <c r="AI60" s="202"/>
      <c r="AJ60" s="202"/>
      <c r="AK60" s="202"/>
      <c r="AL60" s="202"/>
      <c r="AM60" s="202"/>
      <c r="AN60" s="202"/>
      <c r="AO60" s="202"/>
      <c r="AP60" s="202"/>
      <c r="AQ60" s="202"/>
      <c r="AR60" s="202"/>
      <c r="AS60" s="203"/>
      <c r="AT60" s="204"/>
      <c r="AU60" s="204"/>
      <c r="AV60" s="204"/>
      <c r="AW60" s="204"/>
      <c r="AX60" s="204"/>
      <c r="AY60" s="204"/>
      <c r="AZ60" s="204"/>
      <c r="BA60" s="204"/>
      <c r="BB60" s="204"/>
      <c r="BC60" s="204"/>
      <c r="BD60" s="204"/>
    </row>
    <row r="61" spans="1:56" x14ac:dyDescent="0.25">
      <c r="A61" s="199"/>
      <c r="B61" s="199"/>
      <c r="C61" s="199"/>
      <c r="D61" s="199"/>
      <c r="E61" s="199"/>
      <c r="F61" s="199"/>
      <c r="G61" s="199"/>
      <c r="H61" s="199"/>
      <c r="I61" s="199"/>
      <c r="J61" s="199"/>
      <c r="K61" s="199"/>
      <c r="L61" s="200"/>
      <c r="M61" s="201"/>
      <c r="N61" s="201"/>
      <c r="O61" s="201"/>
      <c r="P61" s="201"/>
      <c r="Q61" s="201"/>
      <c r="R61" s="201"/>
      <c r="S61" s="201"/>
      <c r="T61" s="201"/>
      <c r="U61" s="201"/>
      <c r="V61" s="201"/>
      <c r="W61" s="201"/>
      <c r="X61" s="201"/>
      <c r="Y61" s="201"/>
      <c r="Z61" s="201"/>
      <c r="AA61" s="201"/>
      <c r="AB61" s="201"/>
      <c r="AC61" s="202"/>
      <c r="AD61" s="202"/>
      <c r="AE61" s="202"/>
      <c r="AF61" s="200"/>
      <c r="AG61" s="200"/>
      <c r="AH61" s="202"/>
      <c r="AI61" s="202"/>
      <c r="AJ61" s="202"/>
      <c r="AK61" s="202"/>
      <c r="AL61" s="202"/>
      <c r="AM61" s="202"/>
      <c r="AN61" s="202"/>
      <c r="AO61" s="202"/>
      <c r="AP61" s="202"/>
      <c r="AQ61" s="202"/>
      <c r="AR61" s="202"/>
      <c r="AS61" s="203"/>
      <c r="AT61" s="204"/>
      <c r="AU61" s="204"/>
      <c r="AV61" s="204"/>
      <c r="AW61" s="204"/>
      <c r="AX61" s="204"/>
      <c r="AY61" s="204"/>
      <c r="AZ61" s="204"/>
      <c r="BA61" s="204"/>
      <c r="BB61" s="204"/>
      <c r="BC61" s="204"/>
      <c r="BD61" s="204"/>
    </row>
    <row r="62" spans="1:56" ht="15.75" thickBot="1" x14ac:dyDescent="0.3">
      <c r="A62" s="2105" t="s">
        <v>4</v>
      </c>
      <c r="B62" s="2105"/>
      <c r="C62" s="2105"/>
      <c r="D62" s="2105"/>
      <c r="E62" s="2105"/>
      <c r="F62" s="2105"/>
      <c r="G62" s="2105"/>
      <c r="H62" s="2105"/>
      <c r="I62" s="2105"/>
      <c r="J62" s="2105"/>
      <c r="K62" s="2105"/>
      <c r="L62" s="2105"/>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5"/>
      <c r="AK62" s="2105"/>
      <c r="AL62" s="2105"/>
      <c r="AM62" s="2105"/>
      <c r="AN62" s="2105"/>
      <c r="AO62" s="2105"/>
      <c r="AP62" s="2105"/>
      <c r="AQ62" s="2105"/>
      <c r="AR62" s="2105"/>
      <c r="AS62" s="2105"/>
      <c r="AT62" s="2105"/>
      <c r="AU62" s="2105"/>
      <c r="AV62" s="2105"/>
      <c r="AW62" s="2105"/>
      <c r="AX62" s="2105"/>
      <c r="AY62" s="2105"/>
      <c r="AZ62" s="2105"/>
      <c r="BA62" s="2105"/>
      <c r="BB62" s="2105"/>
      <c r="BC62" s="2105"/>
      <c r="BD62" s="2105"/>
    </row>
    <row r="63" spans="1:56" x14ac:dyDescent="0.25">
      <c r="A63" s="2083" t="s">
        <v>5</v>
      </c>
      <c r="B63" s="2086" t="s">
        <v>6</v>
      </c>
      <c r="C63" s="2087"/>
      <c r="D63" s="2087"/>
      <c r="E63" s="2087"/>
      <c r="F63" s="2087"/>
      <c r="G63" s="2088"/>
      <c r="H63" s="2092" t="s">
        <v>7</v>
      </c>
      <c r="I63" s="2093"/>
      <c r="J63" s="2093"/>
      <c r="K63" s="2093"/>
      <c r="L63" s="2093"/>
      <c r="M63" s="2093"/>
      <c r="N63" s="2093"/>
      <c r="O63" s="2093"/>
      <c r="P63" s="2093"/>
      <c r="Q63" s="2093"/>
      <c r="R63" s="2093"/>
      <c r="S63" s="2093"/>
      <c r="T63" s="2093"/>
      <c r="U63" s="2093"/>
      <c r="V63" s="2093"/>
      <c r="W63" s="2093"/>
      <c r="X63" s="2093"/>
      <c r="Y63" s="2093"/>
      <c r="Z63" s="2093"/>
      <c r="AA63" s="2093"/>
      <c r="AB63" s="2093"/>
      <c r="AC63" s="2093"/>
      <c r="AD63" s="2093"/>
      <c r="AE63" s="2093"/>
      <c r="AF63" s="2093"/>
      <c r="AG63" s="2093"/>
      <c r="AH63" s="2093"/>
      <c r="AI63" s="2094" t="s">
        <v>8</v>
      </c>
      <c r="AJ63" s="2095"/>
      <c r="AK63" s="2095"/>
      <c r="AL63" s="2096"/>
      <c r="AM63" s="2092" t="s">
        <v>9</v>
      </c>
      <c r="AN63" s="2093"/>
      <c r="AO63" s="2093"/>
      <c r="AP63" s="2093"/>
      <c r="AQ63" s="2093"/>
      <c r="AR63" s="2097"/>
      <c r="AS63" s="2098" t="s">
        <v>10</v>
      </c>
      <c r="AT63" s="2099"/>
      <c r="AU63" s="2099"/>
      <c r="AV63" s="2099"/>
      <c r="AW63" s="2099"/>
      <c r="AX63" s="2099"/>
      <c r="AY63" s="2099"/>
      <c r="AZ63" s="2099"/>
      <c r="BA63" s="2099"/>
      <c r="BB63" s="2099"/>
      <c r="BC63" s="2099"/>
      <c r="BD63" s="2100"/>
    </row>
    <row r="64" spans="1:56" x14ac:dyDescent="0.25">
      <c r="A64" s="2084"/>
      <c r="B64" s="2089"/>
      <c r="C64" s="2090"/>
      <c r="D64" s="2090"/>
      <c r="E64" s="2090"/>
      <c r="F64" s="2090"/>
      <c r="G64" s="2091"/>
      <c r="H64" s="2101" t="s">
        <v>11</v>
      </c>
      <c r="I64" s="2102"/>
      <c r="J64" s="2102"/>
      <c r="K64" s="2102"/>
      <c r="L64" s="2102"/>
      <c r="M64" s="2102"/>
      <c r="N64" s="2102"/>
      <c r="O64" s="2102"/>
      <c r="P64" s="2102"/>
      <c r="Q64" s="2102"/>
      <c r="R64" s="2102"/>
      <c r="S64" s="2102"/>
      <c r="T64" s="2069"/>
      <c r="U64" s="2103" t="s">
        <v>12</v>
      </c>
      <c r="V64" s="2102"/>
      <c r="W64" s="2102"/>
      <c r="X64" s="2102"/>
      <c r="Y64" s="2102"/>
      <c r="Z64" s="2102"/>
      <c r="AA64" s="2102"/>
      <c r="AB64" s="2102"/>
      <c r="AC64" s="2102"/>
      <c r="AD64" s="2069"/>
      <c r="AE64" s="2103" t="s">
        <v>13</v>
      </c>
      <c r="AF64" s="2102"/>
      <c r="AG64" s="2102"/>
      <c r="AH64" s="2102"/>
      <c r="AI64" s="1977" t="s">
        <v>14</v>
      </c>
      <c r="AJ64" s="1967" t="s">
        <v>15</v>
      </c>
      <c r="AK64" s="1967" t="s">
        <v>16</v>
      </c>
      <c r="AL64" s="1983" t="s">
        <v>581</v>
      </c>
      <c r="AM64" s="2009" t="s">
        <v>18</v>
      </c>
      <c r="AN64" s="1985" t="s">
        <v>19</v>
      </c>
      <c r="AO64" s="1985" t="s">
        <v>20</v>
      </c>
      <c r="AP64" s="1985" t="s">
        <v>21</v>
      </c>
      <c r="AQ64" s="1985" t="s">
        <v>22</v>
      </c>
      <c r="AR64" s="1987" t="s">
        <v>21</v>
      </c>
      <c r="AS64" s="2080" t="s">
        <v>23</v>
      </c>
      <c r="AT64" s="2081" t="s">
        <v>24</v>
      </c>
      <c r="AU64" s="2082" t="s">
        <v>25</v>
      </c>
      <c r="AV64" s="2082"/>
      <c r="AW64" s="2082"/>
      <c r="AX64" s="2082" t="s">
        <v>26</v>
      </c>
      <c r="AY64" s="2082"/>
      <c r="AZ64" s="2081" t="s">
        <v>27</v>
      </c>
      <c r="BA64" s="1967" t="s">
        <v>28</v>
      </c>
      <c r="BB64" s="2082" t="s">
        <v>29</v>
      </c>
      <c r="BC64" s="2082"/>
      <c r="BD64" s="2104"/>
    </row>
    <row r="65" spans="1:56" ht="57" customHeight="1" x14ac:dyDescent="0.25">
      <c r="A65" s="2084"/>
      <c r="B65" s="44" t="s">
        <v>30</v>
      </c>
      <c r="C65" s="37" t="s">
        <v>31</v>
      </c>
      <c r="D65" s="37" t="s">
        <v>32</v>
      </c>
      <c r="E65" s="37" t="s">
        <v>23</v>
      </c>
      <c r="F65" s="37" t="s">
        <v>33</v>
      </c>
      <c r="G65" s="47" t="s">
        <v>34</v>
      </c>
      <c r="H65" s="73" t="s">
        <v>35</v>
      </c>
      <c r="I65" s="37" t="s">
        <v>36</v>
      </c>
      <c r="J65" s="37" t="s">
        <v>37</v>
      </c>
      <c r="K65" s="37" t="s">
        <v>38</v>
      </c>
      <c r="L65" s="37" t="s">
        <v>39</v>
      </c>
      <c r="M65" s="37" t="s">
        <v>40</v>
      </c>
      <c r="N65" s="37" t="s">
        <v>41</v>
      </c>
      <c r="O65" s="37" t="s">
        <v>42</v>
      </c>
      <c r="P65" s="37" t="s">
        <v>43</v>
      </c>
      <c r="Q65" s="37" t="s">
        <v>44</v>
      </c>
      <c r="R65" s="37" t="s">
        <v>45</v>
      </c>
      <c r="S65" s="37" t="s">
        <v>46</v>
      </c>
      <c r="T65" s="37" t="s">
        <v>47</v>
      </c>
      <c r="U65" s="37" t="s">
        <v>48</v>
      </c>
      <c r="V65" s="37" t="s">
        <v>38</v>
      </c>
      <c r="W65" s="37" t="s">
        <v>40</v>
      </c>
      <c r="X65" s="37" t="s">
        <v>49</v>
      </c>
      <c r="Y65" s="37" t="s">
        <v>41</v>
      </c>
      <c r="Z65" s="37" t="s">
        <v>42</v>
      </c>
      <c r="AA65" s="37" t="s">
        <v>50</v>
      </c>
      <c r="AB65" s="37" t="s">
        <v>51</v>
      </c>
      <c r="AC65" s="37" t="s">
        <v>52</v>
      </c>
      <c r="AD65" s="37" t="s">
        <v>53</v>
      </c>
      <c r="AE65" s="37" t="s">
        <v>54</v>
      </c>
      <c r="AF65" s="37" t="s">
        <v>55</v>
      </c>
      <c r="AG65" s="37" t="s">
        <v>56</v>
      </c>
      <c r="AH65" s="74" t="s">
        <v>57</v>
      </c>
      <c r="AI65" s="1977"/>
      <c r="AJ65" s="1967"/>
      <c r="AK65" s="1967"/>
      <c r="AL65" s="1983"/>
      <c r="AM65" s="2010"/>
      <c r="AN65" s="1986"/>
      <c r="AO65" s="1986"/>
      <c r="AP65" s="1986"/>
      <c r="AQ65" s="1986"/>
      <c r="AR65" s="1988"/>
      <c r="AS65" s="2080"/>
      <c r="AT65" s="2081"/>
      <c r="AU65" s="165" t="s">
        <v>58</v>
      </c>
      <c r="AV65" s="165" t="s">
        <v>59</v>
      </c>
      <c r="AW65" s="165" t="s">
        <v>60</v>
      </c>
      <c r="AX65" s="165" t="s">
        <v>61</v>
      </c>
      <c r="AY65" s="166" t="s">
        <v>62</v>
      </c>
      <c r="AZ65" s="2081"/>
      <c r="BA65" s="1967"/>
      <c r="BB65" s="165" t="s">
        <v>58</v>
      </c>
      <c r="BC65" s="165" t="s">
        <v>63</v>
      </c>
      <c r="BD65" s="167" t="s">
        <v>64</v>
      </c>
    </row>
    <row r="66" spans="1:56" ht="39" thickBot="1" x14ac:dyDescent="0.3">
      <c r="A66" s="2085"/>
      <c r="B66" s="120" t="s">
        <v>65</v>
      </c>
      <c r="C66" s="121" t="s">
        <v>66</v>
      </c>
      <c r="D66" s="122" t="s">
        <v>67</v>
      </c>
      <c r="E66" s="121" t="s">
        <v>68</v>
      </c>
      <c r="F66" s="121" t="s">
        <v>69</v>
      </c>
      <c r="G66" s="129" t="s">
        <v>70</v>
      </c>
      <c r="H66" s="168" t="s">
        <v>71</v>
      </c>
      <c r="I66" s="121" t="s">
        <v>72</v>
      </c>
      <c r="J66" s="121" t="s">
        <v>73</v>
      </c>
      <c r="K66" s="121" t="s">
        <v>74</v>
      </c>
      <c r="L66" s="127" t="s">
        <v>75</v>
      </c>
      <c r="M66" s="121" t="s">
        <v>76</v>
      </c>
      <c r="N66" s="121" t="s">
        <v>77</v>
      </c>
      <c r="O66" s="121" t="s">
        <v>78</v>
      </c>
      <c r="P66" s="121" t="s">
        <v>79</v>
      </c>
      <c r="Q66" s="121" t="s">
        <v>80</v>
      </c>
      <c r="R66" s="121" t="s">
        <v>81</v>
      </c>
      <c r="S66" s="121" t="s">
        <v>82</v>
      </c>
      <c r="T66" s="121" t="s">
        <v>83</v>
      </c>
      <c r="U66" s="121" t="s">
        <v>84</v>
      </c>
      <c r="V66" s="121" t="s">
        <v>85</v>
      </c>
      <c r="W66" s="121" t="s">
        <v>86</v>
      </c>
      <c r="X66" s="121" t="s">
        <v>87</v>
      </c>
      <c r="Y66" s="121" t="s">
        <v>88</v>
      </c>
      <c r="Z66" s="121" t="s">
        <v>89</v>
      </c>
      <c r="AA66" s="121" t="s">
        <v>90</v>
      </c>
      <c r="AB66" s="121" t="s">
        <v>91</v>
      </c>
      <c r="AC66" s="121" t="s">
        <v>92</v>
      </c>
      <c r="AD66" s="121" t="s">
        <v>93</v>
      </c>
      <c r="AE66" s="121" t="s">
        <v>94</v>
      </c>
      <c r="AF66" s="121" t="s">
        <v>95</v>
      </c>
      <c r="AG66" s="169" t="s">
        <v>96</v>
      </c>
      <c r="AH66" s="88" t="s">
        <v>97</v>
      </c>
      <c r="AI66" s="44" t="s">
        <v>98</v>
      </c>
      <c r="AJ66" s="49" t="s">
        <v>99</v>
      </c>
      <c r="AK66" s="49" t="s">
        <v>100</v>
      </c>
      <c r="AL66" s="170" t="s">
        <v>101</v>
      </c>
      <c r="AM66" s="171" t="s">
        <v>102</v>
      </c>
      <c r="AN66" s="172" t="s">
        <v>103</v>
      </c>
      <c r="AO66" s="172" t="s">
        <v>104</v>
      </c>
      <c r="AP66" s="172" t="s">
        <v>105</v>
      </c>
      <c r="AQ66" s="172" t="s">
        <v>106</v>
      </c>
      <c r="AR66" s="173" t="s">
        <v>107</v>
      </c>
      <c r="AS66" s="174" t="s">
        <v>108</v>
      </c>
      <c r="AT66" s="172" t="s">
        <v>109</v>
      </c>
      <c r="AU66" s="172" t="s">
        <v>110</v>
      </c>
      <c r="AV66" s="172" t="s">
        <v>111</v>
      </c>
      <c r="AW66" s="173" t="s">
        <v>112</v>
      </c>
      <c r="AX66" s="173" t="s">
        <v>113</v>
      </c>
      <c r="AY66" s="173" t="s">
        <v>114</v>
      </c>
      <c r="AZ66" s="172" t="s">
        <v>115</v>
      </c>
      <c r="BA66" s="172" t="s">
        <v>116</v>
      </c>
      <c r="BB66" s="172" t="s">
        <v>117</v>
      </c>
      <c r="BC66" s="173" t="s">
        <v>118</v>
      </c>
      <c r="BD66" s="173" t="s">
        <v>119</v>
      </c>
    </row>
    <row r="67" spans="1:56" ht="53.25" customHeight="1" x14ac:dyDescent="0.25">
      <c r="A67" s="205">
        <v>1</v>
      </c>
      <c r="B67" s="150" t="s">
        <v>626</v>
      </c>
      <c r="C67" s="150">
        <v>24</v>
      </c>
      <c r="D67" s="150" t="s">
        <v>615</v>
      </c>
      <c r="E67" s="150" t="s">
        <v>616</v>
      </c>
      <c r="F67" s="149" t="s">
        <v>627</v>
      </c>
      <c r="G67" s="210" t="s">
        <v>586</v>
      </c>
      <c r="H67" s="159" t="s">
        <v>628</v>
      </c>
      <c r="I67" s="176" t="s">
        <v>629</v>
      </c>
      <c r="J67" s="37" t="s">
        <v>630</v>
      </c>
      <c r="K67" s="151" t="s">
        <v>631</v>
      </c>
      <c r="L67" s="160">
        <v>7980</v>
      </c>
      <c r="M67" s="150" t="s">
        <v>632</v>
      </c>
      <c r="N67" s="151">
        <v>40798</v>
      </c>
      <c r="O67" s="151">
        <v>40908</v>
      </c>
      <c r="P67" s="150" t="s">
        <v>591</v>
      </c>
      <c r="Q67" s="150">
        <v>0</v>
      </c>
      <c r="R67" s="150">
        <v>0</v>
      </c>
      <c r="S67" s="150">
        <v>0</v>
      </c>
      <c r="T67" s="150">
        <v>33903900</v>
      </c>
      <c r="U67" s="150"/>
      <c r="V67" s="150"/>
      <c r="W67" s="150"/>
      <c r="X67" s="150"/>
      <c r="Y67" s="150"/>
      <c r="Z67" s="150"/>
      <c r="AA67" s="150"/>
      <c r="AB67" s="150"/>
      <c r="AC67" s="150"/>
      <c r="AD67" s="150"/>
      <c r="AE67" s="177"/>
      <c r="AF67" s="177">
        <v>1995</v>
      </c>
      <c r="AG67" s="150"/>
      <c r="AH67" s="178"/>
      <c r="AI67" s="207" t="s">
        <v>633</v>
      </c>
      <c r="AJ67" s="46">
        <v>10601</v>
      </c>
      <c r="AK67" s="112" t="s">
        <v>622</v>
      </c>
      <c r="AL67" s="180"/>
      <c r="AM67" s="179" t="s">
        <v>623</v>
      </c>
      <c r="AN67" s="181" t="s">
        <v>624</v>
      </c>
      <c r="AO67" s="181"/>
      <c r="AP67" s="181"/>
      <c r="AQ67" s="181"/>
      <c r="AR67" s="182"/>
      <c r="AS67" s="49"/>
      <c r="AT67" s="172"/>
      <c r="AU67" s="172"/>
      <c r="AV67" s="172"/>
      <c r="AW67" s="172"/>
      <c r="AX67" s="172"/>
      <c r="AY67" s="172"/>
      <c r="AZ67" s="172"/>
      <c r="BA67" s="172"/>
      <c r="BB67" s="172"/>
      <c r="BC67" s="172"/>
      <c r="BD67" s="173"/>
    </row>
    <row r="68" spans="1:56" x14ac:dyDescent="0.25">
      <c r="A68" s="185">
        <v>2</v>
      </c>
      <c r="B68" s="37"/>
      <c r="C68" s="37"/>
      <c r="D68" s="37"/>
      <c r="E68" s="37"/>
      <c r="F68" s="37"/>
      <c r="G68" s="37"/>
      <c r="H68" s="54"/>
      <c r="I68" s="37"/>
      <c r="J68" s="37"/>
      <c r="K68" s="37"/>
      <c r="L68" s="48"/>
      <c r="M68" s="37"/>
      <c r="N68" s="37"/>
      <c r="O68" s="37"/>
      <c r="P68" s="37"/>
      <c r="Q68" s="37"/>
      <c r="R68" s="37"/>
      <c r="S68" s="37"/>
      <c r="T68" s="37"/>
      <c r="U68" s="157">
        <v>1</v>
      </c>
      <c r="V68" s="45">
        <v>40909</v>
      </c>
      <c r="W68" s="46">
        <v>10949</v>
      </c>
      <c r="X68" s="37" t="s">
        <v>597</v>
      </c>
      <c r="Y68" s="45">
        <v>41153</v>
      </c>
      <c r="Z68" s="45">
        <v>41274</v>
      </c>
      <c r="AA68" s="37"/>
      <c r="AB68" s="37"/>
      <c r="AC68" s="37"/>
      <c r="AD68" s="37"/>
      <c r="AE68" s="177"/>
      <c r="AF68" s="184">
        <v>7365</v>
      </c>
      <c r="AG68" s="4"/>
      <c r="AH68" s="178"/>
      <c r="AI68" s="179"/>
      <c r="AJ68" s="107"/>
      <c r="AK68" s="107"/>
      <c r="AL68" s="180"/>
      <c r="AM68" s="179"/>
      <c r="AN68" s="181"/>
      <c r="AO68" s="181"/>
      <c r="AP68" s="181"/>
      <c r="AQ68" s="181"/>
      <c r="AR68" s="182"/>
      <c r="AS68" s="49"/>
      <c r="AT68" s="172"/>
      <c r="AU68" s="172"/>
      <c r="AV68" s="172"/>
      <c r="AW68" s="172"/>
      <c r="AX68" s="172"/>
      <c r="AY68" s="172"/>
      <c r="AZ68" s="172"/>
      <c r="BA68" s="172"/>
      <c r="BB68" s="172"/>
      <c r="BC68" s="172"/>
      <c r="BD68" s="173"/>
    </row>
    <row r="69" spans="1:56" x14ac:dyDescent="0.25">
      <c r="A69" s="185">
        <v>3</v>
      </c>
      <c r="B69" s="37"/>
      <c r="C69" s="37"/>
      <c r="D69" s="37"/>
      <c r="E69" s="37"/>
      <c r="F69" s="37"/>
      <c r="G69" s="37"/>
      <c r="H69" s="54"/>
      <c r="I69" s="37"/>
      <c r="J69" s="37"/>
      <c r="K69" s="37"/>
      <c r="L69" s="48"/>
      <c r="M69" s="37"/>
      <c r="N69" s="37"/>
      <c r="O69" s="37"/>
      <c r="P69" s="37"/>
      <c r="Q69" s="37"/>
      <c r="R69" s="37"/>
      <c r="S69" s="37"/>
      <c r="T69" s="37"/>
      <c r="U69" s="37">
        <v>2</v>
      </c>
      <c r="V69" s="45">
        <v>41275</v>
      </c>
      <c r="W69" s="46">
        <v>10658</v>
      </c>
      <c r="X69" s="37" t="s">
        <v>597</v>
      </c>
      <c r="Y69" s="45">
        <v>41275</v>
      </c>
      <c r="Z69" s="45">
        <v>41639</v>
      </c>
      <c r="AA69" s="70"/>
      <c r="AC69" s="208"/>
      <c r="AD69" s="37"/>
      <c r="AE69" s="37"/>
      <c r="AF69" s="184">
        <v>6032.5</v>
      </c>
      <c r="AG69" s="209"/>
      <c r="AH69" s="178"/>
      <c r="AI69" s="179"/>
      <c r="AJ69" s="107"/>
      <c r="AK69" s="107"/>
      <c r="AL69" s="180"/>
      <c r="AM69" s="179"/>
      <c r="AN69" s="181"/>
      <c r="AO69" s="181"/>
      <c r="AP69" s="181"/>
      <c r="AQ69" s="181"/>
      <c r="AR69" s="182"/>
      <c r="AS69" s="49"/>
      <c r="AT69" s="172"/>
      <c r="AU69" s="172"/>
      <c r="AV69" s="172"/>
      <c r="AW69" s="172"/>
      <c r="AX69" s="172"/>
      <c r="AY69" s="172"/>
      <c r="AZ69" s="172"/>
      <c r="BA69" s="172"/>
      <c r="BB69" s="172"/>
      <c r="BC69" s="172"/>
      <c r="BD69" s="173"/>
    </row>
    <row r="70" spans="1:56" x14ac:dyDescent="0.25">
      <c r="A70" s="185">
        <v>4</v>
      </c>
      <c r="B70" s="37"/>
      <c r="C70" s="37"/>
      <c r="D70" s="37"/>
      <c r="E70" s="37"/>
      <c r="F70" s="37"/>
      <c r="G70" s="37"/>
      <c r="H70" s="54"/>
      <c r="I70" s="37"/>
      <c r="J70" s="37"/>
      <c r="K70" s="37"/>
      <c r="L70" s="48"/>
      <c r="M70" s="37"/>
      <c r="N70" s="37"/>
      <c r="O70" s="37"/>
      <c r="P70" s="37"/>
      <c r="Q70" s="37"/>
      <c r="R70" s="37"/>
      <c r="S70" s="37"/>
      <c r="T70" s="37"/>
      <c r="U70" s="37">
        <v>3</v>
      </c>
      <c r="V70" s="45">
        <v>41589</v>
      </c>
      <c r="W70" s="46">
        <v>11202</v>
      </c>
      <c r="X70" s="37" t="s">
        <v>634</v>
      </c>
      <c r="Y70" s="45">
        <v>41640</v>
      </c>
      <c r="Z70" s="45">
        <v>42004</v>
      </c>
      <c r="AA70" s="70">
        <v>0.11700000000000001</v>
      </c>
      <c r="AB70" s="37"/>
      <c r="AC70" s="37">
        <v>78.08</v>
      </c>
      <c r="AD70" s="37"/>
      <c r="AE70" s="177"/>
      <c r="AF70" s="184"/>
      <c r="AG70" s="187">
        <v>7071.96</v>
      </c>
      <c r="AH70" s="178"/>
      <c r="AI70" s="179"/>
      <c r="AJ70" s="107"/>
      <c r="AK70" s="107"/>
      <c r="AL70" s="180"/>
      <c r="AM70" s="179"/>
      <c r="AN70" s="181"/>
      <c r="AO70" s="181"/>
      <c r="AP70" s="181"/>
      <c r="AQ70" s="181"/>
      <c r="AR70" s="182"/>
      <c r="AS70" s="49"/>
      <c r="AT70" s="172"/>
      <c r="AU70" s="172"/>
      <c r="AV70" s="172"/>
      <c r="AW70" s="172"/>
      <c r="AX70" s="172"/>
      <c r="AY70" s="172"/>
      <c r="AZ70" s="172"/>
      <c r="BA70" s="172"/>
      <c r="BB70" s="172"/>
      <c r="BC70" s="172"/>
      <c r="BD70" s="173"/>
    </row>
    <row r="71" spans="1:56" x14ac:dyDescent="0.25">
      <c r="A71" s="186"/>
      <c r="B71" s="37"/>
      <c r="C71" s="37"/>
      <c r="D71" s="37"/>
      <c r="E71" s="37"/>
      <c r="F71" s="37"/>
      <c r="G71" s="37"/>
      <c r="H71" s="54"/>
      <c r="I71" s="37"/>
      <c r="J71" s="37"/>
      <c r="K71" s="37"/>
      <c r="L71" s="48"/>
      <c r="M71" s="37"/>
      <c r="N71" s="37"/>
      <c r="O71" s="37"/>
      <c r="P71" s="37"/>
      <c r="Q71" s="37"/>
      <c r="R71" s="37"/>
      <c r="S71" s="37"/>
      <c r="T71" s="37"/>
      <c r="U71" s="37"/>
      <c r="V71" s="45"/>
      <c r="W71" s="37"/>
      <c r="X71" s="37"/>
      <c r="Y71" s="45"/>
      <c r="Z71" s="45"/>
      <c r="AA71" s="37"/>
      <c r="AB71" s="37"/>
      <c r="AC71" s="37"/>
      <c r="AD71" s="37"/>
      <c r="AE71" s="177"/>
      <c r="AF71" s="184"/>
      <c r="AG71" s="37"/>
      <c r="AH71" s="178"/>
      <c r="AI71" s="179"/>
      <c r="AJ71" s="107"/>
      <c r="AK71" s="107"/>
      <c r="AL71" s="180"/>
      <c r="AM71" s="179"/>
      <c r="AN71" s="181"/>
      <c r="AO71" s="181"/>
      <c r="AP71" s="181"/>
      <c r="AQ71" s="181"/>
      <c r="AR71" s="182"/>
      <c r="AS71" s="49"/>
      <c r="AT71" s="172"/>
      <c r="AU71" s="172"/>
      <c r="AV71" s="172"/>
      <c r="AW71" s="172"/>
      <c r="AX71" s="172"/>
      <c r="AY71" s="172"/>
      <c r="AZ71" s="172"/>
      <c r="BA71" s="172"/>
      <c r="BB71" s="172"/>
      <c r="BC71" s="172"/>
      <c r="BD71" s="173"/>
    </row>
    <row r="72" spans="1:56" x14ac:dyDescent="0.25">
      <c r="A72" s="199"/>
      <c r="B72" s="199"/>
      <c r="C72" s="199"/>
      <c r="D72" s="199"/>
      <c r="E72" s="199"/>
      <c r="F72" s="199"/>
      <c r="G72" s="199"/>
      <c r="H72" s="199"/>
      <c r="I72" s="199"/>
      <c r="J72" s="199"/>
      <c r="K72" s="199"/>
      <c r="L72" s="200"/>
      <c r="M72" s="201"/>
      <c r="N72" s="201"/>
      <c r="O72" s="201"/>
      <c r="P72" s="201"/>
      <c r="Q72" s="201"/>
      <c r="R72" s="201"/>
      <c r="S72" s="201"/>
      <c r="T72" s="201"/>
      <c r="U72" s="201"/>
      <c r="V72" s="201"/>
      <c r="W72" s="201"/>
      <c r="X72" s="201"/>
      <c r="Y72" s="201"/>
      <c r="Z72" s="201"/>
      <c r="AA72" s="201"/>
      <c r="AB72" s="201"/>
      <c r="AC72" s="202"/>
      <c r="AD72" s="202"/>
      <c r="AE72" s="202"/>
      <c r="AF72" s="200"/>
      <c r="AG72" s="200"/>
      <c r="AH72" s="202"/>
      <c r="AI72" s="202"/>
      <c r="AJ72" s="202"/>
      <c r="AK72" s="202"/>
      <c r="AL72" s="202"/>
      <c r="AM72" s="202"/>
      <c r="AN72" s="202"/>
      <c r="AO72" s="202"/>
      <c r="AP72" s="202"/>
      <c r="AQ72" s="202"/>
      <c r="AR72" s="202"/>
      <c r="AS72" s="203"/>
      <c r="AT72" s="204"/>
      <c r="AU72" s="204"/>
      <c r="AV72" s="204"/>
      <c r="AW72" s="204"/>
      <c r="AX72" s="204"/>
      <c r="AY72" s="204"/>
      <c r="AZ72" s="204"/>
      <c r="BA72" s="204"/>
      <c r="BB72" s="204"/>
      <c r="BC72" s="204"/>
      <c r="BD72" s="204"/>
    </row>
    <row r="73" spans="1:56" x14ac:dyDescent="0.25">
      <c r="A73" s="199"/>
      <c r="B73" s="199"/>
      <c r="C73" s="199"/>
      <c r="D73" s="199"/>
      <c r="E73" s="199"/>
      <c r="F73" s="199"/>
      <c r="G73" s="199"/>
      <c r="H73" s="199"/>
      <c r="I73" s="199"/>
      <c r="J73" s="199"/>
      <c r="K73" s="199"/>
      <c r="L73" s="200"/>
      <c r="M73" s="201"/>
      <c r="N73" s="201"/>
      <c r="O73" s="201"/>
      <c r="P73" s="201"/>
      <c r="Q73" s="201"/>
      <c r="R73" s="201"/>
      <c r="S73" s="201"/>
      <c r="T73" s="201"/>
      <c r="U73" s="201"/>
      <c r="V73" s="201"/>
      <c r="W73" s="201"/>
      <c r="X73" s="201"/>
      <c r="Y73" s="201"/>
      <c r="Z73" s="201"/>
      <c r="AA73" s="201"/>
      <c r="AB73" s="201"/>
      <c r="AC73" s="202"/>
      <c r="AD73" s="202"/>
      <c r="AE73" s="202"/>
      <c r="AF73" s="200"/>
      <c r="AG73" s="200"/>
      <c r="AH73" s="202"/>
      <c r="AI73" s="202"/>
      <c r="AJ73" s="202"/>
      <c r="AK73" s="202"/>
      <c r="AL73" s="202"/>
      <c r="AM73" s="202"/>
      <c r="AN73" s="202"/>
      <c r="AO73" s="202"/>
      <c r="AP73" s="202"/>
      <c r="AQ73" s="202"/>
      <c r="AR73" s="202"/>
      <c r="AS73" s="203"/>
      <c r="AT73" s="204"/>
      <c r="AU73" s="204"/>
      <c r="AV73" s="204"/>
      <c r="AW73" s="204"/>
      <c r="AX73" s="204"/>
      <c r="AY73" s="204"/>
      <c r="AZ73" s="204"/>
      <c r="BA73" s="204"/>
      <c r="BB73" s="204"/>
      <c r="BC73" s="204"/>
      <c r="BD73" s="204"/>
    </row>
    <row r="74" spans="1:56" x14ac:dyDescent="0.25">
      <c r="A74" s="199"/>
      <c r="B74" s="199"/>
      <c r="C74" s="199"/>
      <c r="D74" s="199"/>
      <c r="E74" s="199"/>
      <c r="F74" s="199"/>
      <c r="G74" s="199"/>
      <c r="H74" s="199"/>
      <c r="I74" s="199"/>
      <c r="J74" s="199"/>
      <c r="K74" s="199"/>
      <c r="L74" s="200"/>
      <c r="M74" s="201"/>
      <c r="N74" s="201"/>
      <c r="O74" s="201"/>
      <c r="P74" s="201"/>
      <c r="Q74" s="201"/>
      <c r="R74" s="201"/>
      <c r="S74" s="201"/>
      <c r="T74" s="201"/>
      <c r="U74" s="201"/>
      <c r="V74" s="201"/>
      <c r="W74" s="201"/>
      <c r="X74" s="201"/>
      <c r="Y74" s="201"/>
      <c r="Z74" s="201"/>
      <c r="AA74" s="201"/>
      <c r="AB74" s="201"/>
      <c r="AC74" s="202"/>
      <c r="AD74" s="202"/>
      <c r="AE74" s="202"/>
      <c r="AF74" s="200"/>
      <c r="AG74" s="200"/>
      <c r="AH74" s="202"/>
      <c r="AI74" s="202"/>
      <c r="AJ74" s="202"/>
      <c r="AK74" s="202"/>
      <c r="AL74" s="202"/>
      <c r="AM74" s="202"/>
      <c r="AN74" s="202"/>
      <c r="AO74" s="202"/>
      <c r="AP74" s="202"/>
      <c r="AQ74" s="202"/>
      <c r="AR74" s="202"/>
      <c r="AS74" s="203"/>
      <c r="AT74" s="204"/>
      <c r="AU74" s="204"/>
      <c r="AV74" s="204"/>
      <c r="AW74" s="204"/>
      <c r="AX74" s="204"/>
      <c r="AY74" s="204"/>
      <c r="AZ74" s="204"/>
      <c r="BA74" s="204"/>
      <c r="BB74" s="204"/>
      <c r="BC74" s="204"/>
      <c r="BD74" s="204"/>
    </row>
    <row r="75" spans="1:56" ht="15.75" thickBot="1" x14ac:dyDescent="0.3">
      <c r="A75" s="2105" t="s">
        <v>4</v>
      </c>
      <c r="B75" s="2105"/>
      <c r="C75" s="2105"/>
      <c r="D75" s="2105"/>
      <c r="E75" s="2105"/>
      <c r="F75" s="2105"/>
      <c r="G75" s="2105"/>
      <c r="H75" s="2105"/>
      <c r="I75" s="2105"/>
      <c r="J75" s="2105"/>
      <c r="K75" s="2105"/>
      <c r="L75" s="2105"/>
      <c r="M75" s="2105"/>
      <c r="N75" s="2105"/>
      <c r="O75" s="2105"/>
      <c r="P75" s="2105"/>
      <c r="Q75" s="2105"/>
      <c r="R75" s="2105"/>
      <c r="S75" s="2105"/>
      <c r="T75" s="2105"/>
      <c r="U75" s="2105"/>
      <c r="V75" s="2105"/>
      <c r="W75" s="2105"/>
      <c r="X75" s="2105"/>
      <c r="Y75" s="2105"/>
      <c r="Z75" s="2105"/>
      <c r="AA75" s="2105"/>
      <c r="AB75" s="2105"/>
      <c r="AC75" s="2105"/>
      <c r="AD75" s="2105"/>
      <c r="AE75" s="2105"/>
      <c r="AF75" s="2105"/>
      <c r="AG75" s="2105"/>
      <c r="AH75" s="2105"/>
      <c r="AI75" s="2105"/>
      <c r="AJ75" s="2105"/>
      <c r="AK75" s="2105"/>
      <c r="AL75" s="2105"/>
      <c r="AM75" s="2105"/>
      <c r="AN75" s="2105"/>
      <c r="AO75" s="2105"/>
      <c r="AP75" s="2105"/>
      <c r="AQ75" s="2105"/>
      <c r="AR75" s="2105"/>
      <c r="AS75" s="2105"/>
      <c r="AT75" s="2105"/>
      <c r="AU75" s="2105"/>
      <c r="AV75" s="2105"/>
      <c r="AW75" s="2105"/>
      <c r="AX75" s="2105"/>
      <c r="AY75" s="2105"/>
      <c r="AZ75" s="2105"/>
      <c r="BA75" s="2105"/>
      <c r="BB75" s="2105"/>
      <c r="BC75" s="2105"/>
      <c r="BD75" s="2105"/>
    </row>
    <row r="76" spans="1:56" x14ac:dyDescent="0.25">
      <c r="A76" s="2083" t="s">
        <v>5</v>
      </c>
      <c r="B76" s="2086" t="s">
        <v>6</v>
      </c>
      <c r="C76" s="2087"/>
      <c r="D76" s="2087"/>
      <c r="E76" s="2087"/>
      <c r="F76" s="2087"/>
      <c r="G76" s="2088"/>
      <c r="H76" s="2092" t="s">
        <v>7</v>
      </c>
      <c r="I76" s="2093"/>
      <c r="J76" s="2093"/>
      <c r="K76" s="2093"/>
      <c r="L76" s="2093"/>
      <c r="M76" s="2093"/>
      <c r="N76" s="2093"/>
      <c r="O76" s="2093"/>
      <c r="P76" s="2093"/>
      <c r="Q76" s="2093"/>
      <c r="R76" s="2093"/>
      <c r="S76" s="2093"/>
      <c r="T76" s="2093"/>
      <c r="U76" s="2093"/>
      <c r="V76" s="2093"/>
      <c r="W76" s="2093"/>
      <c r="X76" s="2093"/>
      <c r="Y76" s="2093"/>
      <c r="Z76" s="2093"/>
      <c r="AA76" s="2093"/>
      <c r="AB76" s="2093"/>
      <c r="AC76" s="2093"/>
      <c r="AD76" s="2093"/>
      <c r="AE76" s="2093"/>
      <c r="AF76" s="2093"/>
      <c r="AG76" s="2093"/>
      <c r="AH76" s="2093"/>
      <c r="AI76" s="2094" t="s">
        <v>8</v>
      </c>
      <c r="AJ76" s="2095"/>
      <c r="AK76" s="2095"/>
      <c r="AL76" s="2096"/>
      <c r="AM76" s="2092" t="s">
        <v>9</v>
      </c>
      <c r="AN76" s="2093"/>
      <c r="AO76" s="2093"/>
      <c r="AP76" s="2093"/>
      <c r="AQ76" s="2093"/>
      <c r="AR76" s="2097"/>
      <c r="AS76" s="2098" t="s">
        <v>10</v>
      </c>
      <c r="AT76" s="2099"/>
      <c r="AU76" s="2099"/>
      <c r="AV76" s="2099"/>
      <c r="AW76" s="2099"/>
      <c r="AX76" s="2099"/>
      <c r="AY76" s="2099"/>
      <c r="AZ76" s="2099"/>
      <c r="BA76" s="2099"/>
      <c r="BB76" s="2099"/>
      <c r="BC76" s="2099"/>
      <c r="BD76" s="2100"/>
    </row>
    <row r="77" spans="1:56" x14ac:dyDescent="0.25">
      <c r="A77" s="2084"/>
      <c r="B77" s="2089"/>
      <c r="C77" s="2090"/>
      <c r="D77" s="2090"/>
      <c r="E77" s="2090"/>
      <c r="F77" s="2090"/>
      <c r="G77" s="2091"/>
      <c r="H77" s="2101" t="s">
        <v>11</v>
      </c>
      <c r="I77" s="2102"/>
      <c r="J77" s="2102"/>
      <c r="K77" s="2102"/>
      <c r="L77" s="2102"/>
      <c r="M77" s="2102"/>
      <c r="N77" s="2102"/>
      <c r="O77" s="2102"/>
      <c r="P77" s="2102"/>
      <c r="Q77" s="2102"/>
      <c r="R77" s="2102"/>
      <c r="S77" s="2102"/>
      <c r="T77" s="2069"/>
      <c r="U77" s="2103" t="s">
        <v>12</v>
      </c>
      <c r="V77" s="2102"/>
      <c r="W77" s="2102"/>
      <c r="X77" s="2102"/>
      <c r="Y77" s="2102"/>
      <c r="Z77" s="2102"/>
      <c r="AA77" s="2102"/>
      <c r="AB77" s="2102"/>
      <c r="AC77" s="2102"/>
      <c r="AD77" s="2069"/>
      <c r="AE77" s="2103" t="s">
        <v>13</v>
      </c>
      <c r="AF77" s="2102"/>
      <c r="AG77" s="2102"/>
      <c r="AH77" s="2102"/>
      <c r="AI77" s="1977" t="s">
        <v>14</v>
      </c>
      <c r="AJ77" s="1967" t="s">
        <v>15</v>
      </c>
      <c r="AK77" s="1967" t="s">
        <v>16</v>
      </c>
      <c r="AL77" s="1983" t="s">
        <v>581</v>
      </c>
      <c r="AM77" s="2009" t="s">
        <v>18</v>
      </c>
      <c r="AN77" s="1985" t="s">
        <v>19</v>
      </c>
      <c r="AO77" s="1985" t="s">
        <v>20</v>
      </c>
      <c r="AP77" s="1985" t="s">
        <v>21</v>
      </c>
      <c r="AQ77" s="1985" t="s">
        <v>22</v>
      </c>
      <c r="AR77" s="1987" t="s">
        <v>21</v>
      </c>
      <c r="AS77" s="2080" t="s">
        <v>23</v>
      </c>
      <c r="AT77" s="2081" t="s">
        <v>24</v>
      </c>
      <c r="AU77" s="2082" t="s">
        <v>25</v>
      </c>
      <c r="AV77" s="2082"/>
      <c r="AW77" s="2082"/>
      <c r="AX77" s="2082" t="s">
        <v>26</v>
      </c>
      <c r="AY77" s="2082"/>
      <c r="AZ77" s="2081" t="s">
        <v>27</v>
      </c>
      <c r="BA77" s="1967" t="s">
        <v>28</v>
      </c>
      <c r="BB77" s="2082" t="s">
        <v>29</v>
      </c>
      <c r="BC77" s="2082"/>
      <c r="BD77" s="2104"/>
    </row>
    <row r="78" spans="1:56" ht="57.75" customHeight="1" x14ac:dyDescent="0.25">
      <c r="A78" s="2084"/>
      <c r="B78" s="44" t="s">
        <v>30</v>
      </c>
      <c r="C78" s="37" t="s">
        <v>31</v>
      </c>
      <c r="D78" s="37" t="s">
        <v>32</v>
      </c>
      <c r="E78" s="37" t="s">
        <v>23</v>
      </c>
      <c r="F78" s="37" t="s">
        <v>33</v>
      </c>
      <c r="G78" s="47" t="s">
        <v>34</v>
      </c>
      <c r="H78" s="73" t="s">
        <v>35</v>
      </c>
      <c r="I78" s="37" t="s">
        <v>36</v>
      </c>
      <c r="J78" s="37" t="s">
        <v>37</v>
      </c>
      <c r="K78" s="37" t="s">
        <v>38</v>
      </c>
      <c r="L78" s="37" t="s">
        <v>39</v>
      </c>
      <c r="M78" s="37" t="s">
        <v>40</v>
      </c>
      <c r="N78" s="37" t="s">
        <v>41</v>
      </c>
      <c r="O78" s="37" t="s">
        <v>42</v>
      </c>
      <c r="P78" s="37" t="s">
        <v>43</v>
      </c>
      <c r="Q78" s="37" t="s">
        <v>44</v>
      </c>
      <c r="R78" s="37" t="s">
        <v>45</v>
      </c>
      <c r="S78" s="37" t="s">
        <v>46</v>
      </c>
      <c r="T78" s="37" t="s">
        <v>47</v>
      </c>
      <c r="U78" s="37" t="s">
        <v>48</v>
      </c>
      <c r="V78" s="37" t="s">
        <v>38</v>
      </c>
      <c r="W78" s="37" t="s">
        <v>40</v>
      </c>
      <c r="X78" s="37" t="s">
        <v>49</v>
      </c>
      <c r="Y78" s="37" t="s">
        <v>41</v>
      </c>
      <c r="Z78" s="37" t="s">
        <v>42</v>
      </c>
      <c r="AA78" s="37" t="s">
        <v>50</v>
      </c>
      <c r="AB78" s="37" t="s">
        <v>51</v>
      </c>
      <c r="AC78" s="37" t="s">
        <v>52</v>
      </c>
      <c r="AD78" s="37" t="s">
        <v>53</v>
      </c>
      <c r="AE78" s="37" t="s">
        <v>54</v>
      </c>
      <c r="AF78" s="37" t="s">
        <v>55</v>
      </c>
      <c r="AG78" s="37" t="s">
        <v>56</v>
      </c>
      <c r="AH78" s="74" t="s">
        <v>57</v>
      </c>
      <c r="AI78" s="1977"/>
      <c r="AJ78" s="1967"/>
      <c r="AK78" s="1967"/>
      <c r="AL78" s="1983"/>
      <c r="AM78" s="2010"/>
      <c r="AN78" s="1986"/>
      <c r="AO78" s="1986"/>
      <c r="AP78" s="1986"/>
      <c r="AQ78" s="1986"/>
      <c r="AR78" s="1988"/>
      <c r="AS78" s="2080"/>
      <c r="AT78" s="2081"/>
      <c r="AU78" s="165" t="s">
        <v>58</v>
      </c>
      <c r="AV78" s="165" t="s">
        <v>59</v>
      </c>
      <c r="AW78" s="165" t="s">
        <v>60</v>
      </c>
      <c r="AX78" s="165" t="s">
        <v>61</v>
      </c>
      <c r="AY78" s="166" t="s">
        <v>62</v>
      </c>
      <c r="AZ78" s="2081"/>
      <c r="BA78" s="1967"/>
      <c r="BB78" s="165" t="s">
        <v>58</v>
      </c>
      <c r="BC78" s="165" t="s">
        <v>63</v>
      </c>
      <c r="BD78" s="167" t="s">
        <v>64</v>
      </c>
    </row>
    <row r="79" spans="1:56" ht="39" thickBot="1" x14ac:dyDescent="0.3">
      <c r="A79" s="2085"/>
      <c r="B79" s="120" t="s">
        <v>65</v>
      </c>
      <c r="C79" s="121" t="s">
        <v>66</v>
      </c>
      <c r="D79" s="122" t="s">
        <v>67</v>
      </c>
      <c r="E79" s="121" t="s">
        <v>68</v>
      </c>
      <c r="F79" s="121" t="s">
        <v>69</v>
      </c>
      <c r="G79" s="129" t="s">
        <v>70</v>
      </c>
      <c r="H79" s="168" t="s">
        <v>71</v>
      </c>
      <c r="I79" s="121" t="s">
        <v>72</v>
      </c>
      <c r="J79" s="121" t="s">
        <v>73</v>
      </c>
      <c r="K79" s="121" t="s">
        <v>74</v>
      </c>
      <c r="L79" s="127" t="s">
        <v>75</v>
      </c>
      <c r="M79" s="121" t="s">
        <v>76</v>
      </c>
      <c r="N79" s="121" t="s">
        <v>77</v>
      </c>
      <c r="O79" s="121" t="s">
        <v>78</v>
      </c>
      <c r="P79" s="121" t="s">
        <v>79</v>
      </c>
      <c r="Q79" s="121" t="s">
        <v>80</v>
      </c>
      <c r="R79" s="121" t="s">
        <v>81</v>
      </c>
      <c r="S79" s="121" t="s">
        <v>82</v>
      </c>
      <c r="T79" s="121" t="s">
        <v>83</v>
      </c>
      <c r="U79" s="121" t="s">
        <v>84</v>
      </c>
      <c r="V79" s="121" t="s">
        <v>85</v>
      </c>
      <c r="W79" s="121" t="s">
        <v>86</v>
      </c>
      <c r="X79" s="121" t="s">
        <v>87</v>
      </c>
      <c r="Y79" s="121" t="s">
        <v>88</v>
      </c>
      <c r="Z79" s="121" t="s">
        <v>89</v>
      </c>
      <c r="AA79" s="121" t="s">
        <v>90</v>
      </c>
      <c r="AB79" s="121" t="s">
        <v>91</v>
      </c>
      <c r="AC79" s="121" t="s">
        <v>92</v>
      </c>
      <c r="AD79" s="121" t="s">
        <v>93</v>
      </c>
      <c r="AE79" s="121" t="s">
        <v>94</v>
      </c>
      <c r="AF79" s="121" t="s">
        <v>95</v>
      </c>
      <c r="AG79" s="169" t="s">
        <v>96</v>
      </c>
      <c r="AH79" s="88" t="s">
        <v>97</v>
      </c>
      <c r="AI79" s="44" t="s">
        <v>98</v>
      </c>
      <c r="AJ79" s="49" t="s">
        <v>99</v>
      </c>
      <c r="AK79" s="49" t="s">
        <v>100</v>
      </c>
      <c r="AL79" s="170" t="s">
        <v>101</v>
      </c>
      <c r="AM79" s="171" t="s">
        <v>102</v>
      </c>
      <c r="AN79" s="172" t="s">
        <v>103</v>
      </c>
      <c r="AO79" s="172" t="s">
        <v>104</v>
      </c>
      <c r="AP79" s="172" t="s">
        <v>105</v>
      </c>
      <c r="AQ79" s="172" t="s">
        <v>106</v>
      </c>
      <c r="AR79" s="173" t="s">
        <v>107</v>
      </c>
      <c r="AS79" s="174" t="s">
        <v>108</v>
      </c>
      <c r="AT79" s="172" t="s">
        <v>109</v>
      </c>
      <c r="AU79" s="172" t="s">
        <v>110</v>
      </c>
      <c r="AV79" s="172" t="s">
        <v>111</v>
      </c>
      <c r="AW79" s="173" t="s">
        <v>112</v>
      </c>
      <c r="AX79" s="173" t="s">
        <v>113</v>
      </c>
      <c r="AY79" s="173" t="s">
        <v>114</v>
      </c>
      <c r="AZ79" s="172" t="s">
        <v>115</v>
      </c>
      <c r="BA79" s="172" t="s">
        <v>116</v>
      </c>
      <c r="BB79" s="172" t="s">
        <v>117</v>
      </c>
      <c r="BC79" s="173" t="s">
        <v>118</v>
      </c>
      <c r="BD79" s="173" t="s">
        <v>119</v>
      </c>
    </row>
    <row r="80" spans="1:56" ht="50.25" customHeight="1" x14ac:dyDescent="0.25">
      <c r="A80" s="211">
        <v>1</v>
      </c>
      <c r="B80" s="150" t="s">
        <v>626</v>
      </c>
      <c r="C80" s="150" t="s">
        <v>635</v>
      </c>
      <c r="D80" s="150" t="s">
        <v>615</v>
      </c>
      <c r="E80" s="150" t="s">
        <v>616</v>
      </c>
      <c r="F80" s="149" t="s">
        <v>636</v>
      </c>
      <c r="G80" s="210" t="s">
        <v>586</v>
      </c>
      <c r="H80" s="159" t="s">
        <v>637</v>
      </c>
      <c r="I80" s="176" t="s">
        <v>638</v>
      </c>
      <c r="J80" s="37" t="s">
        <v>639</v>
      </c>
      <c r="K80" s="151" t="s">
        <v>631</v>
      </c>
      <c r="L80" s="160">
        <v>32400</v>
      </c>
      <c r="M80" s="161">
        <v>10639</v>
      </c>
      <c r="N80" s="151">
        <v>40798</v>
      </c>
      <c r="O80" s="151">
        <v>40908</v>
      </c>
      <c r="P80" s="150" t="s">
        <v>591</v>
      </c>
      <c r="Q80" s="150">
        <v>0</v>
      </c>
      <c r="R80" s="150">
        <v>0</v>
      </c>
      <c r="S80" s="150">
        <v>0</v>
      </c>
      <c r="T80" s="150">
        <v>33903900</v>
      </c>
      <c r="U80" s="176"/>
      <c r="V80" s="176"/>
      <c r="W80" s="176"/>
      <c r="X80" s="176"/>
      <c r="Y80" s="176"/>
      <c r="Z80" s="176"/>
      <c r="AA80" s="176"/>
      <c r="AB80" s="176"/>
      <c r="AC80" s="176"/>
      <c r="AD80" s="176"/>
      <c r="AE80" s="212"/>
      <c r="AF80" s="212">
        <v>8100</v>
      </c>
      <c r="AG80" s="176"/>
      <c r="AH80" s="213"/>
      <c r="AI80" s="214" t="s">
        <v>633</v>
      </c>
      <c r="AJ80" s="215">
        <v>10601</v>
      </c>
      <c r="AK80" s="112" t="s">
        <v>622</v>
      </c>
      <c r="AL80" s="180"/>
      <c r="AM80" s="179" t="s">
        <v>623</v>
      </c>
      <c r="AN80" s="181" t="s">
        <v>624</v>
      </c>
      <c r="AO80" s="181"/>
      <c r="AP80" s="181"/>
      <c r="AQ80" s="181"/>
      <c r="AR80" s="182"/>
      <c r="AS80" s="49"/>
      <c r="AT80" s="172"/>
      <c r="AU80" s="172"/>
      <c r="AV80" s="172"/>
      <c r="AW80" s="172"/>
      <c r="AX80" s="172"/>
      <c r="AY80" s="172"/>
      <c r="AZ80" s="172"/>
      <c r="BA80" s="172"/>
      <c r="BB80" s="172"/>
      <c r="BC80" s="172"/>
      <c r="BD80" s="173"/>
    </row>
    <row r="81" spans="1:56" x14ac:dyDescent="0.25">
      <c r="A81" s="185">
        <v>2</v>
      </c>
      <c r="B81" s="37"/>
      <c r="C81" s="37"/>
      <c r="D81" s="37"/>
      <c r="E81" s="37"/>
      <c r="F81" s="37"/>
      <c r="G81" s="37"/>
      <c r="H81" s="54"/>
      <c r="I81" s="37"/>
      <c r="J81" s="37"/>
      <c r="K81" s="37"/>
      <c r="L81" s="48"/>
      <c r="M81" s="37"/>
      <c r="N81" s="37"/>
      <c r="O81" s="37"/>
      <c r="P81" s="37"/>
      <c r="Q81" s="37"/>
      <c r="R81" s="37"/>
      <c r="S81" s="37"/>
      <c r="T81" s="37"/>
      <c r="U81" s="157">
        <v>1</v>
      </c>
      <c r="V81" s="45">
        <v>40909</v>
      </c>
      <c r="W81" s="46" t="s">
        <v>640</v>
      </c>
      <c r="X81" s="37" t="s">
        <v>597</v>
      </c>
      <c r="Y81" s="45">
        <v>40909</v>
      </c>
      <c r="Z81" s="45">
        <v>41274</v>
      </c>
      <c r="AA81" s="37"/>
      <c r="AB81" s="37"/>
      <c r="AC81" s="37"/>
      <c r="AD81" s="37"/>
      <c r="AE81" s="177"/>
      <c r="AF81" s="184">
        <v>44010</v>
      </c>
      <c r="AG81" s="4"/>
      <c r="AH81" s="178"/>
      <c r="AI81" s="179"/>
      <c r="AJ81" s="107"/>
      <c r="AK81" s="107"/>
      <c r="AL81" s="180"/>
      <c r="AM81" s="179"/>
      <c r="AN81" s="181"/>
      <c r="AO81" s="181"/>
      <c r="AP81" s="181"/>
      <c r="AQ81" s="181"/>
      <c r="AR81" s="182"/>
      <c r="AS81" s="49"/>
      <c r="AT81" s="172"/>
      <c r="AU81" s="172"/>
      <c r="AV81" s="172"/>
      <c r="AW81" s="172"/>
      <c r="AX81" s="172"/>
      <c r="AY81" s="172"/>
      <c r="AZ81" s="172"/>
      <c r="BA81" s="172"/>
      <c r="BB81" s="172"/>
      <c r="BC81" s="172"/>
      <c r="BD81" s="173"/>
    </row>
    <row r="82" spans="1:56" ht="25.5" x14ac:dyDescent="0.25">
      <c r="A82" s="185">
        <v>3</v>
      </c>
      <c r="B82" s="37"/>
      <c r="C82" s="37"/>
      <c r="D82" s="37"/>
      <c r="E82" s="37"/>
      <c r="F82" s="37"/>
      <c r="G82" s="37"/>
      <c r="H82" s="54"/>
      <c r="I82" s="37"/>
      <c r="J82" s="37"/>
      <c r="K82" s="45"/>
      <c r="L82" s="48"/>
      <c r="M82" s="37"/>
      <c r="N82" s="45"/>
      <c r="O82" s="37"/>
      <c r="P82" s="37"/>
      <c r="Q82" s="37"/>
      <c r="R82" s="37"/>
      <c r="S82" s="37"/>
      <c r="T82" s="37"/>
      <c r="U82" s="37">
        <v>2</v>
      </c>
      <c r="V82" s="45">
        <v>41148</v>
      </c>
      <c r="W82" s="46" t="s">
        <v>599</v>
      </c>
      <c r="X82" s="37" t="s">
        <v>641</v>
      </c>
      <c r="Y82" s="45">
        <v>41518</v>
      </c>
      <c r="Z82" s="45">
        <v>41639</v>
      </c>
      <c r="AA82" s="70">
        <v>6.2092000000000001E-2</v>
      </c>
      <c r="AC82" s="208">
        <v>2011.8</v>
      </c>
      <c r="AD82" s="37"/>
      <c r="AE82" s="37"/>
      <c r="AF82" s="184">
        <v>50851.68</v>
      </c>
      <c r="AG82" s="209"/>
      <c r="AH82" s="178"/>
      <c r="AI82" s="179"/>
      <c r="AJ82" s="107"/>
      <c r="AK82" s="107"/>
      <c r="AL82" s="180"/>
      <c r="AM82" s="179"/>
      <c r="AN82" s="181"/>
      <c r="AO82" s="181"/>
      <c r="AP82" s="181"/>
      <c r="AQ82" s="181"/>
      <c r="AR82" s="182"/>
      <c r="AS82" s="49"/>
      <c r="AT82" s="172"/>
      <c r="AU82" s="172"/>
      <c r="AV82" s="172"/>
      <c r="AW82" s="172"/>
      <c r="AX82" s="172"/>
      <c r="AY82" s="172"/>
      <c r="AZ82" s="172"/>
      <c r="BA82" s="172"/>
      <c r="BB82" s="172"/>
      <c r="BC82" s="172"/>
      <c r="BD82" s="173"/>
    </row>
    <row r="83" spans="1:56" x14ac:dyDescent="0.25">
      <c r="A83" s="185">
        <v>4</v>
      </c>
      <c r="B83" s="37"/>
      <c r="C83" s="37"/>
      <c r="D83" s="37"/>
      <c r="E83" s="37"/>
      <c r="F83" s="37"/>
      <c r="G83" s="37"/>
      <c r="H83" s="54"/>
      <c r="I83" s="37"/>
      <c r="J83" s="37"/>
      <c r="K83" s="37"/>
      <c r="L83" s="48"/>
      <c r="M83" s="37"/>
      <c r="N83" s="37"/>
      <c r="O83" s="37"/>
      <c r="P83" s="37"/>
      <c r="Q83" s="37"/>
      <c r="R83" s="37"/>
      <c r="S83" s="37"/>
      <c r="T83" s="37"/>
      <c r="U83" s="37">
        <v>3</v>
      </c>
      <c r="V83" s="45">
        <v>41589</v>
      </c>
      <c r="W83" s="46" t="s">
        <v>642</v>
      </c>
      <c r="X83" s="37" t="s">
        <v>597</v>
      </c>
      <c r="Y83" s="45">
        <v>41640</v>
      </c>
      <c r="Z83" s="45">
        <v>42004</v>
      </c>
      <c r="AA83" s="70"/>
      <c r="AB83" s="37"/>
      <c r="AC83" s="37"/>
      <c r="AD83" s="37"/>
      <c r="AE83" s="177"/>
      <c r="AF83" s="187"/>
      <c r="AG83" s="187">
        <v>60097.440000000002</v>
      </c>
      <c r="AH83" s="178"/>
      <c r="AI83" s="179"/>
      <c r="AJ83" s="107"/>
      <c r="AK83" s="107"/>
      <c r="AL83" s="180"/>
      <c r="AM83" s="179"/>
      <c r="AN83" s="181"/>
      <c r="AO83" s="181"/>
      <c r="AP83" s="181"/>
      <c r="AQ83" s="181"/>
      <c r="AR83" s="182"/>
      <c r="AS83" s="49"/>
      <c r="AT83" s="172"/>
      <c r="AU83" s="172"/>
      <c r="AV83" s="172"/>
      <c r="AW83" s="172"/>
      <c r="AX83" s="172"/>
      <c r="AY83" s="172"/>
      <c r="AZ83" s="172"/>
      <c r="BA83" s="172"/>
      <c r="BB83" s="172"/>
      <c r="BC83" s="172"/>
      <c r="BD83" s="173"/>
    </row>
    <row r="84" spans="1:56" x14ac:dyDescent="0.25">
      <c r="A84" s="186"/>
      <c r="B84" s="37"/>
      <c r="C84" s="37"/>
      <c r="D84" s="37"/>
      <c r="E84" s="37"/>
      <c r="F84" s="37"/>
      <c r="G84" s="37"/>
      <c r="H84" s="54"/>
      <c r="I84" s="37"/>
      <c r="J84" s="37"/>
      <c r="K84" s="37"/>
      <c r="L84" s="48"/>
      <c r="M84" s="37"/>
      <c r="N84" s="37"/>
      <c r="O84" s="37"/>
      <c r="P84" s="37"/>
      <c r="Q84" s="37"/>
      <c r="R84" s="37"/>
      <c r="S84" s="37"/>
      <c r="T84" s="37"/>
      <c r="U84" s="37"/>
      <c r="V84" s="45"/>
      <c r="W84" s="37"/>
      <c r="X84" s="37"/>
      <c r="Y84" s="45"/>
      <c r="Z84" s="45"/>
      <c r="AA84" s="37"/>
      <c r="AB84" s="37"/>
      <c r="AC84" s="37"/>
      <c r="AD84" s="37"/>
      <c r="AE84" s="177"/>
      <c r="AF84" s="184"/>
      <c r="AG84" s="37"/>
      <c r="AH84" s="178"/>
      <c r="AI84" s="179"/>
      <c r="AJ84" s="107"/>
      <c r="AK84" s="107"/>
      <c r="AL84" s="180"/>
      <c r="AM84" s="179"/>
      <c r="AN84" s="181"/>
      <c r="AO84" s="181"/>
      <c r="AP84" s="181"/>
      <c r="AQ84" s="181"/>
      <c r="AR84" s="182"/>
      <c r="AS84" s="49"/>
      <c r="AT84" s="172"/>
      <c r="AU84" s="172"/>
      <c r="AV84" s="172"/>
      <c r="AW84" s="172"/>
      <c r="AX84" s="172"/>
      <c r="AY84" s="172"/>
      <c r="AZ84" s="172"/>
      <c r="BA84" s="172"/>
      <c r="BB84" s="172"/>
      <c r="BC84" s="172"/>
      <c r="BD84" s="173"/>
    </row>
    <row r="85" spans="1:56" x14ac:dyDescent="0.25">
      <c r="A85" s="199"/>
      <c r="B85" s="199"/>
      <c r="C85" s="199"/>
      <c r="D85" s="199"/>
      <c r="E85" s="199"/>
      <c r="F85" s="199"/>
      <c r="G85" s="199"/>
      <c r="H85" s="199"/>
      <c r="I85" s="199"/>
      <c r="J85" s="199"/>
      <c r="K85" s="199"/>
      <c r="L85" s="200"/>
      <c r="M85" s="201"/>
      <c r="N85" s="201"/>
      <c r="O85" s="201"/>
      <c r="P85" s="201"/>
      <c r="Q85" s="201"/>
      <c r="R85" s="201"/>
      <c r="S85" s="201"/>
      <c r="T85" s="201"/>
      <c r="U85" s="201"/>
      <c r="V85" s="201"/>
      <c r="W85" s="201"/>
      <c r="X85" s="201"/>
      <c r="Y85" s="201"/>
      <c r="Z85" s="201"/>
      <c r="AA85" s="201"/>
      <c r="AB85" s="201"/>
      <c r="AC85" s="202"/>
      <c r="AD85" s="202"/>
      <c r="AE85" s="202"/>
      <c r="AF85" s="200"/>
      <c r="AG85" s="200"/>
      <c r="AH85" s="202"/>
      <c r="AI85" s="202"/>
      <c r="AJ85" s="202"/>
      <c r="AK85" s="202"/>
      <c r="AL85" s="202"/>
      <c r="AM85" s="202"/>
      <c r="AN85" s="202"/>
      <c r="AO85" s="202"/>
      <c r="AP85" s="202"/>
      <c r="AQ85" s="202"/>
      <c r="AR85" s="202"/>
      <c r="AS85" s="203"/>
      <c r="AT85" s="204"/>
      <c r="AU85" s="204"/>
      <c r="AV85" s="204"/>
      <c r="AW85" s="204"/>
      <c r="AX85" s="204"/>
      <c r="AY85" s="204"/>
      <c r="AZ85" s="204"/>
      <c r="BA85" s="204"/>
      <c r="BB85" s="204"/>
      <c r="BC85" s="204"/>
      <c r="BD85" s="204"/>
    </row>
    <row r="86" spans="1:56" x14ac:dyDescent="0.25">
      <c r="A86" s="199"/>
      <c r="B86" s="199"/>
      <c r="C86" s="199"/>
      <c r="D86" s="199"/>
      <c r="E86" s="199"/>
      <c r="F86" s="199"/>
      <c r="G86" s="199"/>
      <c r="H86" s="199"/>
      <c r="I86" s="199"/>
      <c r="J86" s="199"/>
      <c r="K86" s="199"/>
      <c r="L86" s="200"/>
      <c r="M86" s="201"/>
      <c r="N86" s="201"/>
      <c r="O86" s="201"/>
      <c r="P86" s="201"/>
      <c r="Q86" s="201"/>
      <c r="R86" s="201"/>
      <c r="S86" s="201"/>
      <c r="T86" s="201"/>
      <c r="U86" s="201"/>
      <c r="V86" s="201"/>
      <c r="W86" s="201"/>
      <c r="X86" s="201"/>
      <c r="Y86" s="201"/>
      <c r="Z86" s="201"/>
      <c r="AA86" s="201"/>
      <c r="AB86" s="201"/>
      <c r="AC86" s="202"/>
      <c r="AD86" s="202"/>
      <c r="AE86" s="202"/>
      <c r="AF86" s="200"/>
      <c r="AG86" s="200"/>
      <c r="AH86" s="202"/>
      <c r="AI86" s="202"/>
      <c r="AJ86" s="202"/>
      <c r="AK86" s="202"/>
      <c r="AL86" s="202"/>
      <c r="AM86" s="202"/>
      <c r="AN86" s="202"/>
      <c r="AO86" s="202"/>
      <c r="AP86" s="202"/>
      <c r="AQ86" s="202"/>
      <c r="AR86" s="202"/>
      <c r="AS86" s="203"/>
      <c r="AT86" s="204"/>
      <c r="AU86" s="204"/>
      <c r="AV86" s="204"/>
      <c r="AW86" s="204"/>
      <c r="AX86" s="204"/>
      <c r="AY86" s="204"/>
      <c r="AZ86" s="204"/>
      <c r="BA86" s="204"/>
      <c r="BB86" s="204"/>
      <c r="BC86" s="204"/>
      <c r="BD86" s="204"/>
    </row>
    <row r="87" spans="1:56" x14ac:dyDescent="0.25">
      <c r="A87" s="199"/>
      <c r="B87" s="199"/>
      <c r="C87" s="199"/>
      <c r="D87" s="199"/>
      <c r="E87" s="199"/>
      <c r="F87" s="199"/>
      <c r="G87" s="199"/>
      <c r="H87" s="199"/>
      <c r="I87" s="199"/>
      <c r="J87" s="199"/>
      <c r="K87" s="199"/>
      <c r="L87" s="200"/>
      <c r="M87" s="201"/>
      <c r="N87" s="201"/>
      <c r="O87" s="201"/>
      <c r="P87" s="201"/>
      <c r="Q87" s="201"/>
      <c r="R87" s="201"/>
      <c r="S87" s="201"/>
      <c r="T87" s="201"/>
      <c r="U87" s="201"/>
      <c r="V87" s="201"/>
      <c r="W87" s="201"/>
      <c r="X87" s="201"/>
      <c r="Y87" s="201"/>
      <c r="Z87" s="201"/>
      <c r="AA87" s="201"/>
      <c r="AB87" s="201"/>
      <c r="AC87" s="202"/>
      <c r="AD87" s="202"/>
      <c r="AE87" s="202"/>
      <c r="AF87" s="200"/>
      <c r="AG87" s="200"/>
      <c r="AH87" s="202"/>
      <c r="AI87" s="202"/>
      <c r="AJ87" s="202"/>
      <c r="AK87" s="202"/>
      <c r="AL87" s="202"/>
      <c r="AM87" s="202"/>
      <c r="AN87" s="202"/>
      <c r="AO87" s="202"/>
      <c r="AP87" s="202"/>
      <c r="AQ87" s="202"/>
      <c r="AR87" s="202"/>
      <c r="AS87" s="203"/>
      <c r="AT87" s="204"/>
      <c r="AU87" s="204"/>
      <c r="AV87" s="204"/>
      <c r="AW87" s="204"/>
      <c r="AX87" s="204"/>
      <c r="AY87" s="204"/>
      <c r="AZ87" s="204"/>
      <c r="BA87" s="204"/>
      <c r="BB87" s="204"/>
      <c r="BC87" s="204"/>
      <c r="BD87" s="204"/>
    </row>
    <row r="88" spans="1:56" ht="15.75" thickBot="1" x14ac:dyDescent="0.3">
      <c r="A88" s="2105" t="s">
        <v>643</v>
      </c>
      <c r="B88" s="2105"/>
      <c r="C88" s="2105"/>
      <c r="D88" s="2105"/>
      <c r="E88" s="2105"/>
      <c r="F88" s="2105"/>
      <c r="G88" s="2105"/>
      <c r="H88" s="2105"/>
      <c r="I88" s="2105"/>
      <c r="J88" s="2105"/>
      <c r="K88" s="2105"/>
      <c r="L88" s="2105"/>
      <c r="M88" s="2105"/>
      <c r="N88" s="2105"/>
      <c r="O88" s="2105"/>
      <c r="P88" s="2105"/>
      <c r="Q88" s="2105"/>
      <c r="R88" s="2105"/>
      <c r="S88" s="2105"/>
      <c r="T88" s="2105"/>
      <c r="U88" s="2105"/>
      <c r="V88" s="2105"/>
      <c r="W88" s="2105"/>
      <c r="X88" s="2105"/>
      <c r="Y88" s="2105"/>
      <c r="Z88" s="2105"/>
      <c r="AA88" s="2105"/>
      <c r="AB88" s="2105"/>
      <c r="AC88" s="2105"/>
      <c r="AD88" s="2105"/>
      <c r="AE88" s="2105"/>
      <c r="AF88" s="2105"/>
      <c r="AG88" s="2105"/>
      <c r="AH88" s="2105"/>
      <c r="AI88" s="2105"/>
      <c r="AJ88" s="2105"/>
      <c r="AK88" s="2105"/>
      <c r="AL88" s="2105"/>
      <c r="AM88" s="2105"/>
      <c r="AN88" s="2105"/>
      <c r="AO88" s="2105"/>
      <c r="AP88" s="2105"/>
      <c r="AQ88" s="2105"/>
      <c r="AR88" s="2105"/>
      <c r="AS88" s="2105"/>
      <c r="AT88" s="2105"/>
      <c r="AU88" s="2105"/>
      <c r="AV88" s="2105"/>
      <c r="AW88" s="2105"/>
      <c r="AX88" s="2105"/>
      <c r="AY88" s="2105"/>
      <c r="AZ88" s="2105"/>
      <c r="BA88" s="2105"/>
      <c r="BB88" s="2105"/>
      <c r="BC88" s="2105"/>
      <c r="BD88" s="2105"/>
    </row>
    <row r="89" spans="1:56" x14ac:dyDescent="0.25">
      <c r="A89" s="2083" t="s">
        <v>5</v>
      </c>
      <c r="B89" s="2086" t="s">
        <v>6</v>
      </c>
      <c r="C89" s="2087"/>
      <c r="D89" s="2087"/>
      <c r="E89" s="2087"/>
      <c r="F89" s="2087"/>
      <c r="G89" s="2088"/>
      <c r="H89" s="2092" t="s">
        <v>7</v>
      </c>
      <c r="I89" s="2093"/>
      <c r="J89" s="2093"/>
      <c r="K89" s="2093"/>
      <c r="L89" s="2093"/>
      <c r="M89" s="2093"/>
      <c r="N89" s="2093"/>
      <c r="O89" s="2093"/>
      <c r="P89" s="2093"/>
      <c r="Q89" s="2093"/>
      <c r="R89" s="2093"/>
      <c r="S89" s="2093"/>
      <c r="T89" s="2093"/>
      <c r="U89" s="2093"/>
      <c r="V89" s="2093"/>
      <c r="W89" s="2093"/>
      <c r="X89" s="2093"/>
      <c r="Y89" s="2093"/>
      <c r="Z89" s="2093"/>
      <c r="AA89" s="2093"/>
      <c r="AB89" s="2093"/>
      <c r="AC89" s="2093"/>
      <c r="AD89" s="2093"/>
      <c r="AE89" s="2093"/>
      <c r="AF89" s="2093"/>
      <c r="AG89" s="2093"/>
      <c r="AH89" s="2093"/>
      <c r="AI89" s="2094" t="s">
        <v>8</v>
      </c>
      <c r="AJ89" s="2095"/>
      <c r="AK89" s="2095"/>
      <c r="AL89" s="2096"/>
      <c r="AM89" s="2092" t="s">
        <v>9</v>
      </c>
      <c r="AN89" s="2093"/>
      <c r="AO89" s="2093"/>
      <c r="AP89" s="2093"/>
      <c r="AQ89" s="2093"/>
      <c r="AR89" s="2097"/>
      <c r="AS89" s="2098" t="s">
        <v>10</v>
      </c>
      <c r="AT89" s="2099"/>
      <c r="AU89" s="2099"/>
      <c r="AV89" s="2099"/>
      <c r="AW89" s="2099"/>
      <c r="AX89" s="2099"/>
      <c r="AY89" s="2099"/>
      <c r="AZ89" s="2099"/>
      <c r="BA89" s="2099"/>
      <c r="BB89" s="2099"/>
      <c r="BC89" s="2099"/>
      <c r="BD89" s="2100"/>
    </row>
    <row r="90" spans="1:56" x14ac:dyDescent="0.25">
      <c r="A90" s="2084"/>
      <c r="B90" s="2089"/>
      <c r="C90" s="2090"/>
      <c r="D90" s="2090"/>
      <c r="E90" s="2090"/>
      <c r="F90" s="2090"/>
      <c r="G90" s="2091"/>
      <c r="H90" s="2101" t="s">
        <v>11</v>
      </c>
      <c r="I90" s="2102"/>
      <c r="J90" s="2102"/>
      <c r="K90" s="2102"/>
      <c r="L90" s="2102"/>
      <c r="M90" s="2102"/>
      <c r="N90" s="2102"/>
      <c r="O90" s="2102"/>
      <c r="P90" s="2102"/>
      <c r="Q90" s="2102"/>
      <c r="R90" s="2102"/>
      <c r="S90" s="2102"/>
      <c r="T90" s="2069"/>
      <c r="U90" s="2103" t="s">
        <v>12</v>
      </c>
      <c r="V90" s="2102"/>
      <c r="W90" s="2102"/>
      <c r="X90" s="2102"/>
      <c r="Y90" s="2102"/>
      <c r="Z90" s="2102"/>
      <c r="AA90" s="2102"/>
      <c r="AB90" s="2102"/>
      <c r="AC90" s="2102"/>
      <c r="AD90" s="2069"/>
      <c r="AE90" s="2103" t="s">
        <v>13</v>
      </c>
      <c r="AF90" s="2102"/>
      <c r="AG90" s="2102"/>
      <c r="AH90" s="2102"/>
      <c r="AI90" s="1977" t="s">
        <v>14</v>
      </c>
      <c r="AJ90" s="1967" t="s">
        <v>15</v>
      </c>
      <c r="AK90" s="1967" t="s">
        <v>16</v>
      </c>
      <c r="AL90" s="1983" t="s">
        <v>581</v>
      </c>
      <c r="AM90" s="2009" t="s">
        <v>18</v>
      </c>
      <c r="AN90" s="1985" t="s">
        <v>19</v>
      </c>
      <c r="AO90" s="1985" t="s">
        <v>20</v>
      </c>
      <c r="AP90" s="1985" t="s">
        <v>21</v>
      </c>
      <c r="AQ90" s="1985" t="s">
        <v>22</v>
      </c>
      <c r="AR90" s="1987" t="s">
        <v>21</v>
      </c>
      <c r="AS90" s="2080" t="s">
        <v>23</v>
      </c>
      <c r="AT90" s="2081" t="s">
        <v>24</v>
      </c>
      <c r="AU90" s="2082" t="s">
        <v>25</v>
      </c>
      <c r="AV90" s="2082"/>
      <c r="AW90" s="2082"/>
      <c r="AX90" s="2082" t="s">
        <v>26</v>
      </c>
      <c r="AY90" s="2082"/>
      <c r="AZ90" s="2081" t="s">
        <v>27</v>
      </c>
      <c r="BA90" s="1967" t="s">
        <v>28</v>
      </c>
      <c r="BB90" s="2082" t="s">
        <v>29</v>
      </c>
      <c r="BC90" s="2082"/>
      <c r="BD90" s="2104"/>
    </row>
    <row r="91" spans="1:56" ht="43.5" customHeight="1" x14ac:dyDescent="0.25">
      <c r="A91" s="2084"/>
      <c r="B91" s="44" t="s">
        <v>30</v>
      </c>
      <c r="C91" s="37" t="s">
        <v>31</v>
      </c>
      <c r="D91" s="37" t="s">
        <v>32</v>
      </c>
      <c r="E91" s="37" t="s">
        <v>23</v>
      </c>
      <c r="F91" s="37" t="s">
        <v>33</v>
      </c>
      <c r="G91" s="47" t="s">
        <v>34</v>
      </c>
      <c r="H91" s="73" t="s">
        <v>35</v>
      </c>
      <c r="I91" s="37" t="s">
        <v>36</v>
      </c>
      <c r="J91" s="37" t="s">
        <v>37</v>
      </c>
      <c r="K91" s="37" t="s">
        <v>38</v>
      </c>
      <c r="L91" s="37" t="s">
        <v>39</v>
      </c>
      <c r="M91" s="37" t="s">
        <v>40</v>
      </c>
      <c r="N91" s="37" t="s">
        <v>41</v>
      </c>
      <c r="O91" s="37" t="s">
        <v>42</v>
      </c>
      <c r="P91" s="37" t="s">
        <v>43</v>
      </c>
      <c r="Q91" s="37" t="s">
        <v>44</v>
      </c>
      <c r="R91" s="37" t="s">
        <v>45</v>
      </c>
      <c r="S91" s="37" t="s">
        <v>46</v>
      </c>
      <c r="T91" s="37" t="s">
        <v>47</v>
      </c>
      <c r="U91" s="37" t="s">
        <v>48</v>
      </c>
      <c r="V91" s="37" t="s">
        <v>38</v>
      </c>
      <c r="W91" s="37" t="s">
        <v>40</v>
      </c>
      <c r="X91" s="37" t="s">
        <v>49</v>
      </c>
      <c r="Y91" s="37" t="s">
        <v>41</v>
      </c>
      <c r="Z91" s="37" t="s">
        <v>42</v>
      </c>
      <c r="AA91" s="37" t="s">
        <v>50</v>
      </c>
      <c r="AB91" s="37" t="s">
        <v>51</v>
      </c>
      <c r="AC91" s="37" t="s">
        <v>52</v>
      </c>
      <c r="AD91" s="37" t="s">
        <v>53</v>
      </c>
      <c r="AE91" s="37" t="s">
        <v>54</v>
      </c>
      <c r="AF91" s="37" t="s">
        <v>55</v>
      </c>
      <c r="AG91" s="37" t="s">
        <v>56</v>
      </c>
      <c r="AH91" s="74" t="s">
        <v>57</v>
      </c>
      <c r="AI91" s="1977"/>
      <c r="AJ91" s="1967"/>
      <c r="AK91" s="1967"/>
      <c r="AL91" s="1983"/>
      <c r="AM91" s="2010"/>
      <c r="AN91" s="1986"/>
      <c r="AO91" s="1986"/>
      <c r="AP91" s="1986"/>
      <c r="AQ91" s="1986"/>
      <c r="AR91" s="1988"/>
      <c r="AS91" s="2080"/>
      <c r="AT91" s="2081"/>
      <c r="AU91" s="165" t="s">
        <v>58</v>
      </c>
      <c r="AV91" s="165" t="s">
        <v>59</v>
      </c>
      <c r="AW91" s="165" t="s">
        <v>60</v>
      </c>
      <c r="AX91" s="165" t="s">
        <v>61</v>
      </c>
      <c r="AY91" s="166" t="s">
        <v>62</v>
      </c>
      <c r="AZ91" s="2081"/>
      <c r="BA91" s="1967"/>
      <c r="BB91" s="165" t="s">
        <v>58</v>
      </c>
      <c r="BC91" s="165" t="s">
        <v>63</v>
      </c>
      <c r="BD91" s="167" t="s">
        <v>64</v>
      </c>
    </row>
    <row r="92" spans="1:56" ht="39" thickBot="1" x14ac:dyDescent="0.3">
      <c r="A92" s="2085"/>
      <c r="B92" s="120" t="s">
        <v>65</v>
      </c>
      <c r="C92" s="121" t="s">
        <v>66</v>
      </c>
      <c r="D92" s="122" t="s">
        <v>67</v>
      </c>
      <c r="E92" s="121" t="s">
        <v>68</v>
      </c>
      <c r="F92" s="121" t="s">
        <v>69</v>
      </c>
      <c r="G92" s="129" t="s">
        <v>70</v>
      </c>
      <c r="H92" s="168" t="s">
        <v>71</v>
      </c>
      <c r="I92" s="121" t="s">
        <v>72</v>
      </c>
      <c r="J92" s="121" t="s">
        <v>73</v>
      </c>
      <c r="K92" s="121" t="s">
        <v>74</v>
      </c>
      <c r="L92" s="127" t="s">
        <v>75</v>
      </c>
      <c r="M92" s="121" t="s">
        <v>76</v>
      </c>
      <c r="N92" s="121" t="s">
        <v>77</v>
      </c>
      <c r="O92" s="121" t="s">
        <v>78</v>
      </c>
      <c r="P92" s="121" t="s">
        <v>79</v>
      </c>
      <c r="Q92" s="121" t="s">
        <v>80</v>
      </c>
      <c r="R92" s="121" t="s">
        <v>81</v>
      </c>
      <c r="S92" s="121" t="s">
        <v>82</v>
      </c>
      <c r="T92" s="121" t="s">
        <v>83</v>
      </c>
      <c r="U92" s="121" t="s">
        <v>84</v>
      </c>
      <c r="V92" s="121" t="s">
        <v>85</v>
      </c>
      <c r="W92" s="121" t="s">
        <v>86</v>
      </c>
      <c r="X92" s="121" t="s">
        <v>87</v>
      </c>
      <c r="Y92" s="121" t="s">
        <v>88</v>
      </c>
      <c r="Z92" s="121" t="s">
        <v>89</v>
      </c>
      <c r="AA92" s="121" t="s">
        <v>90</v>
      </c>
      <c r="AB92" s="121" t="s">
        <v>91</v>
      </c>
      <c r="AC92" s="121" t="s">
        <v>92</v>
      </c>
      <c r="AD92" s="121" t="s">
        <v>93</v>
      </c>
      <c r="AE92" s="121" t="s">
        <v>94</v>
      </c>
      <c r="AF92" s="121" t="s">
        <v>95</v>
      </c>
      <c r="AG92" s="169" t="s">
        <v>96</v>
      </c>
      <c r="AH92" s="88" t="s">
        <v>97</v>
      </c>
      <c r="AI92" s="44" t="s">
        <v>98</v>
      </c>
      <c r="AJ92" s="49" t="s">
        <v>99</v>
      </c>
      <c r="AK92" s="49" t="s">
        <v>100</v>
      </c>
      <c r="AL92" s="170" t="s">
        <v>101</v>
      </c>
      <c r="AM92" s="171" t="s">
        <v>102</v>
      </c>
      <c r="AN92" s="172" t="s">
        <v>103</v>
      </c>
      <c r="AO92" s="172" t="s">
        <v>104</v>
      </c>
      <c r="AP92" s="172" t="s">
        <v>105</v>
      </c>
      <c r="AQ92" s="172" t="s">
        <v>106</v>
      </c>
      <c r="AR92" s="173" t="s">
        <v>107</v>
      </c>
      <c r="AS92" s="174" t="s">
        <v>108</v>
      </c>
      <c r="AT92" s="172" t="s">
        <v>109</v>
      </c>
      <c r="AU92" s="172" t="s">
        <v>110</v>
      </c>
      <c r="AV92" s="172" t="s">
        <v>111</v>
      </c>
      <c r="AW92" s="173" t="s">
        <v>112</v>
      </c>
      <c r="AX92" s="173" t="s">
        <v>113</v>
      </c>
      <c r="AY92" s="173" t="s">
        <v>114</v>
      </c>
      <c r="AZ92" s="172" t="s">
        <v>115</v>
      </c>
      <c r="BA92" s="172" t="s">
        <v>116</v>
      </c>
      <c r="BB92" s="172" t="s">
        <v>117</v>
      </c>
      <c r="BC92" s="173" t="s">
        <v>118</v>
      </c>
      <c r="BD92" s="173" t="s">
        <v>119</v>
      </c>
    </row>
    <row r="93" spans="1:56" ht="60.75" customHeight="1" x14ac:dyDescent="0.25">
      <c r="A93" s="211">
        <v>1</v>
      </c>
      <c r="B93" s="150">
        <v>101060149</v>
      </c>
      <c r="C93" s="176"/>
      <c r="D93" s="150" t="s">
        <v>644</v>
      </c>
      <c r="E93" s="150"/>
      <c r="F93" s="150" t="s">
        <v>645</v>
      </c>
      <c r="G93" s="210" t="s">
        <v>646</v>
      </c>
      <c r="H93" s="159" t="s">
        <v>170</v>
      </c>
      <c r="I93" s="176" t="s">
        <v>647</v>
      </c>
      <c r="J93" s="37" t="s">
        <v>648</v>
      </c>
      <c r="K93" s="151">
        <v>40297</v>
      </c>
      <c r="L93" s="160">
        <v>1524110</v>
      </c>
      <c r="M93" s="161">
        <v>10355</v>
      </c>
      <c r="N93" s="151">
        <v>40308</v>
      </c>
      <c r="O93" s="151">
        <v>40857</v>
      </c>
      <c r="P93" s="150" t="s">
        <v>591</v>
      </c>
      <c r="Q93" s="150"/>
      <c r="R93" s="150"/>
      <c r="S93" s="150"/>
      <c r="T93" s="150" t="s">
        <v>649</v>
      </c>
      <c r="U93" s="176"/>
      <c r="V93" s="176"/>
      <c r="W93" s="176"/>
      <c r="X93" s="176"/>
      <c r="Y93" s="176"/>
      <c r="Z93" s="176"/>
      <c r="AA93" s="176"/>
      <c r="AB93" s="176"/>
      <c r="AC93" s="176"/>
      <c r="AD93" s="176"/>
      <c r="AE93" s="212"/>
      <c r="AF93" s="212"/>
      <c r="AG93" s="176"/>
      <c r="AH93" s="213"/>
      <c r="AI93" s="214"/>
      <c r="AJ93" s="215"/>
      <c r="AK93" s="112"/>
      <c r="AL93" s="180"/>
      <c r="AM93" s="216" t="s">
        <v>644</v>
      </c>
      <c r="AN93" s="217" t="s">
        <v>650</v>
      </c>
      <c r="AO93" s="218">
        <v>10632</v>
      </c>
      <c r="AP93" s="219">
        <v>40798</v>
      </c>
      <c r="AQ93" s="181"/>
      <c r="AR93" s="182"/>
      <c r="AS93" s="49"/>
      <c r="AT93" s="172"/>
      <c r="AU93" s="165"/>
      <c r="AV93" s="165"/>
      <c r="AW93" s="172"/>
      <c r="AX93" s="172"/>
      <c r="AY93" s="172"/>
      <c r="AZ93" s="172"/>
      <c r="BA93" s="172"/>
      <c r="BB93" s="172"/>
      <c r="BC93" s="172"/>
      <c r="BD93" s="173"/>
    </row>
    <row r="94" spans="1:56" ht="63.75" x14ac:dyDescent="0.25">
      <c r="A94" s="185">
        <v>2</v>
      </c>
      <c r="B94" s="37"/>
      <c r="C94" s="37"/>
      <c r="D94" s="37"/>
      <c r="E94" s="37"/>
      <c r="F94" s="37"/>
      <c r="G94" s="37"/>
      <c r="H94" s="54"/>
      <c r="I94" s="37"/>
      <c r="J94" s="37"/>
      <c r="K94" s="37" t="s">
        <v>651</v>
      </c>
      <c r="L94" s="48"/>
      <c r="M94" s="37"/>
      <c r="N94" s="37"/>
      <c r="O94" s="37"/>
      <c r="P94" s="37"/>
      <c r="Q94" s="37"/>
      <c r="R94" s="37"/>
      <c r="S94" s="37"/>
      <c r="T94" s="37" t="s">
        <v>208</v>
      </c>
      <c r="U94" s="157">
        <v>1</v>
      </c>
      <c r="V94" s="45">
        <v>40381</v>
      </c>
      <c r="W94" s="46"/>
      <c r="X94" s="37" t="s">
        <v>652</v>
      </c>
      <c r="Y94" s="45"/>
      <c r="Z94" s="45"/>
      <c r="AA94" s="37"/>
      <c r="AB94" s="37"/>
      <c r="AC94" s="37"/>
      <c r="AD94" s="37"/>
      <c r="AE94" s="177"/>
      <c r="AF94" s="184"/>
      <c r="AG94" s="4"/>
      <c r="AH94" s="178"/>
      <c r="AI94" s="179"/>
      <c r="AJ94" s="107"/>
      <c r="AK94" s="107"/>
      <c r="AL94" s="180"/>
      <c r="AM94" s="179"/>
      <c r="AN94" s="181"/>
      <c r="AO94" s="181"/>
      <c r="AP94" s="181"/>
      <c r="AQ94" s="181"/>
      <c r="AR94" s="182"/>
      <c r="AS94" s="49"/>
      <c r="AT94" s="172"/>
      <c r="AU94" s="172"/>
      <c r="AV94" s="172"/>
      <c r="AW94" s="172"/>
      <c r="AX94" s="172"/>
      <c r="AY94" s="172"/>
      <c r="AZ94" s="172"/>
      <c r="BA94" s="172"/>
      <c r="BB94" s="172"/>
      <c r="BC94" s="172"/>
      <c r="BD94" s="173"/>
    </row>
    <row r="95" spans="1:56" ht="38.25" x14ac:dyDescent="0.25">
      <c r="A95" s="185">
        <v>3</v>
      </c>
      <c r="B95" s="37"/>
      <c r="C95" s="37"/>
      <c r="D95" s="37"/>
      <c r="E95" s="37"/>
      <c r="F95" s="37"/>
      <c r="G95" s="37"/>
      <c r="H95" s="54"/>
      <c r="I95" s="37"/>
      <c r="J95" s="37"/>
      <c r="K95" s="45"/>
      <c r="L95" s="48"/>
      <c r="M95" s="37"/>
      <c r="N95" s="45"/>
      <c r="O95" s="37"/>
      <c r="P95" s="37"/>
      <c r="Q95" s="37"/>
      <c r="R95" s="37"/>
      <c r="S95" s="37"/>
      <c r="T95" s="37" t="s">
        <v>208</v>
      </c>
      <c r="U95" s="37">
        <v>2</v>
      </c>
      <c r="V95" s="45">
        <v>40429</v>
      </c>
      <c r="W95" s="46">
        <v>10664</v>
      </c>
      <c r="X95" s="37" t="s">
        <v>653</v>
      </c>
      <c r="Y95" s="45"/>
      <c r="Z95" s="45">
        <v>41517</v>
      </c>
      <c r="AA95" s="70"/>
      <c r="AC95" s="208"/>
      <c r="AD95" s="37"/>
      <c r="AE95" s="37"/>
      <c r="AF95" s="184">
        <v>31740</v>
      </c>
      <c r="AG95" s="209"/>
      <c r="AH95" s="178"/>
      <c r="AI95" s="179"/>
      <c r="AJ95" s="107"/>
      <c r="AK95" s="107"/>
      <c r="AL95" s="180"/>
      <c r="AM95" s="179"/>
      <c r="AN95" s="181"/>
      <c r="AO95" s="181"/>
      <c r="AP95" s="181"/>
      <c r="AQ95" s="181"/>
      <c r="AR95" s="182"/>
      <c r="AS95" s="49"/>
      <c r="AT95" s="172"/>
      <c r="AU95" s="172"/>
      <c r="AV95" s="172"/>
      <c r="AW95" s="172"/>
      <c r="AX95" s="172"/>
      <c r="AY95" s="172"/>
      <c r="AZ95" s="172"/>
      <c r="BA95" s="172"/>
      <c r="BB95" s="172"/>
      <c r="BC95" s="172"/>
      <c r="BD95" s="173"/>
    </row>
    <row r="96" spans="1:56" ht="89.25" x14ac:dyDescent="0.25">
      <c r="A96" s="185">
        <v>4</v>
      </c>
      <c r="B96" s="37"/>
      <c r="C96" s="37"/>
      <c r="D96" s="37"/>
      <c r="E96" s="37"/>
      <c r="F96" s="37"/>
      <c r="G96" s="37"/>
      <c r="H96" s="54"/>
      <c r="I96" s="37"/>
      <c r="J96" s="37"/>
      <c r="K96" s="37"/>
      <c r="L96" s="48"/>
      <c r="M96" s="37"/>
      <c r="N96" s="37"/>
      <c r="O96" s="37"/>
      <c r="P96" s="37"/>
      <c r="Q96" s="37"/>
      <c r="R96" s="37"/>
      <c r="S96" s="37"/>
      <c r="T96" s="37" t="s">
        <v>208</v>
      </c>
      <c r="U96" s="37">
        <v>3</v>
      </c>
      <c r="V96" s="45" t="s">
        <v>654</v>
      </c>
      <c r="W96" s="46">
        <v>11040</v>
      </c>
      <c r="X96" s="37" t="s">
        <v>655</v>
      </c>
      <c r="Y96" s="45">
        <v>41395</v>
      </c>
      <c r="Z96" s="45">
        <v>41639</v>
      </c>
      <c r="AA96" s="70"/>
      <c r="AB96" s="37"/>
      <c r="AC96" s="37"/>
      <c r="AD96" s="37"/>
      <c r="AE96" s="177"/>
      <c r="AF96" s="184">
        <v>219543.56</v>
      </c>
      <c r="AG96" s="184"/>
      <c r="AH96" s="178"/>
      <c r="AI96" s="179"/>
      <c r="AJ96" s="107"/>
      <c r="AK96" s="107"/>
      <c r="AL96" s="180"/>
      <c r="AM96" s="179"/>
      <c r="AN96" s="181"/>
      <c r="AO96" s="181"/>
      <c r="AP96" s="181"/>
      <c r="AQ96" s="181"/>
      <c r="AR96" s="182"/>
      <c r="AS96" s="49"/>
      <c r="AT96" s="172"/>
      <c r="AU96" s="172"/>
      <c r="AV96" s="172"/>
      <c r="AW96" s="172"/>
      <c r="AX96" s="172"/>
      <c r="AY96" s="172"/>
      <c r="AZ96" s="172"/>
      <c r="BA96" s="172"/>
      <c r="BB96" s="172"/>
      <c r="BC96" s="172"/>
      <c r="BD96" s="173"/>
    </row>
    <row r="97" spans="1:56" ht="51" x14ac:dyDescent="0.25">
      <c r="A97" s="185">
        <v>5</v>
      </c>
      <c r="B97" s="37"/>
      <c r="C97" s="37"/>
      <c r="D97" s="37"/>
      <c r="E97" s="37"/>
      <c r="F97" s="37"/>
      <c r="G97" s="37"/>
      <c r="H97" s="54"/>
      <c r="I97" s="37"/>
      <c r="J97" s="37"/>
      <c r="K97" s="37"/>
      <c r="L97" s="48"/>
      <c r="M97" s="37"/>
      <c r="N97" s="37"/>
      <c r="O97" s="37"/>
      <c r="P97" s="37"/>
      <c r="Q97" s="37"/>
      <c r="R97" s="37"/>
      <c r="S97" s="37"/>
      <c r="T97" s="37" t="s">
        <v>208</v>
      </c>
      <c r="U97" s="37">
        <v>4</v>
      </c>
      <c r="V97" s="45" t="s">
        <v>656</v>
      </c>
      <c r="W97" s="37">
        <v>11091</v>
      </c>
      <c r="X97" s="37" t="s">
        <v>657</v>
      </c>
      <c r="Y97" s="45" t="s">
        <v>658</v>
      </c>
      <c r="Z97" s="45">
        <v>41790</v>
      </c>
      <c r="AA97" s="70">
        <v>7.2900000000000006E-2</v>
      </c>
      <c r="AB97" s="37"/>
      <c r="AC97" s="48">
        <v>1463.61</v>
      </c>
      <c r="AD97" s="37"/>
      <c r="AE97" s="177"/>
      <c r="AF97" s="184">
        <v>223808.91</v>
      </c>
      <c r="AG97" s="37"/>
      <c r="AH97" s="178"/>
      <c r="AI97" s="179"/>
      <c r="AJ97" s="107"/>
      <c r="AK97" s="107"/>
      <c r="AL97" s="180"/>
      <c r="AM97" s="179"/>
      <c r="AN97" s="181"/>
      <c r="AO97" s="181"/>
      <c r="AP97" s="181"/>
      <c r="AQ97" s="181"/>
      <c r="AR97" s="182"/>
      <c r="AS97" s="49"/>
      <c r="AT97" s="172"/>
      <c r="AU97" s="172"/>
      <c r="AV97" s="172"/>
      <c r="AW97" s="172"/>
      <c r="AX97" s="172"/>
      <c r="AY97" s="172"/>
      <c r="AZ97" s="172"/>
      <c r="BA97" s="172"/>
      <c r="BB97" s="172"/>
      <c r="BC97" s="172"/>
      <c r="BD97" s="173"/>
    </row>
    <row r="98" spans="1:56" ht="25.5" x14ac:dyDescent="0.25">
      <c r="A98" s="185">
        <v>6</v>
      </c>
      <c r="B98" s="37"/>
      <c r="C98" s="37"/>
      <c r="D98" s="37"/>
      <c r="E98" s="37"/>
      <c r="F98" s="37"/>
      <c r="G98" s="37"/>
      <c r="H98" s="54"/>
      <c r="I98" s="37"/>
      <c r="J98" s="37"/>
      <c r="K98" s="37"/>
      <c r="L98" s="48"/>
      <c r="M98" s="37"/>
      <c r="N98" s="37"/>
      <c r="O98" s="37"/>
      <c r="P98" s="37"/>
      <c r="Q98" s="37"/>
      <c r="R98" s="37"/>
      <c r="S98" s="37"/>
      <c r="T98" s="37" t="s">
        <v>208</v>
      </c>
      <c r="U98" s="37">
        <v>5</v>
      </c>
      <c r="V98" s="45" t="s">
        <v>659</v>
      </c>
      <c r="W98" s="37">
        <v>11130</v>
      </c>
      <c r="X98" s="37" t="s">
        <v>660</v>
      </c>
      <c r="Y98" s="45">
        <v>41487</v>
      </c>
      <c r="Z98" s="45">
        <v>41882</v>
      </c>
      <c r="AA98" s="37"/>
      <c r="AB98" s="37"/>
      <c r="AC98" s="37"/>
      <c r="AD98" s="37"/>
      <c r="AE98" s="177"/>
      <c r="AF98" s="184"/>
      <c r="AG98" s="220"/>
      <c r="AH98" s="178"/>
      <c r="AI98" s="179"/>
      <c r="AJ98" s="107"/>
      <c r="AK98" s="107"/>
      <c r="AL98" s="180"/>
      <c r="AM98" s="179"/>
      <c r="AN98" s="181"/>
      <c r="AO98" s="181"/>
      <c r="AP98" s="181"/>
      <c r="AQ98" s="181"/>
      <c r="AR98" s="182"/>
      <c r="AS98" s="49"/>
      <c r="AT98" s="172"/>
      <c r="AU98" s="172"/>
      <c r="AV98" s="172"/>
      <c r="AW98" s="172"/>
      <c r="AX98" s="172"/>
      <c r="AY98" s="172"/>
      <c r="AZ98" s="172"/>
      <c r="BA98" s="172"/>
      <c r="BB98" s="172"/>
      <c r="BC98" s="172"/>
      <c r="BD98" s="173"/>
    </row>
    <row r="99" spans="1:56" x14ac:dyDescent="0.25">
      <c r="A99" s="185"/>
      <c r="B99" s="37"/>
      <c r="C99" s="37"/>
      <c r="D99" s="37"/>
      <c r="E99" s="37"/>
      <c r="F99" s="37"/>
      <c r="G99" s="37"/>
      <c r="H99" s="54"/>
      <c r="I99" s="37"/>
      <c r="J99" s="37"/>
      <c r="K99" s="37"/>
      <c r="L99" s="48"/>
      <c r="M99" s="37"/>
      <c r="N99" s="37"/>
      <c r="O99" s="37"/>
      <c r="P99" s="37"/>
      <c r="Q99" s="37"/>
      <c r="R99" s="37"/>
      <c r="S99" s="37"/>
      <c r="T99" s="37"/>
      <c r="U99" s="37"/>
      <c r="V99" s="45"/>
      <c r="W99" s="37"/>
      <c r="X99" s="37"/>
      <c r="Y99" s="45"/>
      <c r="Z99" s="45"/>
      <c r="AA99" s="37"/>
      <c r="AB99" s="37"/>
      <c r="AC99" s="37"/>
      <c r="AD99" s="37"/>
      <c r="AE99" s="177"/>
      <c r="AF99" s="184"/>
      <c r="AG99" s="48"/>
      <c r="AH99" s="178"/>
      <c r="AI99" s="179"/>
      <c r="AJ99" s="107"/>
      <c r="AK99" s="107"/>
      <c r="AL99" s="180"/>
      <c r="AM99" s="179"/>
      <c r="AN99" s="181"/>
      <c r="AO99" s="181"/>
      <c r="AP99" s="181"/>
      <c r="AQ99" s="181"/>
      <c r="AR99" s="182"/>
      <c r="AS99" s="49"/>
      <c r="AT99" s="172"/>
      <c r="AU99" s="172"/>
      <c r="AV99" s="172"/>
      <c r="AW99" s="172"/>
      <c r="AX99" s="172"/>
      <c r="AY99" s="172"/>
      <c r="AZ99" s="172"/>
      <c r="BA99" s="172"/>
      <c r="BB99" s="172"/>
      <c r="BC99" s="172"/>
      <c r="BD99" s="173"/>
    </row>
    <row r="100" spans="1:56" ht="51.75" x14ac:dyDescent="0.25">
      <c r="A100" s="185">
        <v>7</v>
      </c>
      <c r="B100" s="37">
        <v>112350134</v>
      </c>
      <c r="C100" s="37"/>
      <c r="D100" s="150" t="s">
        <v>644</v>
      </c>
      <c r="E100" s="37"/>
      <c r="F100" s="37" t="s">
        <v>661</v>
      </c>
      <c r="G100" s="37"/>
      <c r="H100" s="54" t="s">
        <v>662</v>
      </c>
      <c r="I100" s="176" t="s">
        <v>647</v>
      </c>
      <c r="J100" s="37" t="s">
        <v>648</v>
      </c>
      <c r="K100" s="45">
        <v>40799</v>
      </c>
      <c r="L100" s="160">
        <v>1524110</v>
      </c>
      <c r="M100" s="37">
        <v>10637</v>
      </c>
      <c r="N100" s="45">
        <v>40787</v>
      </c>
      <c r="O100" s="45">
        <v>40908</v>
      </c>
      <c r="P100" s="37"/>
      <c r="Q100" s="37"/>
      <c r="R100" s="37"/>
      <c r="S100" s="37"/>
      <c r="T100" s="37" t="s">
        <v>208</v>
      </c>
      <c r="U100" s="37"/>
      <c r="V100" s="45"/>
      <c r="W100" s="37"/>
      <c r="X100" s="37"/>
      <c r="Y100" s="45"/>
      <c r="Z100" s="45"/>
      <c r="AA100" s="37"/>
      <c r="AB100" s="37"/>
      <c r="AC100" s="37"/>
      <c r="AD100" s="37"/>
      <c r="AE100" s="177"/>
      <c r="AF100" s="184"/>
      <c r="AG100" s="48"/>
      <c r="AH100" s="178"/>
      <c r="AI100" s="179"/>
      <c r="AJ100" s="107"/>
      <c r="AK100" s="107"/>
      <c r="AL100" s="180"/>
      <c r="AM100" s="216" t="s">
        <v>644</v>
      </c>
      <c r="AN100" s="217" t="s">
        <v>650</v>
      </c>
      <c r="AO100" s="181" t="s">
        <v>663</v>
      </c>
      <c r="AP100" s="181"/>
      <c r="AQ100" s="181"/>
      <c r="AR100" s="182"/>
      <c r="AS100" s="49"/>
      <c r="AT100" s="172"/>
      <c r="AU100" s="172"/>
      <c r="AV100" s="172"/>
      <c r="AW100" s="172"/>
      <c r="AX100" s="172"/>
      <c r="AY100" s="172"/>
      <c r="AZ100" s="172"/>
      <c r="BA100" s="172"/>
      <c r="BB100" s="172"/>
      <c r="BC100" s="172"/>
      <c r="BD100" s="173"/>
    </row>
    <row r="101" spans="1:56" ht="25.5" x14ac:dyDescent="0.25">
      <c r="A101" s="185">
        <v>8</v>
      </c>
      <c r="B101" s="37"/>
      <c r="C101" s="37"/>
      <c r="D101" s="37"/>
      <c r="E101" s="37"/>
      <c r="F101" s="37"/>
      <c r="G101" s="37"/>
      <c r="H101" s="54"/>
      <c r="I101" s="37"/>
      <c r="J101" s="37"/>
      <c r="K101" s="37"/>
      <c r="L101" s="48"/>
      <c r="M101" s="37"/>
      <c r="N101" s="37"/>
      <c r="O101" s="37"/>
      <c r="P101" s="37"/>
      <c r="Q101" s="37"/>
      <c r="R101" s="37"/>
      <c r="S101" s="37"/>
      <c r="T101" s="37"/>
      <c r="U101" s="37">
        <v>1</v>
      </c>
      <c r="V101" s="45">
        <v>41155</v>
      </c>
      <c r="W101" s="37">
        <v>10888</v>
      </c>
      <c r="X101" s="37" t="s">
        <v>664</v>
      </c>
      <c r="Y101" s="45">
        <v>41164</v>
      </c>
      <c r="Z101" s="45">
        <v>41529</v>
      </c>
      <c r="AA101" s="70">
        <v>6.2092000000000001E-2</v>
      </c>
      <c r="AB101" s="37"/>
      <c r="AC101" s="37">
        <v>816.51</v>
      </c>
      <c r="AD101" s="37"/>
      <c r="AE101" s="177"/>
      <c r="AF101" s="184">
        <v>52600</v>
      </c>
      <c r="AG101" s="48"/>
      <c r="AH101" s="178"/>
      <c r="AI101" s="179"/>
      <c r="AJ101" s="107"/>
      <c r="AK101" s="107"/>
      <c r="AL101" s="180"/>
      <c r="AM101" s="179"/>
      <c r="AN101" s="181"/>
      <c r="AO101" s="181"/>
      <c r="AP101" s="181"/>
      <c r="AQ101" s="181"/>
      <c r="AR101" s="182"/>
      <c r="AS101" s="49"/>
      <c r="AT101" s="172"/>
      <c r="AU101" s="172"/>
      <c r="AV101" s="172"/>
      <c r="AW101" s="172"/>
      <c r="AX101" s="172"/>
      <c r="AY101" s="172"/>
      <c r="AZ101" s="172"/>
      <c r="BA101" s="172"/>
      <c r="BB101" s="172"/>
      <c r="BC101" s="172"/>
      <c r="BD101" s="173"/>
    </row>
    <row r="102" spans="1:56" x14ac:dyDescent="0.25">
      <c r="A102" s="185">
        <v>9</v>
      </c>
      <c r="B102" s="37"/>
      <c r="C102" s="37"/>
      <c r="D102" s="37"/>
      <c r="E102" s="37"/>
      <c r="F102" s="37"/>
      <c r="G102" s="37"/>
      <c r="H102" s="54"/>
      <c r="I102" s="37"/>
      <c r="J102" s="37"/>
      <c r="K102" s="37"/>
      <c r="L102" s="48"/>
      <c r="M102" s="37"/>
      <c r="N102" s="37"/>
      <c r="O102" s="37"/>
      <c r="P102" s="37"/>
      <c r="Q102" s="37"/>
      <c r="R102" s="37"/>
      <c r="S102" s="37"/>
      <c r="T102" s="37" t="s">
        <v>665</v>
      </c>
      <c r="U102" s="37">
        <v>6</v>
      </c>
      <c r="V102" s="45">
        <v>41182</v>
      </c>
      <c r="W102" s="37">
        <v>11131</v>
      </c>
      <c r="X102" s="37" t="s">
        <v>666</v>
      </c>
      <c r="Y102" s="45">
        <v>41275</v>
      </c>
      <c r="Z102" s="45">
        <v>41639</v>
      </c>
      <c r="AA102" s="37"/>
      <c r="AB102" s="37"/>
      <c r="AC102" s="37"/>
      <c r="AD102" s="37"/>
      <c r="AE102" s="177"/>
      <c r="AF102" s="184">
        <v>156377</v>
      </c>
      <c r="AG102" s="48"/>
      <c r="AH102" s="178"/>
      <c r="AI102" s="179"/>
      <c r="AJ102" s="107"/>
      <c r="AK102" s="107"/>
      <c r="AL102" s="180"/>
      <c r="AM102" s="179"/>
      <c r="AN102" s="181"/>
      <c r="AO102" s="181"/>
      <c r="AP102" s="181"/>
      <c r="AQ102" s="181"/>
      <c r="AR102" s="182"/>
      <c r="AS102" s="49"/>
      <c r="AT102" s="172"/>
      <c r="AU102" s="172"/>
      <c r="AV102" s="172"/>
      <c r="AW102" s="172"/>
      <c r="AX102" s="172"/>
      <c r="AY102" s="172"/>
      <c r="AZ102" s="172"/>
      <c r="BA102" s="172"/>
      <c r="BB102" s="172"/>
      <c r="BC102" s="172"/>
      <c r="BD102" s="173"/>
    </row>
    <row r="103" spans="1:56" ht="25.5" x14ac:dyDescent="0.25">
      <c r="A103" s="185"/>
      <c r="B103" s="37"/>
      <c r="C103" s="37"/>
      <c r="D103" s="37"/>
      <c r="E103" s="37"/>
      <c r="F103" s="37"/>
      <c r="G103" s="37"/>
      <c r="H103" s="54"/>
      <c r="I103" s="37"/>
      <c r="J103" s="37"/>
      <c r="K103" s="37"/>
      <c r="L103" s="48"/>
      <c r="M103" s="37"/>
      <c r="N103" s="37"/>
      <c r="O103" s="37"/>
      <c r="P103" s="37"/>
      <c r="Q103" s="37"/>
      <c r="R103" s="37"/>
      <c r="S103" s="37"/>
      <c r="T103" s="37" t="s">
        <v>208</v>
      </c>
      <c r="U103" s="37">
        <v>7</v>
      </c>
      <c r="V103" s="45">
        <v>41547</v>
      </c>
      <c r="W103" s="37">
        <v>11185</v>
      </c>
      <c r="X103" s="37" t="s">
        <v>667</v>
      </c>
      <c r="Y103" s="45">
        <v>41547</v>
      </c>
      <c r="Z103" s="45">
        <v>41912</v>
      </c>
      <c r="AA103" s="70">
        <v>3.8507E-2</v>
      </c>
      <c r="AB103" s="37"/>
      <c r="AC103" s="37">
        <v>545.49</v>
      </c>
      <c r="AD103" s="37"/>
      <c r="AE103" s="177"/>
      <c r="AF103" s="184"/>
      <c r="AG103" s="220">
        <v>443287.41</v>
      </c>
      <c r="AH103" s="178"/>
      <c r="AI103" s="179"/>
      <c r="AJ103" s="107"/>
      <c r="AK103" s="107"/>
      <c r="AL103" s="180"/>
      <c r="AM103" s="179"/>
      <c r="AN103" s="181"/>
      <c r="AO103" s="181"/>
      <c r="AP103" s="181"/>
      <c r="AQ103" s="181"/>
      <c r="AR103" s="182"/>
      <c r="AS103" s="49"/>
      <c r="AT103" s="172"/>
      <c r="AU103" s="172"/>
      <c r="AV103" s="172"/>
      <c r="AW103" s="172"/>
      <c r="AX103" s="172"/>
      <c r="AY103" s="172"/>
      <c r="AZ103" s="172"/>
      <c r="BA103" s="172"/>
      <c r="BB103" s="172"/>
      <c r="BC103" s="172"/>
      <c r="BD103" s="173"/>
    </row>
    <row r="104" spans="1:56" x14ac:dyDescent="0.25">
      <c r="A104" s="221"/>
      <c r="B104" s="147"/>
      <c r="C104" s="147"/>
      <c r="D104" s="147"/>
      <c r="E104" s="147"/>
      <c r="F104" s="147"/>
      <c r="G104" s="147"/>
      <c r="H104" s="222"/>
      <c r="I104" s="147"/>
      <c r="J104" s="147"/>
      <c r="K104" s="147"/>
      <c r="L104" s="223"/>
      <c r="M104" s="147"/>
      <c r="N104" s="147"/>
      <c r="O104" s="147"/>
      <c r="P104" s="147"/>
      <c r="Q104" s="147"/>
      <c r="R104" s="147"/>
      <c r="S104" s="147"/>
      <c r="T104" s="147"/>
      <c r="U104" s="147"/>
      <c r="V104" s="224"/>
      <c r="W104" s="147"/>
      <c r="X104" s="147"/>
      <c r="Y104" s="224"/>
      <c r="Z104" s="224"/>
      <c r="AA104" s="147"/>
      <c r="AB104" s="147"/>
      <c r="AC104" s="147"/>
      <c r="AD104" s="147"/>
      <c r="AE104" s="225"/>
      <c r="AF104" s="225"/>
      <c r="AG104" s="147"/>
      <c r="AH104" s="226"/>
      <c r="AI104" s="226"/>
      <c r="AJ104" s="226"/>
      <c r="AK104" s="226"/>
      <c r="AL104" s="226"/>
      <c r="AM104" s="226"/>
      <c r="AN104" s="226"/>
      <c r="AO104" s="226"/>
      <c r="AP104" s="226"/>
      <c r="AQ104" s="226"/>
      <c r="AR104" s="226"/>
      <c r="AS104" s="147"/>
      <c r="AT104" s="204"/>
      <c r="AU104" s="204"/>
      <c r="AV104" s="204"/>
      <c r="AW104" s="204"/>
      <c r="AX104" s="204"/>
      <c r="AY104" s="204"/>
      <c r="AZ104" s="204"/>
      <c r="BA104" s="204"/>
      <c r="BB104" s="204"/>
      <c r="BC104" s="204"/>
      <c r="BD104" s="204"/>
    </row>
    <row r="105" spans="1:56" x14ac:dyDescent="0.25">
      <c r="A105" s="164" t="s">
        <v>668</v>
      </c>
      <c r="B105" s="199"/>
      <c r="C105" s="199"/>
      <c r="D105" s="199"/>
      <c r="E105" s="199"/>
      <c r="F105" s="199"/>
      <c r="G105" s="199"/>
      <c r="H105" s="199"/>
      <c r="I105" s="199"/>
      <c r="J105" s="199"/>
      <c r="K105" s="199"/>
      <c r="L105" s="200"/>
      <c r="M105" s="201"/>
      <c r="N105" s="201"/>
      <c r="O105" s="201"/>
      <c r="P105" s="201"/>
      <c r="Q105" s="201"/>
      <c r="R105" s="201"/>
      <c r="S105" s="201"/>
      <c r="T105" s="201"/>
      <c r="U105" s="201"/>
      <c r="V105" s="201"/>
      <c r="W105" s="201"/>
      <c r="X105" s="201"/>
      <c r="Y105" s="201"/>
      <c r="Z105" s="201"/>
      <c r="AA105" s="201"/>
      <c r="AB105" s="201"/>
      <c r="AC105" s="202"/>
      <c r="AD105" s="202"/>
      <c r="AE105" s="202"/>
      <c r="AF105" s="200"/>
      <c r="AG105" s="200"/>
      <c r="AH105" s="202"/>
      <c r="AI105" s="202"/>
      <c r="AJ105" s="202"/>
      <c r="AK105" s="202"/>
      <c r="AL105" s="202"/>
      <c r="AM105" s="202"/>
      <c r="AN105" s="202"/>
      <c r="AO105" s="202"/>
      <c r="AP105" s="202"/>
      <c r="AQ105" s="202"/>
      <c r="AR105" s="202"/>
      <c r="AS105" s="203"/>
      <c r="AT105" s="204"/>
      <c r="AU105" s="204"/>
      <c r="AV105" s="204"/>
      <c r="AW105" s="204"/>
      <c r="AX105" s="204"/>
      <c r="AY105" s="204"/>
      <c r="AZ105" s="204"/>
      <c r="BA105" s="204"/>
      <c r="BB105" s="204"/>
      <c r="BC105" s="204"/>
      <c r="BD105" s="204"/>
    </row>
    <row r="106" spans="1:56" x14ac:dyDescent="0.25">
      <c r="A106" s="162" t="s">
        <v>669</v>
      </c>
      <c r="B106" s="199"/>
      <c r="C106" s="199"/>
      <c r="D106" s="199"/>
      <c r="E106" s="199"/>
      <c r="F106" s="199"/>
      <c r="G106" s="199"/>
      <c r="H106" s="199"/>
      <c r="I106" s="199"/>
      <c r="J106" s="199"/>
      <c r="K106" s="199"/>
      <c r="L106" s="200"/>
      <c r="M106" s="201"/>
      <c r="N106" s="201"/>
      <c r="O106" s="201"/>
      <c r="P106" s="201"/>
      <c r="Q106" s="201"/>
      <c r="R106" s="201"/>
      <c r="S106" s="201"/>
      <c r="T106" s="201"/>
      <c r="U106" s="201"/>
      <c r="V106" s="201"/>
      <c r="W106" s="201"/>
      <c r="X106" s="201"/>
      <c r="Y106" s="201"/>
      <c r="Z106" s="201"/>
      <c r="AA106" s="201"/>
      <c r="AB106" s="201"/>
      <c r="AC106" s="202"/>
      <c r="AD106" s="202"/>
      <c r="AE106" s="202"/>
      <c r="AF106" s="200"/>
      <c r="AG106" s="200"/>
      <c r="AH106" s="202"/>
      <c r="AI106" s="202"/>
      <c r="AJ106" s="202"/>
      <c r="AK106" s="202"/>
      <c r="AL106" s="202"/>
      <c r="AM106" s="202"/>
      <c r="AN106" s="202"/>
      <c r="AO106" s="202"/>
      <c r="AP106" s="202"/>
      <c r="AQ106" s="202"/>
      <c r="AR106" s="202"/>
      <c r="AS106" s="203"/>
      <c r="AT106" s="204"/>
      <c r="AU106" s="204"/>
      <c r="AV106" s="204"/>
      <c r="AW106" s="204"/>
      <c r="AX106" s="204"/>
      <c r="AY106" s="204"/>
      <c r="AZ106" s="204"/>
      <c r="BA106" s="204"/>
      <c r="BB106" s="204"/>
      <c r="BC106" s="204"/>
      <c r="BD106" s="204"/>
    </row>
    <row r="107" spans="1:56" x14ac:dyDescent="0.25">
      <c r="A107" s="199"/>
      <c r="B107" s="199"/>
      <c r="C107" s="199"/>
      <c r="D107" s="199"/>
      <c r="E107" s="199"/>
      <c r="F107" s="199"/>
      <c r="G107" s="199"/>
      <c r="H107" s="199"/>
      <c r="I107" s="199"/>
      <c r="J107" s="199"/>
      <c r="K107" s="199"/>
      <c r="L107" s="200"/>
      <c r="M107" s="201"/>
      <c r="N107" s="201"/>
      <c r="O107" s="201"/>
      <c r="P107" s="201"/>
      <c r="Q107" s="201"/>
      <c r="R107" s="201"/>
      <c r="S107" s="201"/>
      <c r="T107" s="201"/>
      <c r="U107" s="201"/>
      <c r="V107" s="201"/>
      <c r="W107" s="201"/>
      <c r="X107" s="201"/>
      <c r="Y107" s="201"/>
      <c r="Z107" s="201"/>
      <c r="AA107" s="201"/>
      <c r="AB107" s="201"/>
      <c r="AC107" s="202"/>
      <c r="AD107" s="202"/>
      <c r="AE107" s="202"/>
      <c r="AF107" s="200"/>
      <c r="AG107" s="200"/>
      <c r="AH107" s="202"/>
      <c r="AI107" s="202"/>
      <c r="AJ107" s="202"/>
      <c r="AK107" s="202"/>
      <c r="AL107" s="202"/>
      <c r="AM107" s="202"/>
      <c r="AN107" s="202"/>
      <c r="AO107" s="202"/>
      <c r="AP107" s="202"/>
      <c r="AQ107" s="202"/>
      <c r="AR107" s="202"/>
      <c r="AS107" s="203"/>
      <c r="AT107" s="204"/>
      <c r="AU107" s="204"/>
      <c r="AV107" s="204"/>
      <c r="AW107" s="204"/>
      <c r="AX107" s="204"/>
      <c r="AY107" s="204"/>
      <c r="AZ107" s="204"/>
      <c r="BA107" s="204"/>
      <c r="BB107" s="204"/>
      <c r="BC107" s="204"/>
      <c r="BD107" s="204"/>
    </row>
    <row r="109" spans="1:56" x14ac:dyDescent="0.25">
      <c r="A109" s="164"/>
      <c r="B109" s="164"/>
      <c r="C109" s="164"/>
      <c r="D109" s="164"/>
      <c r="Z109" s="227"/>
    </row>
    <row r="110" spans="1:56" x14ac:dyDescent="0.25">
      <c r="A110" s="2079"/>
      <c r="B110" s="2079"/>
      <c r="C110" s="2079"/>
      <c r="D110" s="2079"/>
    </row>
    <row r="112" spans="1:56" ht="14.25" customHeight="1" x14ac:dyDescent="0.25">
      <c r="A112" s="228"/>
      <c r="B112" s="228"/>
      <c r="C112" s="228"/>
      <c r="D112" s="228"/>
      <c r="E112" s="228"/>
      <c r="F112" s="228"/>
      <c r="G112" s="228"/>
    </row>
    <row r="113" spans="1:7" hidden="1" x14ac:dyDescent="0.25">
      <c r="A113" s="2072"/>
      <c r="B113" s="2075"/>
      <c r="C113" s="2075"/>
      <c r="D113" s="2075"/>
      <c r="E113" s="2075"/>
      <c r="F113" s="2075"/>
      <c r="G113" s="2075"/>
    </row>
    <row r="114" spans="1:7" ht="11.25" customHeight="1" x14ac:dyDescent="0.25">
      <c r="A114" s="2072"/>
      <c r="B114" s="2075"/>
      <c r="C114" s="2075"/>
      <c r="D114" s="2075"/>
      <c r="E114" s="2075"/>
      <c r="F114" s="2075"/>
      <c r="G114" s="2075"/>
    </row>
    <row r="115" spans="1:7" x14ac:dyDescent="0.25">
      <c r="A115" s="2072"/>
      <c r="B115" s="2075"/>
      <c r="C115" s="2075"/>
      <c r="D115" s="2075"/>
      <c r="E115" s="2075"/>
      <c r="F115" s="2075"/>
      <c r="G115" s="2075"/>
    </row>
    <row r="116" spans="1:7" ht="14.25" customHeight="1" x14ac:dyDescent="0.25">
      <c r="A116" s="229"/>
      <c r="B116" s="2075"/>
      <c r="C116" s="2075"/>
      <c r="D116" s="2075"/>
      <c r="E116" s="2075"/>
      <c r="F116" s="2075"/>
      <c r="G116" s="2075"/>
    </row>
    <row r="117" spans="1:7" x14ac:dyDescent="0.25">
      <c r="A117" s="228"/>
      <c r="B117" s="2075"/>
      <c r="C117" s="2075"/>
      <c r="D117" s="2075"/>
      <c r="E117" s="2075"/>
      <c r="F117" s="2075"/>
      <c r="G117" s="2075"/>
    </row>
    <row r="118" spans="1:7" x14ac:dyDescent="0.25">
      <c r="A118" s="229"/>
      <c r="B118" s="2075"/>
      <c r="C118" s="2075"/>
      <c r="D118" s="2075"/>
      <c r="E118" s="2075"/>
      <c r="F118" s="2075"/>
      <c r="G118" s="2075"/>
    </row>
    <row r="119" spans="1:7" x14ac:dyDescent="0.25">
      <c r="A119" s="228"/>
      <c r="B119" s="229"/>
      <c r="C119" s="2078"/>
      <c r="D119" s="2078"/>
      <c r="E119" s="2078"/>
      <c r="F119" s="2078"/>
      <c r="G119" s="2078"/>
    </row>
    <row r="120" spans="1:7" x14ac:dyDescent="0.25">
      <c r="A120" s="228"/>
      <c r="B120" s="229"/>
      <c r="C120" s="2074"/>
      <c r="D120" s="2074"/>
      <c r="E120" s="2074"/>
      <c r="F120" s="2074"/>
      <c r="G120" s="2074"/>
    </row>
    <row r="121" spans="1:7" x14ac:dyDescent="0.25">
      <c r="A121" s="228"/>
      <c r="B121" s="229"/>
      <c r="C121" s="2074"/>
      <c r="D121" s="2074"/>
      <c r="E121" s="2074"/>
      <c r="F121" s="2074"/>
      <c r="G121" s="2074"/>
    </row>
    <row r="122" spans="1:7" x14ac:dyDescent="0.25">
      <c r="A122" s="228"/>
      <c r="B122" s="229"/>
      <c r="C122" s="2074"/>
      <c r="D122" s="2074"/>
      <c r="E122" s="2074"/>
      <c r="F122" s="2074"/>
      <c r="G122" s="2074"/>
    </row>
    <row r="123" spans="1:7" x14ac:dyDescent="0.25">
      <c r="A123" s="228"/>
      <c r="B123" s="229"/>
      <c r="C123" s="2076"/>
      <c r="D123" s="2076"/>
      <c r="E123" s="2076"/>
      <c r="F123" s="2076"/>
      <c r="G123" s="2076"/>
    </row>
    <row r="124" spans="1:7" x14ac:dyDescent="0.25">
      <c r="A124" s="228"/>
      <c r="B124" s="229"/>
      <c r="C124" s="2076"/>
      <c r="D124" s="2076"/>
      <c r="E124" s="2076"/>
      <c r="F124" s="2076"/>
      <c r="G124" s="2076"/>
    </row>
    <row r="125" spans="1:7" ht="17.25" customHeight="1" x14ac:dyDescent="0.25">
      <c r="A125" s="228"/>
      <c r="B125" s="2077"/>
      <c r="C125" s="2075"/>
      <c r="D125" s="2075"/>
      <c r="E125" s="2075"/>
      <c r="F125" s="2075"/>
      <c r="G125" s="2075"/>
    </row>
    <row r="126" spans="1:7" hidden="1" x14ac:dyDescent="0.25">
      <c r="A126" s="228"/>
      <c r="B126" s="2077"/>
      <c r="C126" s="2075"/>
      <c r="D126" s="2075"/>
      <c r="E126" s="2075"/>
      <c r="F126" s="2075"/>
      <c r="G126" s="2075"/>
    </row>
    <row r="127" spans="1:7" x14ac:dyDescent="0.25">
      <c r="A127" s="228"/>
      <c r="B127" s="230"/>
      <c r="C127" s="2075"/>
      <c r="D127" s="2075"/>
      <c r="E127" s="2075"/>
      <c r="F127" s="2075"/>
      <c r="G127" s="2075"/>
    </row>
    <row r="128" spans="1:7" x14ac:dyDescent="0.25">
      <c r="A128" s="228"/>
      <c r="B128" s="229"/>
      <c r="C128" s="2074"/>
      <c r="D128" s="2074"/>
      <c r="E128" s="2074"/>
      <c r="F128" s="2074"/>
      <c r="G128" s="2074"/>
    </row>
    <row r="129" spans="1:7" ht="15.75" customHeight="1" x14ac:dyDescent="0.25">
      <c r="A129" s="228"/>
      <c r="B129" s="231"/>
      <c r="C129" s="2075"/>
      <c r="D129" s="2075"/>
      <c r="E129" s="2075"/>
      <c r="F129" s="2075"/>
      <c r="G129" s="2075"/>
    </row>
    <row r="130" spans="1:7" x14ac:dyDescent="0.25">
      <c r="A130" s="228"/>
      <c r="B130" s="229"/>
      <c r="C130" s="2074"/>
      <c r="D130" s="2074"/>
      <c r="E130" s="2074"/>
      <c r="F130" s="2074"/>
      <c r="G130" s="2074"/>
    </row>
    <row r="131" spans="1:7" x14ac:dyDescent="0.25">
      <c r="A131" s="228"/>
      <c r="B131" s="232"/>
      <c r="C131" s="2074"/>
      <c r="D131" s="2074"/>
      <c r="E131" s="2074"/>
      <c r="F131" s="2074"/>
      <c r="G131" s="2074"/>
    </row>
    <row r="132" spans="1:7" x14ac:dyDescent="0.25">
      <c r="A132" s="228"/>
      <c r="B132" s="229"/>
      <c r="C132" s="2075"/>
      <c r="D132" s="2075"/>
      <c r="E132" s="2075"/>
      <c r="F132" s="2075"/>
      <c r="G132" s="2075"/>
    </row>
    <row r="133" spans="1:7" x14ac:dyDescent="0.25">
      <c r="A133" s="228"/>
      <c r="B133" s="229"/>
      <c r="C133" s="2074"/>
      <c r="D133" s="2074"/>
      <c r="E133" s="2074"/>
      <c r="F133" s="2074"/>
      <c r="G133" s="2074"/>
    </row>
    <row r="134" spans="1:7" x14ac:dyDescent="0.25">
      <c r="A134" s="228"/>
      <c r="B134" s="229"/>
      <c r="C134" s="2074"/>
      <c r="D134" s="2074"/>
      <c r="E134" s="2074"/>
      <c r="F134" s="2074"/>
      <c r="G134" s="2074"/>
    </row>
    <row r="135" spans="1:7" x14ac:dyDescent="0.25">
      <c r="A135" s="228"/>
      <c r="B135" s="229"/>
      <c r="C135" s="2074"/>
      <c r="D135" s="2074"/>
      <c r="E135" s="2074"/>
      <c r="F135" s="2074"/>
      <c r="G135" s="2074"/>
    </row>
    <row r="136" spans="1:7" x14ac:dyDescent="0.25">
      <c r="B136" s="2072"/>
      <c r="C136" s="2076"/>
      <c r="D136" s="2076"/>
      <c r="E136" s="2076"/>
      <c r="F136" s="2076"/>
      <c r="G136" s="2076"/>
    </row>
    <row r="137" spans="1:7" ht="12" customHeight="1" x14ac:dyDescent="0.25">
      <c r="B137" s="2072"/>
      <c r="C137" s="2076"/>
      <c r="D137" s="2076"/>
      <c r="E137" s="2076"/>
      <c r="F137" s="2076"/>
      <c r="G137" s="2076"/>
    </row>
    <row r="138" spans="1:7" ht="24.75" customHeight="1" x14ac:dyDescent="0.25">
      <c r="B138" s="231"/>
      <c r="C138" s="2076"/>
      <c r="D138" s="2076"/>
      <c r="E138" s="2076"/>
      <c r="F138" s="2076"/>
      <c r="G138" s="2076"/>
    </row>
    <row r="139" spans="1:7" ht="23.25" customHeight="1" x14ac:dyDescent="0.25">
      <c r="B139" s="231"/>
      <c r="C139" s="2076"/>
      <c r="D139" s="2076"/>
      <c r="E139" s="2076"/>
      <c r="F139" s="2076"/>
      <c r="G139" s="2076"/>
    </row>
    <row r="140" spans="1:7" ht="12" customHeight="1" x14ac:dyDescent="0.25">
      <c r="B140" s="231"/>
      <c r="C140" s="233"/>
      <c r="D140" s="233"/>
      <c r="E140" s="233"/>
      <c r="F140" s="233"/>
      <c r="G140" s="233"/>
    </row>
    <row r="141" spans="1:7" ht="15" customHeight="1" x14ac:dyDescent="0.25">
      <c r="B141" s="231"/>
      <c r="C141" s="2074"/>
      <c r="D141" s="2074"/>
      <c r="E141" s="2074"/>
      <c r="F141" s="2074"/>
      <c r="G141" s="2074"/>
    </row>
    <row r="142" spans="1:7" ht="15" customHeight="1" x14ac:dyDescent="0.25">
      <c r="B142" s="231"/>
      <c r="C142" s="2074"/>
      <c r="D142" s="2074"/>
      <c r="E142" s="2074"/>
      <c r="F142" s="2074"/>
      <c r="G142" s="2074"/>
    </row>
    <row r="143" spans="1:7" ht="15" customHeight="1" x14ac:dyDescent="0.25">
      <c r="B143" s="231"/>
      <c r="C143" s="2074"/>
      <c r="D143" s="2074"/>
      <c r="E143" s="2074"/>
      <c r="F143" s="2074"/>
      <c r="G143" s="2074"/>
    </row>
    <row r="144" spans="1:7" ht="15" customHeight="1" x14ac:dyDescent="0.25">
      <c r="B144" s="231"/>
      <c r="C144" s="2074"/>
      <c r="D144" s="2074"/>
      <c r="E144" s="2074"/>
      <c r="F144" s="2074"/>
      <c r="G144" s="2074"/>
    </row>
    <row r="145" spans="2:7" ht="15" customHeight="1" x14ac:dyDescent="0.25">
      <c r="B145" s="231"/>
      <c r="C145" s="2074"/>
      <c r="D145" s="2074"/>
      <c r="E145" s="2074"/>
      <c r="F145" s="2074"/>
      <c r="G145" s="2074"/>
    </row>
    <row r="146" spans="2:7" x14ac:dyDescent="0.25">
      <c r="B146" s="229"/>
      <c r="C146" s="2074"/>
      <c r="D146" s="2074"/>
      <c r="E146" s="2074"/>
      <c r="F146" s="2074"/>
      <c r="G146" s="2074"/>
    </row>
    <row r="147" spans="2:7" x14ac:dyDescent="0.25">
      <c r="B147" s="229"/>
      <c r="C147" s="2074"/>
      <c r="D147" s="2074"/>
      <c r="E147" s="2074"/>
      <c r="F147" s="2074"/>
      <c r="G147" s="2074"/>
    </row>
    <row r="148" spans="2:7" x14ac:dyDescent="0.25">
      <c r="B148" s="229"/>
      <c r="C148" s="2074"/>
      <c r="D148" s="2074"/>
      <c r="E148" s="2074"/>
      <c r="F148" s="2074"/>
      <c r="G148" s="2074"/>
    </row>
    <row r="149" spans="2:7" x14ac:dyDescent="0.25">
      <c r="B149" s="229"/>
      <c r="C149" s="2074"/>
      <c r="D149" s="2074"/>
      <c r="E149" s="2074"/>
      <c r="F149" s="2074"/>
      <c r="G149" s="2074"/>
    </row>
    <row r="150" spans="2:7" x14ac:dyDescent="0.25">
      <c r="B150" s="2072"/>
      <c r="C150" s="2075"/>
      <c r="D150" s="2075"/>
      <c r="E150" s="2075"/>
      <c r="F150" s="2075"/>
      <c r="G150" s="2075"/>
    </row>
    <row r="151" spans="2:7" ht="1.5" customHeight="1" x14ac:dyDescent="0.25">
      <c r="B151" s="2072"/>
      <c r="C151" s="2075"/>
      <c r="D151" s="2075"/>
      <c r="E151" s="2075"/>
      <c r="F151" s="2075"/>
      <c r="G151" s="2075"/>
    </row>
    <row r="152" spans="2:7" x14ac:dyDescent="0.25">
      <c r="B152" s="229"/>
      <c r="C152" s="2074"/>
      <c r="D152" s="2074"/>
      <c r="E152" s="2074"/>
      <c r="F152" s="2074"/>
      <c r="G152" s="2074"/>
    </row>
    <row r="153" spans="2:7" x14ac:dyDescent="0.25">
      <c r="B153" s="229"/>
      <c r="C153" s="2074"/>
      <c r="D153" s="2074"/>
      <c r="E153" s="2074"/>
      <c r="F153" s="2074"/>
      <c r="G153" s="2074"/>
    </row>
    <row r="154" spans="2:7" x14ac:dyDescent="0.25">
      <c r="B154" s="234"/>
      <c r="C154" s="2070"/>
      <c r="D154" s="2070"/>
      <c r="E154" s="2070"/>
      <c r="F154" s="2070"/>
      <c r="G154" s="2070"/>
    </row>
    <row r="155" spans="2:7" x14ac:dyDescent="0.25">
      <c r="B155" s="229"/>
      <c r="C155" s="2074"/>
      <c r="D155" s="2074"/>
      <c r="E155" s="2074"/>
      <c r="F155" s="2074"/>
      <c r="G155" s="2074"/>
    </row>
    <row r="156" spans="2:7" x14ac:dyDescent="0.25">
      <c r="B156" s="229"/>
      <c r="C156" s="2074"/>
      <c r="D156" s="2074"/>
      <c r="E156" s="2074"/>
      <c r="F156" s="2074"/>
      <c r="G156" s="2074"/>
    </row>
    <row r="157" spans="2:7" x14ac:dyDescent="0.25">
      <c r="B157" s="229"/>
      <c r="C157" s="2074"/>
      <c r="D157" s="2074"/>
      <c r="E157" s="2074"/>
      <c r="F157" s="2074"/>
      <c r="G157" s="2074"/>
    </row>
    <row r="158" spans="2:7" x14ac:dyDescent="0.25">
      <c r="B158" s="229"/>
      <c r="C158" s="2074"/>
      <c r="D158" s="2074"/>
      <c r="E158" s="2074"/>
      <c r="F158" s="2074"/>
      <c r="G158" s="2074"/>
    </row>
    <row r="159" spans="2:7" x14ac:dyDescent="0.25">
      <c r="B159" s="234"/>
      <c r="C159" s="2070"/>
      <c r="D159" s="2070"/>
      <c r="E159" s="2070"/>
      <c r="F159" s="2070"/>
      <c r="G159" s="2070"/>
    </row>
    <row r="160" spans="2:7" x14ac:dyDescent="0.25">
      <c r="B160" s="229"/>
      <c r="C160" s="2074"/>
      <c r="D160" s="2074"/>
      <c r="E160" s="2074"/>
      <c r="F160" s="2074"/>
      <c r="G160" s="2074"/>
    </row>
    <row r="161" spans="1:7" x14ac:dyDescent="0.25">
      <c r="B161" s="229"/>
      <c r="C161" s="2074"/>
      <c r="D161" s="2074"/>
      <c r="E161" s="2074"/>
      <c r="F161" s="2074"/>
      <c r="G161" s="2074"/>
    </row>
    <row r="162" spans="1:7" x14ac:dyDescent="0.25">
      <c r="B162" s="229"/>
      <c r="C162" s="2074"/>
      <c r="D162" s="2074"/>
      <c r="E162" s="2074"/>
      <c r="F162" s="2074"/>
      <c r="G162" s="2074"/>
    </row>
    <row r="163" spans="1:7" x14ac:dyDescent="0.25">
      <c r="B163" s="229"/>
      <c r="C163" s="2074"/>
      <c r="D163" s="2074"/>
      <c r="E163" s="2074"/>
      <c r="F163" s="2074"/>
      <c r="G163" s="2074"/>
    </row>
    <row r="164" spans="1:7" x14ac:dyDescent="0.25">
      <c r="B164" s="229"/>
      <c r="C164" s="2074"/>
      <c r="D164" s="2074"/>
      <c r="E164" s="2074"/>
      <c r="F164" s="2074"/>
      <c r="G164" s="2074"/>
    </row>
    <row r="165" spans="1:7" x14ac:dyDescent="0.25">
      <c r="B165" s="229"/>
      <c r="C165" s="2074"/>
      <c r="D165" s="2074"/>
      <c r="E165" s="2074"/>
      <c r="F165" s="2074"/>
      <c r="G165" s="2074"/>
    </row>
    <row r="166" spans="1:7" x14ac:dyDescent="0.25">
      <c r="B166" s="234"/>
      <c r="C166" s="2070"/>
      <c r="D166" s="2070"/>
      <c r="E166" s="2070"/>
      <c r="F166" s="2070"/>
      <c r="G166" s="2070"/>
    </row>
    <row r="167" spans="1:7" ht="13.5" customHeight="1" x14ac:dyDescent="0.25">
      <c r="B167" s="2072"/>
      <c r="C167" s="2073"/>
      <c r="D167" s="2073"/>
      <c r="E167" s="2073"/>
      <c r="F167" s="2073"/>
      <c r="G167" s="2073"/>
    </row>
    <row r="168" spans="1:7" hidden="1" x14ac:dyDescent="0.25">
      <c r="B168" s="2072"/>
      <c r="C168" s="2073"/>
      <c r="D168" s="2073"/>
      <c r="E168" s="2073"/>
      <c r="F168" s="2073"/>
      <c r="G168" s="2073"/>
    </row>
    <row r="169" spans="1:7" x14ac:dyDescent="0.25">
      <c r="B169" s="229"/>
      <c r="C169" s="2070"/>
      <c r="D169" s="2070"/>
      <c r="E169" s="2070"/>
      <c r="F169" s="2070"/>
      <c r="G169" s="2070"/>
    </row>
    <row r="170" spans="1:7" x14ac:dyDescent="0.25">
      <c r="B170" s="229"/>
      <c r="C170" s="2070"/>
      <c r="D170" s="2070"/>
      <c r="E170" s="2070"/>
      <c r="F170" s="2070"/>
      <c r="G170" s="2070"/>
    </row>
    <row r="171" spans="1:7" x14ac:dyDescent="0.25">
      <c r="B171" s="229"/>
      <c r="C171" s="2070"/>
      <c r="D171" s="2070"/>
      <c r="E171" s="2070"/>
      <c r="F171" s="2070"/>
      <c r="G171" s="2070"/>
    </row>
    <row r="172" spans="1:7" x14ac:dyDescent="0.25">
      <c r="B172" s="229"/>
      <c r="C172" s="2070"/>
      <c r="D172" s="2070"/>
      <c r="E172" s="2070"/>
      <c r="F172" s="2070"/>
      <c r="G172" s="2070"/>
    </row>
    <row r="173" spans="1:7" x14ac:dyDescent="0.25">
      <c r="A173" s="235"/>
      <c r="B173" s="229"/>
      <c r="C173" s="2070"/>
      <c r="D173" s="2070"/>
      <c r="E173" s="2070"/>
      <c r="F173" s="2070"/>
      <c r="G173" s="2070"/>
    </row>
    <row r="174" spans="1:7" x14ac:dyDescent="0.25">
      <c r="A174" s="235"/>
      <c r="B174" s="229"/>
      <c r="C174" s="2070"/>
      <c r="D174" s="2070"/>
      <c r="E174" s="2070"/>
      <c r="F174" s="2070"/>
      <c r="G174" s="2070"/>
    </row>
    <row r="175" spans="1:7" x14ac:dyDescent="0.25">
      <c r="A175" s="235"/>
      <c r="B175" s="229"/>
      <c r="C175" s="2070"/>
      <c r="D175" s="2070"/>
      <c r="E175" s="2070"/>
      <c r="F175" s="2070"/>
      <c r="G175" s="2070"/>
    </row>
    <row r="176" spans="1:7" x14ac:dyDescent="0.25">
      <c r="A176" s="235"/>
      <c r="B176" s="229"/>
      <c r="C176" s="236"/>
      <c r="D176" s="236"/>
      <c r="E176" s="236"/>
      <c r="F176" s="236"/>
      <c r="G176" s="236"/>
    </row>
    <row r="177" spans="1:7" x14ac:dyDescent="0.25">
      <c r="A177" s="235"/>
      <c r="B177" s="237"/>
      <c r="C177" s="2071"/>
      <c r="D177" s="2071"/>
      <c r="E177" s="2071"/>
      <c r="F177" s="2071"/>
      <c r="G177" s="2071"/>
    </row>
    <row r="178" spans="1:7" x14ac:dyDescent="0.25">
      <c r="B178" s="229"/>
      <c r="C178" s="2070"/>
      <c r="D178" s="2070"/>
      <c r="E178" s="2070"/>
      <c r="F178" s="2070"/>
      <c r="G178" s="2070"/>
    </row>
    <row r="179" spans="1:7" x14ac:dyDescent="0.25">
      <c r="C179" s="238"/>
      <c r="D179" s="238"/>
      <c r="E179" s="238"/>
      <c r="F179" s="238"/>
      <c r="G179" s="238"/>
    </row>
  </sheetData>
  <mergeCells count="233">
    <mergeCell ref="A13:AS13"/>
    <mergeCell ref="A14:J14"/>
    <mergeCell ref="A15:E15"/>
    <mergeCell ref="A17:AS17"/>
    <mergeCell ref="A18:AS18"/>
    <mergeCell ref="AE23:AH23"/>
    <mergeCell ref="AI23:AI24"/>
    <mergeCell ref="AJ23:AJ24"/>
    <mergeCell ref="AK23:AK24"/>
    <mergeCell ref="AL23:AL24"/>
    <mergeCell ref="AM23:AM24"/>
    <mergeCell ref="A19:AS19"/>
    <mergeCell ref="A21:BD21"/>
    <mergeCell ref="A22:A25"/>
    <mergeCell ref="B22:G23"/>
    <mergeCell ref="H22:AH22"/>
    <mergeCell ref="AI22:AL22"/>
    <mergeCell ref="AM22:AR22"/>
    <mergeCell ref="AS22:BD22"/>
    <mergeCell ref="H23:T23"/>
    <mergeCell ref="U23:AD23"/>
    <mergeCell ref="AT23:AT24"/>
    <mergeCell ref="AU23:AW23"/>
    <mergeCell ref="AX23:AY23"/>
    <mergeCell ref="AZ23:AZ24"/>
    <mergeCell ref="BA23:BA24"/>
    <mergeCell ref="BB23:BD23"/>
    <mergeCell ref="AN23:AN24"/>
    <mergeCell ref="AO23:AO24"/>
    <mergeCell ref="AP23:AP24"/>
    <mergeCell ref="AQ23:AQ24"/>
    <mergeCell ref="AR23:AR24"/>
    <mergeCell ref="AS23:AS24"/>
    <mergeCell ref="A32:K32"/>
    <mergeCell ref="A36:BD36"/>
    <mergeCell ref="A37:A40"/>
    <mergeCell ref="B37:G38"/>
    <mergeCell ref="H37:AH37"/>
    <mergeCell ref="AI37:AL37"/>
    <mergeCell ref="AM37:AR37"/>
    <mergeCell ref="AS37:BD37"/>
    <mergeCell ref="H38:T38"/>
    <mergeCell ref="U38:AD38"/>
    <mergeCell ref="AT38:AT39"/>
    <mergeCell ref="AU38:AW38"/>
    <mergeCell ref="AX38:AY38"/>
    <mergeCell ref="AZ38:AZ39"/>
    <mergeCell ref="BA38:BA39"/>
    <mergeCell ref="BB38:BD38"/>
    <mergeCell ref="AN38:AN39"/>
    <mergeCell ref="AO38:AO39"/>
    <mergeCell ref="AP38:AP39"/>
    <mergeCell ref="AQ38:AQ39"/>
    <mergeCell ref="AR38:AR39"/>
    <mergeCell ref="AS38:AS39"/>
    <mergeCell ref="AE38:AH38"/>
    <mergeCell ref="AI38:AI39"/>
    <mergeCell ref="AM51:AM52"/>
    <mergeCell ref="AN51:AN52"/>
    <mergeCell ref="A49:BD49"/>
    <mergeCell ref="A50:A53"/>
    <mergeCell ref="B50:G51"/>
    <mergeCell ref="H50:AH50"/>
    <mergeCell ref="AI50:AL50"/>
    <mergeCell ref="AM50:AR50"/>
    <mergeCell ref="AS50:BD50"/>
    <mergeCell ref="H51:T51"/>
    <mergeCell ref="U51:AD51"/>
    <mergeCell ref="AE51:AH51"/>
    <mergeCell ref="AI51:AI52"/>
    <mergeCell ref="AJ51:AJ52"/>
    <mergeCell ref="AK51:AK52"/>
    <mergeCell ref="AL51:AL52"/>
    <mergeCell ref="AJ38:AJ39"/>
    <mergeCell ref="AK38:AK39"/>
    <mergeCell ref="AL38:AL39"/>
    <mergeCell ref="AM38:AM39"/>
    <mergeCell ref="H63:AH63"/>
    <mergeCell ref="AI63:AL63"/>
    <mergeCell ref="AM63:AR63"/>
    <mergeCell ref="AS63:BD63"/>
    <mergeCell ref="H64:T64"/>
    <mergeCell ref="U64:AD64"/>
    <mergeCell ref="AE64:AH64"/>
    <mergeCell ref="AI64:AI65"/>
    <mergeCell ref="AU51:AW51"/>
    <mergeCell ref="AX51:AY51"/>
    <mergeCell ref="AZ51:AZ52"/>
    <mergeCell ref="BA51:BA52"/>
    <mergeCell ref="BB51:BD51"/>
    <mergeCell ref="A62:BD62"/>
    <mergeCell ref="AO51:AO52"/>
    <mergeCell ref="AP51:AP52"/>
    <mergeCell ref="AQ51:AQ52"/>
    <mergeCell ref="AR51:AR52"/>
    <mergeCell ref="AS51:AS52"/>
    <mergeCell ref="AT51:AT52"/>
    <mergeCell ref="AX64:AY64"/>
    <mergeCell ref="AZ64:AZ65"/>
    <mergeCell ref="BA64:BA65"/>
    <mergeCell ref="BB64:BD64"/>
    <mergeCell ref="A75:BD75"/>
    <mergeCell ref="A76:A79"/>
    <mergeCell ref="B76:G77"/>
    <mergeCell ref="H76:AH76"/>
    <mergeCell ref="AI76:AL76"/>
    <mergeCell ref="AM76:AR76"/>
    <mergeCell ref="AP64:AP65"/>
    <mergeCell ref="AQ64:AQ65"/>
    <mergeCell ref="AR64:AR65"/>
    <mergeCell ref="AS64:AS65"/>
    <mergeCell ref="AT64:AT65"/>
    <mergeCell ref="AU64:AW64"/>
    <mergeCell ref="AJ64:AJ65"/>
    <mergeCell ref="AK64:AK65"/>
    <mergeCell ref="AL64:AL65"/>
    <mergeCell ref="AM64:AM65"/>
    <mergeCell ref="AN64:AN65"/>
    <mergeCell ref="AO64:AO65"/>
    <mergeCell ref="A63:A66"/>
    <mergeCell ref="B63:G64"/>
    <mergeCell ref="AS76:BD76"/>
    <mergeCell ref="H77:T77"/>
    <mergeCell ref="U77:AD77"/>
    <mergeCell ref="AE77:AH77"/>
    <mergeCell ref="AI77:AI78"/>
    <mergeCell ref="AJ77:AJ78"/>
    <mergeCell ref="AK77:AK78"/>
    <mergeCell ref="AL77:AL78"/>
    <mergeCell ref="AM77:AM78"/>
    <mergeCell ref="AN77:AN78"/>
    <mergeCell ref="AI90:AI91"/>
    <mergeCell ref="AU77:AW77"/>
    <mergeCell ref="AX77:AY77"/>
    <mergeCell ref="AZ77:AZ78"/>
    <mergeCell ref="BA77:BA78"/>
    <mergeCell ref="BB77:BD77"/>
    <mergeCell ref="A88:BD88"/>
    <mergeCell ref="AO77:AO78"/>
    <mergeCell ref="AP77:AP78"/>
    <mergeCell ref="AQ77:AQ78"/>
    <mergeCell ref="AR77:AR78"/>
    <mergeCell ref="AS77:AS78"/>
    <mergeCell ref="AT77:AT78"/>
    <mergeCell ref="AX90:AY90"/>
    <mergeCell ref="AZ90:AZ91"/>
    <mergeCell ref="BA90:BA91"/>
    <mergeCell ref="BB90:BD90"/>
    <mergeCell ref="A110:D110"/>
    <mergeCell ref="A113:A115"/>
    <mergeCell ref="B113:G115"/>
    <mergeCell ref="AP90:AP91"/>
    <mergeCell ref="AQ90:AQ91"/>
    <mergeCell ref="AR90:AR91"/>
    <mergeCell ref="AS90:AS91"/>
    <mergeCell ref="AT90:AT91"/>
    <mergeCell ref="AU90:AW90"/>
    <mergeCell ref="AJ90:AJ91"/>
    <mergeCell ref="AK90:AK91"/>
    <mergeCell ref="AL90:AL91"/>
    <mergeCell ref="AM90:AM91"/>
    <mergeCell ref="AN90:AN91"/>
    <mergeCell ref="AO90:AO91"/>
    <mergeCell ref="A89:A92"/>
    <mergeCell ref="B89:G90"/>
    <mergeCell ref="H89:AH89"/>
    <mergeCell ref="AI89:AL89"/>
    <mergeCell ref="AM89:AR89"/>
    <mergeCell ref="AS89:BD89"/>
    <mergeCell ref="H90:T90"/>
    <mergeCell ref="U90:AD90"/>
    <mergeCell ref="AE90:AH90"/>
    <mergeCell ref="C123:G124"/>
    <mergeCell ref="B125:B126"/>
    <mergeCell ref="C125:G126"/>
    <mergeCell ref="C127:G127"/>
    <mergeCell ref="C128:G128"/>
    <mergeCell ref="C129:G129"/>
    <mergeCell ref="B116:G117"/>
    <mergeCell ref="B118:G118"/>
    <mergeCell ref="C119:G119"/>
    <mergeCell ref="C120:G120"/>
    <mergeCell ref="C121:G121"/>
    <mergeCell ref="C122:G122"/>
    <mergeCell ref="B136:B137"/>
    <mergeCell ref="C136:G137"/>
    <mergeCell ref="C138:G138"/>
    <mergeCell ref="C139:G139"/>
    <mergeCell ref="C141:G141"/>
    <mergeCell ref="C142:G142"/>
    <mergeCell ref="C130:G130"/>
    <mergeCell ref="C131:G131"/>
    <mergeCell ref="C132:G132"/>
    <mergeCell ref="C133:G133"/>
    <mergeCell ref="C134:G134"/>
    <mergeCell ref="C135:G135"/>
    <mergeCell ref="C160:G160"/>
    <mergeCell ref="C149:G149"/>
    <mergeCell ref="B150:B151"/>
    <mergeCell ref="C150:G151"/>
    <mergeCell ref="C152:G152"/>
    <mergeCell ref="C153:G153"/>
    <mergeCell ref="C154:G154"/>
    <mergeCell ref="C143:G143"/>
    <mergeCell ref="C144:G144"/>
    <mergeCell ref="C145:G145"/>
    <mergeCell ref="C146:G146"/>
    <mergeCell ref="C147:G147"/>
    <mergeCell ref="C148:G148"/>
    <mergeCell ref="A9:BD9"/>
    <mergeCell ref="A11:BD11"/>
    <mergeCell ref="C173:G173"/>
    <mergeCell ref="C174:G174"/>
    <mergeCell ref="C175:G175"/>
    <mergeCell ref="C177:G177"/>
    <mergeCell ref="C178:G178"/>
    <mergeCell ref="B167:B168"/>
    <mergeCell ref="C167:G168"/>
    <mergeCell ref="C169:G169"/>
    <mergeCell ref="C170:G170"/>
    <mergeCell ref="C171:G171"/>
    <mergeCell ref="C172:G172"/>
    <mergeCell ref="C161:G161"/>
    <mergeCell ref="C162:G162"/>
    <mergeCell ref="C163:G163"/>
    <mergeCell ref="C164:G164"/>
    <mergeCell ref="C165:G165"/>
    <mergeCell ref="C166:G166"/>
    <mergeCell ref="C155:G155"/>
    <mergeCell ref="C156:G156"/>
    <mergeCell ref="C157:G157"/>
    <mergeCell ref="C158:G158"/>
    <mergeCell ref="C159:G159"/>
  </mergeCells>
  <pageMargins left="0.511811024" right="0.511811024" top="0.78740157499999996" bottom="0.78740157499999996" header="0.31496062000000002" footer="0.3149606200000000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38"/>
  <sheetViews>
    <sheetView workbookViewId="0">
      <selection sqref="A1:XFD11"/>
    </sheetView>
  </sheetViews>
  <sheetFormatPr defaultRowHeight="15" x14ac:dyDescent="0.25"/>
  <cols>
    <col min="1" max="1" width="9.140625" style="239"/>
    <col min="2" max="2" width="14" style="239" customWidth="1"/>
    <col min="3" max="3" width="10.85546875" style="239" customWidth="1"/>
    <col min="4" max="4" width="13.140625" style="239" customWidth="1"/>
    <col min="5" max="5" width="8" style="239" bestFit="1" customWidth="1"/>
    <col min="6" max="6" width="31" style="239" customWidth="1"/>
    <col min="7" max="7" width="13" style="239" customWidth="1"/>
    <col min="8" max="8" width="11.140625" style="239" customWidth="1"/>
    <col min="9" max="9" width="29.140625" style="239" customWidth="1"/>
    <col min="10" max="10" width="13" style="239" customWidth="1"/>
    <col min="11" max="11" width="10.28515625" style="239" bestFit="1" customWidth="1"/>
    <col min="12" max="12" width="10.7109375" style="239" bestFit="1" customWidth="1"/>
    <col min="13" max="13" width="12" style="239" customWidth="1"/>
    <col min="14" max="14" width="10.140625" style="239" bestFit="1" customWidth="1"/>
    <col min="15" max="15" width="11.85546875" style="239" customWidth="1"/>
    <col min="16" max="16" width="9.140625" style="239"/>
    <col min="17" max="17" width="10.140625" style="239" customWidth="1"/>
    <col min="18" max="18" width="11.85546875" style="239" customWidth="1"/>
    <col min="19" max="19" width="14.28515625" style="239" customWidth="1"/>
    <col min="20" max="20" width="11.28515625" style="239" customWidth="1"/>
    <col min="21" max="21" width="12.28515625" style="239" bestFit="1" customWidth="1"/>
    <col min="22" max="22" width="10.28515625" style="239" bestFit="1" customWidth="1"/>
    <col min="23" max="23" width="11.7109375" style="239" customWidth="1"/>
    <col min="24" max="24" width="9.85546875" style="239" bestFit="1" customWidth="1"/>
    <col min="25" max="25" width="8.85546875" style="239" bestFit="1" customWidth="1"/>
    <col min="26" max="26" width="11.42578125" style="239" bestFit="1" customWidth="1"/>
    <col min="27" max="27" width="10.28515625" style="239" bestFit="1" customWidth="1"/>
    <col min="28" max="28" width="10" style="239" bestFit="1" customWidth="1"/>
    <col min="29" max="29" width="10.28515625" style="239" bestFit="1" customWidth="1"/>
    <col min="30" max="30" width="10" style="239" bestFit="1" customWidth="1"/>
    <col min="31" max="31" width="20.140625" style="239" customWidth="1"/>
    <col min="32" max="32" width="11.140625" style="239" customWidth="1"/>
    <col min="33" max="33" width="12.42578125" style="239" customWidth="1"/>
    <col min="34" max="34" width="16.7109375" style="239" customWidth="1"/>
    <col min="35" max="35" width="10.140625" style="239" customWidth="1"/>
    <col min="36" max="36" width="13.140625" style="239" customWidth="1"/>
    <col min="37" max="37" width="12.42578125" style="239" customWidth="1"/>
    <col min="38" max="38" width="13.5703125" style="239" customWidth="1"/>
    <col min="39" max="39" width="15.42578125" style="239" customWidth="1"/>
    <col min="40" max="40" width="16" style="239" customWidth="1"/>
    <col min="41" max="41" width="14.42578125" style="239" customWidth="1"/>
    <col min="42" max="42" width="9.42578125" style="239" customWidth="1"/>
    <col min="43" max="43" width="15.28515625" style="239" customWidth="1"/>
    <col min="44" max="44" width="10" style="239" customWidth="1"/>
    <col min="45" max="45" width="7.85546875" style="239" customWidth="1"/>
    <col min="46" max="46" width="11" style="239" customWidth="1"/>
    <col min="47" max="47" width="6" style="239" bestFit="1" customWidth="1"/>
    <col min="48" max="48" width="8.5703125" style="239" bestFit="1" customWidth="1"/>
    <col min="49" max="49" width="6.5703125" style="239" customWidth="1"/>
    <col min="50" max="50" width="4.28515625" style="239" bestFit="1" customWidth="1"/>
    <col min="51" max="51" width="13.42578125" style="239" customWidth="1"/>
    <col min="52" max="52" width="11.42578125" style="239" customWidth="1"/>
    <col min="53" max="53" width="14.7109375" style="239" customWidth="1"/>
    <col min="54" max="54" width="6" style="239" bestFit="1" customWidth="1"/>
    <col min="55" max="55" width="8.42578125" style="239" bestFit="1" customWidth="1"/>
    <col min="56" max="56" width="7" style="239" bestFit="1" customWidth="1"/>
    <col min="57"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1083" customFormat="1" x14ac:dyDescent="0.25">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c r="AM12" s="1323"/>
      <c r="AN12" s="1323"/>
      <c r="AO12" s="1323"/>
      <c r="AP12" s="1323"/>
      <c r="AQ12" s="1323"/>
      <c r="AR12" s="1323"/>
    </row>
    <row r="13" spans="1:56" s="1083" customFormat="1" x14ac:dyDescent="0.25">
      <c r="A13" s="1323" t="s">
        <v>1</v>
      </c>
      <c r="B13" s="1323"/>
      <c r="C13" s="1323"/>
      <c r="D13" s="1323"/>
      <c r="E13" s="1323"/>
      <c r="F13" s="1323"/>
      <c r="G13" s="1323"/>
      <c r="H13" s="1323"/>
      <c r="I13" s="1323"/>
      <c r="J13" s="1323"/>
      <c r="K13" s="1323"/>
      <c r="L13" s="1323"/>
      <c r="M13" s="1323"/>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3"/>
      <c r="AL13" s="1323"/>
      <c r="AM13" s="1323"/>
      <c r="AN13" s="1323"/>
      <c r="AO13" s="1323"/>
      <c r="AP13" s="1323"/>
      <c r="AQ13" s="1323"/>
      <c r="AR13" s="1323"/>
      <c r="AS13" s="1323"/>
    </row>
    <row r="14" spans="1:56" s="1083" customFormat="1" x14ac:dyDescent="0.25">
      <c r="A14" s="1323" t="s">
        <v>2</v>
      </c>
      <c r="B14" s="1323"/>
      <c r="C14" s="1323"/>
      <c r="D14" s="1323"/>
      <c r="E14" s="1323"/>
      <c r="F14" s="1323"/>
      <c r="G14" s="1323"/>
      <c r="H14" s="1323"/>
      <c r="I14" s="1323"/>
      <c r="J14" s="1323"/>
    </row>
    <row r="15" spans="1:56" s="1083" customFormat="1" x14ac:dyDescent="0.25">
      <c r="A15" s="1323" t="s">
        <v>3</v>
      </c>
      <c r="B15" s="1323"/>
      <c r="C15" s="1323"/>
      <c r="D15" s="1323"/>
      <c r="E15" s="1323"/>
      <c r="F15" s="1323"/>
      <c r="G15" s="1323"/>
      <c r="H15" s="1323"/>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R15" s="1323"/>
      <c r="AS15" s="1323"/>
    </row>
    <row r="16" spans="1:56" s="1083" customFormat="1" x14ac:dyDescent="0.25">
      <c r="B16" s="1323"/>
      <c r="C16" s="1323"/>
      <c r="D16" s="1323"/>
      <c r="E16" s="1323"/>
      <c r="F16" s="1323"/>
      <c r="G16" s="1323"/>
      <c r="H16" s="1323"/>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3"/>
      <c r="AR16" s="1323"/>
      <c r="AS16" s="1323"/>
    </row>
    <row r="17" spans="1:56" s="1083" customFormat="1" x14ac:dyDescent="0.25">
      <c r="A17" s="1323" t="s">
        <v>7610</v>
      </c>
      <c r="B17" s="1323"/>
      <c r="C17" s="1323"/>
      <c r="D17" s="1323"/>
      <c r="E17" s="1323"/>
      <c r="F17" s="1323"/>
      <c r="G17" s="1323"/>
      <c r="H17" s="1323"/>
      <c r="I17" s="1323"/>
      <c r="J17" s="1323"/>
      <c r="K17" s="1323"/>
      <c r="L17" s="1323"/>
      <c r="M17" s="1323"/>
      <c r="N17" s="1323"/>
      <c r="O17" s="1323"/>
      <c r="P17" s="1323"/>
      <c r="Q17" s="1323"/>
      <c r="R17" s="1323"/>
      <c r="S17" s="1323"/>
      <c r="T17" s="1323"/>
      <c r="U17" s="1323"/>
      <c r="V17" s="1323"/>
      <c r="W17" s="1323"/>
      <c r="X17" s="1323"/>
      <c r="Y17" s="1323"/>
      <c r="Z17" s="1323"/>
      <c r="AA17" s="1323"/>
      <c r="AB17" s="1323"/>
      <c r="AC17" s="1323"/>
      <c r="AD17" s="1323"/>
      <c r="AE17" s="1323"/>
      <c r="AF17" s="1323"/>
      <c r="AG17" s="1323"/>
      <c r="AH17" s="1323"/>
      <c r="AI17" s="1323"/>
      <c r="AJ17" s="1323"/>
      <c r="AK17" s="1323"/>
      <c r="AL17" s="1323"/>
      <c r="AM17" s="1323"/>
      <c r="AN17" s="1323"/>
      <c r="AO17" s="1323"/>
      <c r="AP17" s="1323"/>
      <c r="AQ17" s="1323"/>
      <c r="AR17" s="1323"/>
      <c r="AS17" s="1323"/>
    </row>
    <row r="18" spans="1:56" s="1083" customFormat="1" x14ac:dyDescent="0.25">
      <c r="A18" s="1323" t="s">
        <v>7609</v>
      </c>
      <c r="B18" s="1323"/>
      <c r="C18" s="1323"/>
      <c r="D18" s="1323"/>
      <c r="E18" s="1323"/>
      <c r="F18" s="1323"/>
      <c r="G18" s="1323"/>
      <c r="H18" s="1323"/>
      <c r="I18" s="1323"/>
      <c r="J18" s="1323"/>
      <c r="K18" s="1323"/>
      <c r="L18" s="1323"/>
      <c r="M18" s="1323"/>
      <c r="N18" s="1323"/>
      <c r="O18" s="1323"/>
      <c r="P18" s="1323"/>
      <c r="Q18" s="1323"/>
      <c r="R18" s="1323"/>
      <c r="S18" s="1323"/>
      <c r="T18" s="1323"/>
      <c r="U18" s="1323"/>
      <c r="V18" s="1323"/>
      <c r="W18" s="1323"/>
      <c r="X18" s="1323"/>
      <c r="Y18" s="1323"/>
      <c r="Z18" s="1323"/>
      <c r="AA18" s="1323"/>
      <c r="AB18" s="1323"/>
      <c r="AC18" s="1323"/>
      <c r="AD18" s="1323"/>
      <c r="AE18" s="1323"/>
      <c r="AF18" s="1323"/>
      <c r="AG18" s="1323"/>
      <c r="AH18" s="1323"/>
      <c r="AI18" s="1323"/>
      <c r="AJ18" s="1323"/>
      <c r="AK18" s="1323"/>
      <c r="AL18" s="1323"/>
      <c r="AM18" s="1323"/>
      <c r="AN18" s="1323"/>
      <c r="AO18" s="1323"/>
      <c r="AP18" s="1323"/>
      <c r="AQ18" s="1323"/>
      <c r="AR18" s="1323"/>
      <c r="AS18" s="1323"/>
    </row>
    <row r="19" spans="1:56" s="1083" customFormat="1" x14ac:dyDescent="0.25">
      <c r="A19" s="1323" t="s">
        <v>7607</v>
      </c>
      <c r="B19" s="1323"/>
      <c r="C19" s="1323"/>
      <c r="D19" s="1323"/>
      <c r="E19" s="1323"/>
      <c r="F19" s="1323"/>
      <c r="G19" s="1323"/>
      <c r="H19" s="1323"/>
      <c r="I19" s="1323"/>
      <c r="J19" s="1323"/>
      <c r="K19" s="1323"/>
      <c r="L19" s="1323"/>
      <c r="M19" s="1323"/>
      <c r="N19" s="1323"/>
      <c r="O19" s="1323"/>
      <c r="P19" s="1323"/>
      <c r="Q19" s="1323"/>
      <c r="R19" s="1323"/>
      <c r="S19" s="1323"/>
      <c r="T19" s="1323"/>
      <c r="U19" s="1323"/>
      <c r="V19" s="1323"/>
      <c r="W19" s="1323"/>
      <c r="X19" s="1323"/>
      <c r="Y19" s="1323"/>
      <c r="Z19" s="1323"/>
      <c r="AA19" s="1323"/>
      <c r="AB19" s="1323"/>
      <c r="AC19" s="1323"/>
      <c r="AD19" s="1323"/>
      <c r="AE19" s="1323"/>
      <c r="AF19" s="1323"/>
      <c r="AG19" s="1323"/>
      <c r="AH19" s="1323"/>
      <c r="AI19" s="1323"/>
      <c r="AJ19" s="1323"/>
      <c r="AK19" s="1323"/>
      <c r="AL19" s="1323"/>
      <c r="AM19" s="1323"/>
      <c r="AN19" s="1323"/>
      <c r="AO19" s="1323"/>
      <c r="AP19" s="1323"/>
      <c r="AQ19" s="1323"/>
      <c r="AR19" s="1323"/>
      <c r="AS19" s="1323"/>
    </row>
    <row r="20" spans="1:56" s="1083" customFormat="1" ht="15.75" thickBot="1" x14ac:dyDescent="0.3">
      <c r="B20" s="1323"/>
      <c r="C20" s="1323"/>
      <c r="D20" s="1323"/>
      <c r="E20" s="1323"/>
      <c r="F20" s="1323"/>
      <c r="G20" s="1323"/>
      <c r="H20" s="1323"/>
      <c r="I20" s="1323"/>
      <c r="J20" s="1323"/>
      <c r="K20" s="1323"/>
      <c r="L20" s="1323"/>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row>
    <row r="21" spans="1:56" x14ac:dyDescent="0.25">
      <c r="A21" s="2122" t="s">
        <v>5</v>
      </c>
      <c r="B21" s="2087" t="s">
        <v>6</v>
      </c>
      <c r="C21" s="2087"/>
      <c r="D21" s="2087"/>
      <c r="E21" s="2087"/>
      <c r="F21" s="2087"/>
      <c r="G21" s="2088"/>
      <c r="H21" s="2125" t="s">
        <v>7</v>
      </c>
      <c r="I21" s="2126"/>
      <c r="J21" s="2126"/>
      <c r="K21" s="2126"/>
      <c r="L21" s="2126"/>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056" t="s">
        <v>8</v>
      </c>
      <c r="AJ21" s="2049"/>
      <c r="AK21" s="2049"/>
      <c r="AL21" s="2051"/>
      <c r="AM21" s="2125" t="s">
        <v>9</v>
      </c>
      <c r="AN21" s="2126"/>
      <c r="AO21" s="2126"/>
      <c r="AP21" s="2126"/>
      <c r="AQ21" s="2126"/>
      <c r="AR21" s="2127"/>
      <c r="AS21" s="2128" t="s">
        <v>10</v>
      </c>
      <c r="AT21" s="2129"/>
      <c r="AU21" s="2129"/>
      <c r="AV21" s="2129"/>
      <c r="AW21" s="2129"/>
      <c r="AX21" s="2129"/>
      <c r="AY21" s="2129"/>
      <c r="AZ21" s="2129"/>
      <c r="BA21" s="2129"/>
      <c r="BB21" s="2129"/>
      <c r="BC21" s="2129"/>
      <c r="BD21" s="2130"/>
    </row>
    <row r="22" spans="1:56" x14ac:dyDescent="0.25">
      <c r="A22" s="2123"/>
      <c r="B22" s="2090"/>
      <c r="C22" s="2090"/>
      <c r="D22" s="2090"/>
      <c r="E22" s="2090"/>
      <c r="F22" s="2090"/>
      <c r="G22" s="2091"/>
      <c r="H22" s="2101" t="s">
        <v>11</v>
      </c>
      <c r="I22" s="2102"/>
      <c r="J22" s="2102"/>
      <c r="K22" s="2102"/>
      <c r="L22" s="2102"/>
      <c r="M22" s="2102"/>
      <c r="N22" s="2102"/>
      <c r="O22" s="2102"/>
      <c r="P22" s="2102"/>
      <c r="Q22" s="2102"/>
      <c r="R22" s="2102"/>
      <c r="S22" s="2102"/>
      <c r="T22" s="2069"/>
      <c r="U22" s="2103" t="s">
        <v>12</v>
      </c>
      <c r="V22" s="2102"/>
      <c r="W22" s="2102"/>
      <c r="X22" s="2102"/>
      <c r="Y22" s="2102"/>
      <c r="Z22" s="2102"/>
      <c r="AA22" s="2102"/>
      <c r="AB22" s="2102"/>
      <c r="AC22" s="2102"/>
      <c r="AD22" s="2069"/>
      <c r="AE22" s="2103" t="s">
        <v>13</v>
      </c>
      <c r="AF22" s="2102"/>
      <c r="AG22" s="2102"/>
      <c r="AH22" s="2102"/>
      <c r="AI22" s="2057" t="s">
        <v>14</v>
      </c>
      <c r="AJ22" s="2050" t="s">
        <v>15</v>
      </c>
      <c r="AK22" s="2050" t="s">
        <v>16</v>
      </c>
      <c r="AL22" s="2052" t="s">
        <v>581</v>
      </c>
      <c r="AM22" s="2112" t="s">
        <v>18</v>
      </c>
      <c r="AN22" s="2114" t="s">
        <v>19</v>
      </c>
      <c r="AO22" s="2114" t="s">
        <v>20</v>
      </c>
      <c r="AP22" s="2114" t="s">
        <v>21</v>
      </c>
      <c r="AQ22" s="2114" t="s">
        <v>22</v>
      </c>
      <c r="AR22" s="2116" t="s">
        <v>21</v>
      </c>
      <c r="AS22" s="2069" t="s">
        <v>23</v>
      </c>
      <c r="AT22" s="2110" t="s">
        <v>24</v>
      </c>
      <c r="AU22" s="2111" t="s">
        <v>25</v>
      </c>
      <c r="AV22" s="2111"/>
      <c r="AW22" s="2111"/>
      <c r="AX22" s="2111" t="s">
        <v>26</v>
      </c>
      <c r="AY22" s="2111"/>
      <c r="AZ22" s="2110" t="s">
        <v>27</v>
      </c>
      <c r="BA22" s="2050" t="s">
        <v>28</v>
      </c>
      <c r="BB22" s="2111" t="s">
        <v>29</v>
      </c>
      <c r="BC22" s="2111"/>
      <c r="BD22" s="2131"/>
    </row>
    <row r="23" spans="1:56" ht="38.25" x14ac:dyDescent="0.25">
      <c r="A23" s="2123"/>
      <c r="B23" s="1275" t="s">
        <v>30</v>
      </c>
      <c r="C23" s="1273" t="s">
        <v>31</v>
      </c>
      <c r="D23" s="1273" t="s">
        <v>32</v>
      </c>
      <c r="E23" s="1273" t="s">
        <v>23</v>
      </c>
      <c r="F23" s="1273" t="s">
        <v>33</v>
      </c>
      <c r="G23" s="1274" t="s">
        <v>34</v>
      </c>
      <c r="H23" s="1348" t="s">
        <v>35</v>
      </c>
      <c r="I23" s="1273" t="s">
        <v>36</v>
      </c>
      <c r="J23" s="1273" t="s">
        <v>37</v>
      </c>
      <c r="K23" s="1273" t="s">
        <v>38</v>
      </c>
      <c r="L23" s="1273" t="s">
        <v>39</v>
      </c>
      <c r="M23" s="1273" t="s">
        <v>40</v>
      </c>
      <c r="N23" s="1273" t="s">
        <v>41</v>
      </c>
      <c r="O23" s="1273" t="s">
        <v>42</v>
      </c>
      <c r="P23" s="1273" t="s">
        <v>43</v>
      </c>
      <c r="Q23" s="1273" t="s">
        <v>44</v>
      </c>
      <c r="R23" s="1273" t="s">
        <v>45</v>
      </c>
      <c r="S23" s="1273" t="s">
        <v>46</v>
      </c>
      <c r="T23" s="1273" t="s">
        <v>47</v>
      </c>
      <c r="U23" s="1273" t="s">
        <v>48</v>
      </c>
      <c r="V23" s="1273" t="s">
        <v>38</v>
      </c>
      <c r="W23" s="1273" t="s">
        <v>40</v>
      </c>
      <c r="X23" s="1273" t="s">
        <v>49</v>
      </c>
      <c r="Y23" s="1273" t="s">
        <v>41</v>
      </c>
      <c r="Z23" s="1273" t="s">
        <v>42</v>
      </c>
      <c r="AA23" s="1273" t="s">
        <v>50</v>
      </c>
      <c r="AB23" s="1273" t="s">
        <v>51</v>
      </c>
      <c r="AC23" s="1273" t="s">
        <v>52</v>
      </c>
      <c r="AD23" s="1273" t="s">
        <v>53</v>
      </c>
      <c r="AE23" s="1273" t="s">
        <v>54</v>
      </c>
      <c r="AF23" s="1273" t="s">
        <v>55</v>
      </c>
      <c r="AG23" s="1273" t="s">
        <v>56</v>
      </c>
      <c r="AH23" s="1278" t="s">
        <v>57</v>
      </c>
      <c r="AI23" s="2057"/>
      <c r="AJ23" s="2050"/>
      <c r="AK23" s="2050"/>
      <c r="AL23" s="2052"/>
      <c r="AM23" s="2113"/>
      <c r="AN23" s="2115"/>
      <c r="AO23" s="2115"/>
      <c r="AP23" s="2115"/>
      <c r="AQ23" s="2115"/>
      <c r="AR23" s="2117"/>
      <c r="AS23" s="2069"/>
      <c r="AT23" s="2110"/>
      <c r="AU23" s="1280" t="s">
        <v>58</v>
      </c>
      <c r="AV23" s="1280" t="s">
        <v>59</v>
      </c>
      <c r="AW23" s="1280" t="s">
        <v>60</v>
      </c>
      <c r="AX23" s="1280" t="s">
        <v>61</v>
      </c>
      <c r="AY23" s="1279" t="s">
        <v>62</v>
      </c>
      <c r="AZ23" s="2110"/>
      <c r="BA23" s="2050"/>
      <c r="BB23" s="1280" t="s">
        <v>58</v>
      </c>
      <c r="BC23" s="1280" t="s">
        <v>63</v>
      </c>
      <c r="BD23" s="1283" t="s">
        <v>64</v>
      </c>
    </row>
    <row r="24" spans="1:56" ht="15.75" thickBot="1" x14ac:dyDescent="0.3">
      <c r="A24" s="2124"/>
      <c r="B24" s="16" t="s">
        <v>65</v>
      </c>
      <c r="C24" s="11" t="s">
        <v>66</v>
      </c>
      <c r="D24" s="12" t="s">
        <v>67</v>
      </c>
      <c r="E24" s="11" t="s">
        <v>68</v>
      </c>
      <c r="F24" s="11" t="s">
        <v>69</v>
      </c>
      <c r="G24" s="13" t="s">
        <v>70</v>
      </c>
      <c r="H24" s="14" t="s">
        <v>71</v>
      </c>
      <c r="I24" s="11" t="s">
        <v>72</v>
      </c>
      <c r="J24" s="11" t="s">
        <v>73</v>
      </c>
      <c r="K24" s="11" t="s">
        <v>74</v>
      </c>
      <c r="L24" s="15" t="s">
        <v>75</v>
      </c>
      <c r="M24" s="11" t="s">
        <v>76</v>
      </c>
      <c r="N24" s="11" t="s">
        <v>77</v>
      </c>
      <c r="O24" s="11" t="s">
        <v>78</v>
      </c>
      <c r="P24" s="11" t="s">
        <v>79</v>
      </c>
      <c r="Q24" s="11" t="s">
        <v>80</v>
      </c>
      <c r="R24" s="11" t="s">
        <v>81</v>
      </c>
      <c r="S24" s="11" t="s">
        <v>82</v>
      </c>
      <c r="T24" s="11" t="s">
        <v>83</v>
      </c>
      <c r="U24" s="11" t="s">
        <v>84</v>
      </c>
      <c r="V24" s="11" t="s">
        <v>85</v>
      </c>
      <c r="W24" s="11" t="s">
        <v>86</v>
      </c>
      <c r="X24" s="11" t="s">
        <v>87</v>
      </c>
      <c r="Y24" s="11" t="s">
        <v>88</v>
      </c>
      <c r="Z24" s="11" t="s">
        <v>89</v>
      </c>
      <c r="AA24" s="11" t="s">
        <v>90</v>
      </c>
      <c r="AB24" s="11" t="s">
        <v>91</v>
      </c>
      <c r="AC24" s="11" t="s">
        <v>92</v>
      </c>
      <c r="AD24" s="11" t="s">
        <v>93</v>
      </c>
      <c r="AE24" s="11" t="s">
        <v>94</v>
      </c>
      <c r="AF24" s="11" t="s">
        <v>95</v>
      </c>
      <c r="AG24" s="247" t="s">
        <v>96</v>
      </c>
      <c r="AH24" s="248" t="s">
        <v>97</v>
      </c>
      <c r="AI24" s="10" t="s">
        <v>98</v>
      </c>
      <c r="AJ24" s="16" t="s">
        <v>99</v>
      </c>
      <c r="AK24" s="16" t="s">
        <v>100</v>
      </c>
      <c r="AL24" s="249" t="s">
        <v>101</v>
      </c>
      <c r="AM24" s="250" t="s">
        <v>102</v>
      </c>
      <c r="AN24" s="251" t="s">
        <v>103</v>
      </c>
      <c r="AO24" s="251" t="s">
        <v>104</v>
      </c>
      <c r="AP24" s="251" t="s">
        <v>105</v>
      </c>
      <c r="AQ24" s="251" t="s">
        <v>106</v>
      </c>
      <c r="AR24" s="252" t="s">
        <v>107</v>
      </c>
      <c r="AS24" s="253" t="s">
        <v>108</v>
      </c>
      <c r="AT24" s="251" t="s">
        <v>109</v>
      </c>
      <c r="AU24" s="251" t="s">
        <v>110</v>
      </c>
      <c r="AV24" s="251" t="s">
        <v>111</v>
      </c>
      <c r="AW24" s="252" t="s">
        <v>112</v>
      </c>
      <c r="AX24" s="252" t="s">
        <v>113</v>
      </c>
      <c r="AY24" s="252" t="s">
        <v>114</v>
      </c>
      <c r="AZ24" s="251" t="s">
        <v>115</v>
      </c>
      <c r="BA24" s="251" t="s">
        <v>116</v>
      </c>
      <c r="BB24" s="251" t="s">
        <v>117</v>
      </c>
      <c r="BC24" s="252" t="s">
        <v>118</v>
      </c>
      <c r="BD24" s="252" t="s">
        <v>119</v>
      </c>
    </row>
    <row r="25" spans="1:56" ht="38.25" x14ac:dyDescent="0.25">
      <c r="A25" s="1298">
        <v>1</v>
      </c>
      <c r="B25" s="1299" t="s">
        <v>727</v>
      </c>
      <c r="C25" s="1251" t="s">
        <v>7382</v>
      </c>
      <c r="D25" s="1251" t="s">
        <v>7383</v>
      </c>
      <c r="E25" s="1251" t="s">
        <v>168</v>
      </c>
      <c r="F25" s="1251" t="s">
        <v>7384</v>
      </c>
      <c r="G25" s="1251" t="s">
        <v>7385</v>
      </c>
      <c r="H25" s="1254" t="s">
        <v>675</v>
      </c>
      <c r="I25" s="1251" t="s">
        <v>7386</v>
      </c>
      <c r="J25" s="1251" t="s">
        <v>265</v>
      </c>
      <c r="K25" s="1259">
        <v>41656</v>
      </c>
      <c r="L25" s="1261">
        <v>140000</v>
      </c>
      <c r="M25" s="1251" t="s">
        <v>7387</v>
      </c>
      <c r="N25" s="1259">
        <v>41655</v>
      </c>
      <c r="O25" s="1259">
        <v>42004</v>
      </c>
      <c r="P25" s="1251">
        <v>11</v>
      </c>
      <c r="Q25" s="1251">
        <v>0</v>
      </c>
      <c r="R25" s="1251">
        <v>0</v>
      </c>
      <c r="S25" s="1251">
        <v>0</v>
      </c>
      <c r="T25" s="1251" t="s">
        <v>130</v>
      </c>
      <c r="U25" s="1251"/>
      <c r="V25" s="1251"/>
      <c r="W25" s="1251"/>
      <c r="X25" s="1251"/>
      <c r="Y25" s="1251"/>
      <c r="Z25" s="1251"/>
      <c r="AA25" s="1251"/>
      <c r="AB25" s="1251"/>
      <c r="AC25" s="1251"/>
      <c r="AD25" s="1251"/>
      <c r="AE25" s="1321">
        <f>L25-AD25+AC25</f>
        <v>140000</v>
      </c>
      <c r="AF25" s="604">
        <v>0</v>
      </c>
      <c r="AG25" s="604">
        <v>24193.79</v>
      </c>
      <c r="AH25" s="257">
        <f>AF25+AG25</f>
        <v>24193.79</v>
      </c>
      <c r="AI25" s="1906" t="s">
        <v>728</v>
      </c>
      <c r="AJ25" s="1251" t="s">
        <v>7385</v>
      </c>
      <c r="AK25" s="647" t="s">
        <v>1198</v>
      </c>
      <c r="AL25" s="648" t="s">
        <v>7388</v>
      </c>
      <c r="AM25" s="258" t="s">
        <v>677</v>
      </c>
      <c r="AN25" s="258" t="s">
        <v>677</v>
      </c>
      <c r="AO25" s="258" t="s">
        <v>677</v>
      </c>
      <c r="AP25" s="258" t="s">
        <v>677</v>
      </c>
      <c r="AQ25" s="258" t="s">
        <v>677</v>
      </c>
      <c r="AR25" s="650"/>
      <c r="AS25" s="1299"/>
      <c r="AT25" s="263"/>
      <c r="AU25" s="263"/>
      <c r="AV25" s="263"/>
      <c r="AW25" s="263"/>
      <c r="AX25" s="263"/>
      <c r="AY25" s="263"/>
      <c r="AZ25" s="263"/>
      <c r="BA25" s="263"/>
      <c r="BB25" s="263"/>
      <c r="BC25" s="263"/>
      <c r="BD25" s="264"/>
    </row>
    <row r="26" spans="1:56" ht="38.25" x14ac:dyDescent="0.25">
      <c r="A26" s="1277">
        <v>2</v>
      </c>
      <c r="B26" s="1276" t="s">
        <v>7389</v>
      </c>
      <c r="C26" s="1239" t="s">
        <v>7390</v>
      </c>
      <c r="D26" s="1239" t="s">
        <v>7383</v>
      </c>
      <c r="E26" s="1239" t="s">
        <v>168</v>
      </c>
      <c r="F26" s="1239" t="s">
        <v>7391</v>
      </c>
      <c r="G26" s="1239" t="s">
        <v>7392</v>
      </c>
      <c r="H26" s="1246" t="s">
        <v>683</v>
      </c>
      <c r="I26" s="1239" t="s">
        <v>7393</v>
      </c>
      <c r="J26" s="1239" t="s">
        <v>2735</v>
      </c>
      <c r="K26" s="1244">
        <v>41673</v>
      </c>
      <c r="L26" s="1242">
        <v>13180.14</v>
      </c>
      <c r="M26" s="1239" t="s">
        <v>7394</v>
      </c>
      <c r="N26" s="1244">
        <v>41673</v>
      </c>
      <c r="O26" s="1244">
        <v>42004</v>
      </c>
      <c r="P26" s="1239">
        <v>11</v>
      </c>
      <c r="Q26" s="1239">
        <v>0</v>
      </c>
      <c r="R26" s="1239">
        <v>0</v>
      </c>
      <c r="S26" s="1239">
        <v>0</v>
      </c>
      <c r="T26" s="1239" t="s">
        <v>7395</v>
      </c>
      <c r="U26" s="1239"/>
      <c r="V26" s="1239"/>
      <c r="W26" s="1239"/>
      <c r="X26" s="1239"/>
      <c r="Y26" s="1239"/>
      <c r="Z26" s="1239"/>
      <c r="AA26" s="1239"/>
      <c r="AB26" s="1239"/>
      <c r="AC26" s="1239"/>
      <c r="AD26" s="1239"/>
      <c r="AE26" s="1319">
        <f t="shared" ref="AE26:AE37" si="0">L26-AD26+AC26</f>
        <v>13180.14</v>
      </c>
      <c r="AF26" s="613">
        <v>0</v>
      </c>
      <c r="AG26" s="613">
        <v>6562.48</v>
      </c>
      <c r="AH26" s="257">
        <f t="shared" ref="AH26:AH37" si="1">AF26+AG26</f>
        <v>6562.48</v>
      </c>
      <c r="AI26" s="1022" t="s">
        <v>967</v>
      </c>
      <c r="AJ26" s="1284" t="s">
        <v>7396</v>
      </c>
      <c r="AK26" s="107" t="s">
        <v>1182</v>
      </c>
      <c r="AL26" s="1284" t="s">
        <v>7396</v>
      </c>
      <c r="AM26" s="216" t="s">
        <v>677</v>
      </c>
      <c r="AN26" s="216" t="s">
        <v>677</v>
      </c>
      <c r="AO26" s="216" t="s">
        <v>677</v>
      </c>
      <c r="AP26" s="216" t="s">
        <v>677</v>
      </c>
      <c r="AQ26" s="216" t="s">
        <v>677</v>
      </c>
      <c r="AR26" s="182"/>
      <c r="AS26" s="1276"/>
      <c r="AT26" s="1538"/>
      <c r="AU26" s="1538"/>
      <c r="AV26" s="1538"/>
      <c r="AW26" s="1538"/>
      <c r="AX26" s="1538"/>
      <c r="AY26" s="1538"/>
      <c r="AZ26" s="1538"/>
      <c r="BA26" s="1538"/>
      <c r="BB26" s="1538"/>
      <c r="BC26" s="1538"/>
      <c r="BD26" s="1539"/>
    </row>
    <row r="27" spans="1:56" ht="38.25" x14ac:dyDescent="0.25">
      <c r="A27" s="1277">
        <v>3</v>
      </c>
      <c r="B27" s="1276" t="s">
        <v>6430</v>
      </c>
      <c r="C27" s="1239" t="s">
        <v>7397</v>
      </c>
      <c r="D27" s="1239" t="s">
        <v>7383</v>
      </c>
      <c r="E27" s="1239" t="s">
        <v>168</v>
      </c>
      <c r="F27" s="1239" t="s">
        <v>7398</v>
      </c>
      <c r="G27" s="1239" t="s">
        <v>7399</v>
      </c>
      <c r="H27" s="1246" t="s">
        <v>686</v>
      </c>
      <c r="I27" s="1239" t="s">
        <v>7400</v>
      </c>
      <c r="J27" s="1239" t="s">
        <v>225</v>
      </c>
      <c r="K27" s="1244">
        <v>41821</v>
      </c>
      <c r="L27" s="1242">
        <v>15000</v>
      </c>
      <c r="M27" s="1239" t="s">
        <v>7401</v>
      </c>
      <c r="N27" s="1244">
        <v>41820</v>
      </c>
      <c r="O27" s="1244">
        <v>42004</v>
      </c>
      <c r="P27" s="1239">
        <v>11</v>
      </c>
      <c r="Q27" s="1239">
        <v>0</v>
      </c>
      <c r="R27" s="1239">
        <v>0</v>
      </c>
      <c r="S27" s="1239">
        <v>0</v>
      </c>
      <c r="T27" s="1239" t="s">
        <v>208</v>
      </c>
      <c r="U27" s="1239"/>
      <c r="V27" s="1239"/>
      <c r="W27" s="1239"/>
      <c r="X27" s="1239"/>
      <c r="Y27" s="1239"/>
      <c r="Z27" s="1239"/>
      <c r="AA27" s="1239"/>
      <c r="AB27" s="1239"/>
      <c r="AC27" s="1239"/>
      <c r="AD27" s="1239"/>
      <c r="AE27" s="1319">
        <f t="shared" si="0"/>
        <v>15000</v>
      </c>
      <c r="AF27" s="613">
        <v>0</v>
      </c>
      <c r="AG27" s="613">
        <v>7500</v>
      </c>
      <c r="AH27" s="257">
        <f t="shared" si="1"/>
        <v>7500</v>
      </c>
      <c r="AI27" s="1022" t="s">
        <v>686</v>
      </c>
      <c r="AJ27" s="1239" t="s">
        <v>7399</v>
      </c>
      <c r="AK27" s="107" t="s">
        <v>295</v>
      </c>
      <c r="AL27" s="1239" t="s">
        <v>7402</v>
      </c>
      <c r="AM27" s="216" t="s">
        <v>677</v>
      </c>
      <c r="AN27" s="216" t="s">
        <v>677</v>
      </c>
      <c r="AO27" s="216" t="s">
        <v>677</v>
      </c>
      <c r="AP27" s="216" t="s">
        <v>677</v>
      </c>
      <c r="AQ27" s="216" t="s">
        <v>677</v>
      </c>
      <c r="AR27" s="182"/>
      <c r="AS27" s="1276"/>
      <c r="AT27" s="1538"/>
      <c r="AU27" s="1538"/>
      <c r="AV27" s="1538"/>
      <c r="AW27" s="1538"/>
      <c r="AX27" s="1538"/>
      <c r="AY27" s="1538"/>
      <c r="AZ27" s="1538"/>
      <c r="BA27" s="1538"/>
      <c r="BB27" s="1538"/>
      <c r="BC27" s="1538"/>
      <c r="BD27" s="1539"/>
    </row>
    <row r="28" spans="1:56" ht="38.25" x14ac:dyDescent="0.25">
      <c r="A28" s="1277">
        <v>4</v>
      </c>
      <c r="B28" s="1276" t="s">
        <v>7403</v>
      </c>
      <c r="C28" s="1239" t="s">
        <v>677</v>
      </c>
      <c r="D28" s="1239" t="s">
        <v>7404</v>
      </c>
      <c r="E28" s="1239"/>
      <c r="F28" s="1239" t="s">
        <v>7405</v>
      </c>
      <c r="G28" s="1239" t="s">
        <v>7406</v>
      </c>
      <c r="H28" s="1246" t="s">
        <v>1236</v>
      </c>
      <c r="I28" s="1239" t="s">
        <v>7407</v>
      </c>
      <c r="J28" s="1239" t="s">
        <v>7408</v>
      </c>
      <c r="K28" s="1244">
        <v>40672</v>
      </c>
      <c r="L28" s="1242">
        <v>66000</v>
      </c>
      <c r="M28" s="1239"/>
      <c r="N28" s="1244">
        <v>40672</v>
      </c>
      <c r="O28" s="1244">
        <v>42499</v>
      </c>
      <c r="P28" s="1239">
        <v>1</v>
      </c>
      <c r="Q28" s="1239">
        <v>0</v>
      </c>
      <c r="R28" s="1239">
        <v>0</v>
      </c>
      <c r="S28" s="1239">
        <v>0</v>
      </c>
      <c r="T28" s="1239" t="s">
        <v>208</v>
      </c>
      <c r="U28" s="1239"/>
      <c r="V28" s="1239"/>
      <c r="W28" s="1239"/>
      <c r="X28" s="1239"/>
      <c r="Y28" s="1239"/>
      <c r="Z28" s="1239"/>
      <c r="AA28" s="1239"/>
      <c r="AB28" s="1239"/>
      <c r="AC28" s="1239"/>
      <c r="AD28" s="1239"/>
      <c r="AE28" s="1319">
        <f t="shared" si="0"/>
        <v>66000</v>
      </c>
      <c r="AF28" s="613">
        <v>49500</v>
      </c>
      <c r="AG28" s="613">
        <v>55000</v>
      </c>
      <c r="AH28" s="257">
        <f t="shared" si="1"/>
        <v>104500</v>
      </c>
      <c r="AI28" s="179"/>
      <c r="AJ28" s="107"/>
      <c r="AK28" s="107"/>
      <c r="AL28" s="180"/>
      <c r="AM28" s="216" t="s">
        <v>677</v>
      </c>
      <c r="AN28" s="216" t="s">
        <v>677</v>
      </c>
      <c r="AO28" s="216" t="s">
        <v>677</v>
      </c>
      <c r="AP28" s="216" t="s">
        <v>677</v>
      </c>
      <c r="AQ28" s="216" t="s">
        <v>677</v>
      </c>
      <c r="AR28" s="182"/>
      <c r="AS28" s="1276"/>
      <c r="AT28" s="1538"/>
      <c r="AU28" s="1538"/>
      <c r="AV28" s="1538"/>
      <c r="AW28" s="1538"/>
      <c r="AX28" s="1538"/>
      <c r="AY28" s="1538"/>
      <c r="AZ28" s="1538"/>
      <c r="BA28" s="1538"/>
      <c r="BB28" s="1538"/>
      <c r="BC28" s="1538"/>
      <c r="BD28" s="1539"/>
    </row>
    <row r="29" spans="1:56" ht="25.5" x14ac:dyDescent="0.25">
      <c r="A29" s="1277">
        <v>5</v>
      </c>
      <c r="B29" s="1276" t="s">
        <v>787</v>
      </c>
      <c r="C29" s="1239" t="s">
        <v>677</v>
      </c>
      <c r="D29" s="1239" t="s">
        <v>5180</v>
      </c>
      <c r="E29" s="1250" t="s">
        <v>168</v>
      </c>
      <c r="F29" s="1239" t="s">
        <v>7409</v>
      </c>
      <c r="G29" s="1239" t="s">
        <v>677</v>
      </c>
      <c r="H29" s="71" t="s">
        <v>704</v>
      </c>
      <c r="I29" s="1239" t="s">
        <v>7410</v>
      </c>
      <c r="J29" s="1239" t="s">
        <v>7411</v>
      </c>
      <c r="K29" s="1244">
        <v>41869</v>
      </c>
      <c r="L29" s="1242">
        <v>6665</v>
      </c>
      <c r="M29" s="1239" t="s">
        <v>7412</v>
      </c>
      <c r="N29" s="1244">
        <v>41869</v>
      </c>
      <c r="O29" s="1244">
        <v>42004</v>
      </c>
      <c r="P29" s="1239">
        <v>11</v>
      </c>
      <c r="Q29" s="1239">
        <v>0</v>
      </c>
      <c r="R29" s="1239">
        <v>0</v>
      </c>
      <c r="S29" s="1239">
        <v>0</v>
      </c>
      <c r="T29" s="1239" t="s">
        <v>158</v>
      </c>
      <c r="U29" s="1239"/>
      <c r="V29" s="1239"/>
      <c r="W29" s="1239"/>
      <c r="X29" s="1239"/>
      <c r="Y29" s="1239"/>
      <c r="Z29" s="1239"/>
      <c r="AA29" s="1239"/>
      <c r="AB29" s="1239"/>
      <c r="AC29" s="1239"/>
      <c r="AD29" s="1239"/>
      <c r="AE29" s="1319">
        <f t="shared" si="0"/>
        <v>6665</v>
      </c>
      <c r="AF29" s="613">
        <v>0</v>
      </c>
      <c r="AG29" s="613">
        <v>6665</v>
      </c>
      <c r="AH29" s="257">
        <f t="shared" si="1"/>
        <v>6665</v>
      </c>
      <c r="AI29" s="179" t="s">
        <v>7413</v>
      </c>
      <c r="AJ29" s="179" t="s">
        <v>7413</v>
      </c>
      <c r="AK29" s="179" t="s">
        <v>7413</v>
      </c>
      <c r="AL29" s="179" t="s">
        <v>7413</v>
      </c>
      <c r="AM29" s="216" t="s">
        <v>5180</v>
      </c>
      <c r="AN29" s="345" t="s">
        <v>7414</v>
      </c>
      <c r="AO29" s="216" t="s">
        <v>677</v>
      </c>
      <c r="AP29" s="216" t="s">
        <v>677</v>
      </c>
      <c r="AQ29" s="216" t="s">
        <v>677</v>
      </c>
      <c r="AR29" s="182"/>
      <c r="AS29" s="1276"/>
      <c r="AT29" s="1538"/>
      <c r="AU29" s="1538"/>
      <c r="AV29" s="1538"/>
      <c r="AW29" s="1538"/>
      <c r="AX29" s="1538"/>
      <c r="AY29" s="1538"/>
      <c r="AZ29" s="1538"/>
      <c r="BA29" s="1538"/>
      <c r="BB29" s="1538"/>
      <c r="BC29" s="1538"/>
      <c r="BD29" s="1539"/>
    </row>
    <row r="30" spans="1:56" ht="38.25" x14ac:dyDescent="0.25">
      <c r="A30" s="1277">
        <v>6</v>
      </c>
      <c r="B30" s="1301" t="s">
        <v>1797</v>
      </c>
      <c r="C30" s="1250" t="s">
        <v>7415</v>
      </c>
      <c r="D30" s="1253" t="s">
        <v>7416</v>
      </c>
      <c r="E30" s="1250" t="s">
        <v>7417</v>
      </c>
      <c r="F30" s="1250" t="s">
        <v>5710</v>
      </c>
      <c r="G30" s="1239" t="s">
        <v>7418</v>
      </c>
      <c r="H30" s="1252" t="s">
        <v>7419</v>
      </c>
      <c r="I30" s="1250" t="s">
        <v>7420</v>
      </c>
      <c r="J30" s="1250" t="s">
        <v>6074</v>
      </c>
      <c r="K30" s="1258">
        <v>41836</v>
      </c>
      <c r="L30" s="1260">
        <v>580.74</v>
      </c>
      <c r="M30" s="1258" t="s">
        <v>677</v>
      </c>
      <c r="N30" s="1258">
        <v>41836</v>
      </c>
      <c r="O30" s="1258">
        <v>41857</v>
      </c>
      <c r="P30" s="1250">
        <v>11</v>
      </c>
      <c r="Q30" s="1239">
        <v>0</v>
      </c>
      <c r="R30" s="1239">
        <v>0</v>
      </c>
      <c r="S30" s="1239">
        <v>0</v>
      </c>
      <c r="T30" s="1239" t="s">
        <v>7395</v>
      </c>
      <c r="U30" s="1239"/>
      <c r="V30" s="1239"/>
      <c r="W30" s="1239"/>
      <c r="X30" s="1239"/>
      <c r="Y30" s="1239"/>
      <c r="Z30" s="1239"/>
      <c r="AA30" s="1239"/>
      <c r="AB30" s="1239"/>
      <c r="AC30" s="1239"/>
      <c r="AD30" s="1239"/>
      <c r="AE30" s="1319">
        <v>580.74</v>
      </c>
      <c r="AF30" s="613">
        <v>0</v>
      </c>
      <c r="AG30" s="613">
        <v>580.74</v>
      </c>
      <c r="AH30" s="257">
        <f t="shared" si="1"/>
        <v>580.74</v>
      </c>
      <c r="AI30" s="179" t="s">
        <v>7413</v>
      </c>
      <c r="AJ30" s="179" t="s">
        <v>7413</v>
      </c>
      <c r="AK30" s="179" t="s">
        <v>7413</v>
      </c>
      <c r="AL30" s="179" t="s">
        <v>7413</v>
      </c>
      <c r="AM30" s="216" t="s">
        <v>677</v>
      </c>
      <c r="AN30" s="216" t="s">
        <v>677</v>
      </c>
      <c r="AO30" s="216" t="s">
        <v>677</v>
      </c>
      <c r="AP30" s="216" t="s">
        <v>677</v>
      </c>
      <c r="AQ30" s="216" t="s">
        <v>677</v>
      </c>
      <c r="AR30" s="182"/>
      <c r="AS30" s="1276"/>
      <c r="AT30" s="1538"/>
      <c r="AU30" s="1538"/>
      <c r="AV30" s="1538"/>
      <c r="AW30" s="1538"/>
      <c r="AX30" s="1538"/>
      <c r="AY30" s="1538"/>
      <c r="AZ30" s="1538"/>
      <c r="BA30" s="1538"/>
      <c r="BB30" s="1538"/>
      <c r="BC30" s="1538"/>
      <c r="BD30" s="1539"/>
    </row>
    <row r="31" spans="1:56" ht="38.25" x14ac:dyDescent="0.25">
      <c r="A31" s="1277">
        <v>7</v>
      </c>
      <c r="B31" s="1301" t="s">
        <v>1797</v>
      </c>
      <c r="C31" s="1250" t="s">
        <v>7415</v>
      </c>
      <c r="D31" s="1253" t="s">
        <v>7416</v>
      </c>
      <c r="E31" s="1250" t="s">
        <v>7417</v>
      </c>
      <c r="F31" s="1250" t="s">
        <v>5710</v>
      </c>
      <c r="G31" s="1239" t="s">
        <v>7418</v>
      </c>
      <c r="H31" s="1252" t="s">
        <v>7421</v>
      </c>
      <c r="I31" s="1250" t="s">
        <v>7422</v>
      </c>
      <c r="J31" s="1250" t="s">
        <v>452</v>
      </c>
      <c r="K31" s="1258">
        <v>41834</v>
      </c>
      <c r="L31" s="1260">
        <v>2242.2600000000002</v>
      </c>
      <c r="M31" s="1250" t="s">
        <v>677</v>
      </c>
      <c r="N31" s="1258">
        <v>41834</v>
      </c>
      <c r="O31" s="1258">
        <v>41855</v>
      </c>
      <c r="P31" s="1250">
        <v>11</v>
      </c>
      <c r="Q31" s="1239">
        <v>0</v>
      </c>
      <c r="R31" s="1239">
        <v>0</v>
      </c>
      <c r="S31" s="1239">
        <v>0</v>
      </c>
      <c r="T31" s="1239" t="s">
        <v>7395</v>
      </c>
      <c r="U31" s="1239"/>
      <c r="V31" s="1239"/>
      <c r="W31" s="1239"/>
      <c r="X31" s="1239"/>
      <c r="Y31" s="1239"/>
      <c r="Z31" s="1239"/>
      <c r="AA31" s="1239"/>
      <c r="AB31" s="1239"/>
      <c r="AC31" s="1239"/>
      <c r="AD31" s="1239"/>
      <c r="AE31" s="1319">
        <v>2242.2600000000002</v>
      </c>
      <c r="AF31" s="613">
        <v>0</v>
      </c>
      <c r="AG31" s="613">
        <v>2242.2600000000002</v>
      </c>
      <c r="AH31" s="257">
        <f t="shared" si="1"/>
        <v>2242.2600000000002</v>
      </c>
      <c r="AI31" s="179" t="s">
        <v>7413</v>
      </c>
      <c r="AJ31" s="179" t="s">
        <v>7413</v>
      </c>
      <c r="AK31" s="179" t="s">
        <v>7413</v>
      </c>
      <c r="AL31" s="179" t="s">
        <v>7413</v>
      </c>
      <c r="AM31" s="216" t="s">
        <v>677</v>
      </c>
      <c r="AN31" s="216" t="s">
        <v>677</v>
      </c>
      <c r="AO31" s="216" t="s">
        <v>677</v>
      </c>
      <c r="AP31" s="216" t="s">
        <v>677</v>
      </c>
      <c r="AQ31" s="216" t="s">
        <v>677</v>
      </c>
      <c r="AR31" s="182"/>
      <c r="AS31" s="1276"/>
      <c r="AT31" s="1538"/>
      <c r="AU31" s="1538"/>
      <c r="AV31" s="1538"/>
      <c r="AW31" s="1538"/>
      <c r="AX31" s="1538"/>
      <c r="AY31" s="1538"/>
      <c r="AZ31" s="1538"/>
      <c r="BA31" s="1538"/>
      <c r="BB31" s="1538"/>
      <c r="BC31" s="1538"/>
      <c r="BD31" s="1539"/>
    </row>
    <row r="32" spans="1:56" ht="38.25" x14ac:dyDescent="0.25">
      <c r="A32" s="1277">
        <v>8</v>
      </c>
      <c r="B32" s="1301" t="s">
        <v>1797</v>
      </c>
      <c r="C32" s="1250" t="s">
        <v>7415</v>
      </c>
      <c r="D32" s="1253" t="s">
        <v>7416</v>
      </c>
      <c r="E32" s="1250" t="s">
        <v>7417</v>
      </c>
      <c r="F32" s="1250" t="s">
        <v>5710</v>
      </c>
      <c r="G32" s="1239" t="s">
        <v>7418</v>
      </c>
      <c r="H32" s="1252" t="s">
        <v>7423</v>
      </c>
      <c r="I32" s="1250" t="s">
        <v>457</v>
      </c>
      <c r="J32" s="1250" t="s">
        <v>458</v>
      </c>
      <c r="K32" s="1258">
        <v>41836</v>
      </c>
      <c r="L32" s="1260">
        <v>4278.5</v>
      </c>
      <c r="M32" s="1250" t="s">
        <v>677</v>
      </c>
      <c r="N32" s="1258">
        <v>41836</v>
      </c>
      <c r="O32" s="1258">
        <v>41857</v>
      </c>
      <c r="P32" s="1250">
        <v>11</v>
      </c>
      <c r="Q32" s="1239">
        <v>0</v>
      </c>
      <c r="R32" s="1239">
        <v>0</v>
      </c>
      <c r="S32" s="1239">
        <v>0</v>
      </c>
      <c r="T32" s="1239" t="s">
        <v>7395</v>
      </c>
      <c r="U32" s="1239"/>
      <c r="V32" s="1239"/>
      <c r="W32" s="1239"/>
      <c r="X32" s="1239"/>
      <c r="Y32" s="1239"/>
      <c r="Z32" s="1239"/>
      <c r="AA32" s="1239"/>
      <c r="AB32" s="1239"/>
      <c r="AC32" s="1239"/>
      <c r="AD32" s="1239"/>
      <c r="AE32" s="1319">
        <v>4278.5</v>
      </c>
      <c r="AF32" s="613">
        <v>0</v>
      </c>
      <c r="AG32" s="613">
        <v>4278.5</v>
      </c>
      <c r="AH32" s="257">
        <f t="shared" si="1"/>
        <v>4278.5</v>
      </c>
      <c r="AI32" s="179" t="s">
        <v>7413</v>
      </c>
      <c r="AJ32" s="179" t="s">
        <v>7413</v>
      </c>
      <c r="AK32" s="179" t="s">
        <v>7413</v>
      </c>
      <c r="AL32" s="179" t="s">
        <v>7413</v>
      </c>
      <c r="AM32" s="216" t="s">
        <v>677</v>
      </c>
      <c r="AN32" s="216" t="s">
        <v>677</v>
      </c>
      <c r="AO32" s="216" t="s">
        <v>677</v>
      </c>
      <c r="AP32" s="216" t="s">
        <v>677</v>
      </c>
      <c r="AQ32" s="216" t="s">
        <v>677</v>
      </c>
      <c r="AR32" s="182"/>
      <c r="AS32" s="1276"/>
      <c r="AT32" s="1538"/>
      <c r="AU32" s="1538"/>
      <c r="AV32" s="1538"/>
      <c r="AW32" s="1538"/>
      <c r="AX32" s="1538"/>
      <c r="AY32" s="1538"/>
      <c r="AZ32" s="1538"/>
      <c r="BA32" s="1538"/>
      <c r="BB32" s="1538"/>
      <c r="BC32" s="1538"/>
      <c r="BD32" s="1539"/>
    </row>
    <row r="33" spans="1:56" ht="38.25" x14ac:dyDescent="0.25">
      <c r="A33" s="1277">
        <v>9</v>
      </c>
      <c r="B33" s="1301" t="s">
        <v>1797</v>
      </c>
      <c r="C33" s="1250" t="s">
        <v>7415</v>
      </c>
      <c r="D33" s="1253" t="s">
        <v>7416</v>
      </c>
      <c r="E33" s="1250" t="s">
        <v>7417</v>
      </c>
      <c r="F33" s="1250" t="s">
        <v>5710</v>
      </c>
      <c r="G33" s="1239" t="s">
        <v>7418</v>
      </c>
      <c r="H33" s="1252" t="s">
        <v>7424</v>
      </c>
      <c r="I33" s="1250" t="s">
        <v>7425</v>
      </c>
      <c r="J33" s="1250" t="s">
        <v>4219</v>
      </c>
      <c r="K33" s="1258">
        <v>41834</v>
      </c>
      <c r="L33" s="1260">
        <v>5861.38</v>
      </c>
      <c r="M33" s="1250" t="s">
        <v>677</v>
      </c>
      <c r="N33" s="1258">
        <v>41834</v>
      </c>
      <c r="O33" s="1258">
        <v>41855</v>
      </c>
      <c r="P33" s="1250">
        <v>11</v>
      </c>
      <c r="Q33" s="1239">
        <v>0</v>
      </c>
      <c r="R33" s="1239">
        <v>0</v>
      </c>
      <c r="S33" s="1239">
        <v>0</v>
      </c>
      <c r="T33" s="1239" t="s">
        <v>7395</v>
      </c>
      <c r="U33" s="1239"/>
      <c r="V33" s="1239"/>
      <c r="W33" s="1239"/>
      <c r="X33" s="1239"/>
      <c r="Y33" s="1239"/>
      <c r="Z33" s="1239"/>
      <c r="AA33" s="1239"/>
      <c r="AB33" s="1239"/>
      <c r="AC33" s="1239"/>
      <c r="AD33" s="1239"/>
      <c r="AE33" s="1319">
        <v>5861.38</v>
      </c>
      <c r="AF33" s="613">
        <v>0</v>
      </c>
      <c r="AG33" s="613">
        <v>5861.38</v>
      </c>
      <c r="AH33" s="257">
        <f t="shared" si="1"/>
        <v>5861.38</v>
      </c>
      <c r="AI33" s="179" t="s">
        <v>7413</v>
      </c>
      <c r="AJ33" s="179" t="s">
        <v>7413</v>
      </c>
      <c r="AK33" s="179" t="s">
        <v>7413</v>
      </c>
      <c r="AL33" s="179" t="s">
        <v>7413</v>
      </c>
      <c r="AM33" s="216" t="s">
        <v>677</v>
      </c>
      <c r="AN33" s="216" t="s">
        <v>677</v>
      </c>
      <c r="AO33" s="216" t="s">
        <v>677</v>
      </c>
      <c r="AP33" s="216" t="s">
        <v>677</v>
      </c>
      <c r="AQ33" s="216" t="s">
        <v>677</v>
      </c>
      <c r="AR33" s="182"/>
      <c r="AS33" s="1276"/>
      <c r="AT33" s="1538"/>
      <c r="AU33" s="1538"/>
      <c r="AV33" s="1538"/>
      <c r="AW33" s="1538"/>
      <c r="AX33" s="1538"/>
      <c r="AY33" s="1538"/>
      <c r="AZ33" s="1538"/>
      <c r="BA33" s="1538"/>
      <c r="BB33" s="1538"/>
      <c r="BC33" s="1538"/>
      <c r="BD33" s="1539"/>
    </row>
    <row r="34" spans="1:56" ht="38.25" x14ac:dyDescent="0.25">
      <c r="A34" s="1277">
        <v>10</v>
      </c>
      <c r="B34" s="1301" t="s">
        <v>2275</v>
      </c>
      <c r="C34" s="1250" t="s">
        <v>7426</v>
      </c>
      <c r="D34" s="1253" t="s">
        <v>7416</v>
      </c>
      <c r="E34" s="1250" t="s">
        <v>7417</v>
      </c>
      <c r="F34" s="1250" t="s">
        <v>739</v>
      </c>
      <c r="G34" s="1243" t="s">
        <v>7427</v>
      </c>
      <c r="H34" s="1252" t="s">
        <v>7428</v>
      </c>
      <c r="I34" s="1250" t="s">
        <v>7429</v>
      </c>
      <c r="J34" s="1250" t="s">
        <v>749</v>
      </c>
      <c r="K34" s="1258">
        <v>41850</v>
      </c>
      <c r="L34" s="1260">
        <v>670</v>
      </c>
      <c r="M34" s="1250" t="s">
        <v>677</v>
      </c>
      <c r="N34" s="1258">
        <v>41850</v>
      </c>
      <c r="O34" s="1250" t="s">
        <v>7430</v>
      </c>
      <c r="P34" s="1250">
        <v>11</v>
      </c>
      <c r="Q34" s="1239">
        <v>0</v>
      </c>
      <c r="R34" s="1239">
        <v>0</v>
      </c>
      <c r="S34" s="1239">
        <v>0</v>
      </c>
      <c r="T34" s="1239" t="s">
        <v>7395</v>
      </c>
      <c r="U34" s="1239"/>
      <c r="V34" s="1239"/>
      <c r="W34" s="1239"/>
      <c r="X34" s="1239"/>
      <c r="Y34" s="1239"/>
      <c r="Z34" s="1239"/>
      <c r="AA34" s="1239"/>
      <c r="AB34" s="1239"/>
      <c r="AC34" s="1239"/>
      <c r="AD34" s="1239"/>
      <c r="AE34" s="1319">
        <v>670</v>
      </c>
      <c r="AF34" s="613">
        <v>0</v>
      </c>
      <c r="AG34" s="613">
        <v>670</v>
      </c>
      <c r="AH34" s="257">
        <f t="shared" si="1"/>
        <v>670</v>
      </c>
      <c r="AI34" s="179" t="s">
        <v>7413</v>
      </c>
      <c r="AJ34" s="179" t="s">
        <v>7413</v>
      </c>
      <c r="AK34" s="179" t="s">
        <v>7413</v>
      </c>
      <c r="AL34" s="179" t="s">
        <v>7413</v>
      </c>
      <c r="AM34" s="216" t="s">
        <v>677</v>
      </c>
      <c r="AN34" s="216" t="s">
        <v>677</v>
      </c>
      <c r="AO34" s="216" t="s">
        <v>677</v>
      </c>
      <c r="AP34" s="216" t="s">
        <v>677</v>
      </c>
      <c r="AQ34" s="216" t="s">
        <v>677</v>
      </c>
      <c r="AR34" s="182"/>
      <c r="AS34" s="1276"/>
      <c r="AT34" s="1538"/>
      <c r="AU34" s="1538"/>
      <c r="AV34" s="1538"/>
      <c r="AW34" s="1538"/>
      <c r="AX34" s="1538"/>
      <c r="AY34" s="1538"/>
      <c r="AZ34" s="1538"/>
      <c r="BA34" s="1538"/>
      <c r="BB34" s="1538"/>
      <c r="BC34" s="1538"/>
      <c r="BD34" s="1539"/>
    </row>
    <row r="35" spans="1:56" ht="38.25" x14ac:dyDescent="0.25">
      <c r="A35" s="1277">
        <v>11</v>
      </c>
      <c r="B35" s="1301" t="s">
        <v>2275</v>
      </c>
      <c r="C35" s="1250" t="s">
        <v>7426</v>
      </c>
      <c r="D35" s="1253" t="s">
        <v>7416</v>
      </c>
      <c r="E35" s="1250" t="s">
        <v>7417</v>
      </c>
      <c r="F35" s="1250" t="s">
        <v>739</v>
      </c>
      <c r="G35" s="1243" t="s">
        <v>7427</v>
      </c>
      <c r="H35" s="1252" t="s">
        <v>7431</v>
      </c>
      <c r="I35" s="1250" t="s">
        <v>7432</v>
      </c>
      <c r="J35" s="1250" t="s">
        <v>1952</v>
      </c>
      <c r="K35" s="1258">
        <v>41906</v>
      </c>
      <c r="L35" s="1260">
        <v>1450</v>
      </c>
      <c r="M35" s="1250" t="s">
        <v>677</v>
      </c>
      <c r="N35" s="1258">
        <v>41906</v>
      </c>
      <c r="O35" s="1258">
        <v>41926</v>
      </c>
      <c r="P35" s="1250">
        <v>11</v>
      </c>
      <c r="Q35" s="1239">
        <v>0</v>
      </c>
      <c r="R35" s="1239">
        <v>0</v>
      </c>
      <c r="S35" s="1239">
        <v>0</v>
      </c>
      <c r="T35" s="1239" t="s">
        <v>7395</v>
      </c>
      <c r="U35" s="1239"/>
      <c r="V35" s="1239"/>
      <c r="W35" s="1239"/>
      <c r="X35" s="1239"/>
      <c r="Y35" s="1239"/>
      <c r="Z35" s="1239"/>
      <c r="AA35" s="1239"/>
      <c r="AB35" s="1239"/>
      <c r="AC35" s="1239"/>
      <c r="AD35" s="1239"/>
      <c r="AE35" s="1319">
        <v>1450</v>
      </c>
      <c r="AF35" s="613">
        <v>0</v>
      </c>
      <c r="AG35" s="613">
        <v>1450</v>
      </c>
      <c r="AH35" s="257">
        <f t="shared" si="1"/>
        <v>1450</v>
      </c>
      <c r="AI35" s="179" t="s">
        <v>7413</v>
      </c>
      <c r="AJ35" s="179" t="s">
        <v>7413</v>
      </c>
      <c r="AK35" s="179" t="s">
        <v>7413</v>
      </c>
      <c r="AL35" s="179" t="s">
        <v>7413</v>
      </c>
      <c r="AM35" s="216" t="s">
        <v>677</v>
      </c>
      <c r="AN35" s="216" t="s">
        <v>677</v>
      </c>
      <c r="AO35" s="216" t="s">
        <v>677</v>
      </c>
      <c r="AP35" s="216" t="s">
        <v>677</v>
      </c>
      <c r="AQ35" s="216" t="s">
        <v>677</v>
      </c>
      <c r="AR35" s="182"/>
      <c r="AS35" s="1276"/>
      <c r="AT35" s="1538"/>
      <c r="AU35" s="1538"/>
      <c r="AV35" s="1538"/>
      <c r="AW35" s="1538"/>
      <c r="AX35" s="1538"/>
      <c r="AY35" s="1538"/>
      <c r="AZ35" s="1538"/>
      <c r="BA35" s="1538"/>
      <c r="BB35" s="1538"/>
      <c r="BC35" s="1538"/>
      <c r="BD35" s="1539"/>
    </row>
    <row r="36" spans="1:56" ht="25.5" x14ac:dyDescent="0.25">
      <c r="A36" s="1277">
        <v>12</v>
      </c>
      <c r="B36" s="1301" t="s">
        <v>814</v>
      </c>
      <c r="C36" s="1250" t="s">
        <v>677</v>
      </c>
      <c r="D36" s="1253" t="s">
        <v>5180</v>
      </c>
      <c r="E36" s="1250" t="s">
        <v>168</v>
      </c>
      <c r="F36" s="1250" t="s">
        <v>7433</v>
      </c>
      <c r="G36" s="1243" t="s">
        <v>677</v>
      </c>
      <c r="H36" s="1252" t="s">
        <v>716</v>
      </c>
      <c r="I36" s="1250" t="s">
        <v>7434</v>
      </c>
      <c r="J36" s="1250" t="s">
        <v>7435</v>
      </c>
      <c r="K36" s="1258">
        <v>41932</v>
      </c>
      <c r="L36" s="1260">
        <v>6500</v>
      </c>
      <c r="M36" s="1250" t="s">
        <v>7436</v>
      </c>
      <c r="N36" s="1258">
        <v>41932</v>
      </c>
      <c r="O36" s="1258">
        <v>42004</v>
      </c>
      <c r="P36" s="1250">
        <v>11</v>
      </c>
      <c r="Q36" s="1239">
        <v>0</v>
      </c>
      <c r="R36" s="1239">
        <v>0</v>
      </c>
      <c r="S36" s="1239">
        <v>0</v>
      </c>
      <c r="T36" s="1239" t="s">
        <v>158</v>
      </c>
      <c r="U36" s="1239"/>
      <c r="V36" s="1239"/>
      <c r="W36" s="1239"/>
      <c r="X36" s="1239"/>
      <c r="Y36" s="1239"/>
      <c r="Z36" s="1239"/>
      <c r="AA36" s="1239"/>
      <c r="AB36" s="1239"/>
      <c r="AC36" s="1239"/>
      <c r="AD36" s="1239"/>
      <c r="AE36" s="1319">
        <v>6500</v>
      </c>
      <c r="AF36" s="613">
        <v>0</v>
      </c>
      <c r="AG36" s="613">
        <v>6500</v>
      </c>
      <c r="AH36" s="257">
        <f t="shared" si="1"/>
        <v>6500</v>
      </c>
      <c r="AI36" s="179" t="s">
        <v>7413</v>
      </c>
      <c r="AJ36" s="179" t="s">
        <v>7413</v>
      </c>
      <c r="AK36" s="179" t="s">
        <v>7413</v>
      </c>
      <c r="AL36" s="179" t="s">
        <v>7413</v>
      </c>
      <c r="AM36" s="216" t="s">
        <v>5180</v>
      </c>
      <c r="AN36" s="345" t="s">
        <v>7414</v>
      </c>
      <c r="AO36" s="216" t="s">
        <v>677</v>
      </c>
      <c r="AP36" s="216" t="s">
        <v>677</v>
      </c>
      <c r="AQ36" s="216" t="s">
        <v>677</v>
      </c>
      <c r="AR36" s="182"/>
      <c r="AS36" s="1276"/>
      <c r="AT36" s="1538"/>
      <c r="AU36" s="1538"/>
      <c r="AV36" s="1538"/>
      <c r="AW36" s="1538"/>
      <c r="AX36" s="1538"/>
      <c r="AY36" s="1538"/>
      <c r="AZ36" s="1538"/>
      <c r="BA36" s="1538"/>
      <c r="BB36" s="1538"/>
      <c r="BC36" s="1538"/>
      <c r="BD36" s="1539"/>
    </row>
    <row r="37" spans="1:56" ht="39" thickBot="1" x14ac:dyDescent="0.3">
      <c r="A37" s="1300">
        <v>13</v>
      </c>
      <c r="B37" s="1301" t="s">
        <v>832</v>
      </c>
      <c r="C37" s="1250" t="s">
        <v>677</v>
      </c>
      <c r="D37" s="1250" t="s">
        <v>5180</v>
      </c>
      <c r="E37" s="1250" t="s">
        <v>7417</v>
      </c>
      <c r="F37" s="1250" t="s">
        <v>7437</v>
      </c>
      <c r="G37" s="1256" t="s">
        <v>677</v>
      </c>
      <c r="H37" s="1253" t="s">
        <v>381</v>
      </c>
      <c r="I37" s="1250" t="s">
        <v>7438</v>
      </c>
      <c r="J37" s="1250" t="s">
        <v>351</v>
      </c>
      <c r="K37" s="1258">
        <v>41969</v>
      </c>
      <c r="L37" s="1260">
        <v>6390</v>
      </c>
      <c r="M37" s="1250" t="s">
        <v>7439</v>
      </c>
      <c r="N37" s="1258">
        <v>41969</v>
      </c>
      <c r="O37" s="1258">
        <v>42004</v>
      </c>
      <c r="P37" s="1250">
        <v>11</v>
      </c>
      <c r="Q37" s="1250">
        <v>0</v>
      </c>
      <c r="R37" s="1250">
        <v>0</v>
      </c>
      <c r="S37" s="1250">
        <v>0</v>
      </c>
      <c r="T37" s="1250" t="s">
        <v>7440</v>
      </c>
      <c r="U37" s="1250"/>
      <c r="V37" s="1250"/>
      <c r="W37" s="1250"/>
      <c r="X37" s="1250"/>
      <c r="Y37" s="1250"/>
      <c r="Z37" s="1250"/>
      <c r="AA37" s="1250"/>
      <c r="AB37" s="1250"/>
      <c r="AC37" s="1250"/>
      <c r="AD37" s="1250"/>
      <c r="AE37" s="1320">
        <f t="shared" si="0"/>
        <v>6390</v>
      </c>
      <c r="AF37" s="1391"/>
      <c r="AG37" s="1391">
        <v>6390</v>
      </c>
      <c r="AH37" s="294">
        <f t="shared" si="1"/>
        <v>6390</v>
      </c>
      <c r="AI37" s="284" t="s">
        <v>7413</v>
      </c>
      <c r="AJ37" s="284" t="s">
        <v>7413</v>
      </c>
      <c r="AK37" s="284" t="s">
        <v>7413</v>
      </c>
      <c r="AL37" s="284" t="s">
        <v>7413</v>
      </c>
      <c r="AM37" s="352" t="s">
        <v>5180</v>
      </c>
      <c r="AN37" s="353" t="s">
        <v>7414</v>
      </c>
      <c r="AO37" s="352" t="s">
        <v>677</v>
      </c>
      <c r="AP37" s="352" t="s">
        <v>677</v>
      </c>
      <c r="AQ37" s="352" t="s">
        <v>677</v>
      </c>
      <c r="AR37" s="288"/>
      <c r="AS37" s="1301"/>
      <c r="AT37" s="281"/>
      <c r="AU37" s="281"/>
      <c r="AV37" s="281"/>
      <c r="AW37" s="281"/>
      <c r="AX37" s="281"/>
      <c r="AY37" s="281"/>
      <c r="AZ37" s="281"/>
      <c r="BA37" s="281"/>
      <c r="BB37" s="281"/>
      <c r="BC37" s="281"/>
      <c r="BD37" s="289"/>
    </row>
    <row r="38" spans="1:56" ht="15.75" thickBot="1" x14ac:dyDescent="0.3">
      <c r="A38" s="2168" t="s">
        <v>601</v>
      </c>
      <c r="B38" s="2169"/>
      <c r="C38" s="2169"/>
      <c r="D38" s="2169"/>
      <c r="E38" s="2169"/>
      <c r="F38" s="2169"/>
      <c r="G38" s="2169"/>
      <c r="H38" s="2169"/>
      <c r="I38" s="2169"/>
      <c r="J38" s="2169"/>
      <c r="K38" s="2170"/>
      <c r="L38" s="295">
        <f>SUM(L24:L37)</f>
        <v>268818.02</v>
      </c>
      <c r="M38" s="296"/>
      <c r="N38" s="296"/>
      <c r="O38" s="296"/>
      <c r="P38" s="296"/>
      <c r="Q38" s="296"/>
      <c r="R38" s="296"/>
      <c r="S38" s="296"/>
      <c r="T38" s="296"/>
      <c r="U38" s="296"/>
      <c r="V38" s="296"/>
      <c r="W38" s="296"/>
      <c r="X38" s="296"/>
      <c r="Y38" s="296"/>
      <c r="Z38" s="296"/>
      <c r="AA38" s="296"/>
      <c r="AB38" s="296"/>
      <c r="AC38" s="297">
        <f t="shared" ref="AC38:AH38" si="2">SUM(AC24:AC37)</f>
        <v>0</v>
      </c>
      <c r="AD38" s="297">
        <f t="shared" si="2"/>
        <v>0</v>
      </c>
      <c r="AE38" s="298">
        <f t="shared" si="2"/>
        <v>268818.02</v>
      </c>
      <c r="AF38" s="298">
        <f t="shared" si="2"/>
        <v>49500</v>
      </c>
      <c r="AG38" s="298">
        <f t="shared" si="2"/>
        <v>127894.15000000001</v>
      </c>
      <c r="AH38" s="1907">
        <f t="shared" si="2"/>
        <v>177394.15000000002</v>
      </c>
      <c r="AI38" s="397"/>
      <c r="AJ38" s="297"/>
      <c r="AK38" s="297"/>
      <c r="AL38" s="398"/>
      <c r="AM38" s="397"/>
      <c r="AN38" s="399"/>
      <c r="AO38" s="399"/>
      <c r="AP38" s="399"/>
      <c r="AQ38" s="399"/>
      <c r="AR38" s="683"/>
      <c r="AS38" s="403"/>
      <c r="AT38" s="300"/>
      <c r="AU38" s="300"/>
      <c r="AV38" s="300"/>
      <c r="AW38" s="300"/>
      <c r="AX38" s="300"/>
      <c r="AY38" s="300"/>
      <c r="AZ38" s="300"/>
      <c r="BA38" s="300"/>
      <c r="BB38" s="300"/>
      <c r="BC38" s="300"/>
      <c r="BD38" s="301"/>
    </row>
  </sheetData>
  <mergeCells count="29">
    <mergeCell ref="A9:BD9"/>
    <mergeCell ref="A11:BD11"/>
    <mergeCell ref="A38:K38"/>
    <mergeCell ref="AT22:AT23"/>
    <mergeCell ref="AU22:AW22"/>
    <mergeCell ref="A21:A24"/>
    <mergeCell ref="B21:G22"/>
    <mergeCell ref="H21:AH21"/>
    <mergeCell ref="AI21:AL21"/>
    <mergeCell ref="AM21:AR21"/>
    <mergeCell ref="AS21:BD21"/>
    <mergeCell ref="H22:T22"/>
    <mergeCell ref="U22:AD22"/>
    <mergeCell ref="BA22:BA23"/>
    <mergeCell ref="BB22:BD22"/>
    <mergeCell ref="AN22:AN23"/>
    <mergeCell ref="AX22:AY22"/>
    <mergeCell ref="AZ22:AZ23"/>
    <mergeCell ref="AE22:AH22"/>
    <mergeCell ref="AI22:AI23"/>
    <mergeCell ref="AJ22:AJ23"/>
    <mergeCell ref="AK22:AK23"/>
    <mergeCell ref="AL22:AL23"/>
    <mergeCell ref="AM22:AM23"/>
    <mergeCell ref="AR22:AR23"/>
    <mergeCell ref="AS22:AS23"/>
    <mergeCell ref="AO22:AO23"/>
    <mergeCell ref="AP22:AP23"/>
    <mergeCell ref="AQ22:AQ23"/>
  </mergeCells>
  <pageMargins left="0.511811024" right="0.511811024" top="0.78740157499999996" bottom="0.78740157499999996" header="0.31496062000000002" footer="0.31496062000000002"/>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4"/>
  <sheetViews>
    <sheetView tabSelected="1" workbookViewId="0">
      <selection activeCell="J30" sqref="J30:J32"/>
    </sheetView>
  </sheetViews>
  <sheetFormatPr defaultRowHeight="14.25" x14ac:dyDescent="0.25"/>
  <cols>
    <col min="1" max="1" width="9.140625" style="1353"/>
    <col min="2" max="2" width="14.5703125" style="1353" customWidth="1"/>
    <col min="3" max="3" width="11.42578125" style="1353" customWidth="1"/>
    <col min="4" max="4" width="13.5703125" style="1353" customWidth="1"/>
    <col min="5" max="5" width="17.7109375" style="1353" customWidth="1"/>
    <col min="6" max="6" width="42" style="1353" customWidth="1"/>
    <col min="7" max="7" width="14.85546875" style="1353" customWidth="1"/>
    <col min="8" max="8" width="11.140625" style="1353" customWidth="1"/>
    <col min="9" max="9" width="24.140625" style="1353" bestFit="1" customWidth="1"/>
    <col min="10" max="10" width="12.28515625" style="1353" customWidth="1"/>
    <col min="11" max="11" width="10.28515625" style="1353" bestFit="1" customWidth="1"/>
    <col min="12" max="12" width="12.85546875" style="1353" bestFit="1" customWidth="1"/>
    <col min="13" max="13" width="12.42578125" style="1353" customWidth="1"/>
    <col min="14" max="14" width="11.140625" style="1353" customWidth="1"/>
    <col min="15" max="15" width="12" style="1353" customWidth="1"/>
    <col min="16" max="16" width="30.5703125" style="1353" bestFit="1" customWidth="1"/>
    <col min="17" max="17" width="10.85546875" style="1353" customWidth="1"/>
    <col min="18" max="18" width="12.5703125" style="1353" customWidth="1"/>
    <col min="19" max="19" width="15.7109375" style="1353" customWidth="1"/>
    <col min="20" max="20" width="12.42578125" style="1353" bestFit="1" customWidth="1"/>
    <col min="21" max="21" width="12" style="1353" customWidth="1"/>
    <col min="22" max="22" width="10.28515625" style="1353" bestFit="1" customWidth="1"/>
    <col min="23" max="23" width="14.140625" style="1353" customWidth="1"/>
    <col min="24" max="24" width="11.5703125" style="1353" customWidth="1"/>
    <col min="25" max="25" width="11.140625" style="1353" customWidth="1"/>
    <col min="26" max="26" width="12.7109375" style="1353" customWidth="1"/>
    <col min="27" max="27" width="12.42578125" style="1353" customWidth="1"/>
    <col min="28" max="28" width="11.28515625" style="1353" customWidth="1"/>
    <col min="29" max="29" width="11.28515625" style="1353" bestFit="1" customWidth="1"/>
    <col min="30" max="30" width="11.85546875" style="1353" customWidth="1"/>
    <col min="31" max="31" width="20.42578125" style="1353" customWidth="1"/>
    <col min="32" max="32" width="12.85546875" style="1353" bestFit="1" customWidth="1"/>
    <col min="33" max="33" width="13.85546875" style="1353" customWidth="1"/>
    <col min="34" max="34" width="16.5703125" style="1353" customWidth="1"/>
    <col min="35" max="35" width="9.140625" style="1353"/>
    <col min="36" max="36" width="14.5703125" style="1353" customWidth="1"/>
    <col min="37" max="37" width="14.7109375" style="1353" customWidth="1"/>
    <col min="38" max="38" width="13.7109375" style="1353" customWidth="1"/>
    <col min="39" max="39" width="15.5703125" style="1353" bestFit="1" customWidth="1"/>
    <col min="40" max="40" width="15.7109375" style="1353" customWidth="1"/>
    <col min="41" max="41" width="14.7109375" style="1353" customWidth="1"/>
    <col min="42" max="42" width="9.140625" style="1353"/>
    <col min="43" max="43" width="14.5703125" style="1353" customWidth="1"/>
    <col min="44" max="45" width="9.140625" style="1353"/>
    <col min="46" max="46" width="13.28515625" style="1353" customWidth="1"/>
    <col min="47" max="51" width="9.140625" style="1353"/>
    <col min="52" max="52" width="11.140625" style="1353" customWidth="1"/>
    <col min="53" max="53" width="11.7109375" style="1353" customWidth="1"/>
    <col min="54" max="16384" width="9.140625" style="1353"/>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ht="15"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3" spans="1:56" s="240" customFormat="1" ht="12.75" x14ac:dyDescent="0.25"/>
    <row r="14" spans="1:56" x14ac:dyDescent="0.25">
      <c r="A14" s="2702" t="s">
        <v>1</v>
      </c>
      <c r="B14" s="2702"/>
      <c r="C14" s="2702"/>
      <c r="D14" s="2702"/>
      <c r="E14" s="2702"/>
      <c r="F14" s="2702"/>
      <c r="G14" s="2702"/>
      <c r="H14" s="2702"/>
      <c r="I14" s="2702"/>
      <c r="J14" s="2702"/>
      <c r="K14" s="2702"/>
      <c r="L14" s="2702"/>
      <c r="M14" s="2702"/>
      <c r="N14" s="2702"/>
      <c r="O14" s="2702"/>
      <c r="P14" s="2702"/>
      <c r="Q14" s="2702"/>
      <c r="R14" s="2702"/>
      <c r="S14" s="2702"/>
      <c r="T14" s="2702"/>
      <c r="U14" s="2702"/>
      <c r="V14" s="2702"/>
      <c r="W14" s="2702"/>
      <c r="X14" s="2702"/>
      <c r="Y14" s="2702"/>
      <c r="Z14" s="2702"/>
      <c r="AA14" s="2702"/>
      <c r="AB14" s="2702"/>
      <c r="AC14" s="2702"/>
      <c r="AD14" s="2702"/>
      <c r="AE14" s="2702"/>
      <c r="AF14" s="2702"/>
      <c r="AG14" s="2702"/>
      <c r="AH14" s="2702"/>
      <c r="AI14" s="2702"/>
      <c r="AJ14" s="2702"/>
      <c r="AK14" s="2702"/>
      <c r="AL14" s="2702"/>
      <c r="AM14" s="2702"/>
      <c r="AN14" s="2702"/>
      <c r="AO14" s="2702"/>
      <c r="AP14" s="2702"/>
      <c r="AQ14" s="2702"/>
      <c r="AR14" s="2702"/>
      <c r="AS14" s="2702"/>
    </row>
    <row r="15" spans="1:56" x14ac:dyDescent="0.25">
      <c r="A15" s="2702" t="s">
        <v>2</v>
      </c>
      <c r="B15" s="2702"/>
      <c r="C15" s="2702"/>
      <c r="D15" s="2702"/>
      <c r="E15" s="2702"/>
      <c r="F15" s="2702"/>
      <c r="G15" s="2702"/>
      <c r="H15" s="2702"/>
      <c r="I15" s="2702"/>
      <c r="J15" s="2702"/>
    </row>
    <row r="16" spans="1:56" x14ac:dyDescent="0.25">
      <c r="A16" s="2702" t="s">
        <v>3</v>
      </c>
      <c r="B16" s="2702"/>
      <c r="C16" s="2702"/>
      <c r="D16" s="2702"/>
      <c r="E16" s="2702"/>
    </row>
    <row r="18" spans="1:56" ht="15" x14ac:dyDescent="0.25">
      <c r="A18" s="2702" t="s">
        <v>7613</v>
      </c>
      <c r="B18" s="2702"/>
      <c r="C18" s="2702"/>
      <c r="D18" s="2702"/>
      <c r="E18" s="2702"/>
      <c r="F18" s="2702"/>
      <c r="G18" s="2702"/>
      <c r="H18" s="2702"/>
      <c r="I18" s="2702"/>
      <c r="J18" s="2702"/>
      <c r="K18" s="2702"/>
      <c r="L18" s="2702"/>
      <c r="M18" s="2702"/>
      <c r="N18" s="2702"/>
      <c r="O18" s="2702"/>
      <c r="P18" s="2702"/>
      <c r="Q18" s="2702"/>
      <c r="R18" s="2702"/>
      <c r="S18" s="2702"/>
      <c r="T18" s="2702"/>
      <c r="U18" s="2702"/>
      <c r="V18" s="2702"/>
      <c r="W18" s="2702"/>
      <c r="X18" s="2702"/>
      <c r="Y18" s="2702"/>
      <c r="Z18" s="2702"/>
      <c r="AA18" s="2702"/>
      <c r="AB18" s="2702"/>
      <c r="AC18" s="2702"/>
      <c r="AD18" s="2702"/>
      <c r="AE18" s="2702"/>
    </row>
    <row r="19" spans="1:56" ht="15" x14ac:dyDescent="0.25">
      <c r="A19" s="2702" t="s">
        <v>7532</v>
      </c>
      <c r="B19" s="2702"/>
      <c r="C19" s="2702"/>
      <c r="D19" s="2702"/>
      <c r="E19" s="2702"/>
      <c r="F19" s="2702"/>
      <c r="G19" s="2702"/>
      <c r="H19" s="2702"/>
      <c r="I19" s="2702"/>
      <c r="J19" s="2702"/>
      <c r="K19" s="2702"/>
      <c r="L19" s="2702"/>
      <c r="M19" s="2702"/>
      <c r="N19" s="2702"/>
      <c r="O19" s="2702"/>
      <c r="P19" s="2702"/>
      <c r="Q19" s="2702"/>
      <c r="R19" s="2702"/>
      <c r="S19" s="2702"/>
      <c r="T19" s="2702"/>
      <c r="U19" s="2702"/>
      <c r="V19" s="2702"/>
      <c r="W19" s="2702"/>
      <c r="X19" s="2702"/>
      <c r="Y19" s="2702"/>
      <c r="Z19" s="2702"/>
      <c r="AA19" s="2702"/>
      <c r="AB19" s="2702"/>
      <c r="AC19" s="2702"/>
      <c r="AD19" s="2702"/>
      <c r="AE19" s="2702"/>
    </row>
    <row r="20" spans="1:56" ht="15" x14ac:dyDescent="0.25">
      <c r="A20" s="2702" t="s">
        <v>7614</v>
      </c>
      <c r="B20" s="2702"/>
      <c r="C20" s="2702"/>
      <c r="D20" s="2702"/>
      <c r="E20" s="2702"/>
      <c r="F20" s="2702"/>
      <c r="G20" s="2702"/>
      <c r="H20" s="2702"/>
      <c r="I20" s="2702"/>
      <c r="J20" s="2702"/>
      <c r="K20" s="2702"/>
      <c r="L20" s="2702"/>
      <c r="M20" s="2702"/>
      <c r="N20" s="2702"/>
      <c r="O20" s="2702"/>
      <c r="P20" s="2702"/>
      <c r="Q20" s="2702"/>
      <c r="R20" s="2702"/>
      <c r="S20" s="2702"/>
      <c r="T20" s="2702"/>
      <c r="U20" s="2702"/>
      <c r="V20" s="2702"/>
      <c r="W20" s="2702"/>
      <c r="X20" s="2702"/>
      <c r="Y20" s="2702"/>
      <c r="Z20" s="2702"/>
      <c r="AA20" s="2702"/>
      <c r="AB20" s="2702"/>
      <c r="AC20" s="2702"/>
      <c r="AD20" s="2702"/>
      <c r="AE20" s="2702"/>
    </row>
    <row r="21" spans="1:56" s="240" customFormat="1" ht="12.75" x14ac:dyDescent="0.25"/>
    <row r="22" spans="1:56" s="240" customFormat="1" ht="15.75" customHeight="1" thickBot="1" x14ac:dyDescent="0.3">
      <c r="A22" s="2703"/>
      <c r="B22" s="2703"/>
      <c r="C22" s="2703"/>
      <c r="D22" s="2703"/>
      <c r="E22" s="2703"/>
      <c r="F22" s="2703"/>
      <c r="G22" s="2703"/>
      <c r="H22" s="2703"/>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703"/>
      <c r="AG22" s="2703"/>
      <c r="AH22" s="2703"/>
      <c r="AI22" s="2703"/>
      <c r="AJ22" s="2703"/>
      <c r="AK22" s="2703"/>
      <c r="AL22" s="2703"/>
      <c r="AM22" s="2703"/>
      <c r="AN22" s="2703"/>
      <c r="AO22" s="2703"/>
      <c r="AP22" s="2703"/>
      <c r="AQ22" s="2703"/>
      <c r="AR22" s="2703"/>
      <c r="AS22" s="2703"/>
      <c r="AT22" s="2703"/>
      <c r="AU22" s="2703"/>
      <c r="AV22" s="2703"/>
      <c r="AW22" s="2703"/>
      <c r="AX22" s="2703"/>
      <c r="AY22" s="2703"/>
      <c r="AZ22" s="2703"/>
      <c r="BA22" s="2703"/>
      <c r="BB22" s="2703"/>
      <c r="BC22" s="2703"/>
      <c r="BD22" s="2703"/>
    </row>
    <row r="23" spans="1:56" s="241" customFormat="1" ht="15.75" customHeight="1" x14ac:dyDescent="0.25">
      <c r="A23" s="2699" t="s">
        <v>5</v>
      </c>
      <c r="B23" s="2087" t="s">
        <v>6</v>
      </c>
      <c r="C23" s="2087"/>
      <c r="D23" s="2087"/>
      <c r="E23" s="2087"/>
      <c r="F23" s="2087"/>
      <c r="G23" s="2088"/>
      <c r="H23" s="2125" t="s">
        <v>7</v>
      </c>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056" t="s">
        <v>8</v>
      </c>
      <c r="AJ23" s="2049"/>
      <c r="AK23" s="2049"/>
      <c r="AL23" s="2051"/>
      <c r="AM23" s="2125" t="s">
        <v>9</v>
      </c>
      <c r="AN23" s="2126"/>
      <c r="AO23" s="2126"/>
      <c r="AP23" s="2126"/>
      <c r="AQ23" s="2126"/>
      <c r="AR23" s="2127"/>
      <c r="AS23" s="2128" t="s">
        <v>10</v>
      </c>
      <c r="AT23" s="2129"/>
      <c r="AU23" s="2129"/>
      <c r="AV23" s="2129"/>
      <c r="AW23" s="2129"/>
      <c r="AX23" s="2129"/>
      <c r="AY23" s="2129"/>
      <c r="AZ23" s="2129"/>
      <c r="BA23" s="2129"/>
      <c r="BB23" s="2129"/>
      <c r="BC23" s="2129"/>
      <c r="BD23" s="2130"/>
    </row>
    <row r="24" spans="1:56" s="241" customFormat="1" ht="15.75" customHeight="1" x14ac:dyDescent="0.25">
      <c r="A24" s="2700"/>
      <c r="B24" s="2090"/>
      <c r="C24" s="2090"/>
      <c r="D24" s="2090"/>
      <c r="E24" s="2090"/>
      <c r="F24" s="2090"/>
      <c r="G24" s="2091"/>
      <c r="H24" s="2101" t="s">
        <v>11</v>
      </c>
      <c r="I24" s="2102"/>
      <c r="J24" s="2102"/>
      <c r="K24" s="2102"/>
      <c r="L24" s="2102"/>
      <c r="M24" s="2102"/>
      <c r="N24" s="2102"/>
      <c r="O24" s="2102"/>
      <c r="P24" s="2102"/>
      <c r="Q24" s="2102"/>
      <c r="R24" s="2102"/>
      <c r="S24" s="2102"/>
      <c r="T24" s="2069"/>
      <c r="U24" s="2103" t="s">
        <v>12</v>
      </c>
      <c r="V24" s="2102"/>
      <c r="W24" s="2102"/>
      <c r="X24" s="2102"/>
      <c r="Y24" s="2102"/>
      <c r="Z24" s="2102"/>
      <c r="AA24" s="2102"/>
      <c r="AB24" s="2102"/>
      <c r="AC24" s="2102"/>
      <c r="AD24" s="2069"/>
      <c r="AE24" s="2103" t="s">
        <v>13</v>
      </c>
      <c r="AF24" s="2102"/>
      <c r="AG24" s="2102"/>
      <c r="AH24" s="2102"/>
      <c r="AI24" s="2057" t="s">
        <v>14</v>
      </c>
      <c r="AJ24" s="2050" t="s">
        <v>15</v>
      </c>
      <c r="AK24" s="2050" t="s">
        <v>16</v>
      </c>
      <c r="AL24" s="2052" t="s">
        <v>581</v>
      </c>
      <c r="AM24" s="2112" t="s">
        <v>18</v>
      </c>
      <c r="AN24" s="2114" t="s">
        <v>19</v>
      </c>
      <c r="AO24" s="2114" t="s">
        <v>20</v>
      </c>
      <c r="AP24" s="2114" t="s">
        <v>21</v>
      </c>
      <c r="AQ24" s="2114" t="s">
        <v>22</v>
      </c>
      <c r="AR24" s="2116" t="s">
        <v>21</v>
      </c>
      <c r="AS24" s="2069" t="s">
        <v>23</v>
      </c>
      <c r="AT24" s="2110" t="s">
        <v>24</v>
      </c>
      <c r="AU24" s="2111" t="s">
        <v>25</v>
      </c>
      <c r="AV24" s="2111"/>
      <c r="AW24" s="2111"/>
      <c r="AX24" s="2111" t="s">
        <v>26</v>
      </c>
      <c r="AY24" s="2111"/>
      <c r="AZ24" s="2110" t="s">
        <v>27</v>
      </c>
      <c r="BA24" s="2050" t="s">
        <v>28</v>
      </c>
      <c r="BB24" s="2111" t="s">
        <v>29</v>
      </c>
      <c r="BC24" s="2111"/>
      <c r="BD24" s="2131"/>
    </row>
    <row r="25" spans="1:56" s="241" customFormat="1" ht="38.25" x14ac:dyDescent="0.25">
      <c r="A25" s="2700"/>
      <c r="B25" s="1757" t="s">
        <v>30</v>
      </c>
      <c r="C25" s="1755" t="s">
        <v>31</v>
      </c>
      <c r="D25" s="1755" t="s">
        <v>32</v>
      </c>
      <c r="E25" s="1755" t="s">
        <v>23</v>
      </c>
      <c r="F25" s="1755" t="s">
        <v>33</v>
      </c>
      <c r="G25" s="1756" t="s">
        <v>34</v>
      </c>
      <c r="H25" s="1789" t="s">
        <v>35</v>
      </c>
      <c r="I25" s="1755" t="s">
        <v>36</v>
      </c>
      <c r="J25" s="1755" t="s">
        <v>37</v>
      </c>
      <c r="K25" s="1755" t="s">
        <v>38</v>
      </c>
      <c r="L25" s="1755" t="s">
        <v>39</v>
      </c>
      <c r="M25" s="1755" t="s">
        <v>40</v>
      </c>
      <c r="N25" s="1755" t="s">
        <v>41</v>
      </c>
      <c r="O25" s="1755" t="s">
        <v>42</v>
      </c>
      <c r="P25" s="1755" t="s">
        <v>43</v>
      </c>
      <c r="Q25" s="1755" t="s">
        <v>44</v>
      </c>
      <c r="R25" s="1755" t="s">
        <v>45</v>
      </c>
      <c r="S25" s="1755" t="s">
        <v>46</v>
      </c>
      <c r="T25" s="1755" t="s">
        <v>47</v>
      </c>
      <c r="U25" s="1755" t="s">
        <v>48</v>
      </c>
      <c r="V25" s="1755" t="s">
        <v>38</v>
      </c>
      <c r="W25" s="1755" t="s">
        <v>40</v>
      </c>
      <c r="X25" s="1755" t="s">
        <v>49</v>
      </c>
      <c r="Y25" s="1755" t="s">
        <v>41</v>
      </c>
      <c r="Z25" s="1755" t="s">
        <v>42</v>
      </c>
      <c r="AA25" s="1755" t="s">
        <v>50</v>
      </c>
      <c r="AB25" s="1755" t="s">
        <v>51</v>
      </c>
      <c r="AC25" s="1755" t="s">
        <v>52</v>
      </c>
      <c r="AD25" s="1755" t="s">
        <v>53</v>
      </c>
      <c r="AE25" s="1755" t="s">
        <v>54</v>
      </c>
      <c r="AF25" s="1755" t="s">
        <v>55</v>
      </c>
      <c r="AG25" s="1755" t="s">
        <v>56</v>
      </c>
      <c r="AH25" s="1774" t="s">
        <v>57</v>
      </c>
      <c r="AI25" s="2057"/>
      <c r="AJ25" s="2050"/>
      <c r="AK25" s="2050"/>
      <c r="AL25" s="2052"/>
      <c r="AM25" s="2113"/>
      <c r="AN25" s="2115"/>
      <c r="AO25" s="2115"/>
      <c r="AP25" s="2115"/>
      <c r="AQ25" s="2115"/>
      <c r="AR25" s="2117"/>
      <c r="AS25" s="2069"/>
      <c r="AT25" s="2110"/>
      <c r="AU25" s="1776" t="s">
        <v>58</v>
      </c>
      <c r="AV25" s="1776" t="s">
        <v>59</v>
      </c>
      <c r="AW25" s="1776" t="s">
        <v>60</v>
      </c>
      <c r="AX25" s="1776" t="s">
        <v>61</v>
      </c>
      <c r="AY25" s="1775" t="s">
        <v>62</v>
      </c>
      <c r="AZ25" s="2110"/>
      <c r="BA25" s="2050"/>
      <c r="BB25" s="1776" t="s">
        <v>58</v>
      </c>
      <c r="BC25" s="1776" t="s">
        <v>63</v>
      </c>
      <c r="BD25" s="1777" t="s">
        <v>64</v>
      </c>
    </row>
    <row r="26" spans="1:56" s="241" customFormat="1" ht="13.5" thickBot="1" x14ac:dyDescent="0.3">
      <c r="A26" s="2701"/>
      <c r="B26" s="1896" t="s">
        <v>65</v>
      </c>
      <c r="C26" s="1870" t="s">
        <v>66</v>
      </c>
      <c r="D26" s="12" t="s">
        <v>67</v>
      </c>
      <c r="E26" s="1870" t="s">
        <v>68</v>
      </c>
      <c r="F26" s="1870" t="s">
        <v>69</v>
      </c>
      <c r="G26" s="1871" t="s">
        <v>70</v>
      </c>
      <c r="H26" s="14" t="s">
        <v>71</v>
      </c>
      <c r="I26" s="1870" t="s">
        <v>72</v>
      </c>
      <c r="J26" s="1870" t="s">
        <v>73</v>
      </c>
      <c r="K26" s="1870" t="s">
        <v>74</v>
      </c>
      <c r="L26" s="15" t="s">
        <v>75</v>
      </c>
      <c r="M26" s="1870" t="s">
        <v>76</v>
      </c>
      <c r="N26" s="1870" t="s">
        <v>77</v>
      </c>
      <c r="O26" s="1870" t="s">
        <v>78</v>
      </c>
      <c r="P26" s="1870" t="s">
        <v>79</v>
      </c>
      <c r="Q26" s="1870" t="s">
        <v>80</v>
      </c>
      <c r="R26" s="1870" t="s">
        <v>81</v>
      </c>
      <c r="S26" s="1870" t="s">
        <v>82</v>
      </c>
      <c r="T26" s="1870" t="s">
        <v>83</v>
      </c>
      <c r="U26" s="1870" t="s">
        <v>84</v>
      </c>
      <c r="V26" s="1870" t="s">
        <v>85</v>
      </c>
      <c r="W26" s="1870" t="s">
        <v>86</v>
      </c>
      <c r="X26" s="1870" t="s">
        <v>87</v>
      </c>
      <c r="Y26" s="1870" t="s">
        <v>88</v>
      </c>
      <c r="Z26" s="1870" t="s">
        <v>89</v>
      </c>
      <c r="AA26" s="1870" t="s">
        <v>90</v>
      </c>
      <c r="AB26" s="1870" t="s">
        <v>91</v>
      </c>
      <c r="AC26" s="1870" t="s">
        <v>92</v>
      </c>
      <c r="AD26" s="1870" t="s">
        <v>93</v>
      </c>
      <c r="AE26" s="1870" t="s">
        <v>94</v>
      </c>
      <c r="AF26" s="1870" t="s">
        <v>95</v>
      </c>
      <c r="AG26" s="247" t="s">
        <v>96</v>
      </c>
      <c r="AH26" s="248" t="s">
        <v>97</v>
      </c>
      <c r="AI26" s="1869" t="s">
        <v>98</v>
      </c>
      <c r="AJ26" s="1896" t="s">
        <v>99</v>
      </c>
      <c r="AK26" s="1896" t="s">
        <v>100</v>
      </c>
      <c r="AL26" s="249" t="s">
        <v>101</v>
      </c>
      <c r="AM26" s="250" t="s">
        <v>102</v>
      </c>
      <c r="AN26" s="251" t="s">
        <v>103</v>
      </c>
      <c r="AO26" s="251" t="s">
        <v>104</v>
      </c>
      <c r="AP26" s="251" t="s">
        <v>105</v>
      </c>
      <c r="AQ26" s="251" t="s">
        <v>106</v>
      </c>
      <c r="AR26" s="252" t="s">
        <v>107</v>
      </c>
      <c r="AS26" s="253" t="s">
        <v>108</v>
      </c>
      <c r="AT26" s="251" t="s">
        <v>109</v>
      </c>
      <c r="AU26" s="251" t="s">
        <v>110</v>
      </c>
      <c r="AV26" s="251" t="s">
        <v>111</v>
      </c>
      <c r="AW26" s="252" t="s">
        <v>112</v>
      </c>
      <c r="AX26" s="252" t="s">
        <v>113</v>
      </c>
      <c r="AY26" s="252" t="s">
        <v>114</v>
      </c>
      <c r="AZ26" s="251" t="s">
        <v>115</v>
      </c>
      <c r="BA26" s="251" t="s">
        <v>116</v>
      </c>
      <c r="BB26" s="251" t="s">
        <v>117</v>
      </c>
      <c r="BC26" s="252" t="s">
        <v>118</v>
      </c>
      <c r="BD26" s="252" t="s">
        <v>119</v>
      </c>
    </row>
    <row r="27" spans="1:56" s="240" customFormat="1" ht="102" x14ac:dyDescent="0.25">
      <c r="A27" s="2677" t="s">
        <v>3905</v>
      </c>
      <c r="B27" s="2692" t="s">
        <v>7441</v>
      </c>
      <c r="C27" s="2655" t="s">
        <v>7442</v>
      </c>
      <c r="D27" s="2684" t="s">
        <v>7443</v>
      </c>
      <c r="E27" s="2695" t="s">
        <v>7444</v>
      </c>
      <c r="F27" s="2684" t="s">
        <v>7445</v>
      </c>
      <c r="G27" s="2671">
        <v>9722</v>
      </c>
      <c r="H27" s="2684" t="s">
        <v>7446</v>
      </c>
      <c r="I27" s="2684" t="s">
        <v>7447</v>
      </c>
      <c r="J27" s="2665" t="s">
        <v>7448</v>
      </c>
      <c r="K27" s="2289" t="s">
        <v>7449</v>
      </c>
      <c r="L27" s="2697">
        <v>513360</v>
      </c>
      <c r="M27" s="2698">
        <v>9782</v>
      </c>
      <c r="N27" s="2684" t="s">
        <v>7449</v>
      </c>
      <c r="O27" s="2684" t="s">
        <v>7450</v>
      </c>
      <c r="P27" s="2662" t="s">
        <v>7451</v>
      </c>
      <c r="Q27" s="2655" t="s">
        <v>7452</v>
      </c>
      <c r="R27" s="2655" t="s">
        <v>7452</v>
      </c>
      <c r="S27" s="2655" t="s">
        <v>7452</v>
      </c>
      <c r="T27" s="2684" t="s">
        <v>208</v>
      </c>
      <c r="U27" s="1783" t="s">
        <v>1224</v>
      </c>
      <c r="V27" s="1783" t="s">
        <v>7453</v>
      </c>
      <c r="W27" s="1609">
        <v>10272</v>
      </c>
      <c r="X27" s="1783" t="s">
        <v>7454</v>
      </c>
      <c r="Y27" s="1783" t="s">
        <v>7455</v>
      </c>
      <c r="Z27" s="1783" t="s">
        <v>7456</v>
      </c>
      <c r="AA27" s="1937">
        <v>7.3199620000000003</v>
      </c>
      <c r="AB27" s="1783">
        <v>0</v>
      </c>
      <c r="AC27" s="256">
        <f>((L27*(AA27/100)))</f>
        <v>37577.756923200002</v>
      </c>
      <c r="AD27" s="1938">
        <v>0</v>
      </c>
      <c r="AE27" s="597">
        <f>L27-AD27+AC27</f>
        <v>550937.75692319998</v>
      </c>
      <c r="AF27" s="2657">
        <v>1437377.35</v>
      </c>
      <c r="AG27" s="2657">
        <v>30000</v>
      </c>
      <c r="AH27" s="2657">
        <f>AF27+AG27</f>
        <v>1467377.35</v>
      </c>
      <c r="AI27" s="2655" t="s">
        <v>7452</v>
      </c>
      <c r="AJ27" s="2655" t="s">
        <v>7452</v>
      </c>
      <c r="AK27" s="2655" t="s">
        <v>7452</v>
      </c>
      <c r="AL27" s="2655" t="s">
        <v>7452</v>
      </c>
      <c r="AM27" s="2655" t="s">
        <v>7452</v>
      </c>
      <c r="AN27" s="2655" t="s">
        <v>7452</v>
      </c>
      <c r="AO27" s="2655" t="s">
        <v>7452</v>
      </c>
      <c r="AP27" s="2655" t="s">
        <v>7452</v>
      </c>
      <c r="AQ27" s="2655" t="s">
        <v>7452</v>
      </c>
      <c r="AR27" s="2655" t="s">
        <v>7452</v>
      </c>
      <c r="AS27" s="2655" t="s">
        <v>7452</v>
      </c>
      <c r="AT27" s="2655" t="s">
        <v>7452</v>
      </c>
      <c r="AU27" s="2655" t="s">
        <v>7452</v>
      </c>
      <c r="AV27" s="2655" t="s">
        <v>7452</v>
      </c>
      <c r="AW27" s="2655" t="s">
        <v>7452</v>
      </c>
      <c r="AX27" s="2655" t="s">
        <v>7452</v>
      </c>
      <c r="AY27" s="2655" t="s">
        <v>7452</v>
      </c>
      <c r="AZ27" s="2655" t="s">
        <v>7452</v>
      </c>
      <c r="BA27" s="2655" t="s">
        <v>7452</v>
      </c>
      <c r="BB27" s="2655" t="s">
        <v>7452</v>
      </c>
      <c r="BC27" s="2655" t="s">
        <v>7452</v>
      </c>
      <c r="BD27" s="2655" t="s">
        <v>7452</v>
      </c>
    </row>
    <row r="28" spans="1:56" s="240" customFormat="1" ht="38.25" x14ac:dyDescent="0.25">
      <c r="A28" s="2677"/>
      <c r="B28" s="2692"/>
      <c r="C28" s="2655"/>
      <c r="D28" s="2684"/>
      <c r="E28" s="2695"/>
      <c r="F28" s="2684"/>
      <c r="G28" s="2660"/>
      <c r="H28" s="2684"/>
      <c r="I28" s="2684"/>
      <c r="J28" s="2665"/>
      <c r="K28" s="2004"/>
      <c r="L28" s="2689"/>
      <c r="M28" s="2684"/>
      <c r="N28" s="2684"/>
      <c r="O28" s="2684"/>
      <c r="P28" s="2662"/>
      <c r="Q28" s="2655"/>
      <c r="R28" s="2655"/>
      <c r="S28" s="2655"/>
      <c r="T28" s="2684"/>
      <c r="U28" s="1783" t="s">
        <v>1226</v>
      </c>
      <c r="V28" s="1783" t="s">
        <v>7457</v>
      </c>
      <c r="W28" s="1783" t="s">
        <v>7458</v>
      </c>
      <c r="X28" s="1783" t="s">
        <v>7459</v>
      </c>
      <c r="Y28" s="1783" t="s">
        <v>7457</v>
      </c>
      <c r="Z28" s="1783" t="s">
        <v>7460</v>
      </c>
      <c r="AA28" s="1783">
        <v>0</v>
      </c>
      <c r="AB28" s="1783">
        <v>0</v>
      </c>
      <c r="AC28" s="1938">
        <v>0</v>
      </c>
      <c r="AD28" s="1938">
        <v>0</v>
      </c>
      <c r="AE28" s="597"/>
      <c r="AF28" s="2657"/>
      <c r="AG28" s="2657"/>
      <c r="AH28" s="2657"/>
      <c r="AI28" s="2655"/>
      <c r="AJ28" s="2655"/>
      <c r="AK28" s="2655"/>
      <c r="AL28" s="2655"/>
      <c r="AM28" s="2655"/>
      <c r="AN28" s="2655"/>
      <c r="AO28" s="2655"/>
      <c r="AP28" s="2655"/>
      <c r="AQ28" s="2655"/>
      <c r="AR28" s="2655"/>
      <c r="AS28" s="2655"/>
      <c r="AT28" s="2655"/>
      <c r="AU28" s="2655"/>
      <c r="AV28" s="2655"/>
      <c r="AW28" s="2655"/>
      <c r="AX28" s="2655"/>
      <c r="AY28" s="2655"/>
      <c r="AZ28" s="2655"/>
      <c r="BA28" s="2655"/>
      <c r="BB28" s="2655"/>
      <c r="BC28" s="2655"/>
      <c r="BD28" s="2655"/>
    </row>
    <row r="29" spans="1:56" s="240" customFormat="1" ht="102" x14ac:dyDescent="0.25">
      <c r="A29" s="2678"/>
      <c r="B29" s="2693"/>
      <c r="C29" s="2289"/>
      <c r="D29" s="2685"/>
      <c r="E29" s="2696"/>
      <c r="F29" s="2685"/>
      <c r="G29" s="2323"/>
      <c r="H29" s="2685"/>
      <c r="I29" s="2685"/>
      <c r="J29" s="2666"/>
      <c r="K29" s="2004"/>
      <c r="L29" s="2689"/>
      <c r="M29" s="2685"/>
      <c r="N29" s="2685"/>
      <c r="O29" s="2685"/>
      <c r="P29" s="2663"/>
      <c r="Q29" s="2289"/>
      <c r="R29" s="2289"/>
      <c r="S29" s="2289"/>
      <c r="T29" s="2685"/>
      <c r="U29" s="1783" t="s">
        <v>1227</v>
      </c>
      <c r="V29" s="1783" t="s">
        <v>7461</v>
      </c>
      <c r="W29" s="1783" t="s">
        <v>7462</v>
      </c>
      <c r="X29" s="1783" t="s">
        <v>7463</v>
      </c>
      <c r="Y29" s="1783" t="s">
        <v>7461</v>
      </c>
      <c r="Z29" s="1783" t="s">
        <v>1339</v>
      </c>
      <c r="AA29" s="1939">
        <v>0</v>
      </c>
      <c r="AB29" s="1940">
        <v>56.437911</v>
      </c>
      <c r="AC29" s="1939">
        <f>((AC28*(AA29/100)))</f>
        <v>0</v>
      </c>
      <c r="AD29" s="1941">
        <f>((AE27/2)*(AB29/100))</f>
        <v>155468.88045885597</v>
      </c>
      <c r="AE29" s="581">
        <f>((AE27/2)-(AD29+AC29))</f>
        <v>119999.99800274402</v>
      </c>
      <c r="AF29" s="2658"/>
      <c r="AG29" s="2658"/>
      <c r="AH29" s="2658"/>
      <c r="AI29" s="2289"/>
      <c r="AJ29" s="2289"/>
      <c r="AK29" s="2289"/>
      <c r="AL29" s="2289"/>
      <c r="AM29" s="2289"/>
      <c r="AN29" s="2289"/>
      <c r="AO29" s="2289"/>
      <c r="AP29" s="2289"/>
      <c r="AQ29" s="2289"/>
      <c r="AR29" s="2289"/>
      <c r="AS29" s="2289"/>
      <c r="AT29" s="2289"/>
      <c r="AU29" s="2289"/>
      <c r="AV29" s="2289"/>
      <c r="AW29" s="2289"/>
      <c r="AX29" s="2289"/>
      <c r="AY29" s="2289"/>
      <c r="AZ29" s="2289"/>
      <c r="BA29" s="2289"/>
      <c r="BB29" s="2289"/>
      <c r="BC29" s="2289"/>
      <c r="BD29" s="2289"/>
    </row>
    <row r="30" spans="1:56" s="240" customFormat="1" ht="25.5" x14ac:dyDescent="0.25">
      <c r="A30" s="2676" t="s">
        <v>7464</v>
      </c>
      <c r="B30" s="2691" t="s">
        <v>7465</v>
      </c>
      <c r="C30" s="2654" t="s">
        <v>7466</v>
      </c>
      <c r="D30" s="2683" t="s">
        <v>7443</v>
      </c>
      <c r="E30" s="2654" t="s">
        <v>7444</v>
      </c>
      <c r="F30" s="2694" t="s">
        <v>7467</v>
      </c>
      <c r="G30" s="2670">
        <v>9955</v>
      </c>
      <c r="H30" s="2683" t="s">
        <v>2434</v>
      </c>
      <c r="I30" s="2683" t="s">
        <v>7447</v>
      </c>
      <c r="J30" s="2664" t="s">
        <v>7448</v>
      </c>
      <c r="K30" s="2004" t="s">
        <v>7468</v>
      </c>
      <c r="L30" s="2689">
        <v>1548516</v>
      </c>
      <c r="M30" s="2690">
        <v>10001</v>
      </c>
      <c r="N30" s="2683" t="s">
        <v>7468</v>
      </c>
      <c r="O30" s="2683" t="s">
        <v>7469</v>
      </c>
      <c r="P30" s="2661" t="s">
        <v>7451</v>
      </c>
      <c r="Q30" s="2654" t="s">
        <v>7452</v>
      </c>
      <c r="R30" s="2655" t="s">
        <v>7452</v>
      </c>
      <c r="S30" s="2655" t="s">
        <v>7452</v>
      </c>
      <c r="T30" s="2683" t="s">
        <v>208</v>
      </c>
      <c r="U30" s="1783" t="s">
        <v>1224</v>
      </c>
      <c r="V30" s="1767" t="s">
        <v>7470</v>
      </c>
      <c r="W30" s="1767" t="s">
        <v>7471</v>
      </c>
      <c r="X30" s="1767" t="s">
        <v>7472</v>
      </c>
      <c r="Y30" s="1767" t="s">
        <v>7470</v>
      </c>
      <c r="Z30" s="1767" t="s">
        <v>7469</v>
      </c>
      <c r="AA30" s="1767">
        <v>25</v>
      </c>
      <c r="AB30" s="1942">
        <v>0</v>
      </c>
      <c r="AC30" s="266">
        <f>((L30*(AA30/100)))</f>
        <v>387129</v>
      </c>
      <c r="AD30" s="1943">
        <v>0</v>
      </c>
      <c r="AE30" s="597">
        <f>L30-AD30+AC30</f>
        <v>1935645</v>
      </c>
      <c r="AF30" s="2656">
        <v>3777182.4</v>
      </c>
      <c r="AG30" s="2686">
        <v>0</v>
      </c>
      <c r="AH30" s="2656">
        <f>AF30+AG30</f>
        <v>3777182.4</v>
      </c>
      <c r="AI30" s="2654" t="s">
        <v>7452</v>
      </c>
      <c r="AJ30" s="2655" t="s">
        <v>7452</v>
      </c>
      <c r="AK30" s="2655" t="s">
        <v>7452</v>
      </c>
      <c r="AL30" s="2655" t="s">
        <v>7452</v>
      </c>
      <c r="AM30" s="2654" t="s">
        <v>7452</v>
      </c>
      <c r="AN30" s="2655" t="s">
        <v>7452</v>
      </c>
      <c r="AO30" s="2655" t="s">
        <v>7452</v>
      </c>
      <c r="AP30" s="2655" t="s">
        <v>7452</v>
      </c>
      <c r="AQ30" s="2654" t="s">
        <v>7452</v>
      </c>
      <c r="AR30" s="2655" t="s">
        <v>7452</v>
      </c>
      <c r="AS30" s="2654" t="s">
        <v>7452</v>
      </c>
      <c r="AT30" s="2655" t="s">
        <v>7452</v>
      </c>
      <c r="AU30" s="2655" t="s">
        <v>7452</v>
      </c>
      <c r="AV30" s="2655" t="s">
        <v>7452</v>
      </c>
      <c r="AW30" s="2654" t="s">
        <v>7452</v>
      </c>
      <c r="AX30" s="2655" t="s">
        <v>7452</v>
      </c>
      <c r="AY30" s="2655" t="s">
        <v>7452</v>
      </c>
      <c r="AZ30" s="2655" t="s">
        <v>7452</v>
      </c>
      <c r="BA30" s="2654" t="s">
        <v>7452</v>
      </c>
      <c r="BB30" s="2655" t="s">
        <v>7452</v>
      </c>
      <c r="BC30" s="2655" t="s">
        <v>7452</v>
      </c>
      <c r="BD30" s="2655" t="s">
        <v>7452</v>
      </c>
    </row>
    <row r="31" spans="1:56" s="240" customFormat="1" ht="51" x14ac:dyDescent="0.25">
      <c r="A31" s="2677"/>
      <c r="B31" s="2692"/>
      <c r="C31" s="2655"/>
      <c r="D31" s="2684"/>
      <c r="E31" s="2655"/>
      <c r="F31" s="2694"/>
      <c r="G31" s="2660"/>
      <c r="H31" s="2684"/>
      <c r="I31" s="2684"/>
      <c r="J31" s="2665"/>
      <c r="K31" s="2004"/>
      <c r="L31" s="2689"/>
      <c r="M31" s="2684"/>
      <c r="N31" s="2684"/>
      <c r="O31" s="2684"/>
      <c r="P31" s="2662"/>
      <c r="Q31" s="2655"/>
      <c r="R31" s="2655"/>
      <c r="S31" s="2655"/>
      <c r="T31" s="2684"/>
      <c r="U31" s="1783" t="s">
        <v>1226</v>
      </c>
      <c r="V31" s="1767" t="s">
        <v>7473</v>
      </c>
      <c r="W31" s="1767" t="s">
        <v>7474</v>
      </c>
      <c r="X31" s="1767" t="s">
        <v>7475</v>
      </c>
      <c r="Y31" s="1767" t="s">
        <v>7476</v>
      </c>
      <c r="Z31" s="1767" t="s">
        <v>7477</v>
      </c>
      <c r="AA31" s="1767">
        <v>0</v>
      </c>
      <c r="AB31" s="1767">
        <v>0</v>
      </c>
      <c r="AC31" s="1768">
        <f>((AE30*(AA31/100)))</f>
        <v>0</v>
      </c>
      <c r="AD31" s="1943">
        <v>0</v>
      </c>
      <c r="AE31" s="597"/>
      <c r="AF31" s="2657"/>
      <c r="AG31" s="2687"/>
      <c r="AH31" s="2657"/>
      <c r="AI31" s="2655"/>
      <c r="AJ31" s="2655"/>
      <c r="AK31" s="2655"/>
      <c r="AL31" s="2655"/>
      <c r="AM31" s="2655"/>
      <c r="AN31" s="2655"/>
      <c r="AO31" s="2655"/>
      <c r="AP31" s="2655"/>
      <c r="AQ31" s="2655"/>
      <c r="AR31" s="2655"/>
      <c r="AS31" s="2655"/>
      <c r="AT31" s="2655"/>
      <c r="AU31" s="2655"/>
      <c r="AV31" s="2655"/>
      <c r="AW31" s="2655"/>
      <c r="AX31" s="2655"/>
      <c r="AY31" s="2655"/>
      <c r="AZ31" s="2655"/>
      <c r="BA31" s="2655"/>
      <c r="BB31" s="2655"/>
      <c r="BC31" s="2655"/>
      <c r="BD31" s="2655"/>
    </row>
    <row r="32" spans="1:56" s="240" customFormat="1" ht="102" x14ac:dyDescent="0.25">
      <c r="A32" s="2678"/>
      <c r="B32" s="2693"/>
      <c r="C32" s="2289"/>
      <c r="D32" s="2685"/>
      <c r="E32" s="2289"/>
      <c r="F32" s="2694"/>
      <c r="G32" s="2323"/>
      <c r="H32" s="2685"/>
      <c r="I32" s="2685"/>
      <c r="J32" s="2666"/>
      <c r="K32" s="2004"/>
      <c r="L32" s="2689"/>
      <c r="M32" s="2685"/>
      <c r="N32" s="2685"/>
      <c r="O32" s="2685"/>
      <c r="P32" s="2663"/>
      <c r="Q32" s="2289"/>
      <c r="R32" s="2289"/>
      <c r="S32" s="2289"/>
      <c r="T32" s="2685"/>
      <c r="U32" s="1783" t="s">
        <v>1227</v>
      </c>
      <c r="V32" s="1767" t="s">
        <v>968</v>
      </c>
      <c r="W32" s="1767" t="s">
        <v>7462</v>
      </c>
      <c r="X32" s="1767" t="s">
        <v>7463</v>
      </c>
      <c r="Y32" s="1767" t="s">
        <v>7478</v>
      </c>
      <c r="Z32" s="1767" t="s">
        <v>7479</v>
      </c>
      <c r="AA32" s="1942">
        <v>0</v>
      </c>
      <c r="AB32" s="1376">
        <v>96.435296761999993</v>
      </c>
      <c r="AC32" s="1943">
        <v>0</v>
      </c>
      <c r="AD32" s="1944">
        <f>(AE30*(AB32/100))</f>
        <v>1866645.0000088147</v>
      </c>
      <c r="AE32" s="581">
        <f>AE30-AD32+AC32</f>
        <v>68999.999991185265</v>
      </c>
      <c r="AF32" s="2658"/>
      <c r="AG32" s="2688"/>
      <c r="AH32" s="2658"/>
      <c r="AI32" s="2289"/>
      <c r="AJ32" s="2289"/>
      <c r="AK32" s="2289"/>
      <c r="AL32" s="2289"/>
      <c r="AM32" s="2289"/>
      <c r="AN32" s="2289"/>
      <c r="AO32" s="2289"/>
      <c r="AP32" s="2289"/>
      <c r="AQ32" s="2289"/>
      <c r="AR32" s="2289"/>
      <c r="AS32" s="2289"/>
      <c r="AT32" s="2289"/>
      <c r="AU32" s="2289"/>
      <c r="AV32" s="2289"/>
      <c r="AW32" s="2289"/>
      <c r="AX32" s="2289"/>
      <c r="AY32" s="2289"/>
      <c r="AZ32" s="2289"/>
      <c r="BA32" s="2289"/>
      <c r="BB32" s="2289"/>
      <c r="BC32" s="2289"/>
      <c r="BD32" s="2289"/>
    </row>
    <row r="33" spans="1:56" s="240" customFormat="1" ht="38.25" x14ac:dyDescent="0.25">
      <c r="A33" s="2676" t="s">
        <v>7480</v>
      </c>
      <c r="B33" s="2679" t="s">
        <v>7481</v>
      </c>
      <c r="C33" s="2004" t="s">
        <v>1236</v>
      </c>
      <c r="D33" s="2659" t="s">
        <v>7482</v>
      </c>
      <c r="E33" s="2654" t="s">
        <v>473</v>
      </c>
      <c r="F33" s="2682" t="s">
        <v>7483</v>
      </c>
      <c r="G33" s="2670">
        <v>10520</v>
      </c>
      <c r="H33" s="2659" t="s">
        <v>7484</v>
      </c>
      <c r="I33" s="2659" t="s">
        <v>7485</v>
      </c>
      <c r="J33" s="2664" t="s">
        <v>6924</v>
      </c>
      <c r="K33" s="2654" t="s">
        <v>7486</v>
      </c>
      <c r="L33" s="2667">
        <v>599975.31000000006</v>
      </c>
      <c r="M33" s="2670">
        <v>10642</v>
      </c>
      <c r="N33" s="2673" t="s">
        <v>7486</v>
      </c>
      <c r="O33" s="2659" t="s">
        <v>7487</v>
      </c>
      <c r="P33" s="2661" t="s">
        <v>7451</v>
      </c>
      <c r="Q33" s="2654" t="s">
        <v>7452</v>
      </c>
      <c r="R33" s="2654" t="s">
        <v>7452</v>
      </c>
      <c r="S33" s="2654" t="s">
        <v>7452</v>
      </c>
      <c r="T33" s="2659" t="s">
        <v>208</v>
      </c>
      <c r="U33" s="1783" t="s">
        <v>1224</v>
      </c>
      <c r="V33" s="1767" t="s">
        <v>7488</v>
      </c>
      <c r="W33" s="1765">
        <v>10884</v>
      </c>
      <c r="X33" s="1783" t="s">
        <v>7489</v>
      </c>
      <c r="Y33" s="1767" t="s">
        <v>7490</v>
      </c>
      <c r="Z33" s="1767" t="s">
        <v>959</v>
      </c>
      <c r="AA33" s="1767">
        <v>0</v>
      </c>
      <c r="AB33" s="1767">
        <v>0</v>
      </c>
      <c r="AC33" s="1768">
        <f>((AE32*(AA33/100)))</f>
        <v>0</v>
      </c>
      <c r="AD33" s="1943">
        <v>0</v>
      </c>
      <c r="AE33" s="597"/>
      <c r="AF33" s="2656">
        <v>880924.78</v>
      </c>
      <c r="AG33" s="2656">
        <v>17828.28</v>
      </c>
      <c r="AH33" s="2656">
        <f>AF33+AG33</f>
        <v>898753.06</v>
      </c>
      <c r="AI33" s="2654" t="s">
        <v>7452</v>
      </c>
      <c r="AJ33" s="2654" t="s">
        <v>7452</v>
      </c>
      <c r="AK33" s="2654" t="s">
        <v>7452</v>
      </c>
      <c r="AL33" s="2654" t="s">
        <v>7452</v>
      </c>
      <c r="AM33" s="2654" t="s">
        <v>7452</v>
      </c>
      <c r="AN33" s="2654" t="s">
        <v>7452</v>
      </c>
      <c r="AO33" s="2654" t="s">
        <v>7452</v>
      </c>
      <c r="AP33" s="2654" t="s">
        <v>7452</v>
      </c>
      <c r="AQ33" s="2654" t="s">
        <v>7452</v>
      </c>
      <c r="AR33" s="2654" t="s">
        <v>7452</v>
      </c>
      <c r="AS33" s="2654" t="s">
        <v>7452</v>
      </c>
      <c r="AT33" s="2654" t="s">
        <v>7452</v>
      </c>
      <c r="AU33" s="2654" t="s">
        <v>7452</v>
      </c>
      <c r="AV33" s="2654" t="s">
        <v>7452</v>
      </c>
      <c r="AW33" s="2654" t="s">
        <v>7452</v>
      </c>
      <c r="AX33" s="2654" t="s">
        <v>7452</v>
      </c>
      <c r="AY33" s="2654" t="s">
        <v>7452</v>
      </c>
      <c r="AZ33" s="2654" t="s">
        <v>7452</v>
      </c>
      <c r="BA33" s="2654" t="s">
        <v>7452</v>
      </c>
      <c r="BB33" s="2654" t="s">
        <v>7452</v>
      </c>
      <c r="BC33" s="2654" t="s">
        <v>7452</v>
      </c>
      <c r="BD33" s="2654" t="s">
        <v>7452</v>
      </c>
    </row>
    <row r="34" spans="1:56" s="240" customFormat="1" ht="51" x14ac:dyDescent="0.25">
      <c r="A34" s="2677"/>
      <c r="B34" s="2680"/>
      <c r="C34" s="2004"/>
      <c r="D34" s="2660"/>
      <c r="E34" s="2655"/>
      <c r="F34" s="2682"/>
      <c r="G34" s="2671"/>
      <c r="H34" s="2660"/>
      <c r="I34" s="2660"/>
      <c r="J34" s="2665"/>
      <c r="K34" s="2655"/>
      <c r="L34" s="2668"/>
      <c r="M34" s="2671"/>
      <c r="N34" s="2674"/>
      <c r="O34" s="2660"/>
      <c r="P34" s="2662"/>
      <c r="Q34" s="2655"/>
      <c r="R34" s="2655"/>
      <c r="S34" s="2655"/>
      <c r="T34" s="2660"/>
      <c r="U34" s="1783" t="s">
        <v>1226</v>
      </c>
      <c r="V34" s="1767" t="s">
        <v>959</v>
      </c>
      <c r="W34" s="1765">
        <v>10925</v>
      </c>
      <c r="X34" s="1783" t="s">
        <v>7491</v>
      </c>
      <c r="Y34" s="1767" t="s">
        <v>7492</v>
      </c>
      <c r="Z34" s="1767" t="s">
        <v>610</v>
      </c>
      <c r="AA34" s="1767">
        <v>0</v>
      </c>
      <c r="AB34" s="1767">
        <v>0</v>
      </c>
      <c r="AC34" s="1768">
        <f>((AE33*(AA34/100)))</f>
        <v>0</v>
      </c>
      <c r="AD34" s="1943">
        <v>0</v>
      </c>
      <c r="AE34" s="597"/>
      <c r="AF34" s="2657"/>
      <c r="AG34" s="2657"/>
      <c r="AH34" s="2657"/>
      <c r="AI34" s="2655"/>
      <c r="AJ34" s="2655"/>
      <c r="AK34" s="2655"/>
      <c r="AL34" s="2655"/>
      <c r="AM34" s="2655"/>
      <c r="AN34" s="2655"/>
      <c r="AO34" s="2655"/>
      <c r="AP34" s="2655"/>
      <c r="AQ34" s="2655"/>
      <c r="AR34" s="2655"/>
      <c r="AS34" s="2655"/>
      <c r="AT34" s="2655"/>
      <c r="AU34" s="2655"/>
      <c r="AV34" s="2655"/>
      <c r="AW34" s="2655"/>
      <c r="AX34" s="2655"/>
      <c r="AY34" s="2655"/>
      <c r="AZ34" s="2655"/>
      <c r="BA34" s="2655"/>
      <c r="BB34" s="2655"/>
      <c r="BC34" s="2655"/>
      <c r="BD34" s="2655"/>
    </row>
    <row r="35" spans="1:56" s="240" customFormat="1" ht="51" x14ac:dyDescent="0.25">
      <c r="A35" s="2677"/>
      <c r="B35" s="2680"/>
      <c r="C35" s="2004"/>
      <c r="D35" s="2660"/>
      <c r="E35" s="2655"/>
      <c r="F35" s="2682"/>
      <c r="G35" s="2671"/>
      <c r="H35" s="2660"/>
      <c r="I35" s="2660"/>
      <c r="J35" s="2665"/>
      <c r="K35" s="2655"/>
      <c r="L35" s="2668"/>
      <c r="M35" s="2671"/>
      <c r="N35" s="2674"/>
      <c r="O35" s="2660"/>
      <c r="P35" s="2662"/>
      <c r="Q35" s="2655"/>
      <c r="R35" s="2655"/>
      <c r="S35" s="2655"/>
      <c r="T35" s="2660"/>
      <c r="U35" s="1783" t="s">
        <v>1227</v>
      </c>
      <c r="V35" s="1767" t="s">
        <v>7493</v>
      </c>
      <c r="W35" s="1765">
        <v>10958</v>
      </c>
      <c r="X35" s="1783" t="s">
        <v>7491</v>
      </c>
      <c r="Y35" s="1767" t="s">
        <v>7494</v>
      </c>
      <c r="Z35" s="1767" t="s">
        <v>7495</v>
      </c>
      <c r="AA35" s="1767">
        <v>0</v>
      </c>
      <c r="AB35" s="1767">
        <v>0</v>
      </c>
      <c r="AC35" s="1768">
        <f>((AE34*(AA35/100)))</f>
        <v>0</v>
      </c>
      <c r="AD35" s="1943">
        <v>0</v>
      </c>
      <c r="AE35" s="597"/>
      <c r="AF35" s="2657"/>
      <c r="AG35" s="2657"/>
      <c r="AH35" s="2657"/>
      <c r="AI35" s="2655"/>
      <c r="AJ35" s="2655"/>
      <c r="AK35" s="2655"/>
      <c r="AL35" s="2655"/>
      <c r="AM35" s="2655"/>
      <c r="AN35" s="2655"/>
      <c r="AO35" s="2655"/>
      <c r="AP35" s="2655"/>
      <c r="AQ35" s="2655"/>
      <c r="AR35" s="2655"/>
      <c r="AS35" s="2655"/>
      <c r="AT35" s="2655"/>
      <c r="AU35" s="2655"/>
      <c r="AV35" s="2655"/>
      <c r="AW35" s="2655"/>
      <c r="AX35" s="2655"/>
      <c r="AY35" s="2655"/>
      <c r="AZ35" s="2655"/>
      <c r="BA35" s="2655"/>
      <c r="BB35" s="2655"/>
      <c r="BC35" s="2655"/>
      <c r="BD35" s="2655"/>
    </row>
    <row r="36" spans="1:56" s="240" customFormat="1" ht="102" x14ac:dyDescent="0.25">
      <c r="A36" s="2677"/>
      <c r="B36" s="2680"/>
      <c r="C36" s="2004"/>
      <c r="D36" s="2660"/>
      <c r="E36" s="2655"/>
      <c r="F36" s="2682"/>
      <c r="G36" s="2671"/>
      <c r="H36" s="2660"/>
      <c r="I36" s="2660"/>
      <c r="J36" s="2665"/>
      <c r="K36" s="2655"/>
      <c r="L36" s="2668"/>
      <c r="M36" s="2671"/>
      <c r="N36" s="2674"/>
      <c r="O36" s="2660"/>
      <c r="P36" s="2662"/>
      <c r="Q36" s="2655"/>
      <c r="R36" s="2655"/>
      <c r="S36" s="2655"/>
      <c r="T36" s="2660"/>
      <c r="U36" s="1767" t="s">
        <v>1228</v>
      </c>
      <c r="V36" s="1767" t="s">
        <v>989</v>
      </c>
      <c r="W36" s="1765">
        <v>11036</v>
      </c>
      <c r="X36" s="1767" t="s">
        <v>7463</v>
      </c>
      <c r="Y36" s="1767" t="s">
        <v>7496</v>
      </c>
      <c r="Z36" s="1767" t="s">
        <v>7497</v>
      </c>
      <c r="AA36" s="1767">
        <v>0</v>
      </c>
      <c r="AB36" s="1376">
        <v>86.621889491000005</v>
      </c>
      <c r="AC36" s="1376">
        <v>0</v>
      </c>
      <c r="AD36" s="266">
        <f>(L33*(AB36/100))</f>
        <v>519709.95000148471</v>
      </c>
      <c r="AE36" s="597">
        <f>(L33-AD36+AC36)</f>
        <v>80265.359998515341</v>
      </c>
      <c r="AF36" s="2657"/>
      <c r="AG36" s="2657"/>
      <c r="AH36" s="2657"/>
      <c r="AI36" s="2655"/>
      <c r="AJ36" s="2655"/>
      <c r="AK36" s="2655"/>
      <c r="AL36" s="2655"/>
      <c r="AM36" s="2655"/>
      <c r="AN36" s="2655"/>
      <c r="AO36" s="2655"/>
      <c r="AP36" s="2655"/>
      <c r="AQ36" s="2655"/>
      <c r="AR36" s="2655"/>
      <c r="AS36" s="2655"/>
      <c r="AT36" s="2655"/>
      <c r="AU36" s="2655"/>
      <c r="AV36" s="2655"/>
      <c r="AW36" s="2655"/>
      <c r="AX36" s="2655"/>
      <c r="AY36" s="2655"/>
      <c r="AZ36" s="2655"/>
      <c r="BA36" s="2655"/>
      <c r="BB36" s="2655"/>
      <c r="BC36" s="2655"/>
      <c r="BD36" s="2655"/>
    </row>
    <row r="37" spans="1:56" s="240" customFormat="1" ht="38.25" x14ac:dyDescent="0.25">
      <c r="A37" s="2678"/>
      <c r="B37" s="2681"/>
      <c r="C37" s="2004"/>
      <c r="D37" s="2323"/>
      <c r="E37" s="2289"/>
      <c r="F37" s="2682"/>
      <c r="G37" s="2672"/>
      <c r="H37" s="2323"/>
      <c r="I37" s="2323"/>
      <c r="J37" s="2666"/>
      <c r="K37" s="2289"/>
      <c r="L37" s="2669"/>
      <c r="M37" s="2672"/>
      <c r="N37" s="2675"/>
      <c r="O37" s="2323"/>
      <c r="P37" s="2663"/>
      <c r="Q37" s="2289"/>
      <c r="R37" s="2289"/>
      <c r="S37" s="2289"/>
      <c r="T37" s="2323"/>
      <c r="U37" s="1767" t="s">
        <v>1246</v>
      </c>
      <c r="V37" s="1767" t="s">
        <v>7498</v>
      </c>
      <c r="W37" s="1765">
        <v>11279</v>
      </c>
      <c r="X37" s="1783" t="s">
        <v>7459</v>
      </c>
      <c r="Y37" s="1767" t="s">
        <v>694</v>
      </c>
      <c r="Z37" s="1767" t="s">
        <v>7487</v>
      </c>
      <c r="AA37" s="1767">
        <v>0</v>
      </c>
      <c r="AB37" s="1767">
        <v>0</v>
      </c>
      <c r="AC37" s="1768">
        <f>((AE36*(AA37/100)))</f>
        <v>0</v>
      </c>
      <c r="AD37" s="1943">
        <v>0</v>
      </c>
      <c r="AE37" s="597"/>
      <c r="AF37" s="2658"/>
      <c r="AG37" s="2658"/>
      <c r="AH37" s="2658"/>
      <c r="AI37" s="2289"/>
      <c r="AJ37" s="2289"/>
      <c r="AK37" s="2289"/>
      <c r="AL37" s="2289"/>
      <c r="AM37" s="2289"/>
      <c r="AN37" s="2289"/>
      <c r="AO37" s="2289"/>
      <c r="AP37" s="2289"/>
      <c r="AQ37" s="2289"/>
      <c r="AR37" s="2289"/>
      <c r="AS37" s="2289"/>
      <c r="AT37" s="2289"/>
      <c r="AU37" s="2289"/>
      <c r="AV37" s="2289"/>
      <c r="AW37" s="2289"/>
      <c r="AX37" s="2289"/>
      <c r="AY37" s="2289"/>
      <c r="AZ37" s="2289"/>
      <c r="BA37" s="2289"/>
      <c r="BB37" s="2289"/>
      <c r="BC37" s="2289"/>
      <c r="BD37" s="2289"/>
    </row>
    <row r="38" spans="1:56" s="240" customFormat="1" ht="25.5" x14ac:dyDescent="0.25">
      <c r="A38" s="1959" t="s">
        <v>4729</v>
      </c>
      <c r="B38" s="1958" t="s">
        <v>7499</v>
      </c>
      <c r="C38" s="1935" t="s">
        <v>967</v>
      </c>
      <c r="D38" s="1935" t="s">
        <v>2293</v>
      </c>
      <c r="E38" s="1767" t="s">
        <v>473</v>
      </c>
      <c r="F38" s="1945" t="s">
        <v>7500</v>
      </c>
      <c r="G38" s="1946" t="s">
        <v>677</v>
      </c>
      <c r="H38" s="1947" t="s">
        <v>967</v>
      </c>
      <c r="I38" s="1935" t="s">
        <v>7501</v>
      </c>
      <c r="J38" s="1644" t="s">
        <v>7502</v>
      </c>
      <c r="K38" s="1767" t="s">
        <v>7503</v>
      </c>
      <c r="L38" s="1948">
        <v>1796.4</v>
      </c>
      <c r="M38" s="1946">
        <v>11077</v>
      </c>
      <c r="N38" s="1949" t="s">
        <v>7503</v>
      </c>
      <c r="O38" s="1950" t="s">
        <v>7504</v>
      </c>
      <c r="P38" s="1935" t="s">
        <v>7451</v>
      </c>
      <c r="Q38" s="1767" t="s">
        <v>7452</v>
      </c>
      <c r="R38" s="1767" t="s">
        <v>7452</v>
      </c>
      <c r="S38" s="1767" t="s">
        <v>7452</v>
      </c>
      <c r="T38" s="1951" t="s">
        <v>208</v>
      </c>
      <c r="U38" s="1767" t="s">
        <v>7452</v>
      </c>
      <c r="V38" s="1767" t="s">
        <v>7452</v>
      </c>
      <c r="W38" s="1767" t="s">
        <v>7452</v>
      </c>
      <c r="X38" s="1767" t="s">
        <v>7452</v>
      </c>
      <c r="Y38" s="1767" t="s">
        <v>7452</v>
      </c>
      <c r="Z38" s="1767" t="s">
        <v>7452</v>
      </c>
      <c r="AA38" s="1767" t="s">
        <v>7452</v>
      </c>
      <c r="AB38" s="1767" t="s">
        <v>7452</v>
      </c>
      <c r="AC38" s="1767" t="s">
        <v>7452</v>
      </c>
      <c r="AD38" s="1767" t="s">
        <v>7452</v>
      </c>
      <c r="AE38" s="1767" t="s">
        <v>7452</v>
      </c>
      <c r="AF38" s="266">
        <v>667.07</v>
      </c>
      <c r="AG38" s="266">
        <v>1047.9000000000001</v>
      </c>
      <c r="AH38" s="1952">
        <f>AF38+AG38</f>
        <v>1714.9700000000003</v>
      </c>
      <c r="AI38" s="1767" t="s">
        <v>7452</v>
      </c>
      <c r="AJ38" s="1767" t="s">
        <v>7452</v>
      </c>
      <c r="AK38" s="1767" t="s">
        <v>7452</v>
      </c>
      <c r="AL38" s="1767" t="s">
        <v>7452</v>
      </c>
      <c r="AM38" s="1767" t="s">
        <v>7452</v>
      </c>
      <c r="AN38" s="1767" t="s">
        <v>7452</v>
      </c>
      <c r="AO38" s="1767" t="s">
        <v>7452</v>
      </c>
      <c r="AP38" s="1767" t="s">
        <v>7452</v>
      </c>
      <c r="AQ38" s="1767" t="s">
        <v>7452</v>
      </c>
      <c r="AR38" s="1767" t="s">
        <v>7452</v>
      </c>
      <c r="AS38" s="1767" t="s">
        <v>7452</v>
      </c>
      <c r="AT38" s="1767" t="s">
        <v>7452</v>
      </c>
      <c r="AU38" s="1767" t="s">
        <v>7452</v>
      </c>
      <c r="AV38" s="1767" t="s">
        <v>7452</v>
      </c>
      <c r="AW38" s="1767" t="s">
        <v>7452</v>
      </c>
      <c r="AX38" s="1767" t="s">
        <v>7452</v>
      </c>
      <c r="AY38" s="1767" t="s">
        <v>7452</v>
      </c>
      <c r="AZ38" s="1767" t="s">
        <v>7452</v>
      </c>
      <c r="BA38" s="1767" t="s">
        <v>7452</v>
      </c>
      <c r="BB38" s="1767" t="s">
        <v>7452</v>
      </c>
      <c r="BC38" s="1767" t="s">
        <v>7452</v>
      </c>
      <c r="BD38" s="1767" t="s">
        <v>7452</v>
      </c>
    </row>
    <row r="39" spans="1:56" s="240" customFormat="1" ht="102" x14ac:dyDescent="0.25">
      <c r="A39" s="1959" t="s">
        <v>7505</v>
      </c>
      <c r="B39" s="1958" t="s">
        <v>7506</v>
      </c>
      <c r="C39" s="1936" t="s">
        <v>2729</v>
      </c>
      <c r="D39" s="1936" t="s">
        <v>7507</v>
      </c>
      <c r="E39" s="1767" t="s">
        <v>473</v>
      </c>
      <c r="F39" s="1945" t="s">
        <v>7508</v>
      </c>
      <c r="G39" s="1946" t="s">
        <v>677</v>
      </c>
      <c r="H39" s="1947" t="s">
        <v>1006</v>
      </c>
      <c r="I39" s="1936" t="s">
        <v>7509</v>
      </c>
      <c r="J39" s="1644" t="s">
        <v>7510</v>
      </c>
      <c r="K39" s="1767" t="s">
        <v>7511</v>
      </c>
      <c r="L39" s="1949">
        <v>23400</v>
      </c>
      <c r="M39" s="1946">
        <v>11174</v>
      </c>
      <c r="N39" s="1949" t="s">
        <v>7511</v>
      </c>
      <c r="O39" s="1950" t="s">
        <v>7512</v>
      </c>
      <c r="P39" s="1935" t="s">
        <v>7451</v>
      </c>
      <c r="Q39" s="1767" t="s">
        <v>7452</v>
      </c>
      <c r="R39" s="1767" t="s">
        <v>7452</v>
      </c>
      <c r="S39" s="1767" t="s">
        <v>7452</v>
      </c>
      <c r="T39" s="1951" t="s">
        <v>130</v>
      </c>
      <c r="U39" s="1767" t="s">
        <v>1224</v>
      </c>
      <c r="V39" s="1767" t="s">
        <v>7513</v>
      </c>
      <c r="W39" s="1765">
        <v>11427</v>
      </c>
      <c r="X39" s="1783" t="s">
        <v>7514</v>
      </c>
      <c r="Y39" s="1767" t="s">
        <v>7515</v>
      </c>
      <c r="Z39" s="1767" t="s">
        <v>7512</v>
      </c>
      <c r="AA39" s="1376">
        <v>5.4477099999999998</v>
      </c>
      <c r="AB39" s="1942">
        <v>0</v>
      </c>
      <c r="AC39" s="1953">
        <f>(L39*(AA39/100))</f>
        <v>1274.76414</v>
      </c>
      <c r="AD39" s="1376">
        <v>0</v>
      </c>
      <c r="AE39" s="597">
        <f>L39-AD39+AC39</f>
        <v>24674.764139999999</v>
      </c>
      <c r="AF39" s="266">
        <v>5850</v>
      </c>
      <c r="AG39" s="266">
        <v>23133.69</v>
      </c>
      <c r="AH39" s="1952">
        <f>AF39+AG39</f>
        <v>28983.69</v>
      </c>
      <c r="AI39" s="1767" t="s">
        <v>7452</v>
      </c>
      <c r="AJ39" s="1767" t="s">
        <v>7452</v>
      </c>
      <c r="AK39" s="1767" t="s">
        <v>7452</v>
      </c>
      <c r="AL39" s="1767" t="s">
        <v>7452</v>
      </c>
      <c r="AM39" s="1767" t="s">
        <v>7452</v>
      </c>
      <c r="AN39" s="1767" t="s">
        <v>7452</v>
      </c>
      <c r="AO39" s="1767" t="s">
        <v>7452</v>
      </c>
      <c r="AP39" s="1767" t="s">
        <v>7452</v>
      </c>
      <c r="AQ39" s="1767" t="s">
        <v>7452</v>
      </c>
      <c r="AR39" s="1767" t="s">
        <v>7452</v>
      </c>
      <c r="AS39" s="1767" t="s">
        <v>7452</v>
      </c>
      <c r="AT39" s="1767" t="s">
        <v>7452</v>
      </c>
      <c r="AU39" s="1767" t="s">
        <v>7452</v>
      </c>
      <c r="AV39" s="1767" t="s">
        <v>7452</v>
      </c>
      <c r="AW39" s="1767" t="s">
        <v>7452</v>
      </c>
      <c r="AX39" s="1767" t="s">
        <v>7452</v>
      </c>
      <c r="AY39" s="1767" t="s">
        <v>7452</v>
      </c>
      <c r="AZ39" s="1767" t="s">
        <v>7452</v>
      </c>
      <c r="BA39" s="1767" t="s">
        <v>7452</v>
      </c>
      <c r="BB39" s="1767" t="s">
        <v>7452</v>
      </c>
      <c r="BC39" s="1767" t="s">
        <v>7452</v>
      </c>
      <c r="BD39" s="1767" t="s">
        <v>7452</v>
      </c>
    </row>
    <row r="40" spans="1:56" s="240" customFormat="1" ht="64.5" thickBot="1" x14ac:dyDescent="0.3">
      <c r="A40" s="1960" t="s">
        <v>3961</v>
      </c>
      <c r="B40" s="1958" t="s">
        <v>7516</v>
      </c>
      <c r="C40" s="1935" t="s">
        <v>716</v>
      </c>
      <c r="D40" s="1935" t="s">
        <v>2293</v>
      </c>
      <c r="E40" s="1767" t="s">
        <v>473</v>
      </c>
      <c r="F40" s="1947" t="s">
        <v>7517</v>
      </c>
      <c r="G40" s="1954">
        <v>11381</v>
      </c>
      <c r="H40" s="1935" t="s">
        <v>7518</v>
      </c>
      <c r="I40" s="1947" t="s">
        <v>7519</v>
      </c>
      <c r="J40" s="1767" t="s">
        <v>7520</v>
      </c>
      <c r="K40" s="1767" t="s">
        <v>7504</v>
      </c>
      <c r="L40" s="1955">
        <v>0</v>
      </c>
      <c r="M40" s="1954">
        <v>11429</v>
      </c>
      <c r="N40" s="1935" t="s">
        <v>7504</v>
      </c>
      <c r="O40" s="1935" t="s">
        <v>7521</v>
      </c>
      <c r="P40" s="1935" t="s">
        <v>7522</v>
      </c>
      <c r="Q40" s="1767" t="s">
        <v>7452</v>
      </c>
      <c r="R40" s="1767" t="s">
        <v>7452</v>
      </c>
      <c r="S40" s="1767" t="s">
        <v>7452</v>
      </c>
      <c r="T40" s="1956" t="s">
        <v>7523</v>
      </c>
      <c r="U40" s="1767" t="s">
        <v>7452</v>
      </c>
      <c r="V40" s="1767" t="s">
        <v>7452</v>
      </c>
      <c r="W40" s="1767" t="s">
        <v>7452</v>
      </c>
      <c r="X40" s="1767" t="s">
        <v>7452</v>
      </c>
      <c r="Y40" s="1767" t="s">
        <v>7452</v>
      </c>
      <c r="Z40" s="1767" t="s">
        <v>7452</v>
      </c>
      <c r="AA40" s="1767" t="s">
        <v>7452</v>
      </c>
      <c r="AB40" s="1767" t="s">
        <v>7452</v>
      </c>
      <c r="AC40" s="1767" t="s">
        <v>7452</v>
      </c>
      <c r="AD40" s="1767" t="s">
        <v>7452</v>
      </c>
      <c r="AE40" s="1767" t="s">
        <v>7452</v>
      </c>
      <c r="AF40" s="1767" t="s">
        <v>7452</v>
      </c>
      <c r="AG40" s="266">
        <v>397612</v>
      </c>
      <c r="AH40" s="1952">
        <v>397612</v>
      </c>
      <c r="AI40" s="1767" t="s">
        <v>7452</v>
      </c>
      <c r="AJ40" s="1767" t="s">
        <v>7452</v>
      </c>
      <c r="AK40" s="1767" t="s">
        <v>7452</v>
      </c>
      <c r="AL40" s="1767" t="s">
        <v>7452</v>
      </c>
      <c r="AM40" s="1400" t="s">
        <v>690</v>
      </c>
      <c r="AN40" s="1402" t="s">
        <v>7524</v>
      </c>
      <c r="AO40" s="1957" t="s">
        <v>7525</v>
      </c>
      <c r="AP40" s="1402" t="s">
        <v>7526</v>
      </c>
      <c r="AQ40" s="1957" t="s">
        <v>7525</v>
      </c>
      <c r="AR40" s="1403" t="s">
        <v>7526</v>
      </c>
      <c r="AS40" s="1767" t="s">
        <v>7452</v>
      </c>
      <c r="AT40" s="1767" t="s">
        <v>7452</v>
      </c>
      <c r="AU40" s="1767" t="s">
        <v>7452</v>
      </c>
      <c r="AV40" s="1767" t="s">
        <v>7452</v>
      </c>
      <c r="AW40" s="1767" t="s">
        <v>7452</v>
      </c>
      <c r="AX40" s="1767" t="s">
        <v>7452</v>
      </c>
      <c r="AY40" s="1767" t="s">
        <v>7452</v>
      </c>
      <c r="AZ40" s="1767" t="s">
        <v>7452</v>
      </c>
      <c r="BA40" s="1767" t="s">
        <v>7452</v>
      </c>
      <c r="BB40" s="1767" t="s">
        <v>7452</v>
      </c>
      <c r="BC40" s="1767" t="s">
        <v>7452</v>
      </c>
      <c r="BD40" s="1767" t="s">
        <v>7452</v>
      </c>
    </row>
    <row r="43" spans="1:56" s="240" customFormat="1" ht="12.75" x14ac:dyDescent="0.25">
      <c r="A43" s="240" t="s">
        <v>7611</v>
      </c>
    </row>
    <row r="44" spans="1:56" s="240" customFormat="1" ht="12.75" x14ac:dyDescent="0.25">
      <c r="A44" s="240" t="s">
        <v>7612</v>
      </c>
    </row>
  </sheetData>
  <mergeCells count="170">
    <mergeCell ref="A9:BD9"/>
    <mergeCell ref="A11:BD11"/>
    <mergeCell ref="A14:AS14"/>
    <mergeCell ref="A15:J15"/>
    <mergeCell ref="A16:E16"/>
    <mergeCell ref="A18:AE18"/>
    <mergeCell ref="A19:AE19"/>
    <mergeCell ref="A20:AE20"/>
    <mergeCell ref="A22:BD22"/>
    <mergeCell ref="A23:A26"/>
    <mergeCell ref="B23:G24"/>
    <mergeCell ref="H23:AH23"/>
    <mergeCell ref="AI23:AL23"/>
    <mergeCell ref="AM23:AR23"/>
    <mergeCell ref="AS23:BD23"/>
    <mergeCell ref="H24:T24"/>
    <mergeCell ref="U24:AD24"/>
    <mergeCell ref="AZ24:AZ25"/>
    <mergeCell ref="BA24:BA25"/>
    <mergeCell ref="BB24:BD24"/>
    <mergeCell ref="AN24:AN25"/>
    <mergeCell ref="AO24:AO25"/>
    <mergeCell ref="AP24:AP25"/>
    <mergeCell ref="AQ24:AQ25"/>
    <mergeCell ref="AR24:AR25"/>
    <mergeCell ref="AX24:AY24"/>
    <mergeCell ref="AS24:AS25"/>
    <mergeCell ref="A27:A29"/>
    <mergeCell ref="B27:B29"/>
    <mergeCell ref="C27:C29"/>
    <mergeCell ref="D27:D29"/>
    <mergeCell ref="E27:E29"/>
    <mergeCell ref="F27:F29"/>
    <mergeCell ref="AT24:AT25"/>
    <mergeCell ref="AU24:AW24"/>
    <mergeCell ref="G27:G29"/>
    <mergeCell ref="H27:H29"/>
    <mergeCell ref="I27:I29"/>
    <mergeCell ref="J27:J29"/>
    <mergeCell ref="K27:K29"/>
    <mergeCell ref="L27:L29"/>
    <mergeCell ref="AE24:AH24"/>
    <mergeCell ref="AI24:AI25"/>
    <mergeCell ref="AJ24:AJ25"/>
    <mergeCell ref="AK24:AK25"/>
    <mergeCell ref="AL24:AL25"/>
    <mergeCell ref="AM24:AM25"/>
    <mergeCell ref="M27:M29"/>
    <mergeCell ref="N27:N29"/>
    <mergeCell ref="O27:O29"/>
    <mergeCell ref="P27:P29"/>
    <mergeCell ref="Q27:Q29"/>
    <mergeCell ref="R27:R29"/>
    <mergeCell ref="AL27:AL29"/>
    <mergeCell ref="AM27:AM29"/>
    <mergeCell ref="AN27:AN29"/>
    <mergeCell ref="AO27:AO29"/>
    <mergeCell ref="S27:S29"/>
    <mergeCell ref="T27:T29"/>
    <mergeCell ref="AF27:AF29"/>
    <mergeCell ref="AG27:AG29"/>
    <mergeCell ref="AH27:AH29"/>
    <mergeCell ref="AI27:AI29"/>
    <mergeCell ref="BB27:BB29"/>
    <mergeCell ref="BC27:BC29"/>
    <mergeCell ref="BD27:BD29"/>
    <mergeCell ref="A30:A32"/>
    <mergeCell ref="B30:B32"/>
    <mergeCell ref="C30:C32"/>
    <mergeCell ref="D30:D32"/>
    <mergeCell ref="E30:E32"/>
    <mergeCell ref="F30:F32"/>
    <mergeCell ref="G30:G32"/>
    <mergeCell ref="AV27:AV29"/>
    <mergeCell ref="AW27:AW29"/>
    <mergeCell ref="AX27:AX29"/>
    <mergeCell ref="AY27:AY29"/>
    <mergeCell ref="AZ27:AZ29"/>
    <mergeCell ref="BA27:BA29"/>
    <mergeCell ref="AP27:AP29"/>
    <mergeCell ref="AQ27:AQ29"/>
    <mergeCell ref="AR27:AR29"/>
    <mergeCell ref="AS27:AS29"/>
    <mergeCell ref="AT27:AT29"/>
    <mergeCell ref="AU27:AU29"/>
    <mergeCell ref="AJ27:AJ29"/>
    <mergeCell ref="AK27:AK29"/>
    <mergeCell ref="N30:N32"/>
    <mergeCell ref="O30:O32"/>
    <mergeCell ref="P30:P32"/>
    <mergeCell ref="Q30:Q32"/>
    <mergeCell ref="R30:R32"/>
    <mergeCell ref="S30:S32"/>
    <mergeCell ref="H30:H32"/>
    <mergeCell ref="I30:I32"/>
    <mergeCell ref="J30:J32"/>
    <mergeCell ref="K30:K32"/>
    <mergeCell ref="L30:L32"/>
    <mergeCell ref="M30:M32"/>
    <mergeCell ref="AM30:AM32"/>
    <mergeCell ref="AN30:AN32"/>
    <mergeCell ref="AO30:AO32"/>
    <mergeCell ref="AP30:AP32"/>
    <mergeCell ref="T30:T32"/>
    <mergeCell ref="AF30:AF32"/>
    <mergeCell ref="AG30:AG32"/>
    <mergeCell ref="AH30:AH32"/>
    <mergeCell ref="AI30:AI32"/>
    <mergeCell ref="AJ30:AJ32"/>
    <mergeCell ref="BC30:BC32"/>
    <mergeCell ref="BD30:BD32"/>
    <mergeCell ref="A33:A37"/>
    <mergeCell ref="B33:B37"/>
    <mergeCell ref="C33:C37"/>
    <mergeCell ref="D33:D37"/>
    <mergeCell ref="E33:E37"/>
    <mergeCell ref="F33:F37"/>
    <mergeCell ref="G33:G37"/>
    <mergeCell ref="H33:H37"/>
    <mergeCell ref="AW30:AW32"/>
    <mergeCell ref="AX30:AX32"/>
    <mergeCell ref="AY30:AY32"/>
    <mergeCell ref="AZ30:AZ32"/>
    <mergeCell ref="BA30:BA32"/>
    <mergeCell ref="BB30:BB32"/>
    <mergeCell ref="AQ30:AQ32"/>
    <mergeCell ref="AR30:AR32"/>
    <mergeCell ref="AS30:AS32"/>
    <mergeCell ref="AT30:AT32"/>
    <mergeCell ref="AU30:AU32"/>
    <mergeCell ref="AV30:AV32"/>
    <mergeCell ref="AK30:AK32"/>
    <mergeCell ref="AL30:AL32"/>
    <mergeCell ref="O33:O37"/>
    <mergeCell ref="P33:P37"/>
    <mergeCell ref="Q33:Q37"/>
    <mergeCell ref="R33:R37"/>
    <mergeCell ref="S33:S37"/>
    <mergeCell ref="T33:T37"/>
    <mergeCell ref="I33:I37"/>
    <mergeCell ref="J33:J37"/>
    <mergeCell ref="K33:K37"/>
    <mergeCell ref="L33:L37"/>
    <mergeCell ref="M33:M37"/>
    <mergeCell ref="N33:N37"/>
    <mergeCell ref="AL33:AL37"/>
    <mergeCell ref="AM33:AM37"/>
    <mergeCell ref="AN33:AN37"/>
    <mergeCell ref="AO33:AO37"/>
    <mergeCell ref="AP33:AP37"/>
    <mergeCell ref="AQ33:AQ37"/>
    <mergeCell ref="AF33:AF37"/>
    <mergeCell ref="AG33:AG37"/>
    <mergeCell ref="AH33:AH37"/>
    <mergeCell ref="AI33:AI37"/>
    <mergeCell ref="AJ33:AJ37"/>
    <mergeCell ref="AK33:AK37"/>
    <mergeCell ref="BD33:BD37"/>
    <mergeCell ref="AX33:AX37"/>
    <mergeCell ref="AY33:AY37"/>
    <mergeCell ref="AZ33:AZ37"/>
    <mergeCell ref="BA33:BA37"/>
    <mergeCell ref="BB33:BB37"/>
    <mergeCell ref="BC33:BC37"/>
    <mergeCell ref="AR33:AR37"/>
    <mergeCell ref="AS33:AS37"/>
    <mergeCell ref="AT33:AT37"/>
    <mergeCell ref="AU33:AU37"/>
    <mergeCell ref="AV33:AV37"/>
    <mergeCell ref="AW33:AW37"/>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5"/>
  <sheetViews>
    <sheetView workbookViewId="0">
      <selection sqref="A1:XFD11"/>
    </sheetView>
  </sheetViews>
  <sheetFormatPr defaultRowHeight="15" x14ac:dyDescent="0.25"/>
  <cols>
    <col min="1" max="1" width="6.85546875" style="239" customWidth="1"/>
    <col min="2" max="2" width="13.5703125" style="239" customWidth="1"/>
    <col min="3" max="3" width="11.5703125" style="239" customWidth="1"/>
    <col min="4" max="4" width="27.5703125" style="239" bestFit="1" customWidth="1"/>
    <col min="5" max="5" width="13.7109375" style="239" customWidth="1"/>
    <col min="6" max="6" width="55.7109375" style="239" customWidth="1"/>
    <col min="7" max="7" width="18.140625" style="239" customWidth="1"/>
    <col min="8" max="8" width="12.7109375" style="239" customWidth="1"/>
    <col min="9" max="9" width="50.140625" style="239" customWidth="1"/>
    <col min="10" max="10" width="21.5703125" style="239" customWidth="1"/>
    <col min="11" max="11" width="10.5703125" style="239" customWidth="1"/>
    <col min="12" max="12" width="12.7109375" style="239" bestFit="1" customWidth="1"/>
    <col min="13" max="13" width="10.5703125" style="239" customWidth="1"/>
    <col min="14" max="14" width="11.5703125" style="239" customWidth="1"/>
    <col min="15" max="16" width="10.5703125" style="239" customWidth="1"/>
    <col min="17" max="17" width="12" style="239" customWidth="1"/>
    <col min="18" max="18" width="10.5703125" style="239" customWidth="1"/>
    <col min="19" max="19" width="10" style="239" bestFit="1" customWidth="1"/>
    <col min="20" max="20" width="13" style="239" customWidth="1"/>
    <col min="21" max="22" width="10.5703125" style="239" customWidth="1"/>
    <col min="23" max="23" width="14.7109375" style="239" customWidth="1"/>
    <col min="24" max="24" width="42.42578125" style="239" customWidth="1"/>
    <col min="25" max="25" width="13.7109375" style="239" customWidth="1"/>
    <col min="26" max="30" width="10.5703125" style="239" customWidth="1"/>
    <col min="31" max="31" width="21" style="239" customWidth="1"/>
    <col min="32" max="32" width="18.7109375" style="239" customWidth="1"/>
    <col min="33" max="33" width="16.140625" style="239" customWidth="1"/>
    <col min="34" max="34" width="20.85546875" style="239" customWidth="1"/>
    <col min="35" max="35" width="11.5703125" style="239" customWidth="1"/>
    <col min="36" max="36" width="13.85546875" style="239" customWidth="1"/>
    <col min="37" max="37" width="27" style="239" customWidth="1"/>
    <col min="38" max="38" width="13.140625" style="239" customWidth="1"/>
    <col min="39" max="39" width="14.5703125" style="239" customWidth="1"/>
    <col min="40" max="40" width="19.5703125" style="239" bestFit="1" customWidth="1"/>
    <col min="41" max="41" width="13.85546875" style="239" customWidth="1"/>
    <col min="42" max="42" width="13.7109375" style="239" customWidth="1"/>
    <col min="43" max="43" width="13.28515625" style="239" customWidth="1"/>
    <col min="44" max="44" width="12.28515625" style="239" customWidth="1"/>
    <col min="45" max="52" width="9.140625" style="239"/>
    <col min="53" max="53" width="10.140625" style="239" customWidth="1"/>
    <col min="54" max="55" width="9.140625" style="239"/>
    <col min="56" max="56" width="55.28515625" style="239" customWidth="1"/>
    <col min="57"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1" customFormat="1" ht="12.75" x14ac:dyDescent="0.25">
      <c r="A12" s="1024"/>
      <c r="B12" s="1024"/>
      <c r="C12" s="1024"/>
      <c r="D12" s="1024"/>
      <c r="E12" s="1024"/>
      <c r="F12" s="10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c r="AP12" s="1024"/>
      <c r="AQ12" s="1024"/>
      <c r="AR12" s="1024"/>
    </row>
    <row r="13" spans="1:56" s="1228" customFormat="1" x14ac:dyDescent="0.25">
      <c r="A13" s="2121" t="s">
        <v>1</v>
      </c>
      <c r="B13" s="2121"/>
      <c r="C13" s="2121"/>
      <c r="D13" s="2121"/>
      <c r="E13" s="2121"/>
      <c r="F13" s="2121"/>
      <c r="G13" s="2121"/>
      <c r="H13" s="2121"/>
      <c r="I13" s="2121"/>
      <c r="J13" s="2121"/>
      <c r="K13" s="2121"/>
      <c r="L13" s="2121"/>
      <c r="M13" s="2121"/>
      <c r="N13" s="2121"/>
      <c r="O13" s="2121"/>
      <c r="P13" s="2121"/>
      <c r="Q13" s="2121"/>
      <c r="R13" s="2121"/>
      <c r="S13" s="2121"/>
      <c r="T13" s="2121"/>
      <c r="U13" s="2121"/>
      <c r="V13" s="2121"/>
      <c r="W13" s="2121"/>
      <c r="X13" s="2121"/>
      <c r="Y13" s="2121"/>
      <c r="Z13" s="2121"/>
      <c r="AA13" s="2121"/>
      <c r="AB13" s="2121"/>
      <c r="AC13" s="2121"/>
      <c r="AD13" s="2121"/>
      <c r="AE13" s="2121"/>
      <c r="AF13" s="2121"/>
      <c r="AG13" s="2121"/>
      <c r="AH13" s="2121"/>
      <c r="AI13" s="2121"/>
      <c r="AJ13" s="2121"/>
      <c r="AK13" s="2121"/>
      <c r="AL13" s="2121"/>
      <c r="AM13" s="2121"/>
      <c r="AN13" s="2121"/>
      <c r="AO13" s="2121"/>
      <c r="AP13" s="2121"/>
      <c r="AQ13" s="2121"/>
      <c r="AR13" s="2121"/>
      <c r="AS13" s="2121"/>
    </row>
    <row r="14" spans="1:56" s="1228" customFormat="1" x14ac:dyDescent="0.25">
      <c r="A14" s="2121" t="s">
        <v>2</v>
      </c>
      <c r="B14" s="2121"/>
      <c r="C14" s="2121"/>
      <c r="D14" s="2121"/>
      <c r="E14" s="2121"/>
      <c r="F14" s="2121"/>
      <c r="G14" s="2121"/>
      <c r="H14" s="2121"/>
      <c r="I14" s="2121"/>
      <c r="J14" s="2121"/>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row>
    <row r="15" spans="1:56" s="1228" customFormat="1" x14ac:dyDescent="0.25">
      <c r="A15" s="2121" t="s">
        <v>3</v>
      </c>
      <c r="B15" s="2121"/>
      <c r="C15" s="2121"/>
      <c r="D15" s="2121"/>
      <c r="E15" s="2121"/>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row>
    <row r="16" spans="1:56" s="1228" customFormat="1" x14ac:dyDescent="0.25">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231"/>
      <c r="AS16" s="1231"/>
    </row>
    <row r="17" spans="1:56" s="1228" customFormat="1" x14ac:dyDescent="0.25">
      <c r="A17" s="2121" t="s">
        <v>7533</v>
      </c>
      <c r="B17" s="2121"/>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c r="AS17" s="2121"/>
    </row>
    <row r="18" spans="1:56" s="1228" customFormat="1" x14ac:dyDescent="0.25">
      <c r="A18" s="2121" t="s">
        <v>7534</v>
      </c>
      <c r="B18" s="2121"/>
      <c r="C18" s="2121"/>
      <c r="D18" s="2121"/>
      <c r="E18" s="2121"/>
      <c r="F18" s="2121"/>
      <c r="G18" s="2121"/>
      <c r="H18" s="2121"/>
      <c r="I18" s="2121"/>
      <c r="J18" s="2121"/>
      <c r="K18" s="2121"/>
      <c r="L18" s="2121"/>
      <c r="M18" s="2121"/>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c r="AS18" s="2121"/>
    </row>
    <row r="19" spans="1:56" s="1228" customFormat="1" x14ac:dyDescent="0.25">
      <c r="A19" s="2121" t="s">
        <v>7535</v>
      </c>
      <c r="B19" s="2121"/>
      <c r="C19" s="2121"/>
      <c r="D19" s="2121"/>
      <c r="E19" s="2121"/>
      <c r="F19" s="2121"/>
      <c r="G19" s="2121"/>
      <c r="H19" s="2121"/>
      <c r="I19" s="2121"/>
      <c r="J19" s="2121"/>
      <c r="K19" s="2121"/>
      <c r="L19" s="2121"/>
      <c r="M19" s="2121"/>
      <c r="N19" s="2121"/>
      <c r="O19" s="2121"/>
      <c r="P19" s="2121"/>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c r="AS19" s="2121"/>
    </row>
    <row r="20" spans="1:56" ht="15.75" thickBot="1" x14ac:dyDescent="0.3">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row>
    <row r="21" spans="1:56" ht="15.75" customHeight="1" x14ac:dyDescent="0.25">
      <c r="A21" s="2122" t="s">
        <v>5</v>
      </c>
      <c r="B21" s="2087" t="s">
        <v>6</v>
      </c>
      <c r="C21" s="2087"/>
      <c r="D21" s="2087"/>
      <c r="E21" s="2087"/>
      <c r="F21" s="2087"/>
      <c r="G21" s="2088"/>
      <c r="H21" s="2125" t="s">
        <v>7</v>
      </c>
      <c r="I21" s="2126"/>
      <c r="J21" s="2126"/>
      <c r="K21" s="2126"/>
      <c r="L21" s="2126"/>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5" t="s">
        <v>8</v>
      </c>
      <c r="AJ21" s="2126"/>
      <c r="AK21" s="2126"/>
      <c r="AL21" s="2127"/>
      <c r="AM21" s="2125" t="s">
        <v>9</v>
      </c>
      <c r="AN21" s="2126"/>
      <c r="AO21" s="2126"/>
      <c r="AP21" s="2126"/>
      <c r="AQ21" s="2126"/>
      <c r="AR21" s="2127"/>
      <c r="AS21" s="2128" t="s">
        <v>10</v>
      </c>
      <c r="AT21" s="2129"/>
      <c r="AU21" s="2129"/>
      <c r="AV21" s="2129"/>
      <c r="AW21" s="2129"/>
      <c r="AX21" s="2129"/>
      <c r="AY21" s="2129"/>
      <c r="AZ21" s="2129"/>
      <c r="BA21" s="2129"/>
      <c r="BB21" s="2129"/>
      <c r="BC21" s="2129"/>
      <c r="BD21" s="2130"/>
    </row>
    <row r="22" spans="1:56" ht="15.75" customHeight="1" x14ac:dyDescent="0.25">
      <c r="A22" s="2123"/>
      <c r="B22" s="2090"/>
      <c r="C22" s="2090"/>
      <c r="D22" s="2090"/>
      <c r="E22" s="2090"/>
      <c r="F22" s="2090"/>
      <c r="G22" s="2091"/>
      <c r="H22" s="2101" t="s">
        <v>11</v>
      </c>
      <c r="I22" s="2102"/>
      <c r="J22" s="2102"/>
      <c r="K22" s="2102"/>
      <c r="L22" s="2102"/>
      <c r="M22" s="2102"/>
      <c r="N22" s="2102"/>
      <c r="O22" s="2102"/>
      <c r="P22" s="2102"/>
      <c r="Q22" s="2102"/>
      <c r="R22" s="2102"/>
      <c r="S22" s="2102"/>
      <c r="T22" s="2069"/>
      <c r="U22" s="2103" t="s">
        <v>12</v>
      </c>
      <c r="V22" s="2102"/>
      <c r="W22" s="2102"/>
      <c r="X22" s="2102"/>
      <c r="Y22" s="2102"/>
      <c r="Z22" s="2102"/>
      <c r="AA22" s="2102"/>
      <c r="AB22" s="2102"/>
      <c r="AC22" s="2102"/>
      <c r="AD22" s="2069"/>
      <c r="AE22" s="2103" t="s">
        <v>13</v>
      </c>
      <c r="AF22" s="2102"/>
      <c r="AG22" s="2102"/>
      <c r="AH22" s="2102"/>
      <c r="AI22" s="2057" t="s">
        <v>14</v>
      </c>
      <c r="AJ22" s="2050" t="s">
        <v>15</v>
      </c>
      <c r="AK22" s="2050" t="s">
        <v>16</v>
      </c>
      <c r="AL22" s="2052" t="s">
        <v>581</v>
      </c>
      <c r="AM22" s="2112" t="s">
        <v>18</v>
      </c>
      <c r="AN22" s="2114" t="s">
        <v>19</v>
      </c>
      <c r="AO22" s="2114" t="s">
        <v>20</v>
      </c>
      <c r="AP22" s="2114" t="s">
        <v>21</v>
      </c>
      <c r="AQ22" s="2114" t="s">
        <v>22</v>
      </c>
      <c r="AR22" s="2116" t="s">
        <v>21</v>
      </c>
      <c r="AS22" s="2069" t="s">
        <v>23</v>
      </c>
      <c r="AT22" s="2110" t="s">
        <v>24</v>
      </c>
      <c r="AU22" s="2111" t="s">
        <v>25</v>
      </c>
      <c r="AV22" s="2111"/>
      <c r="AW22" s="2111"/>
      <c r="AX22" s="2111" t="s">
        <v>26</v>
      </c>
      <c r="AY22" s="2111"/>
      <c r="AZ22" s="2110" t="s">
        <v>27</v>
      </c>
      <c r="BA22" s="2050" t="s">
        <v>28</v>
      </c>
      <c r="BB22" s="2111" t="s">
        <v>29</v>
      </c>
      <c r="BC22" s="2111"/>
      <c r="BD22" s="2131"/>
    </row>
    <row r="23" spans="1:56" ht="51" x14ac:dyDescent="0.25">
      <c r="A23" s="2123"/>
      <c r="B23" s="148" t="s">
        <v>30</v>
      </c>
      <c r="C23" s="4" t="s">
        <v>31</v>
      </c>
      <c r="D23" s="4" t="s">
        <v>32</v>
      </c>
      <c r="E23" s="4" t="s">
        <v>23</v>
      </c>
      <c r="F23" s="4" t="s">
        <v>33</v>
      </c>
      <c r="G23" s="5" t="s">
        <v>34</v>
      </c>
      <c r="H23" s="6" t="s">
        <v>35</v>
      </c>
      <c r="I23" s="4" t="s">
        <v>36</v>
      </c>
      <c r="J23" s="4" t="s">
        <v>37</v>
      </c>
      <c r="K23" s="4" t="s">
        <v>38</v>
      </c>
      <c r="L23" s="4" t="s">
        <v>39</v>
      </c>
      <c r="M23" s="4" t="s">
        <v>40</v>
      </c>
      <c r="N23" s="4" t="s">
        <v>41</v>
      </c>
      <c r="O23" s="4" t="s">
        <v>42</v>
      </c>
      <c r="P23" s="4" t="s">
        <v>43</v>
      </c>
      <c r="Q23" s="4" t="s">
        <v>44</v>
      </c>
      <c r="R23" s="4" t="s">
        <v>45</v>
      </c>
      <c r="S23" s="4" t="s">
        <v>46</v>
      </c>
      <c r="T23" s="4" t="s">
        <v>47</v>
      </c>
      <c r="U23" s="4" t="s">
        <v>48</v>
      </c>
      <c r="V23" s="4" t="s">
        <v>38</v>
      </c>
      <c r="W23" s="4" t="s">
        <v>40</v>
      </c>
      <c r="X23" s="4" t="s">
        <v>49</v>
      </c>
      <c r="Y23" s="4" t="s">
        <v>41</v>
      </c>
      <c r="Z23" s="4" t="s">
        <v>42</v>
      </c>
      <c r="AA23" s="4" t="s">
        <v>50</v>
      </c>
      <c r="AB23" s="4" t="s">
        <v>51</v>
      </c>
      <c r="AC23" s="4" t="s">
        <v>52</v>
      </c>
      <c r="AD23" s="4" t="s">
        <v>53</v>
      </c>
      <c r="AE23" s="4" t="s">
        <v>54</v>
      </c>
      <c r="AF23" s="4" t="s">
        <v>55</v>
      </c>
      <c r="AG23" s="4" t="s">
        <v>56</v>
      </c>
      <c r="AH23" s="243" t="s">
        <v>57</v>
      </c>
      <c r="AI23" s="2057"/>
      <c r="AJ23" s="2050"/>
      <c r="AK23" s="2050"/>
      <c r="AL23" s="2052"/>
      <c r="AM23" s="2113"/>
      <c r="AN23" s="2115"/>
      <c r="AO23" s="2115"/>
      <c r="AP23" s="2115"/>
      <c r="AQ23" s="2115"/>
      <c r="AR23" s="2117"/>
      <c r="AS23" s="2069"/>
      <c r="AT23" s="2110"/>
      <c r="AU23" s="244" t="s">
        <v>58</v>
      </c>
      <c r="AV23" s="244" t="s">
        <v>59</v>
      </c>
      <c r="AW23" s="244" t="s">
        <v>60</v>
      </c>
      <c r="AX23" s="244" t="s">
        <v>61</v>
      </c>
      <c r="AY23" s="245" t="s">
        <v>62</v>
      </c>
      <c r="AZ23" s="2110"/>
      <c r="BA23" s="2050"/>
      <c r="BB23" s="244" t="s">
        <v>58</v>
      </c>
      <c r="BC23" s="244" t="s">
        <v>63</v>
      </c>
      <c r="BD23" s="246" t="s">
        <v>64</v>
      </c>
    </row>
    <row r="24" spans="1:56" ht="15.75" thickBot="1" x14ac:dyDescent="0.3">
      <c r="A24" s="2124"/>
      <c r="B24" s="16" t="s">
        <v>65</v>
      </c>
      <c r="C24" s="11" t="s">
        <v>66</v>
      </c>
      <c r="D24" s="12" t="s">
        <v>67</v>
      </c>
      <c r="E24" s="11" t="s">
        <v>68</v>
      </c>
      <c r="F24" s="11" t="s">
        <v>69</v>
      </c>
      <c r="G24" s="13" t="s">
        <v>70</v>
      </c>
      <c r="H24" s="14" t="s">
        <v>71</v>
      </c>
      <c r="I24" s="11" t="s">
        <v>72</v>
      </c>
      <c r="J24" s="11" t="s">
        <v>73</v>
      </c>
      <c r="K24" s="11" t="s">
        <v>74</v>
      </c>
      <c r="L24" s="15" t="s">
        <v>75</v>
      </c>
      <c r="M24" s="11" t="s">
        <v>76</v>
      </c>
      <c r="N24" s="11" t="s">
        <v>77</v>
      </c>
      <c r="O24" s="11" t="s">
        <v>78</v>
      </c>
      <c r="P24" s="11" t="s">
        <v>79</v>
      </c>
      <c r="Q24" s="11" t="s">
        <v>80</v>
      </c>
      <c r="R24" s="11" t="s">
        <v>81</v>
      </c>
      <c r="S24" s="11" t="s">
        <v>82</v>
      </c>
      <c r="T24" s="11" t="s">
        <v>83</v>
      </c>
      <c r="U24" s="11" t="s">
        <v>84</v>
      </c>
      <c r="V24" s="11" t="s">
        <v>85</v>
      </c>
      <c r="W24" s="11" t="s">
        <v>86</v>
      </c>
      <c r="X24" s="11" t="s">
        <v>87</v>
      </c>
      <c r="Y24" s="11" t="s">
        <v>88</v>
      </c>
      <c r="Z24" s="11" t="s">
        <v>89</v>
      </c>
      <c r="AA24" s="11" t="s">
        <v>90</v>
      </c>
      <c r="AB24" s="11" t="s">
        <v>91</v>
      </c>
      <c r="AC24" s="11" t="s">
        <v>92</v>
      </c>
      <c r="AD24" s="11" t="s">
        <v>93</v>
      </c>
      <c r="AE24" s="11" t="s">
        <v>94</v>
      </c>
      <c r="AF24" s="11" t="s">
        <v>95</v>
      </c>
      <c r="AG24" s="247" t="s">
        <v>96</v>
      </c>
      <c r="AH24" s="248" t="s">
        <v>97</v>
      </c>
      <c r="AI24" s="10" t="s">
        <v>98</v>
      </c>
      <c r="AJ24" s="16" t="s">
        <v>99</v>
      </c>
      <c r="AK24" s="16" t="s">
        <v>100</v>
      </c>
      <c r="AL24" s="249" t="s">
        <v>101</v>
      </c>
      <c r="AM24" s="250" t="s">
        <v>102</v>
      </c>
      <c r="AN24" s="251" t="s">
        <v>103</v>
      </c>
      <c r="AO24" s="251" t="s">
        <v>104</v>
      </c>
      <c r="AP24" s="251" t="s">
        <v>105</v>
      </c>
      <c r="AQ24" s="251" t="s">
        <v>106</v>
      </c>
      <c r="AR24" s="252" t="s">
        <v>107</v>
      </c>
      <c r="AS24" s="253" t="s">
        <v>108</v>
      </c>
      <c r="AT24" s="251" t="s">
        <v>109</v>
      </c>
      <c r="AU24" s="251" t="s">
        <v>110</v>
      </c>
      <c r="AV24" s="251" t="s">
        <v>111</v>
      </c>
      <c r="AW24" s="252" t="s">
        <v>112</v>
      </c>
      <c r="AX24" s="252" t="s">
        <v>113</v>
      </c>
      <c r="AY24" s="252" t="s">
        <v>114</v>
      </c>
      <c r="AZ24" s="251" t="s">
        <v>115</v>
      </c>
      <c r="BA24" s="251" t="s">
        <v>116</v>
      </c>
      <c r="BB24" s="251" t="s">
        <v>117</v>
      </c>
      <c r="BC24" s="252" t="s">
        <v>118</v>
      </c>
      <c r="BD24" s="252" t="s">
        <v>119</v>
      </c>
    </row>
    <row r="25" spans="1:56" ht="25.5" x14ac:dyDescent="0.25">
      <c r="A25" s="254">
        <v>1</v>
      </c>
      <c r="B25" s="255" t="s">
        <v>670</v>
      </c>
      <c r="C25" s="150" t="s">
        <v>671</v>
      </c>
      <c r="D25" s="150" t="s">
        <v>672</v>
      </c>
      <c r="E25" s="150" t="s">
        <v>168</v>
      </c>
      <c r="F25" s="150" t="s">
        <v>673</v>
      </c>
      <c r="G25" s="150" t="s">
        <v>674</v>
      </c>
      <c r="H25" s="159" t="s">
        <v>675</v>
      </c>
      <c r="I25" s="150" t="s">
        <v>676</v>
      </c>
      <c r="J25" s="150" t="s">
        <v>407</v>
      </c>
      <c r="K25" s="151">
        <v>41673</v>
      </c>
      <c r="L25" s="160">
        <v>248000</v>
      </c>
      <c r="M25" s="161">
        <v>11366</v>
      </c>
      <c r="N25" s="151">
        <v>41673</v>
      </c>
      <c r="O25" s="151">
        <v>42038</v>
      </c>
      <c r="P25" s="150" t="s">
        <v>591</v>
      </c>
      <c r="Q25" s="150" t="s">
        <v>677</v>
      </c>
      <c r="R25" s="150" t="s">
        <v>677</v>
      </c>
      <c r="S25" s="150" t="s">
        <v>677</v>
      </c>
      <c r="T25" s="150" t="s">
        <v>678</v>
      </c>
      <c r="U25" s="150" t="s">
        <v>677</v>
      </c>
      <c r="V25" s="151" t="s">
        <v>677</v>
      </c>
      <c r="W25" s="150" t="s">
        <v>677</v>
      </c>
      <c r="X25" s="150" t="s">
        <v>677</v>
      </c>
      <c r="Y25" s="150" t="s">
        <v>677</v>
      </c>
      <c r="Z25" s="150" t="s">
        <v>677</v>
      </c>
      <c r="AA25" s="150" t="s">
        <v>677</v>
      </c>
      <c r="AB25" s="150" t="s">
        <v>677</v>
      </c>
      <c r="AC25" s="150" t="s">
        <v>677</v>
      </c>
      <c r="AD25" s="150" t="s">
        <v>677</v>
      </c>
      <c r="AE25" s="160" t="s">
        <v>677</v>
      </c>
      <c r="AF25" s="150">
        <v>0</v>
      </c>
      <c r="AG25" s="256">
        <v>37200</v>
      </c>
      <c r="AH25" s="257">
        <f>AF25+AG25</f>
        <v>37200</v>
      </c>
      <c r="AI25" s="258" t="s">
        <v>677</v>
      </c>
      <c r="AJ25" s="259" t="s">
        <v>677</v>
      </c>
      <c r="AK25" s="259" t="s">
        <v>677</v>
      </c>
      <c r="AL25" s="260" t="s">
        <v>677</v>
      </c>
      <c r="AM25" s="258" t="s">
        <v>677</v>
      </c>
      <c r="AN25" s="261" t="s">
        <v>677</v>
      </c>
      <c r="AO25" s="261" t="s">
        <v>677</v>
      </c>
      <c r="AP25" s="261" t="s">
        <v>677</v>
      </c>
      <c r="AQ25" s="261" t="s">
        <v>677</v>
      </c>
      <c r="AR25" s="262" t="s">
        <v>677</v>
      </c>
      <c r="AS25" s="255" t="s">
        <v>677</v>
      </c>
      <c r="AT25" s="263" t="s">
        <v>677</v>
      </c>
      <c r="AU25" s="263" t="s">
        <v>677</v>
      </c>
      <c r="AV25" s="263" t="s">
        <v>677</v>
      </c>
      <c r="AW25" s="263" t="s">
        <v>677</v>
      </c>
      <c r="AX25" s="263" t="s">
        <v>677</v>
      </c>
      <c r="AY25" s="263" t="s">
        <v>677</v>
      </c>
      <c r="AZ25" s="263" t="s">
        <v>677</v>
      </c>
      <c r="BA25" s="263" t="s">
        <v>677</v>
      </c>
      <c r="BB25" s="263" t="s">
        <v>677</v>
      </c>
      <c r="BC25" s="263" t="s">
        <v>677</v>
      </c>
      <c r="BD25" s="264" t="s">
        <v>677</v>
      </c>
    </row>
    <row r="26" spans="1:56" ht="25.5" x14ac:dyDescent="0.25">
      <c r="A26" s="254">
        <v>2</v>
      </c>
      <c r="B26" s="49" t="s">
        <v>679</v>
      </c>
      <c r="C26" s="37" t="s">
        <v>680</v>
      </c>
      <c r="D26" s="150" t="s">
        <v>672</v>
      </c>
      <c r="E26" s="37" t="s">
        <v>168</v>
      </c>
      <c r="F26" s="265" t="s">
        <v>681</v>
      </c>
      <c r="G26" s="37" t="s">
        <v>682</v>
      </c>
      <c r="H26" s="54" t="s">
        <v>683</v>
      </c>
      <c r="I26" s="37" t="s">
        <v>684</v>
      </c>
      <c r="J26" s="37" t="s">
        <v>225</v>
      </c>
      <c r="K26" s="45">
        <v>41698</v>
      </c>
      <c r="L26" s="48">
        <v>42000</v>
      </c>
      <c r="M26" s="46">
        <v>11366</v>
      </c>
      <c r="N26" s="45">
        <v>41698</v>
      </c>
      <c r="O26" s="45">
        <v>42063</v>
      </c>
      <c r="P26" s="150" t="s">
        <v>591</v>
      </c>
      <c r="Q26" s="150" t="s">
        <v>677</v>
      </c>
      <c r="R26" s="150" t="s">
        <v>677</v>
      </c>
      <c r="S26" s="150" t="s">
        <v>677</v>
      </c>
      <c r="T26" s="37" t="s">
        <v>685</v>
      </c>
      <c r="U26" s="150" t="s">
        <v>677</v>
      </c>
      <c r="V26" s="151" t="s">
        <v>677</v>
      </c>
      <c r="W26" s="150" t="s">
        <v>677</v>
      </c>
      <c r="X26" s="150" t="s">
        <v>677</v>
      </c>
      <c r="Y26" s="150" t="s">
        <v>677</v>
      </c>
      <c r="Z26" s="150" t="s">
        <v>677</v>
      </c>
      <c r="AA26" s="150" t="s">
        <v>677</v>
      </c>
      <c r="AB26" s="150" t="s">
        <v>677</v>
      </c>
      <c r="AC26" s="150" t="s">
        <v>677</v>
      </c>
      <c r="AD26" s="150" t="s">
        <v>677</v>
      </c>
      <c r="AE26" s="160" t="s">
        <v>677</v>
      </c>
      <c r="AF26" s="37">
        <v>0</v>
      </c>
      <c r="AG26" s="266">
        <v>17500</v>
      </c>
      <c r="AH26" s="257">
        <f t="shared" ref="AH26:AH59" si="0">AF26+AG26</f>
        <v>17500</v>
      </c>
      <c r="AI26" s="267" t="s">
        <v>686</v>
      </c>
      <c r="AJ26" s="112" t="s">
        <v>687</v>
      </c>
      <c r="AK26" s="112" t="s">
        <v>295</v>
      </c>
      <c r="AL26" s="268" t="s">
        <v>688</v>
      </c>
      <c r="AM26" s="269" t="s">
        <v>677</v>
      </c>
      <c r="AN26" s="270" t="s">
        <v>677</v>
      </c>
      <c r="AO26" s="271" t="s">
        <v>677</v>
      </c>
      <c r="AP26" s="271" t="s">
        <v>677</v>
      </c>
      <c r="AQ26" s="271" t="s">
        <v>677</v>
      </c>
      <c r="AR26" s="272" t="s">
        <v>677</v>
      </c>
      <c r="AS26" s="49" t="s">
        <v>677</v>
      </c>
      <c r="AT26" s="165" t="s">
        <v>677</v>
      </c>
      <c r="AU26" s="165" t="s">
        <v>677</v>
      </c>
      <c r="AV26" s="165" t="s">
        <v>677</v>
      </c>
      <c r="AW26" s="165" t="s">
        <v>677</v>
      </c>
      <c r="AX26" s="165" t="s">
        <v>677</v>
      </c>
      <c r="AY26" s="165" t="s">
        <v>677</v>
      </c>
      <c r="AZ26" s="165" t="s">
        <v>677</v>
      </c>
      <c r="BA26" s="165" t="s">
        <v>677</v>
      </c>
      <c r="BB26" s="165" t="s">
        <v>677</v>
      </c>
      <c r="BC26" s="165" t="s">
        <v>677</v>
      </c>
      <c r="BD26" s="167" t="s">
        <v>677</v>
      </c>
    </row>
    <row r="27" spans="1:56" ht="38.25" x14ac:dyDescent="0.25">
      <c r="A27" s="254">
        <v>3</v>
      </c>
      <c r="B27" s="49" t="s">
        <v>689</v>
      </c>
      <c r="C27" s="37">
        <v>0</v>
      </c>
      <c r="D27" s="37" t="s">
        <v>690</v>
      </c>
      <c r="E27" s="37" t="s">
        <v>677</v>
      </c>
      <c r="F27" s="37" t="s">
        <v>691</v>
      </c>
      <c r="G27" s="37">
        <v>0</v>
      </c>
      <c r="H27" s="54" t="s">
        <v>686</v>
      </c>
      <c r="I27" s="37" t="s">
        <v>692</v>
      </c>
      <c r="J27" s="37" t="s">
        <v>693</v>
      </c>
      <c r="K27" s="37" t="s">
        <v>694</v>
      </c>
      <c r="L27" s="48">
        <v>122028</v>
      </c>
      <c r="M27" s="46">
        <v>11366</v>
      </c>
      <c r="N27" s="37" t="s">
        <v>694</v>
      </c>
      <c r="O27" s="37" t="s">
        <v>695</v>
      </c>
      <c r="P27" s="37" t="s">
        <v>591</v>
      </c>
      <c r="Q27" s="37" t="s">
        <v>677</v>
      </c>
      <c r="R27" s="37" t="s">
        <v>677</v>
      </c>
      <c r="S27" s="37" t="s">
        <v>677</v>
      </c>
      <c r="T27" s="37" t="s">
        <v>696</v>
      </c>
      <c r="U27" s="37" t="s">
        <v>677</v>
      </c>
      <c r="V27" s="37" t="s">
        <v>677</v>
      </c>
      <c r="W27" s="37" t="s">
        <v>677</v>
      </c>
      <c r="X27" s="37" t="s">
        <v>677</v>
      </c>
      <c r="Y27" s="37" t="s">
        <v>677</v>
      </c>
      <c r="Z27" s="37" t="s">
        <v>677</v>
      </c>
      <c r="AA27" s="37" t="s">
        <v>677</v>
      </c>
      <c r="AB27" s="37" t="s">
        <v>677</v>
      </c>
      <c r="AC27" s="37" t="s">
        <v>677</v>
      </c>
      <c r="AD27" s="37" t="s">
        <v>677</v>
      </c>
      <c r="AE27" s="177" t="s">
        <v>677</v>
      </c>
      <c r="AF27" s="37">
        <v>0</v>
      </c>
      <c r="AG27" s="266">
        <v>86097.53</v>
      </c>
      <c r="AH27" s="257">
        <f t="shared" si="0"/>
        <v>86097.53</v>
      </c>
      <c r="AI27" s="216" t="s">
        <v>677</v>
      </c>
      <c r="AJ27" s="112" t="s">
        <v>677</v>
      </c>
      <c r="AK27" s="107" t="s">
        <v>677</v>
      </c>
      <c r="AL27" s="180" t="s">
        <v>677</v>
      </c>
      <c r="AM27" s="269" t="s">
        <v>9</v>
      </c>
      <c r="AN27" s="270" t="s">
        <v>697</v>
      </c>
      <c r="AO27" s="271" t="s">
        <v>698</v>
      </c>
      <c r="AP27" s="271" t="s">
        <v>699</v>
      </c>
      <c r="AQ27" s="271" t="s">
        <v>700</v>
      </c>
      <c r="AR27" s="272" t="s">
        <v>701</v>
      </c>
      <c r="AS27" s="49" t="s">
        <v>677</v>
      </c>
      <c r="AT27" s="165" t="s">
        <v>677</v>
      </c>
      <c r="AU27" s="165" t="s">
        <v>677</v>
      </c>
      <c r="AV27" s="165" t="s">
        <v>677</v>
      </c>
      <c r="AW27" s="165" t="s">
        <v>677</v>
      </c>
      <c r="AX27" s="165" t="s">
        <v>677</v>
      </c>
      <c r="AY27" s="165" t="s">
        <v>677</v>
      </c>
      <c r="AZ27" s="165" t="s">
        <v>677</v>
      </c>
      <c r="BA27" s="165" t="s">
        <v>677</v>
      </c>
      <c r="BB27" s="165" t="s">
        <v>677</v>
      </c>
      <c r="BC27" s="165" t="s">
        <v>677</v>
      </c>
      <c r="BD27" s="167" t="s">
        <v>677</v>
      </c>
    </row>
    <row r="28" spans="1:56" ht="38.25" x14ac:dyDescent="0.25">
      <c r="A28" s="254">
        <v>4</v>
      </c>
      <c r="B28" s="49" t="s">
        <v>702</v>
      </c>
      <c r="C28" s="37">
        <v>0</v>
      </c>
      <c r="D28" s="37" t="s">
        <v>690</v>
      </c>
      <c r="E28" s="37" t="s">
        <v>677</v>
      </c>
      <c r="F28" s="273" t="s">
        <v>703</v>
      </c>
      <c r="G28" s="37">
        <v>0</v>
      </c>
      <c r="H28" s="54" t="s">
        <v>704</v>
      </c>
      <c r="I28" s="37" t="s">
        <v>705</v>
      </c>
      <c r="J28" s="37" t="s">
        <v>706</v>
      </c>
      <c r="K28" s="37" t="s">
        <v>707</v>
      </c>
      <c r="L28" s="48">
        <v>72000</v>
      </c>
      <c r="M28" s="46">
        <v>11366</v>
      </c>
      <c r="N28" s="37" t="s">
        <v>707</v>
      </c>
      <c r="O28" s="37" t="s">
        <v>708</v>
      </c>
      <c r="P28" s="37" t="s">
        <v>591</v>
      </c>
      <c r="Q28" s="37" t="s">
        <v>677</v>
      </c>
      <c r="R28" s="37" t="s">
        <v>677</v>
      </c>
      <c r="S28" s="37" t="s">
        <v>677</v>
      </c>
      <c r="T28" s="37" t="s">
        <v>685</v>
      </c>
      <c r="U28" s="37" t="s">
        <v>677</v>
      </c>
      <c r="V28" s="37" t="s">
        <v>677</v>
      </c>
      <c r="W28" s="37" t="s">
        <v>677</v>
      </c>
      <c r="X28" s="37" t="s">
        <v>677</v>
      </c>
      <c r="Y28" s="37" t="s">
        <v>677</v>
      </c>
      <c r="Z28" s="37" t="s">
        <v>677</v>
      </c>
      <c r="AA28" s="37" t="s">
        <v>677</v>
      </c>
      <c r="AB28" s="37" t="s">
        <v>677</v>
      </c>
      <c r="AC28" s="37" t="s">
        <v>677</v>
      </c>
      <c r="AD28" s="37" t="s">
        <v>677</v>
      </c>
      <c r="AE28" s="177" t="s">
        <v>677</v>
      </c>
      <c r="AF28" s="37">
        <v>0</v>
      </c>
      <c r="AG28" s="266">
        <f>6000*5</f>
        <v>30000</v>
      </c>
      <c r="AH28" s="257">
        <f t="shared" si="0"/>
        <v>30000</v>
      </c>
      <c r="AI28" s="216" t="s">
        <v>677</v>
      </c>
      <c r="AJ28" s="112" t="s">
        <v>677</v>
      </c>
      <c r="AK28" s="107" t="s">
        <v>677</v>
      </c>
      <c r="AL28" s="180" t="s">
        <v>677</v>
      </c>
      <c r="AM28" s="269" t="s">
        <v>9</v>
      </c>
      <c r="AN28" s="270" t="s">
        <v>697</v>
      </c>
      <c r="AO28" s="271" t="s">
        <v>709</v>
      </c>
      <c r="AP28" s="271" t="s">
        <v>710</v>
      </c>
      <c r="AQ28" s="271" t="s">
        <v>709</v>
      </c>
      <c r="AR28" s="272" t="s">
        <v>711</v>
      </c>
      <c r="AS28" s="49" t="s">
        <v>677</v>
      </c>
      <c r="AT28" s="165" t="s">
        <v>677</v>
      </c>
      <c r="AU28" s="165" t="s">
        <v>677</v>
      </c>
      <c r="AV28" s="165" t="s">
        <v>677</v>
      </c>
      <c r="AW28" s="165" t="s">
        <v>677</v>
      </c>
      <c r="AX28" s="165" t="s">
        <v>677</v>
      </c>
      <c r="AY28" s="165" t="s">
        <v>677</v>
      </c>
      <c r="AZ28" s="165" t="s">
        <v>677</v>
      </c>
      <c r="BA28" s="165" t="s">
        <v>677</v>
      </c>
      <c r="BB28" s="165" t="s">
        <v>677</v>
      </c>
      <c r="BC28" s="165" t="s">
        <v>677</v>
      </c>
      <c r="BD28" s="167" t="s">
        <v>677</v>
      </c>
    </row>
    <row r="29" spans="1:56" ht="25.5" x14ac:dyDescent="0.25">
      <c r="A29" s="254">
        <v>5</v>
      </c>
      <c r="B29" s="49" t="s">
        <v>712</v>
      </c>
      <c r="C29" s="37" t="s">
        <v>713</v>
      </c>
      <c r="D29" s="150" t="s">
        <v>672</v>
      </c>
      <c r="E29" s="150" t="s">
        <v>168</v>
      </c>
      <c r="F29" s="165" t="s">
        <v>714</v>
      </c>
      <c r="G29" s="54" t="s">
        <v>715</v>
      </c>
      <c r="H29" s="54" t="s">
        <v>716</v>
      </c>
      <c r="I29" s="37" t="s">
        <v>717</v>
      </c>
      <c r="J29" s="37" t="s">
        <v>718</v>
      </c>
      <c r="K29" s="37" t="s">
        <v>707</v>
      </c>
      <c r="L29" s="48">
        <v>67995</v>
      </c>
      <c r="M29" s="46">
        <v>11366</v>
      </c>
      <c r="N29" s="37" t="s">
        <v>707</v>
      </c>
      <c r="O29" s="37" t="s">
        <v>708</v>
      </c>
      <c r="P29" s="37" t="s">
        <v>591</v>
      </c>
      <c r="Q29" s="37" t="s">
        <v>677</v>
      </c>
      <c r="R29" s="37" t="s">
        <v>677</v>
      </c>
      <c r="S29" s="37" t="s">
        <v>677</v>
      </c>
      <c r="T29" s="37" t="s">
        <v>719</v>
      </c>
      <c r="U29" s="37" t="s">
        <v>677</v>
      </c>
      <c r="V29" s="37" t="s">
        <v>677</v>
      </c>
      <c r="W29" s="37" t="s">
        <v>677</v>
      </c>
      <c r="X29" s="37" t="s">
        <v>677</v>
      </c>
      <c r="Y29" s="37" t="s">
        <v>677</v>
      </c>
      <c r="Z29" s="37" t="s">
        <v>677</v>
      </c>
      <c r="AA29" s="37" t="s">
        <v>677</v>
      </c>
      <c r="AB29" s="37" t="s">
        <v>677</v>
      </c>
      <c r="AC29" s="37" t="s">
        <v>677</v>
      </c>
      <c r="AD29" s="37" t="s">
        <v>677</v>
      </c>
      <c r="AE29" s="177" t="s">
        <v>677</v>
      </c>
      <c r="AF29" s="37">
        <v>0</v>
      </c>
      <c r="AG29" s="266">
        <v>3539</v>
      </c>
      <c r="AH29" s="257">
        <f t="shared" si="0"/>
        <v>3539</v>
      </c>
      <c r="AI29" s="179" t="s">
        <v>677</v>
      </c>
      <c r="AJ29" s="112" t="s">
        <v>677</v>
      </c>
      <c r="AK29" s="107" t="s">
        <v>677</v>
      </c>
      <c r="AL29" s="180" t="s">
        <v>677</v>
      </c>
      <c r="AM29" s="179" t="s">
        <v>677</v>
      </c>
      <c r="AN29" s="181" t="s">
        <v>677</v>
      </c>
      <c r="AO29" s="181" t="s">
        <v>677</v>
      </c>
      <c r="AP29" s="181" t="s">
        <v>677</v>
      </c>
      <c r="AQ29" s="181" t="s">
        <v>677</v>
      </c>
      <c r="AR29" s="182" t="s">
        <v>677</v>
      </c>
      <c r="AS29" s="49" t="s">
        <v>677</v>
      </c>
      <c r="AT29" s="165" t="s">
        <v>677</v>
      </c>
      <c r="AU29" s="165" t="s">
        <v>677</v>
      </c>
      <c r="AV29" s="165" t="s">
        <v>677</v>
      </c>
      <c r="AW29" s="165" t="s">
        <v>677</v>
      </c>
      <c r="AX29" s="165" t="s">
        <v>677</v>
      </c>
      <c r="AY29" s="165" t="s">
        <v>677</v>
      </c>
      <c r="AZ29" s="165" t="s">
        <v>677</v>
      </c>
      <c r="BA29" s="165" t="s">
        <v>677</v>
      </c>
      <c r="BB29" s="165" t="s">
        <v>677</v>
      </c>
      <c r="BC29" s="165" t="s">
        <v>677</v>
      </c>
      <c r="BD29" s="167" t="s">
        <v>677</v>
      </c>
    </row>
    <row r="30" spans="1:56" ht="25.5" x14ac:dyDescent="0.25">
      <c r="A30" s="254">
        <v>6</v>
      </c>
      <c r="B30" s="49" t="s">
        <v>712</v>
      </c>
      <c r="C30" s="37" t="s">
        <v>713</v>
      </c>
      <c r="D30" s="150" t="s">
        <v>672</v>
      </c>
      <c r="E30" s="150" t="s">
        <v>168</v>
      </c>
      <c r="F30" s="165" t="s">
        <v>714</v>
      </c>
      <c r="G30" s="54" t="s">
        <v>715</v>
      </c>
      <c r="H30" s="54" t="s">
        <v>381</v>
      </c>
      <c r="I30" s="37" t="s">
        <v>720</v>
      </c>
      <c r="J30" s="37" t="s">
        <v>721</v>
      </c>
      <c r="K30" s="37" t="s">
        <v>707</v>
      </c>
      <c r="L30" s="48">
        <v>460120.8</v>
      </c>
      <c r="M30" s="46">
        <v>11366</v>
      </c>
      <c r="N30" s="37" t="s">
        <v>707</v>
      </c>
      <c r="O30" s="37" t="s">
        <v>708</v>
      </c>
      <c r="P30" s="37" t="s">
        <v>591</v>
      </c>
      <c r="Q30" s="37" t="s">
        <v>677</v>
      </c>
      <c r="R30" s="37" t="s">
        <v>677</v>
      </c>
      <c r="S30" s="37" t="s">
        <v>677</v>
      </c>
      <c r="T30" s="37" t="s">
        <v>719</v>
      </c>
      <c r="U30" s="37" t="s">
        <v>677</v>
      </c>
      <c r="V30" s="37" t="s">
        <v>677</v>
      </c>
      <c r="W30" s="37" t="s">
        <v>677</v>
      </c>
      <c r="X30" s="37" t="s">
        <v>677</v>
      </c>
      <c r="Y30" s="37" t="s">
        <v>677</v>
      </c>
      <c r="Z30" s="37" t="s">
        <v>677</v>
      </c>
      <c r="AA30" s="37" t="s">
        <v>677</v>
      </c>
      <c r="AB30" s="37" t="s">
        <v>677</v>
      </c>
      <c r="AC30" s="37" t="s">
        <v>677</v>
      </c>
      <c r="AD30" s="37" t="s">
        <v>677</v>
      </c>
      <c r="AE30" s="177" t="s">
        <v>677</v>
      </c>
      <c r="AF30" s="37">
        <v>0</v>
      </c>
      <c r="AG30" s="266">
        <v>21276</v>
      </c>
      <c r="AH30" s="257">
        <f t="shared" si="0"/>
        <v>21276</v>
      </c>
      <c r="AI30" s="179" t="s">
        <v>677</v>
      </c>
      <c r="AJ30" s="112" t="s">
        <v>677</v>
      </c>
      <c r="AK30" s="107" t="s">
        <v>677</v>
      </c>
      <c r="AL30" s="180" t="s">
        <v>677</v>
      </c>
      <c r="AM30" s="179" t="s">
        <v>677</v>
      </c>
      <c r="AN30" s="181" t="s">
        <v>677</v>
      </c>
      <c r="AO30" s="181" t="s">
        <v>677</v>
      </c>
      <c r="AP30" s="181" t="s">
        <v>677</v>
      </c>
      <c r="AQ30" s="181" t="s">
        <v>677</v>
      </c>
      <c r="AR30" s="182" t="s">
        <v>677</v>
      </c>
      <c r="AS30" s="49" t="s">
        <v>677</v>
      </c>
      <c r="AT30" s="165" t="s">
        <v>677</v>
      </c>
      <c r="AU30" s="165" t="s">
        <v>677</v>
      </c>
      <c r="AV30" s="165" t="s">
        <v>677</v>
      </c>
      <c r="AW30" s="165" t="s">
        <v>677</v>
      </c>
      <c r="AX30" s="165" t="s">
        <v>677</v>
      </c>
      <c r="AY30" s="165" t="s">
        <v>677</v>
      </c>
      <c r="AZ30" s="165" t="s">
        <v>677</v>
      </c>
      <c r="BA30" s="165" t="s">
        <v>677</v>
      </c>
      <c r="BB30" s="165" t="s">
        <v>677</v>
      </c>
      <c r="BC30" s="165" t="s">
        <v>677</v>
      </c>
      <c r="BD30" s="167" t="s">
        <v>677</v>
      </c>
    </row>
    <row r="31" spans="1:56" ht="25.5" x14ac:dyDescent="0.25">
      <c r="A31" s="254">
        <v>7</v>
      </c>
      <c r="B31" s="49" t="s">
        <v>712</v>
      </c>
      <c r="C31" s="37" t="s">
        <v>713</v>
      </c>
      <c r="D31" s="150" t="s">
        <v>672</v>
      </c>
      <c r="E31" s="150" t="s">
        <v>168</v>
      </c>
      <c r="F31" s="165" t="s">
        <v>714</v>
      </c>
      <c r="G31" s="54" t="s">
        <v>715</v>
      </c>
      <c r="H31" s="54" t="s">
        <v>680</v>
      </c>
      <c r="I31" s="37" t="s">
        <v>722</v>
      </c>
      <c r="J31" s="37" t="s">
        <v>723</v>
      </c>
      <c r="K31" s="37" t="s">
        <v>707</v>
      </c>
      <c r="L31" s="48">
        <v>537</v>
      </c>
      <c r="M31" s="46">
        <v>11366</v>
      </c>
      <c r="N31" s="37" t="s">
        <v>707</v>
      </c>
      <c r="O31" s="37" t="s">
        <v>708</v>
      </c>
      <c r="P31" s="37" t="s">
        <v>591</v>
      </c>
      <c r="Q31" s="37" t="s">
        <v>677</v>
      </c>
      <c r="R31" s="37" t="s">
        <v>677</v>
      </c>
      <c r="S31" s="37" t="s">
        <v>677</v>
      </c>
      <c r="T31" s="37" t="s">
        <v>719</v>
      </c>
      <c r="U31" s="37" t="s">
        <v>677</v>
      </c>
      <c r="V31" s="37" t="s">
        <v>677</v>
      </c>
      <c r="W31" s="37" t="s">
        <v>677</v>
      </c>
      <c r="X31" s="37" t="s">
        <v>677</v>
      </c>
      <c r="Y31" s="37" t="s">
        <v>677</v>
      </c>
      <c r="Z31" s="37" t="s">
        <v>677</v>
      </c>
      <c r="AA31" s="37" t="s">
        <v>677</v>
      </c>
      <c r="AB31" s="37" t="s">
        <v>677</v>
      </c>
      <c r="AC31" s="37" t="s">
        <v>677</v>
      </c>
      <c r="AD31" s="37" t="s">
        <v>677</v>
      </c>
      <c r="AE31" s="177" t="s">
        <v>677</v>
      </c>
      <c r="AF31" s="37">
        <v>0</v>
      </c>
      <c r="AG31" s="266">
        <v>53.7</v>
      </c>
      <c r="AH31" s="257">
        <f t="shared" si="0"/>
        <v>53.7</v>
      </c>
      <c r="AI31" s="179" t="s">
        <v>677</v>
      </c>
      <c r="AJ31" s="112" t="s">
        <v>677</v>
      </c>
      <c r="AK31" s="107" t="s">
        <v>677</v>
      </c>
      <c r="AL31" s="180" t="s">
        <v>677</v>
      </c>
      <c r="AM31" s="179" t="s">
        <v>677</v>
      </c>
      <c r="AN31" s="181" t="s">
        <v>677</v>
      </c>
      <c r="AO31" s="181" t="s">
        <v>677</v>
      </c>
      <c r="AP31" s="181" t="s">
        <v>677</v>
      </c>
      <c r="AQ31" s="181" t="s">
        <v>677</v>
      </c>
      <c r="AR31" s="182" t="s">
        <v>677</v>
      </c>
      <c r="AS31" s="49" t="s">
        <v>677</v>
      </c>
      <c r="AT31" s="165" t="s">
        <v>677</v>
      </c>
      <c r="AU31" s="165" t="s">
        <v>677</v>
      </c>
      <c r="AV31" s="165" t="s">
        <v>677</v>
      </c>
      <c r="AW31" s="165" t="s">
        <v>677</v>
      </c>
      <c r="AX31" s="165" t="s">
        <v>677</v>
      </c>
      <c r="AY31" s="165" t="s">
        <v>677</v>
      </c>
      <c r="AZ31" s="165" t="s">
        <v>677</v>
      </c>
      <c r="BA31" s="165" t="s">
        <v>677</v>
      </c>
      <c r="BB31" s="165" t="s">
        <v>677</v>
      </c>
      <c r="BC31" s="165" t="s">
        <v>677</v>
      </c>
      <c r="BD31" s="167" t="s">
        <v>677</v>
      </c>
    </row>
    <row r="32" spans="1:56" ht="25.5" x14ac:dyDescent="0.25">
      <c r="A32" s="274">
        <v>8</v>
      </c>
      <c r="B32" s="49" t="s">
        <v>712</v>
      </c>
      <c r="C32" s="37" t="s">
        <v>713</v>
      </c>
      <c r="D32" s="150" t="s">
        <v>672</v>
      </c>
      <c r="E32" s="150" t="s">
        <v>168</v>
      </c>
      <c r="F32" s="165" t="s">
        <v>714</v>
      </c>
      <c r="G32" s="54" t="s">
        <v>715</v>
      </c>
      <c r="H32" s="54" t="s">
        <v>724</v>
      </c>
      <c r="I32" s="37" t="s">
        <v>725</v>
      </c>
      <c r="J32" s="37" t="s">
        <v>726</v>
      </c>
      <c r="K32" s="37" t="s">
        <v>707</v>
      </c>
      <c r="L32" s="48">
        <v>104920</v>
      </c>
      <c r="M32" s="46">
        <v>11366</v>
      </c>
      <c r="N32" s="37" t="s">
        <v>707</v>
      </c>
      <c r="O32" s="37" t="s">
        <v>708</v>
      </c>
      <c r="P32" s="37" t="s">
        <v>591</v>
      </c>
      <c r="Q32" s="37" t="s">
        <v>677</v>
      </c>
      <c r="R32" s="37" t="s">
        <v>677</v>
      </c>
      <c r="S32" s="37" t="s">
        <v>677</v>
      </c>
      <c r="T32" s="37" t="s">
        <v>719</v>
      </c>
      <c r="U32" s="37" t="s">
        <v>677</v>
      </c>
      <c r="V32" s="37" t="s">
        <v>677</v>
      </c>
      <c r="W32" s="37" t="s">
        <v>677</v>
      </c>
      <c r="X32" s="37" t="s">
        <v>677</v>
      </c>
      <c r="Y32" s="37" t="s">
        <v>677</v>
      </c>
      <c r="Z32" s="37" t="s">
        <v>677</v>
      </c>
      <c r="AA32" s="37" t="s">
        <v>677</v>
      </c>
      <c r="AB32" s="37" t="s">
        <v>677</v>
      </c>
      <c r="AC32" s="37" t="s">
        <v>677</v>
      </c>
      <c r="AD32" s="37" t="s">
        <v>677</v>
      </c>
      <c r="AE32" s="177" t="s">
        <v>677</v>
      </c>
      <c r="AF32" s="37">
        <v>0</v>
      </c>
      <c r="AG32" s="266">
        <v>6340</v>
      </c>
      <c r="AH32" s="257">
        <f t="shared" si="0"/>
        <v>6340</v>
      </c>
      <c r="AI32" s="179" t="s">
        <v>677</v>
      </c>
      <c r="AJ32" s="112" t="s">
        <v>677</v>
      </c>
      <c r="AK32" s="107" t="s">
        <v>677</v>
      </c>
      <c r="AL32" s="180" t="s">
        <v>677</v>
      </c>
      <c r="AM32" s="179" t="s">
        <v>677</v>
      </c>
      <c r="AN32" s="181" t="s">
        <v>677</v>
      </c>
      <c r="AO32" s="181" t="s">
        <v>677</v>
      </c>
      <c r="AP32" s="181" t="s">
        <v>677</v>
      </c>
      <c r="AQ32" s="181" t="s">
        <v>677</v>
      </c>
      <c r="AR32" s="182" t="s">
        <v>677</v>
      </c>
      <c r="AS32" s="49" t="s">
        <v>677</v>
      </c>
      <c r="AT32" s="165" t="s">
        <v>677</v>
      </c>
      <c r="AU32" s="165" t="s">
        <v>677</v>
      </c>
      <c r="AV32" s="165" t="s">
        <v>677</v>
      </c>
      <c r="AW32" s="165" t="s">
        <v>677</v>
      </c>
      <c r="AX32" s="165" t="s">
        <v>677</v>
      </c>
      <c r="AY32" s="165" t="s">
        <v>677</v>
      </c>
      <c r="AZ32" s="165" t="s">
        <v>677</v>
      </c>
      <c r="BA32" s="165" t="s">
        <v>677</v>
      </c>
      <c r="BB32" s="165" t="s">
        <v>677</v>
      </c>
      <c r="BC32" s="165" t="s">
        <v>677</v>
      </c>
      <c r="BD32" s="167" t="s">
        <v>677</v>
      </c>
    </row>
    <row r="33" spans="1:56" ht="51" x14ac:dyDescent="0.25">
      <c r="A33" s="274">
        <v>9</v>
      </c>
      <c r="B33" s="49" t="s">
        <v>727</v>
      </c>
      <c r="C33" s="37" t="s">
        <v>728</v>
      </c>
      <c r="D33" s="150" t="s">
        <v>672</v>
      </c>
      <c r="E33" s="150" t="s">
        <v>168</v>
      </c>
      <c r="F33" s="166" t="s">
        <v>729</v>
      </c>
      <c r="G33" s="37" t="s">
        <v>730</v>
      </c>
      <c r="H33" s="54" t="s">
        <v>388</v>
      </c>
      <c r="I33" s="37" t="s">
        <v>731</v>
      </c>
      <c r="J33" s="37" t="s">
        <v>265</v>
      </c>
      <c r="K33" s="37" t="s">
        <v>732</v>
      </c>
      <c r="L33" s="275">
        <v>144000</v>
      </c>
      <c r="M33" s="46">
        <v>11366</v>
      </c>
      <c r="N33" s="37" t="s">
        <v>732</v>
      </c>
      <c r="O33" s="37" t="s">
        <v>733</v>
      </c>
      <c r="P33" s="37" t="s">
        <v>591</v>
      </c>
      <c r="Q33" s="37" t="s">
        <v>677</v>
      </c>
      <c r="R33" s="37" t="s">
        <v>677</v>
      </c>
      <c r="S33" s="37" t="s">
        <v>677</v>
      </c>
      <c r="T33" s="37" t="s">
        <v>734</v>
      </c>
      <c r="U33" s="37" t="s">
        <v>677</v>
      </c>
      <c r="V33" s="37" t="s">
        <v>677</v>
      </c>
      <c r="W33" s="37" t="s">
        <v>677</v>
      </c>
      <c r="X33" s="37" t="s">
        <v>677</v>
      </c>
      <c r="Y33" s="37" t="s">
        <v>677</v>
      </c>
      <c r="Z33" s="37" t="s">
        <v>677</v>
      </c>
      <c r="AA33" s="37" t="s">
        <v>677</v>
      </c>
      <c r="AB33" s="37" t="s">
        <v>677</v>
      </c>
      <c r="AC33" s="37" t="s">
        <v>677</v>
      </c>
      <c r="AD33" s="37" t="s">
        <v>677</v>
      </c>
      <c r="AE33" s="177" t="s">
        <v>677</v>
      </c>
      <c r="AF33" s="37">
        <v>0</v>
      </c>
      <c r="AG33" s="68">
        <v>3830.42</v>
      </c>
      <c r="AH33" s="257">
        <f t="shared" si="0"/>
        <v>3830.42</v>
      </c>
      <c r="AI33" s="267" t="s">
        <v>728</v>
      </c>
      <c r="AJ33" s="112" t="s">
        <v>735</v>
      </c>
      <c r="AK33" s="107" t="s">
        <v>736</v>
      </c>
      <c r="AL33" s="276" t="s">
        <v>688</v>
      </c>
      <c r="AM33" s="179" t="s">
        <v>677</v>
      </c>
      <c r="AN33" s="181" t="s">
        <v>677</v>
      </c>
      <c r="AO33" s="181" t="s">
        <v>677</v>
      </c>
      <c r="AP33" s="181" t="s">
        <v>677</v>
      </c>
      <c r="AQ33" s="181" t="s">
        <v>677</v>
      </c>
      <c r="AR33" s="182" t="s">
        <v>677</v>
      </c>
      <c r="AS33" s="49" t="s">
        <v>677</v>
      </c>
      <c r="AT33" s="165" t="s">
        <v>677</v>
      </c>
      <c r="AU33" s="165" t="s">
        <v>677</v>
      </c>
      <c r="AV33" s="165" t="s">
        <v>677</v>
      </c>
      <c r="AW33" s="165" t="s">
        <v>677</v>
      </c>
      <c r="AX33" s="165" t="s">
        <v>677</v>
      </c>
      <c r="AY33" s="165" t="s">
        <v>677</v>
      </c>
      <c r="AZ33" s="165" t="s">
        <v>677</v>
      </c>
      <c r="BA33" s="165" t="s">
        <v>677</v>
      </c>
      <c r="BB33" s="165" t="s">
        <v>677</v>
      </c>
      <c r="BC33" s="277"/>
      <c r="BD33" s="167"/>
    </row>
    <row r="34" spans="1:56" ht="25.5" x14ac:dyDescent="0.25">
      <c r="A34" s="274">
        <v>10</v>
      </c>
      <c r="B34" s="49" t="s">
        <v>737</v>
      </c>
      <c r="C34" s="37" t="s">
        <v>738</v>
      </c>
      <c r="D34" s="150" t="s">
        <v>672</v>
      </c>
      <c r="E34" s="150" t="s">
        <v>168</v>
      </c>
      <c r="F34" s="165" t="s">
        <v>739</v>
      </c>
      <c r="G34" s="37" t="s">
        <v>740</v>
      </c>
      <c r="H34" s="54" t="s">
        <v>741</v>
      </c>
      <c r="I34" s="37" t="s">
        <v>742</v>
      </c>
      <c r="J34" s="37" t="s">
        <v>743</v>
      </c>
      <c r="K34" s="37" t="s">
        <v>732</v>
      </c>
      <c r="L34" s="48">
        <v>6050</v>
      </c>
      <c r="M34" s="46">
        <v>11367</v>
      </c>
      <c r="N34" s="37" t="s">
        <v>732</v>
      </c>
      <c r="O34" s="37" t="s">
        <v>733</v>
      </c>
      <c r="P34" s="37" t="s">
        <v>591</v>
      </c>
      <c r="Q34" s="37" t="s">
        <v>677</v>
      </c>
      <c r="R34" s="37" t="s">
        <v>677</v>
      </c>
      <c r="S34" s="37" t="s">
        <v>677</v>
      </c>
      <c r="T34" s="37" t="s">
        <v>719</v>
      </c>
      <c r="U34" s="37" t="s">
        <v>677</v>
      </c>
      <c r="V34" s="37" t="s">
        <v>677</v>
      </c>
      <c r="W34" s="37" t="s">
        <v>677</v>
      </c>
      <c r="X34" s="37" t="s">
        <v>677</v>
      </c>
      <c r="Y34" s="37" t="s">
        <v>677</v>
      </c>
      <c r="Z34" s="37" t="s">
        <v>677</v>
      </c>
      <c r="AA34" s="37" t="s">
        <v>677</v>
      </c>
      <c r="AB34" s="37" t="s">
        <v>677</v>
      </c>
      <c r="AC34" s="37" t="s">
        <v>677</v>
      </c>
      <c r="AD34" s="37" t="s">
        <v>677</v>
      </c>
      <c r="AE34" s="177" t="s">
        <v>677</v>
      </c>
      <c r="AF34" s="37">
        <v>0</v>
      </c>
      <c r="AG34" s="278">
        <v>5752</v>
      </c>
      <c r="AH34" s="257">
        <f t="shared" si="0"/>
        <v>5752</v>
      </c>
      <c r="AI34" s="179" t="s">
        <v>677</v>
      </c>
      <c r="AJ34" s="107" t="s">
        <v>677</v>
      </c>
      <c r="AK34" s="107" t="s">
        <v>677</v>
      </c>
      <c r="AL34" s="180" t="s">
        <v>677</v>
      </c>
      <c r="AM34" s="179" t="s">
        <v>677</v>
      </c>
      <c r="AN34" s="181" t="s">
        <v>677</v>
      </c>
      <c r="AO34" s="181" t="s">
        <v>677</v>
      </c>
      <c r="AP34" s="181" t="s">
        <v>677</v>
      </c>
      <c r="AQ34" s="181" t="s">
        <v>677</v>
      </c>
      <c r="AR34" s="182" t="s">
        <v>677</v>
      </c>
      <c r="AS34" s="49" t="s">
        <v>677</v>
      </c>
      <c r="AT34" s="165" t="s">
        <v>677</v>
      </c>
      <c r="AU34" s="165" t="s">
        <v>677</v>
      </c>
      <c r="AV34" s="165" t="s">
        <v>677</v>
      </c>
      <c r="AW34" s="165" t="s">
        <v>677</v>
      </c>
      <c r="AX34" s="165" t="s">
        <v>677</v>
      </c>
      <c r="AY34" s="165" t="s">
        <v>677</v>
      </c>
      <c r="AZ34" s="165" t="s">
        <v>677</v>
      </c>
      <c r="BA34" s="165" t="s">
        <v>677</v>
      </c>
      <c r="BB34" s="165" t="s">
        <v>677</v>
      </c>
      <c r="BC34" s="165" t="s">
        <v>677</v>
      </c>
      <c r="BD34" s="167" t="s">
        <v>677</v>
      </c>
    </row>
    <row r="35" spans="1:56" ht="25.5" x14ac:dyDescent="0.25">
      <c r="A35" s="274">
        <v>11</v>
      </c>
      <c r="B35" s="49" t="s">
        <v>737</v>
      </c>
      <c r="C35" s="37" t="s">
        <v>738</v>
      </c>
      <c r="D35" s="150" t="s">
        <v>672</v>
      </c>
      <c r="E35" s="150" t="s">
        <v>168</v>
      </c>
      <c r="F35" s="165" t="s">
        <v>739</v>
      </c>
      <c r="G35" s="37" t="s">
        <v>740</v>
      </c>
      <c r="H35" s="54" t="s">
        <v>744</v>
      </c>
      <c r="I35" s="37" t="s">
        <v>745</v>
      </c>
      <c r="J35" s="37" t="s">
        <v>746</v>
      </c>
      <c r="K35" s="37" t="s">
        <v>732</v>
      </c>
      <c r="L35" s="48">
        <v>4579</v>
      </c>
      <c r="M35" s="46">
        <v>11367</v>
      </c>
      <c r="N35" s="37" t="s">
        <v>732</v>
      </c>
      <c r="O35" s="37" t="s">
        <v>733</v>
      </c>
      <c r="P35" s="37" t="s">
        <v>591</v>
      </c>
      <c r="Q35" s="37" t="s">
        <v>677</v>
      </c>
      <c r="R35" s="37" t="s">
        <v>677</v>
      </c>
      <c r="S35" s="37" t="s">
        <v>677</v>
      </c>
      <c r="T35" s="37" t="s">
        <v>719</v>
      </c>
      <c r="U35" s="37" t="s">
        <v>677</v>
      </c>
      <c r="V35" s="37" t="s">
        <v>677</v>
      </c>
      <c r="W35" s="37" t="s">
        <v>677</v>
      </c>
      <c r="X35" s="37" t="s">
        <v>677</v>
      </c>
      <c r="Y35" s="37" t="s">
        <v>677</v>
      </c>
      <c r="Z35" s="37" t="s">
        <v>677</v>
      </c>
      <c r="AA35" s="37" t="s">
        <v>677</v>
      </c>
      <c r="AB35" s="37" t="s">
        <v>677</v>
      </c>
      <c r="AC35" s="37" t="s">
        <v>677</v>
      </c>
      <c r="AD35" s="37" t="s">
        <v>677</v>
      </c>
      <c r="AE35" s="177" t="s">
        <v>677</v>
      </c>
      <c r="AF35" s="37">
        <v>0</v>
      </c>
      <c r="AG35" s="278">
        <v>4000</v>
      </c>
      <c r="AH35" s="257">
        <f t="shared" si="0"/>
        <v>4000</v>
      </c>
      <c r="AI35" s="179" t="s">
        <v>677</v>
      </c>
      <c r="AJ35" s="107" t="s">
        <v>677</v>
      </c>
      <c r="AK35" s="107" t="s">
        <v>677</v>
      </c>
      <c r="AL35" s="180" t="s">
        <v>677</v>
      </c>
      <c r="AM35" s="179" t="s">
        <v>677</v>
      </c>
      <c r="AN35" s="181" t="s">
        <v>677</v>
      </c>
      <c r="AO35" s="181" t="s">
        <v>677</v>
      </c>
      <c r="AP35" s="181" t="s">
        <v>677</v>
      </c>
      <c r="AQ35" s="181" t="s">
        <v>677</v>
      </c>
      <c r="AR35" s="182" t="s">
        <v>677</v>
      </c>
      <c r="AS35" s="49" t="s">
        <v>677</v>
      </c>
      <c r="AT35" s="165" t="s">
        <v>677</v>
      </c>
      <c r="AU35" s="165" t="s">
        <v>677</v>
      </c>
      <c r="AV35" s="165" t="s">
        <v>677</v>
      </c>
      <c r="AW35" s="165" t="s">
        <v>677</v>
      </c>
      <c r="AX35" s="165" t="s">
        <v>677</v>
      </c>
      <c r="AY35" s="165" t="s">
        <v>677</v>
      </c>
      <c r="AZ35" s="165" t="s">
        <v>677</v>
      </c>
      <c r="BA35" s="165" t="s">
        <v>677</v>
      </c>
      <c r="BB35" s="165" t="s">
        <v>677</v>
      </c>
      <c r="BC35" s="165" t="s">
        <v>677</v>
      </c>
      <c r="BD35" s="167" t="s">
        <v>677</v>
      </c>
    </row>
    <row r="36" spans="1:56" ht="25.5" x14ac:dyDescent="0.25">
      <c r="A36" s="274">
        <v>12</v>
      </c>
      <c r="B36" s="49" t="s">
        <v>737</v>
      </c>
      <c r="C36" s="37" t="s">
        <v>738</v>
      </c>
      <c r="D36" s="150" t="s">
        <v>672</v>
      </c>
      <c r="E36" s="150" t="s">
        <v>168</v>
      </c>
      <c r="F36" s="165" t="s">
        <v>739</v>
      </c>
      <c r="G36" s="37" t="s">
        <v>740</v>
      </c>
      <c r="H36" s="54" t="s">
        <v>747</v>
      </c>
      <c r="I36" s="37" t="s">
        <v>748</v>
      </c>
      <c r="J36" s="37" t="s">
        <v>749</v>
      </c>
      <c r="K36" s="37" t="s">
        <v>732</v>
      </c>
      <c r="L36" s="48">
        <v>550</v>
      </c>
      <c r="M36" s="46">
        <v>11367</v>
      </c>
      <c r="N36" s="37" t="s">
        <v>732</v>
      </c>
      <c r="O36" s="37" t="s">
        <v>733</v>
      </c>
      <c r="P36" s="37" t="s">
        <v>591</v>
      </c>
      <c r="Q36" s="37" t="s">
        <v>677</v>
      </c>
      <c r="R36" s="37" t="s">
        <v>677</v>
      </c>
      <c r="S36" s="37" t="s">
        <v>677</v>
      </c>
      <c r="T36" s="37" t="s">
        <v>719</v>
      </c>
      <c r="U36" s="37" t="s">
        <v>677</v>
      </c>
      <c r="V36" s="37" t="s">
        <v>677</v>
      </c>
      <c r="W36" s="37" t="s">
        <v>677</v>
      </c>
      <c r="X36" s="37" t="s">
        <v>677</v>
      </c>
      <c r="Y36" s="37" t="s">
        <v>677</v>
      </c>
      <c r="Z36" s="37" t="s">
        <v>677</v>
      </c>
      <c r="AA36" s="37" t="s">
        <v>677</v>
      </c>
      <c r="AB36" s="37" t="s">
        <v>677</v>
      </c>
      <c r="AC36" s="37" t="s">
        <v>677</v>
      </c>
      <c r="AD36" s="37" t="s">
        <v>677</v>
      </c>
      <c r="AE36" s="177" t="s">
        <v>677</v>
      </c>
      <c r="AF36" s="37">
        <v>0</v>
      </c>
      <c r="AG36" s="278">
        <v>0</v>
      </c>
      <c r="AH36" s="257">
        <f t="shared" si="0"/>
        <v>0</v>
      </c>
      <c r="AI36" s="179" t="s">
        <v>677</v>
      </c>
      <c r="AJ36" s="107" t="s">
        <v>677</v>
      </c>
      <c r="AK36" s="107" t="s">
        <v>677</v>
      </c>
      <c r="AL36" s="180" t="s">
        <v>677</v>
      </c>
      <c r="AM36" s="179" t="s">
        <v>677</v>
      </c>
      <c r="AN36" s="181" t="s">
        <v>677</v>
      </c>
      <c r="AO36" s="181" t="s">
        <v>677</v>
      </c>
      <c r="AP36" s="181" t="s">
        <v>677</v>
      </c>
      <c r="AQ36" s="181" t="s">
        <v>677</v>
      </c>
      <c r="AR36" s="182" t="s">
        <v>677</v>
      </c>
      <c r="AS36" s="49" t="s">
        <v>677</v>
      </c>
      <c r="AT36" s="165" t="s">
        <v>677</v>
      </c>
      <c r="AU36" s="165" t="s">
        <v>677</v>
      </c>
      <c r="AV36" s="165" t="s">
        <v>677</v>
      </c>
      <c r="AW36" s="165" t="s">
        <v>677</v>
      </c>
      <c r="AX36" s="165" t="s">
        <v>677</v>
      </c>
      <c r="AY36" s="165" t="s">
        <v>677</v>
      </c>
      <c r="AZ36" s="165" t="s">
        <v>677</v>
      </c>
      <c r="BA36" s="165" t="s">
        <v>677</v>
      </c>
      <c r="BB36" s="165" t="s">
        <v>677</v>
      </c>
      <c r="BC36" s="165" t="s">
        <v>677</v>
      </c>
      <c r="BD36" s="167" t="s">
        <v>677</v>
      </c>
    </row>
    <row r="37" spans="1:56" ht="25.5" x14ac:dyDescent="0.25">
      <c r="A37" s="274">
        <v>13</v>
      </c>
      <c r="B37" s="49" t="s">
        <v>737</v>
      </c>
      <c r="C37" s="37" t="s">
        <v>738</v>
      </c>
      <c r="D37" s="150" t="s">
        <v>672</v>
      </c>
      <c r="E37" s="150" t="s">
        <v>168</v>
      </c>
      <c r="F37" s="165" t="s">
        <v>739</v>
      </c>
      <c r="G37" s="37" t="s">
        <v>740</v>
      </c>
      <c r="H37" s="54" t="s">
        <v>750</v>
      </c>
      <c r="I37" s="37" t="s">
        <v>751</v>
      </c>
      <c r="J37" s="37" t="s">
        <v>752</v>
      </c>
      <c r="K37" s="37" t="s">
        <v>732</v>
      </c>
      <c r="L37" s="48">
        <v>428</v>
      </c>
      <c r="M37" s="46">
        <v>11367</v>
      </c>
      <c r="N37" s="37" t="s">
        <v>732</v>
      </c>
      <c r="O37" s="37" t="s">
        <v>733</v>
      </c>
      <c r="P37" s="37" t="s">
        <v>591</v>
      </c>
      <c r="Q37" s="37" t="s">
        <v>677</v>
      </c>
      <c r="R37" s="37" t="s">
        <v>677</v>
      </c>
      <c r="S37" s="37" t="s">
        <v>677</v>
      </c>
      <c r="T37" s="37" t="s">
        <v>719</v>
      </c>
      <c r="U37" s="37" t="s">
        <v>677</v>
      </c>
      <c r="V37" s="37" t="s">
        <v>677</v>
      </c>
      <c r="W37" s="37" t="s">
        <v>677</v>
      </c>
      <c r="X37" s="37" t="s">
        <v>677</v>
      </c>
      <c r="Y37" s="37" t="s">
        <v>677</v>
      </c>
      <c r="Z37" s="37" t="s">
        <v>677</v>
      </c>
      <c r="AA37" s="37" t="s">
        <v>677</v>
      </c>
      <c r="AB37" s="37" t="s">
        <v>677</v>
      </c>
      <c r="AC37" s="37" t="s">
        <v>677</v>
      </c>
      <c r="AD37" s="37" t="s">
        <v>677</v>
      </c>
      <c r="AE37" s="177" t="s">
        <v>677</v>
      </c>
      <c r="AF37" s="37">
        <v>0</v>
      </c>
      <c r="AG37" s="278">
        <v>428</v>
      </c>
      <c r="AH37" s="257">
        <f t="shared" si="0"/>
        <v>428</v>
      </c>
      <c r="AI37" s="179" t="s">
        <v>677</v>
      </c>
      <c r="AJ37" s="107" t="s">
        <v>677</v>
      </c>
      <c r="AK37" s="107" t="s">
        <v>677</v>
      </c>
      <c r="AL37" s="180" t="s">
        <v>677</v>
      </c>
      <c r="AM37" s="179" t="s">
        <v>677</v>
      </c>
      <c r="AN37" s="181" t="s">
        <v>677</v>
      </c>
      <c r="AO37" s="181" t="s">
        <v>677</v>
      </c>
      <c r="AP37" s="181" t="s">
        <v>677</v>
      </c>
      <c r="AQ37" s="181" t="s">
        <v>677</v>
      </c>
      <c r="AR37" s="182" t="s">
        <v>677</v>
      </c>
      <c r="AS37" s="49" t="s">
        <v>677</v>
      </c>
      <c r="AT37" s="165" t="s">
        <v>677</v>
      </c>
      <c r="AU37" s="165" t="s">
        <v>677</v>
      </c>
      <c r="AV37" s="165" t="s">
        <v>677</v>
      </c>
      <c r="AW37" s="165" t="s">
        <v>677</v>
      </c>
      <c r="AX37" s="165" t="s">
        <v>677</v>
      </c>
      <c r="AY37" s="165" t="s">
        <v>677</v>
      </c>
      <c r="AZ37" s="165" t="s">
        <v>677</v>
      </c>
      <c r="BA37" s="165" t="s">
        <v>677</v>
      </c>
      <c r="BB37" s="165" t="s">
        <v>677</v>
      </c>
      <c r="BC37" s="165" t="s">
        <v>677</v>
      </c>
      <c r="BD37" s="167" t="s">
        <v>677</v>
      </c>
    </row>
    <row r="38" spans="1:56" ht="82.5" customHeight="1" x14ac:dyDescent="0.25">
      <c r="A38" s="274">
        <v>14</v>
      </c>
      <c r="B38" s="49" t="s">
        <v>753</v>
      </c>
      <c r="C38" s="37" t="s">
        <v>754</v>
      </c>
      <c r="D38" s="150" t="s">
        <v>672</v>
      </c>
      <c r="E38" s="150" t="s">
        <v>168</v>
      </c>
      <c r="F38" s="166" t="s">
        <v>755</v>
      </c>
      <c r="G38" s="37" t="s">
        <v>756</v>
      </c>
      <c r="H38" s="54" t="s">
        <v>757</v>
      </c>
      <c r="I38" s="37" t="s">
        <v>758</v>
      </c>
      <c r="J38" s="37" t="s">
        <v>759</v>
      </c>
      <c r="K38" s="37" t="s">
        <v>732</v>
      </c>
      <c r="L38" s="48">
        <v>384000</v>
      </c>
      <c r="M38" s="46">
        <v>11378</v>
      </c>
      <c r="N38" s="37" t="s">
        <v>732</v>
      </c>
      <c r="O38" s="37" t="s">
        <v>733</v>
      </c>
      <c r="P38" s="37" t="s">
        <v>591</v>
      </c>
      <c r="Q38" s="37" t="s">
        <v>677</v>
      </c>
      <c r="R38" s="37" t="s">
        <v>677</v>
      </c>
      <c r="S38" s="37" t="s">
        <v>677</v>
      </c>
      <c r="T38" s="37" t="s">
        <v>685</v>
      </c>
      <c r="U38" s="37" t="s">
        <v>677</v>
      </c>
      <c r="V38" s="37" t="s">
        <v>677</v>
      </c>
      <c r="W38" s="37" t="s">
        <v>677</v>
      </c>
      <c r="X38" s="37" t="s">
        <v>677</v>
      </c>
      <c r="Y38" s="37" t="s">
        <v>677</v>
      </c>
      <c r="Z38" s="37" t="s">
        <v>677</v>
      </c>
      <c r="AA38" s="37" t="s">
        <v>677</v>
      </c>
      <c r="AB38" s="37" t="s">
        <v>677</v>
      </c>
      <c r="AC38" s="37" t="s">
        <v>677</v>
      </c>
      <c r="AD38" s="37" t="s">
        <v>677</v>
      </c>
      <c r="AE38" s="177" t="s">
        <v>677</v>
      </c>
      <c r="AF38" s="37">
        <v>0</v>
      </c>
      <c r="AG38" s="278">
        <f>3900+1950*4+1950*3</f>
        <v>17550</v>
      </c>
      <c r="AH38" s="257">
        <f t="shared" si="0"/>
        <v>17550</v>
      </c>
      <c r="AI38" s="267" t="s">
        <v>403</v>
      </c>
      <c r="AJ38" s="107" t="s">
        <v>760</v>
      </c>
      <c r="AK38" s="112" t="s">
        <v>761</v>
      </c>
      <c r="AL38" s="180" t="s">
        <v>677</v>
      </c>
      <c r="AM38" s="179" t="s">
        <v>677</v>
      </c>
      <c r="AN38" s="181" t="s">
        <v>677</v>
      </c>
      <c r="AO38" s="181" t="s">
        <v>677</v>
      </c>
      <c r="AP38" s="181" t="s">
        <v>677</v>
      </c>
      <c r="AQ38" s="181" t="s">
        <v>677</v>
      </c>
      <c r="AR38" s="182" t="s">
        <v>677</v>
      </c>
      <c r="AS38" s="49" t="s">
        <v>677</v>
      </c>
      <c r="AT38" s="165" t="s">
        <v>677</v>
      </c>
      <c r="AU38" s="165" t="s">
        <v>677</v>
      </c>
      <c r="AV38" s="165" t="s">
        <v>677</v>
      </c>
      <c r="AW38" s="165" t="s">
        <v>677</v>
      </c>
      <c r="AX38" s="165" t="s">
        <v>677</v>
      </c>
      <c r="AY38" s="165" t="s">
        <v>677</v>
      </c>
      <c r="AZ38" s="165" t="s">
        <v>677</v>
      </c>
      <c r="BA38" s="165" t="s">
        <v>677</v>
      </c>
      <c r="BB38" s="165" t="s">
        <v>677</v>
      </c>
      <c r="BC38" s="165" t="s">
        <v>677</v>
      </c>
      <c r="BD38" s="167" t="s">
        <v>677</v>
      </c>
    </row>
    <row r="39" spans="1:56" ht="25.5" x14ac:dyDescent="0.25">
      <c r="A39" s="274">
        <v>15</v>
      </c>
      <c r="B39" s="49" t="s">
        <v>677</v>
      </c>
      <c r="C39" s="37" t="s">
        <v>762</v>
      </c>
      <c r="D39" s="150" t="s">
        <v>672</v>
      </c>
      <c r="E39" s="150" t="s">
        <v>168</v>
      </c>
      <c r="F39" s="165" t="s">
        <v>763</v>
      </c>
      <c r="G39" s="37" t="s">
        <v>764</v>
      </c>
      <c r="H39" s="54" t="s">
        <v>765</v>
      </c>
      <c r="I39" s="241" t="s">
        <v>766</v>
      </c>
      <c r="J39" s="37" t="s">
        <v>767</v>
      </c>
      <c r="K39" s="37" t="s">
        <v>768</v>
      </c>
      <c r="L39" s="48">
        <v>177695</v>
      </c>
      <c r="M39" s="46">
        <v>11378</v>
      </c>
      <c r="N39" s="37" t="s">
        <v>768</v>
      </c>
      <c r="O39" s="37" t="s">
        <v>769</v>
      </c>
      <c r="P39" s="37" t="s">
        <v>591</v>
      </c>
      <c r="Q39" s="37" t="s">
        <v>677</v>
      </c>
      <c r="R39" s="37" t="s">
        <v>677</v>
      </c>
      <c r="S39" s="37" t="s">
        <v>677</v>
      </c>
      <c r="T39" s="37" t="s">
        <v>678</v>
      </c>
      <c r="U39" s="37" t="s">
        <v>677</v>
      </c>
      <c r="V39" s="37" t="s">
        <v>677</v>
      </c>
      <c r="W39" s="37" t="s">
        <v>677</v>
      </c>
      <c r="X39" s="37" t="s">
        <v>677</v>
      </c>
      <c r="Y39" s="37" t="s">
        <v>677</v>
      </c>
      <c r="Z39" s="37" t="s">
        <v>677</v>
      </c>
      <c r="AA39" s="37" t="s">
        <v>677</v>
      </c>
      <c r="AB39" s="37" t="s">
        <v>677</v>
      </c>
      <c r="AC39" s="37" t="s">
        <v>677</v>
      </c>
      <c r="AD39" s="37" t="s">
        <v>677</v>
      </c>
      <c r="AE39" s="177" t="s">
        <v>677</v>
      </c>
      <c r="AF39" s="37">
        <v>0</v>
      </c>
      <c r="AG39" s="278">
        <v>137061.79999999999</v>
      </c>
      <c r="AH39" s="257">
        <f t="shared" si="0"/>
        <v>137061.79999999999</v>
      </c>
      <c r="AI39" s="267" t="s">
        <v>770</v>
      </c>
      <c r="AJ39" s="115" t="s">
        <v>771</v>
      </c>
      <c r="AK39" s="112" t="s">
        <v>772</v>
      </c>
      <c r="AL39" s="180" t="s">
        <v>677</v>
      </c>
      <c r="AM39" s="179" t="s">
        <v>677</v>
      </c>
      <c r="AN39" s="181" t="s">
        <v>677</v>
      </c>
      <c r="AO39" s="181" t="s">
        <v>677</v>
      </c>
      <c r="AP39" s="181" t="s">
        <v>677</v>
      </c>
      <c r="AQ39" s="181" t="s">
        <v>677</v>
      </c>
      <c r="AR39" s="182" t="s">
        <v>677</v>
      </c>
      <c r="AS39" s="49" t="s">
        <v>677</v>
      </c>
      <c r="AT39" s="165" t="s">
        <v>677</v>
      </c>
      <c r="AU39" s="165" t="s">
        <v>677</v>
      </c>
      <c r="AV39" s="165" t="s">
        <v>677</v>
      </c>
      <c r="AW39" s="165" t="s">
        <v>677</v>
      </c>
      <c r="AX39" s="165" t="s">
        <v>677</v>
      </c>
      <c r="AY39" s="165" t="s">
        <v>677</v>
      </c>
      <c r="AZ39" s="165" t="s">
        <v>677</v>
      </c>
      <c r="BA39" s="165" t="s">
        <v>677</v>
      </c>
      <c r="BB39" s="165" t="s">
        <v>677</v>
      </c>
      <c r="BC39" s="165" t="s">
        <v>677</v>
      </c>
      <c r="BD39" s="167" t="s">
        <v>677</v>
      </c>
    </row>
    <row r="40" spans="1:56" ht="25.5" x14ac:dyDescent="0.25">
      <c r="A40" s="274">
        <v>16</v>
      </c>
      <c r="B40" s="49" t="s">
        <v>773</v>
      </c>
      <c r="C40" s="37" t="s">
        <v>774</v>
      </c>
      <c r="D40" s="150" t="s">
        <v>672</v>
      </c>
      <c r="E40" s="150" t="s">
        <v>168</v>
      </c>
      <c r="F40" s="37" t="s">
        <v>775</v>
      </c>
      <c r="G40" s="37" t="s">
        <v>776</v>
      </c>
      <c r="H40" s="54" t="s">
        <v>777</v>
      </c>
      <c r="I40" s="37" t="s">
        <v>778</v>
      </c>
      <c r="J40" s="37" t="s">
        <v>779</v>
      </c>
      <c r="K40" s="37" t="s">
        <v>768</v>
      </c>
      <c r="L40" s="48">
        <v>20580</v>
      </c>
      <c r="M40" s="46">
        <v>11378</v>
      </c>
      <c r="N40" s="37" t="s">
        <v>768</v>
      </c>
      <c r="O40" s="37" t="s">
        <v>769</v>
      </c>
      <c r="P40" s="37" t="s">
        <v>591</v>
      </c>
      <c r="Q40" s="37" t="s">
        <v>677</v>
      </c>
      <c r="R40" s="37" t="s">
        <v>677</v>
      </c>
      <c r="S40" s="37" t="s">
        <v>677</v>
      </c>
      <c r="T40" s="37" t="s">
        <v>719</v>
      </c>
      <c r="U40" s="37" t="s">
        <v>677</v>
      </c>
      <c r="V40" s="37" t="s">
        <v>677</v>
      </c>
      <c r="W40" s="37" t="s">
        <v>677</v>
      </c>
      <c r="X40" s="37" t="s">
        <v>677</v>
      </c>
      <c r="Y40" s="37" t="s">
        <v>677</v>
      </c>
      <c r="Z40" s="37" t="s">
        <v>677</v>
      </c>
      <c r="AA40" s="37" t="s">
        <v>677</v>
      </c>
      <c r="AB40" s="37" t="s">
        <v>677</v>
      </c>
      <c r="AC40" s="37" t="s">
        <v>677</v>
      </c>
      <c r="AD40" s="37" t="s">
        <v>677</v>
      </c>
      <c r="AE40" s="177" t="s">
        <v>677</v>
      </c>
      <c r="AF40" s="37">
        <v>0</v>
      </c>
      <c r="AG40" s="278">
        <f>3822+7644</f>
        <v>11466</v>
      </c>
      <c r="AH40" s="257">
        <f t="shared" si="0"/>
        <v>11466</v>
      </c>
      <c r="AI40" s="179" t="s">
        <v>677</v>
      </c>
      <c r="AJ40" s="107" t="s">
        <v>677</v>
      </c>
      <c r="AK40" s="107" t="s">
        <v>677</v>
      </c>
      <c r="AL40" s="180" t="s">
        <v>677</v>
      </c>
      <c r="AM40" s="179" t="s">
        <v>677</v>
      </c>
      <c r="AN40" s="181" t="s">
        <v>677</v>
      </c>
      <c r="AO40" s="181" t="s">
        <v>677</v>
      </c>
      <c r="AP40" s="181" t="s">
        <v>677</v>
      </c>
      <c r="AQ40" s="181" t="s">
        <v>677</v>
      </c>
      <c r="AR40" s="182" t="s">
        <v>677</v>
      </c>
      <c r="AS40" s="49" t="s">
        <v>677</v>
      </c>
      <c r="AT40" s="165" t="s">
        <v>677</v>
      </c>
      <c r="AU40" s="165" t="s">
        <v>677</v>
      </c>
      <c r="AV40" s="165" t="s">
        <v>677</v>
      </c>
      <c r="AW40" s="165" t="s">
        <v>677</v>
      </c>
      <c r="AX40" s="165" t="s">
        <v>677</v>
      </c>
      <c r="AY40" s="165" t="s">
        <v>677</v>
      </c>
      <c r="AZ40" s="165" t="s">
        <v>677</v>
      </c>
      <c r="BA40" s="165" t="s">
        <v>677</v>
      </c>
      <c r="BB40" s="165" t="s">
        <v>677</v>
      </c>
      <c r="BC40" s="165" t="s">
        <v>677</v>
      </c>
      <c r="BD40" s="167" t="s">
        <v>677</v>
      </c>
    </row>
    <row r="41" spans="1:56" ht="25.5" x14ac:dyDescent="0.25">
      <c r="A41" s="279">
        <v>17</v>
      </c>
      <c r="B41" s="280" t="s">
        <v>773</v>
      </c>
      <c r="C41" s="152" t="s">
        <v>774</v>
      </c>
      <c r="D41" s="37" t="s">
        <v>672</v>
      </c>
      <c r="E41" s="37" t="s">
        <v>168</v>
      </c>
      <c r="F41" s="152" t="s">
        <v>775</v>
      </c>
      <c r="G41" s="152" t="s">
        <v>776</v>
      </c>
      <c r="H41" s="158" t="s">
        <v>780</v>
      </c>
      <c r="I41" s="281" t="s">
        <v>781</v>
      </c>
      <c r="J41" s="241" t="s">
        <v>782</v>
      </c>
      <c r="K41" s="152" t="s">
        <v>768</v>
      </c>
      <c r="L41" s="155">
        <v>25600</v>
      </c>
      <c r="M41" s="156">
        <v>11378</v>
      </c>
      <c r="N41" s="152" t="s">
        <v>768</v>
      </c>
      <c r="O41" s="152" t="s">
        <v>769</v>
      </c>
      <c r="P41" s="152" t="s">
        <v>591</v>
      </c>
      <c r="Q41" s="152" t="s">
        <v>677</v>
      </c>
      <c r="R41" s="152" t="s">
        <v>677</v>
      </c>
      <c r="S41" s="152" t="s">
        <v>677</v>
      </c>
      <c r="T41" s="152" t="s">
        <v>719</v>
      </c>
      <c r="U41" s="152" t="s">
        <v>677</v>
      </c>
      <c r="V41" s="152" t="s">
        <v>677</v>
      </c>
      <c r="W41" s="152" t="s">
        <v>677</v>
      </c>
      <c r="X41" s="152" t="s">
        <v>677</v>
      </c>
      <c r="Y41" s="152" t="s">
        <v>677</v>
      </c>
      <c r="Z41" s="152" t="s">
        <v>677</v>
      </c>
      <c r="AA41" s="152" t="s">
        <v>677</v>
      </c>
      <c r="AB41" s="152" t="s">
        <v>677</v>
      </c>
      <c r="AC41" s="152" t="s">
        <v>677</v>
      </c>
      <c r="AD41" s="152" t="s">
        <v>677</v>
      </c>
      <c r="AE41" s="282" t="s">
        <v>677</v>
      </c>
      <c r="AF41" s="37">
        <v>0</v>
      </c>
      <c r="AG41" s="283">
        <v>19200</v>
      </c>
      <c r="AH41" s="257">
        <f t="shared" si="0"/>
        <v>19200</v>
      </c>
      <c r="AI41" s="284" t="s">
        <v>677</v>
      </c>
      <c r="AJ41" s="285" t="s">
        <v>677</v>
      </c>
      <c r="AK41" s="285" t="s">
        <v>677</v>
      </c>
      <c r="AL41" s="286" t="s">
        <v>677</v>
      </c>
      <c r="AM41" s="284" t="s">
        <v>677</v>
      </c>
      <c r="AN41" s="287" t="s">
        <v>677</v>
      </c>
      <c r="AO41" s="287" t="s">
        <v>677</v>
      </c>
      <c r="AP41" s="287" t="s">
        <v>677</v>
      </c>
      <c r="AQ41" s="287" t="s">
        <v>677</v>
      </c>
      <c r="AR41" s="288" t="s">
        <v>677</v>
      </c>
      <c r="AS41" s="280" t="s">
        <v>677</v>
      </c>
      <c r="AT41" s="281" t="s">
        <v>677</v>
      </c>
      <c r="AU41" s="281" t="s">
        <v>677</v>
      </c>
      <c r="AV41" s="281" t="s">
        <v>677</v>
      </c>
      <c r="AW41" s="281" t="s">
        <v>677</v>
      </c>
      <c r="AX41" s="281" t="s">
        <v>677</v>
      </c>
      <c r="AY41" s="281" t="s">
        <v>677</v>
      </c>
      <c r="AZ41" s="281" t="s">
        <v>677</v>
      </c>
      <c r="BA41" s="281" t="s">
        <v>677</v>
      </c>
      <c r="BB41" s="281" t="s">
        <v>677</v>
      </c>
      <c r="BC41" s="281" t="s">
        <v>677</v>
      </c>
      <c r="BD41" s="289"/>
    </row>
    <row r="42" spans="1:56" ht="25.5" x14ac:dyDescent="0.25">
      <c r="A42" s="274">
        <v>18</v>
      </c>
      <c r="B42" s="49" t="s">
        <v>783</v>
      </c>
      <c r="C42" s="37" t="s">
        <v>784</v>
      </c>
      <c r="D42" s="37" t="s">
        <v>672</v>
      </c>
      <c r="E42" s="37" t="s">
        <v>168</v>
      </c>
      <c r="F42" s="37" t="s">
        <v>785</v>
      </c>
      <c r="G42" s="54" t="s">
        <v>786</v>
      </c>
      <c r="H42" s="54" t="s">
        <v>787</v>
      </c>
      <c r="I42" s="165" t="s">
        <v>788</v>
      </c>
      <c r="J42" s="165" t="s">
        <v>789</v>
      </c>
      <c r="K42" s="37" t="s">
        <v>790</v>
      </c>
      <c r="L42" s="48">
        <v>50815.6</v>
      </c>
      <c r="M42" s="46">
        <v>11391</v>
      </c>
      <c r="N42" s="37" t="s">
        <v>790</v>
      </c>
      <c r="O42" s="37" t="s">
        <v>791</v>
      </c>
      <c r="P42" s="37" t="s">
        <v>591</v>
      </c>
      <c r="Q42" s="37" t="s">
        <v>677</v>
      </c>
      <c r="R42" s="37" t="s">
        <v>677</v>
      </c>
      <c r="S42" s="37" t="s">
        <v>677</v>
      </c>
      <c r="T42" s="37" t="s">
        <v>719</v>
      </c>
      <c r="U42" s="37" t="s">
        <v>677</v>
      </c>
      <c r="V42" s="37" t="s">
        <v>677</v>
      </c>
      <c r="W42" s="37" t="s">
        <v>677</v>
      </c>
      <c r="X42" s="37" t="s">
        <v>677</v>
      </c>
      <c r="Y42" s="37" t="s">
        <v>677</v>
      </c>
      <c r="Z42" s="37" t="s">
        <v>677</v>
      </c>
      <c r="AA42" s="37" t="s">
        <v>677</v>
      </c>
      <c r="AB42" s="37" t="s">
        <v>677</v>
      </c>
      <c r="AC42" s="37" t="s">
        <v>677</v>
      </c>
      <c r="AD42" s="37" t="s">
        <v>677</v>
      </c>
      <c r="AE42" s="184" t="s">
        <v>677</v>
      </c>
      <c r="AF42" s="37">
        <v>0</v>
      </c>
      <c r="AG42" s="290">
        <v>4042.25</v>
      </c>
      <c r="AH42" s="257">
        <f t="shared" si="0"/>
        <v>4042.25</v>
      </c>
      <c r="AI42" s="107" t="s">
        <v>677</v>
      </c>
      <c r="AJ42" s="107" t="s">
        <v>677</v>
      </c>
      <c r="AK42" s="107" t="s">
        <v>677</v>
      </c>
      <c r="AL42" s="107" t="s">
        <v>677</v>
      </c>
      <c r="AM42" s="107" t="s">
        <v>677</v>
      </c>
      <c r="AN42" s="107" t="s">
        <v>677</v>
      </c>
      <c r="AO42" s="107" t="s">
        <v>677</v>
      </c>
      <c r="AP42" s="107" t="s">
        <v>677</v>
      </c>
      <c r="AQ42" s="107" t="s">
        <v>677</v>
      </c>
      <c r="AR42" s="107" t="s">
        <v>677</v>
      </c>
      <c r="AS42" s="37" t="s">
        <v>677</v>
      </c>
      <c r="AT42" s="165" t="s">
        <v>677</v>
      </c>
      <c r="AU42" s="165" t="s">
        <v>677</v>
      </c>
      <c r="AV42" s="165" t="s">
        <v>677</v>
      </c>
      <c r="AW42" s="165" t="s">
        <v>677</v>
      </c>
      <c r="AX42" s="165" t="s">
        <v>677</v>
      </c>
      <c r="AY42" s="165" t="s">
        <v>677</v>
      </c>
      <c r="AZ42" s="165" t="s">
        <v>677</v>
      </c>
      <c r="BA42" s="165" t="s">
        <v>677</v>
      </c>
      <c r="BB42" s="165" t="s">
        <v>677</v>
      </c>
      <c r="BC42" s="165" t="s">
        <v>677</v>
      </c>
      <c r="BD42" s="165" t="s">
        <v>677</v>
      </c>
    </row>
    <row r="43" spans="1:56" ht="25.5" x14ac:dyDescent="0.25">
      <c r="A43" s="274">
        <v>19</v>
      </c>
      <c r="B43" s="49" t="s">
        <v>783</v>
      </c>
      <c r="C43" s="37" t="s">
        <v>784</v>
      </c>
      <c r="D43" s="37" t="s">
        <v>672</v>
      </c>
      <c r="E43" s="37" t="s">
        <v>168</v>
      </c>
      <c r="F43" s="37" t="s">
        <v>785</v>
      </c>
      <c r="G43" s="54" t="s">
        <v>786</v>
      </c>
      <c r="H43" s="54" t="s">
        <v>792</v>
      </c>
      <c r="I43" s="165" t="s">
        <v>793</v>
      </c>
      <c r="J43" s="165" t="s">
        <v>794</v>
      </c>
      <c r="K43" s="37" t="s">
        <v>790</v>
      </c>
      <c r="L43" s="48">
        <v>28089.4</v>
      </c>
      <c r="M43" s="46">
        <v>11391</v>
      </c>
      <c r="N43" s="37" t="s">
        <v>790</v>
      </c>
      <c r="O43" s="37" t="s">
        <v>791</v>
      </c>
      <c r="P43" s="37" t="s">
        <v>591</v>
      </c>
      <c r="Q43" s="37" t="s">
        <v>677</v>
      </c>
      <c r="R43" s="37" t="s">
        <v>677</v>
      </c>
      <c r="S43" s="37" t="s">
        <v>677</v>
      </c>
      <c r="T43" s="37" t="s">
        <v>719</v>
      </c>
      <c r="U43" s="37" t="s">
        <v>677</v>
      </c>
      <c r="V43" s="37" t="s">
        <v>677</v>
      </c>
      <c r="W43" s="37" t="s">
        <v>677</v>
      </c>
      <c r="X43" s="37" t="s">
        <v>677</v>
      </c>
      <c r="Y43" s="37" t="s">
        <v>677</v>
      </c>
      <c r="Z43" s="37" t="s">
        <v>677</v>
      </c>
      <c r="AA43" s="37" t="s">
        <v>677</v>
      </c>
      <c r="AB43" s="37" t="s">
        <v>677</v>
      </c>
      <c r="AC43" s="37" t="s">
        <v>677</v>
      </c>
      <c r="AD43" s="37" t="s">
        <v>677</v>
      </c>
      <c r="AE43" s="184" t="s">
        <v>677</v>
      </c>
      <c r="AF43" s="37">
        <v>0</v>
      </c>
      <c r="AG43" s="278">
        <v>1449.8</v>
      </c>
      <c r="AH43" s="257">
        <f t="shared" si="0"/>
        <v>1449.8</v>
      </c>
      <c r="AI43" s="107" t="s">
        <v>677</v>
      </c>
      <c r="AJ43" s="107" t="s">
        <v>677</v>
      </c>
      <c r="AK43" s="107" t="s">
        <v>677</v>
      </c>
      <c r="AL43" s="107" t="s">
        <v>677</v>
      </c>
      <c r="AM43" s="107" t="s">
        <v>677</v>
      </c>
      <c r="AN43" s="107" t="s">
        <v>677</v>
      </c>
      <c r="AO43" s="107" t="s">
        <v>677</v>
      </c>
      <c r="AP43" s="107" t="s">
        <v>677</v>
      </c>
      <c r="AQ43" s="107" t="s">
        <v>677</v>
      </c>
      <c r="AR43" s="107" t="s">
        <v>677</v>
      </c>
      <c r="AS43" s="37" t="s">
        <v>677</v>
      </c>
      <c r="AT43" s="165" t="s">
        <v>677</v>
      </c>
      <c r="AU43" s="165" t="s">
        <v>677</v>
      </c>
      <c r="AV43" s="165" t="s">
        <v>677</v>
      </c>
      <c r="AW43" s="165" t="s">
        <v>677</v>
      </c>
      <c r="AX43" s="165" t="s">
        <v>677</v>
      </c>
      <c r="AY43" s="165" t="s">
        <v>677</v>
      </c>
      <c r="AZ43" s="165" t="s">
        <v>677</v>
      </c>
      <c r="BA43" s="165" t="s">
        <v>677</v>
      </c>
      <c r="BB43" s="165" t="s">
        <v>677</v>
      </c>
      <c r="BC43" s="165" t="s">
        <v>677</v>
      </c>
      <c r="BD43" s="165" t="s">
        <v>677</v>
      </c>
    </row>
    <row r="44" spans="1:56" ht="25.5" x14ac:dyDescent="0.25">
      <c r="A44" s="274">
        <v>20</v>
      </c>
      <c r="B44" s="49" t="s">
        <v>783</v>
      </c>
      <c r="C44" s="37" t="s">
        <v>784</v>
      </c>
      <c r="D44" s="37" t="s">
        <v>672</v>
      </c>
      <c r="E44" s="37" t="s">
        <v>168</v>
      </c>
      <c r="F44" s="37" t="s">
        <v>785</v>
      </c>
      <c r="G44" s="54" t="s">
        <v>786</v>
      </c>
      <c r="H44" s="54" t="s">
        <v>795</v>
      </c>
      <c r="I44" s="165" t="s">
        <v>796</v>
      </c>
      <c r="J44" s="165" t="s">
        <v>797</v>
      </c>
      <c r="K44" s="37" t="s">
        <v>790</v>
      </c>
      <c r="L44" s="48">
        <v>3252.6</v>
      </c>
      <c r="M44" s="46">
        <v>11391</v>
      </c>
      <c r="N44" s="37" t="s">
        <v>790</v>
      </c>
      <c r="O44" s="37" t="s">
        <v>791</v>
      </c>
      <c r="P44" s="37" t="s">
        <v>591</v>
      </c>
      <c r="Q44" s="37" t="s">
        <v>677</v>
      </c>
      <c r="R44" s="37" t="s">
        <v>677</v>
      </c>
      <c r="S44" s="37" t="s">
        <v>677</v>
      </c>
      <c r="T44" s="37" t="s">
        <v>719</v>
      </c>
      <c r="U44" s="37" t="s">
        <v>677</v>
      </c>
      <c r="V44" s="37" t="s">
        <v>677</v>
      </c>
      <c r="W44" s="37" t="s">
        <v>677</v>
      </c>
      <c r="X44" s="37" t="s">
        <v>677</v>
      </c>
      <c r="Y44" s="37" t="s">
        <v>677</v>
      </c>
      <c r="Z44" s="37" t="s">
        <v>677</v>
      </c>
      <c r="AA44" s="37" t="s">
        <v>677</v>
      </c>
      <c r="AB44" s="37" t="s">
        <v>677</v>
      </c>
      <c r="AC44" s="37" t="s">
        <v>677</v>
      </c>
      <c r="AD44" s="37" t="s">
        <v>677</v>
      </c>
      <c r="AE44" s="184" t="s">
        <v>677</v>
      </c>
      <c r="AF44" s="37">
        <v>0</v>
      </c>
      <c r="AG44" s="278">
        <v>0</v>
      </c>
      <c r="AH44" s="257">
        <f t="shared" si="0"/>
        <v>0</v>
      </c>
      <c r="AI44" s="107" t="s">
        <v>677</v>
      </c>
      <c r="AJ44" s="107" t="s">
        <v>677</v>
      </c>
      <c r="AK44" s="107" t="s">
        <v>677</v>
      </c>
      <c r="AL44" s="107" t="s">
        <v>677</v>
      </c>
      <c r="AM44" s="107" t="s">
        <v>677</v>
      </c>
      <c r="AN44" s="107" t="s">
        <v>677</v>
      </c>
      <c r="AO44" s="107" t="s">
        <v>677</v>
      </c>
      <c r="AP44" s="107" t="s">
        <v>677</v>
      </c>
      <c r="AQ44" s="107" t="s">
        <v>677</v>
      </c>
      <c r="AR44" s="107" t="s">
        <v>677</v>
      </c>
      <c r="AS44" s="37" t="s">
        <v>677</v>
      </c>
      <c r="AT44" s="165" t="s">
        <v>677</v>
      </c>
      <c r="AU44" s="165" t="s">
        <v>677</v>
      </c>
      <c r="AV44" s="165" t="s">
        <v>677</v>
      </c>
      <c r="AW44" s="165" t="s">
        <v>677</v>
      </c>
      <c r="AX44" s="165" t="s">
        <v>677</v>
      </c>
      <c r="AY44" s="165" t="s">
        <v>677</v>
      </c>
      <c r="AZ44" s="165" t="s">
        <v>677</v>
      </c>
      <c r="BA44" s="165" t="s">
        <v>677</v>
      </c>
      <c r="BB44" s="165" t="s">
        <v>677</v>
      </c>
      <c r="BC44" s="165" t="s">
        <v>677</v>
      </c>
      <c r="BD44" s="165" t="s">
        <v>677</v>
      </c>
    </row>
    <row r="45" spans="1:56" ht="25.5" x14ac:dyDescent="0.25">
      <c r="A45" s="274">
        <v>21</v>
      </c>
      <c r="B45" s="49" t="s">
        <v>783</v>
      </c>
      <c r="C45" s="37" t="s">
        <v>784</v>
      </c>
      <c r="D45" s="37" t="s">
        <v>672</v>
      </c>
      <c r="E45" s="37" t="s">
        <v>168</v>
      </c>
      <c r="F45" s="37" t="s">
        <v>785</v>
      </c>
      <c r="G45" s="54" t="s">
        <v>786</v>
      </c>
      <c r="H45" s="54" t="s">
        <v>798</v>
      </c>
      <c r="I45" s="165" t="s">
        <v>799</v>
      </c>
      <c r="J45" s="165" t="s">
        <v>800</v>
      </c>
      <c r="K45" s="37" t="s">
        <v>790</v>
      </c>
      <c r="L45" s="48">
        <v>15016.4</v>
      </c>
      <c r="M45" s="46">
        <v>11391</v>
      </c>
      <c r="N45" s="37" t="s">
        <v>790</v>
      </c>
      <c r="O45" s="37" t="s">
        <v>791</v>
      </c>
      <c r="P45" s="37" t="s">
        <v>591</v>
      </c>
      <c r="Q45" s="37" t="s">
        <v>677</v>
      </c>
      <c r="R45" s="37" t="s">
        <v>677</v>
      </c>
      <c r="S45" s="37" t="s">
        <v>677</v>
      </c>
      <c r="T45" s="37" t="s">
        <v>719</v>
      </c>
      <c r="U45" s="37" t="s">
        <v>677</v>
      </c>
      <c r="V45" s="37" t="s">
        <v>677</v>
      </c>
      <c r="W45" s="37" t="s">
        <v>677</v>
      </c>
      <c r="X45" s="37" t="s">
        <v>677</v>
      </c>
      <c r="Y45" s="37" t="s">
        <v>677</v>
      </c>
      <c r="Z45" s="37" t="s">
        <v>677</v>
      </c>
      <c r="AA45" s="37" t="s">
        <v>677</v>
      </c>
      <c r="AB45" s="37" t="s">
        <v>677</v>
      </c>
      <c r="AC45" s="37" t="s">
        <v>677</v>
      </c>
      <c r="AD45" s="37" t="s">
        <v>677</v>
      </c>
      <c r="AE45" s="184" t="s">
        <v>677</v>
      </c>
      <c r="AF45" s="37">
        <v>0</v>
      </c>
      <c r="AG45" s="278">
        <v>0</v>
      </c>
      <c r="AH45" s="257">
        <f t="shared" si="0"/>
        <v>0</v>
      </c>
      <c r="AI45" s="107" t="s">
        <v>677</v>
      </c>
      <c r="AJ45" s="107" t="s">
        <v>677</v>
      </c>
      <c r="AK45" s="107" t="s">
        <v>677</v>
      </c>
      <c r="AL45" s="107" t="s">
        <v>677</v>
      </c>
      <c r="AM45" s="107" t="s">
        <v>677</v>
      </c>
      <c r="AN45" s="107" t="s">
        <v>677</v>
      </c>
      <c r="AO45" s="107" t="s">
        <v>677</v>
      </c>
      <c r="AP45" s="107" t="s">
        <v>677</v>
      </c>
      <c r="AQ45" s="107" t="s">
        <v>677</v>
      </c>
      <c r="AR45" s="107" t="s">
        <v>677</v>
      </c>
      <c r="AS45" s="37" t="s">
        <v>677</v>
      </c>
      <c r="AT45" s="165" t="s">
        <v>677</v>
      </c>
      <c r="AU45" s="165" t="s">
        <v>677</v>
      </c>
      <c r="AV45" s="165" t="s">
        <v>677</v>
      </c>
      <c r="AW45" s="165" t="s">
        <v>677</v>
      </c>
      <c r="AX45" s="165" t="s">
        <v>677</v>
      </c>
      <c r="AY45" s="165" t="s">
        <v>677</v>
      </c>
      <c r="AZ45" s="165" t="s">
        <v>677</v>
      </c>
      <c r="BA45" s="165" t="s">
        <v>677</v>
      </c>
      <c r="BB45" s="165" t="s">
        <v>677</v>
      </c>
      <c r="BC45" s="165" t="s">
        <v>677</v>
      </c>
      <c r="BD45" s="165" t="s">
        <v>677</v>
      </c>
    </row>
    <row r="46" spans="1:56" ht="25.5" x14ac:dyDescent="0.25">
      <c r="A46" s="274">
        <v>22</v>
      </c>
      <c r="B46" s="49" t="s">
        <v>801</v>
      </c>
      <c r="C46" s="37" t="s">
        <v>802</v>
      </c>
      <c r="D46" s="37" t="s">
        <v>672</v>
      </c>
      <c r="E46" s="37" t="s">
        <v>168</v>
      </c>
      <c r="F46" s="37" t="s">
        <v>803</v>
      </c>
      <c r="G46" s="54" t="s">
        <v>786</v>
      </c>
      <c r="H46" s="54" t="s">
        <v>804</v>
      </c>
      <c r="I46" s="165" t="s">
        <v>805</v>
      </c>
      <c r="J46" s="165" t="s">
        <v>806</v>
      </c>
      <c r="K46" s="37" t="s">
        <v>790</v>
      </c>
      <c r="L46" s="48">
        <v>125920</v>
      </c>
      <c r="M46" s="46">
        <v>11477</v>
      </c>
      <c r="N46" s="37" t="s">
        <v>790</v>
      </c>
      <c r="O46" s="37" t="s">
        <v>791</v>
      </c>
      <c r="P46" s="37" t="s">
        <v>591</v>
      </c>
      <c r="Q46" s="37" t="s">
        <v>677</v>
      </c>
      <c r="R46" s="37" t="s">
        <v>677</v>
      </c>
      <c r="S46" s="37" t="s">
        <v>677</v>
      </c>
      <c r="T46" s="37" t="s">
        <v>719</v>
      </c>
      <c r="U46" s="37" t="s">
        <v>677</v>
      </c>
      <c r="V46" s="37" t="s">
        <v>677</v>
      </c>
      <c r="W46" s="37" t="s">
        <v>677</v>
      </c>
      <c r="X46" s="37" t="s">
        <v>677</v>
      </c>
      <c r="Y46" s="37" t="s">
        <v>677</v>
      </c>
      <c r="Z46" s="37" t="s">
        <v>677</v>
      </c>
      <c r="AA46" s="37" t="s">
        <v>677</v>
      </c>
      <c r="AB46" s="37" t="s">
        <v>677</v>
      </c>
      <c r="AC46" s="37" t="s">
        <v>677</v>
      </c>
      <c r="AD46" s="37" t="s">
        <v>677</v>
      </c>
      <c r="AE46" s="184" t="s">
        <v>677</v>
      </c>
      <c r="AF46" s="37">
        <v>0</v>
      </c>
      <c r="AG46" s="278">
        <f>10903.2+6120+29022.6</f>
        <v>46045.8</v>
      </c>
      <c r="AH46" s="257">
        <f t="shared" si="0"/>
        <v>46045.8</v>
      </c>
      <c r="AI46" s="107"/>
      <c r="AJ46" s="107"/>
      <c r="AK46" s="107"/>
      <c r="AL46" s="107"/>
      <c r="AM46" s="107"/>
      <c r="AN46" s="107"/>
      <c r="AO46" s="107"/>
      <c r="AP46" s="107"/>
      <c r="AQ46" s="107"/>
      <c r="AR46" s="107"/>
      <c r="AS46" s="37"/>
      <c r="AT46" s="165"/>
      <c r="AU46" s="165"/>
      <c r="AV46" s="165"/>
      <c r="AW46" s="165"/>
      <c r="AX46" s="165"/>
      <c r="AY46" s="165"/>
      <c r="AZ46" s="165"/>
      <c r="BA46" s="165"/>
      <c r="BB46" s="165"/>
      <c r="BC46" s="165"/>
      <c r="BD46" s="165"/>
    </row>
    <row r="47" spans="1:56" ht="25.5" x14ac:dyDescent="0.25">
      <c r="A47" s="274">
        <v>23</v>
      </c>
      <c r="B47" s="49" t="s">
        <v>801</v>
      </c>
      <c r="C47" s="37" t="s">
        <v>802</v>
      </c>
      <c r="D47" s="37" t="s">
        <v>672</v>
      </c>
      <c r="E47" s="37" t="s">
        <v>168</v>
      </c>
      <c r="F47" s="37" t="s">
        <v>803</v>
      </c>
      <c r="G47" s="54" t="s">
        <v>786</v>
      </c>
      <c r="H47" s="54" t="s">
        <v>807</v>
      </c>
      <c r="I47" s="165" t="s">
        <v>808</v>
      </c>
      <c r="J47" s="241" t="s">
        <v>809</v>
      </c>
      <c r="K47" s="37" t="s">
        <v>790</v>
      </c>
      <c r="L47" s="48">
        <v>4030.4</v>
      </c>
      <c r="M47" s="46">
        <v>11477</v>
      </c>
      <c r="N47" s="37" t="s">
        <v>790</v>
      </c>
      <c r="O47" s="37" t="s">
        <v>791</v>
      </c>
      <c r="P47" s="37" t="s">
        <v>591</v>
      </c>
      <c r="Q47" s="37" t="s">
        <v>677</v>
      </c>
      <c r="R47" s="37" t="s">
        <v>677</v>
      </c>
      <c r="S47" s="37" t="s">
        <v>677</v>
      </c>
      <c r="T47" s="37" t="s">
        <v>719</v>
      </c>
      <c r="U47" s="37" t="s">
        <v>677</v>
      </c>
      <c r="V47" s="37" t="s">
        <v>677</v>
      </c>
      <c r="W47" s="37" t="s">
        <v>677</v>
      </c>
      <c r="X47" s="37" t="s">
        <v>677</v>
      </c>
      <c r="Y47" s="37" t="s">
        <v>677</v>
      </c>
      <c r="Z47" s="37" t="s">
        <v>677</v>
      </c>
      <c r="AA47" s="37" t="s">
        <v>677</v>
      </c>
      <c r="AB47" s="37" t="s">
        <v>677</v>
      </c>
      <c r="AC47" s="37" t="s">
        <v>677</v>
      </c>
      <c r="AD47" s="37" t="s">
        <v>677</v>
      </c>
      <c r="AE47" s="184" t="s">
        <v>677</v>
      </c>
      <c r="AF47" s="37">
        <v>0</v>
      </c>
      <c r="AG47" s="278">
        <f>1740+2036.4</f>
        <v>3776.4</v>
      </c>
      <c r="AH47" s="257">
        <f t="shared" si="0"/>
        <v>3776.4</v>
      </c>
      <c r="AI47" s="107"/>
      <c r="AJ47" s="107"/>
      <c r="AK47" s="107"/>
      <c r="AL47" s="107"/>
      <c r="AM47" s="107"/>
      <c r="AN47" s="107"/>
      <c r="AO47" s="107"/>
      <c r="AP47" s="107"/>
      <c r="AQ47" s="107"/>
      <c r="AR47" s="107"/>
      <c r="AS47" s="37"/>
      <c r="AT47" s="165"/>
      <c r="AU47" s="165"/>
      <c r="AV47" s="165"/>
      <c r="AW47" s="165"/>
      <c r="AX47" s="165"/>
      <c r="AY47" s="165"/>
      <c r="AZ47" s="165"/>
      <c r="BA47" s="165"/>
      <c r="BB47" s="165"/>
      <c r="BC47" s="165"/>
      <c r="BD47" s="165"/>
    </row>
    <row r="48" spans="1:56" ht="25.5" x14ac:dyDescent="0.25">
      <c r="A48" s="274">
        <v>24</v>
      </c>
      <c r="B48" s="49" t="s">
        <v>801</v>
      </c>
      <c r="C48" s="37" t="s">
        <v>802</v>
      </c>
      <c r="D48" s="37" t="s">
        <v>672</v>
      </c>
      <c r="E48" s="37" t="s">
        <v>168</v>
      </c>
      <c r="F48" s="37" t="s">
        <v>803</v>
      </c>
      <c r="G48" s="54" t="s">
        <v>786</v>
      </c>
      <c r="H48" s="54" t="s">
        <v>810</v>
      </c>
      <c r="I48" s="37" t="s">
        <v>778</v>
      </c>
      <c r="J48" s="37" t="s">
        <v>779</v>
      </c>
      <c r="K48" s="37" t="s">
        <v>790</v>
      </c>
      <c r="L48" s="291">
        <v>75522.3</v>
      </c>
      <c r="M48" s="46">
        <v>11477</v>
      </c>
      <c r="N48" s="37" t="s">
        <v>790</v>
      </c>
      <c r="O48" s="37" t="s">
        <v>791</v>
      </c>
      <c r="P48" s="37" t="s">
        <v>591</v>
      </c>
      <c r="Q48" s="37" t="s">
        <v>677</v>
      </c>
      <c r="R48" s="37" t="s">
        <v>677</v>
      </c>
      <c r="S48" s="37" t="s">
        <v>677</v>
      </c>
      <c r="T48" s="37" t="s">
        <v>719</v>
      </c>
      <c r="U48" s="37" t="s">
        <v>677</v>
      </c>
      <c r="V48" s="37" t="s">
        <v>677</v>
      </c>
      <c r="W48" s="37" t="s">
        <v>677</v>
      </c>
      <c r="X48" s="37" t="s">
        <v>677</v>
      </c>
      <c r="Y48" s="37" t="s">
        <v>677</v>
      </c>
      <c r="Z48" s="37" t="s">
        <v>677</v>
      </c>
      <c r="AA48" s="37" t="s">
        <v>677</v>
      </c>
      <c r="AB48" s="37" t="s">
        <v>677</v>
      </c>
      <c r="AC48" s="37" t="s">
        <v>677</v>
      </c>
      <c r="AD48" s="37" t="s">
        <v>677</v>
      </c>
      <c r="AE48" s="184" t="s">
        <v>677</v>
      </c>
      <c r="AF48" s="37">
        <v>0</v>
      </c>
      <c r="AG48" s="278">
        <v>3217.24</v>
      </c>
      <c r="AH48" s="257">
        <f t="shared" si="0"/>
        <v>3217.24</v>
      </c>
      <c r="AI48" s="107"/>
      <c r="AJ48" s="107"/>
      <c r="AK48" s="107"/>
      <c r="AL48" s="107"/>
      <c r="AM48" s="107"/>
      <c r="AN48" s="107"/>
      <c r="AO48" s="107"/>
      <c r="AP48" s="107"/>
      <c r="AQ48" s="107"/>
      <c r="AR48" s="107"/>
      <c r="AS48" s="37"/>
      <c r="AT48" s="165"/>
      <c r="AU48" s="165"/>
      <c r="AV48" s="165"/>
      <c r="AW48" s="165"/>
      <c r="AX48" s="165"/>
      <c r="AY48" s="165"/>
      <c r="AZ48" s="165"/>
      <c r="BA48" s="165"/>
      <c r="BB48" s="165"/>
      <c r="BC48" s="165"/>
      <c r="BD48" s="165"/>
    </row>
    <row r="49" spans="1:56" ht="25.5" x14ac:dyDescent="0.25">
      <c r="A49" s="274">
        <v>25</v>
      </c>
      <c r="B49" s="49" t="s">
        <v>801</v>
      </c>
      <c r="C49" s="37" t="s">
        <v>802</v>
      </c>
      <c r="D49" s="37" t="s">
        <v>672</v>
      </c>
      <c r="E49" s="37" t="s">
        <v>168</v>
      </c>
      <c r="F49" s="37" t="s">
        <v>803</v>
      </c>
      <c r="G49" s="54" t="s">
        <v>786</v>
      </c>
      <c r="H49" s="54" t="s">
        <v>811</v>
      </c>
      <c r="I49" s="165" t="s">
        <v>812</v>
      </c>
      <c r="J49" s="165" t="s">
        <v>813</v>
      </c>
      <c r="K49" s="37" t="s">
        <v>790</v>
      </c>
      <c r="L49" s="48">
        <v>25918</v>
      </c>
      <c r="M49" s="46">
        <v>11477</v>
      </c>
      <c r="N49" s="37" t="s">
        <v>790</v>
      </c>
      <c r="O49" s="37" t="s">
        <v>791</v>
      </c>
      <c r="P49" s="37" t="s">
        <v>591</v>
      </c>
      <c r="Q49" s="37" t="s">
        <v>677</v>
      </c>
      <c r="R49" s="37" t="s">
        <v>677</v>
      </c>
      <c r="S49" s="37" t="s">
        <v>677</v>
      </c>
      <c r="T49" s="37" t="s">
        <v>719</v>
      </c>
      <c r="U49" s="37" t="s">
        <v>677</v>
      </c>
      <c r="V49" s="37" t="s">
        <v>677</v>
      </c>
      <c r="W49" s="37" t="s">
        <v>677</v>
      </c>
      <c r="X49" s="37" t="s">
        <v>677</v>
      </c>
      <c r="Y49" s="37" t="s">
        <v>677</v>
      </c>
      <c r="Z49" s="37" t="s">
        <v>677</v>
      </c>
      <c r="AA49" s="37" t="s">
        <v>677</v>
      </c>
      <c r="AB49" s="37" t="s">
        <v>677</v>
      </c>
      <c r="AC49" s="37" t="s">
        <v>677</v>
      </c>
      <c r="AD49" s="37" t="s">
        <v>677</v>
      </c>
      <c r="AE49" s="184" t="s">
        <v>677</v>
      </c>
      <c r="AF49" s="37">
        <v>0</v>
      </c>
      <c r="AG49" s="278">
        <f>1593.2+297.6</f>
        <v>1890.8000000000002</v>
      </c>
      <c r="AH49" s="257">
        <f t="shared" si="0"/>
        <v>1890.8000000000002</v>
      </c>
      <c r="AI49" s="107"/>
      <c r="AJ49" s="107"/>
      <c r="AK49" s="107"/>
      <c r="AL49" s="107"/>
      <c r="AM49" s="107"/>
      <c r="AN49" s="107"/>
      <c r="AO49" s="107"/>
      <c r="AP49" s="107"/>
      <c r="AQ49" s="107"/>
      <c r="AR49" s="107"/>
      <c r="AS49" s="37"/>
      <c r="AT49" s="165"/>
      <c r="AU49" s="165"/>
      <c r="AV49" s="165"/>
      <c r="AW49" s="165"/>
      <c r="AX49" s="165"/>
      <c r="AY49" s="165"/>
      <c r="AZ49" s="165"/>
      <c r="BA49" s="165"/>
      <c r="BB49" s="165"/>
      <c r="BC49" s="165"/>
      <c r="BD49" s="165"/>
    </row>
    <row r="50" spans="1:56" ht="25.5" x14ac:dyDescent="0.25">
      <c r="A50" s="274">
        <v>26</v>
      </c>
      <c r="B50" s="49" t="s">
        <v>801</v>
      </c>
      <c r="C50" s="37" t="s">
        <v>802</v>
      </c>
      <c r="D50" s="37" t="s">
        <v>672</v>
      </c>
      <c r="E50" s="37" t="s">
        <v>168</v>
      </c>
      <c r="F50" s="37" t="s">
        <v>803</v>
      </c>
      <c r="G50" s="54" t="s">
        <v>786</v>
      </c>
      <c r="H50" s="54" t="s">
        <v>814</v>
      </c>
      <c r="I50" s="165" t="s">
        <v>815</v>
      </c>
      <c r="J50" s="165" t="s">
        <v>816</v>
      </c>
      <c r="K50" s="37" t="s">
        <v>790</v>
      </c>
      <c r="L50" s="48">
        <v>13004</v>
      </c>
      <c r="M50" s="46">
        <v>11477</v>
      </c>
      <c r="N50" s="37" t="s">
        <v>790</v>
      </c>
      <c r="O50" s="37" t="s">
        <v>791</v>
      </c>
      <c r="P50" s="37" t="s">
        <v>591</v>
      </c>
      <c r="Q50" s="37" t="s">
        <v>677</v>
      </c>
      <c r="R50" s="37" t="s">
        <v>677</v>
      </c>
      <c r="S50" s="37" t="s">
        <v>677</v>
      </c>
      <c r="T50" s="37" t="s">
        <v>719</v>
      </c>
      <c r="U50" s="37" t="s">
        <v>677</v>
      </c>
      <c r="V50" s="37" t="s">
        <v>677</v>
      </c>
      <c r="W50" s="37" t="s">
        <v>677</v>
      </c>
      <c r="X50" s="37" t="s">
        <v>677</v>
      </c>
      <c r="Y50" s="37" t="s">
        <v>677</v>
      </c>
      <c r="Z50" s="37" t="s">
        <v>677</v>
      </c>
      <c r="AA50" s="37" t="s">
        <v>677</v>
      </c>
      <c r="AB50" s="37" t="s">
        <v>677</v>
      </c>
      <c r="AC50" s="37" t="s">
        <v>677</v>
      </c>
      <c r="AD50" s="37" t="s">
        <v>677</v>
      </c>
      <c r="AE50" s="184" t="s">
        <v>677</v>
      </c>
      <c r="AF50" s="37">
        <v>0</v>
      </c>
      <c r="AG50" s="278">
        <v>977.5</v>
      </c>
      <c r="AH50" s="257">
        <f t="shared" si="0"/>
        <v>977.5</v>
      </c>
      <c r="AI50" s="107"/>
      <c r="AJ50" s="107"/>
      <c r="AK50" s="107"/>
      <c r="AL50" s="107"/>
      <c r="AM50" s="107"/>
      <c r="AN50" s="107"/>
      <c r="AO50" s="107"/>
      <c r="AP50" s="107"/>
      <c r="AQ50" s="107"/>
      <c r="AR50" s="107"/>
      <c r="AS50" s="37"/>
      <c r="AT50" s="165"/>
      <c r="AU50" s="165"/>
      <c r="AV50" s="165"/>
      <c r="AW50" s="165"/>
      <c r="AX50" s="165"/>
      <c r="AY50" s="165"/>
      <c r="AZ50" s="165"/>
      <c r="BA50" s="165"/>
      <c r="BB50" s="165"/>
      <c r="BC50" s="165"/>
      <c r="BD50" s="165"/>
    </row>
    <row r="51" spans="1:56" ht="25.5" x14ac:dyDescent="0.25">
      <c r="A51" s="274">
        <v>27</v>
      </c>
      <c r="B51" s="49" t="s">
        <v>801</v>
      </c>
      <c r="C51" s="37" t="s">
        <v>802</v>
      </c>
      <c r="D51" s="37" t="s">
        <v>672</v>
      </c>
      <c r="E51" s="37" t="s">
        <v>168</v>
      </c>
      <c r="F51" s="37" t="s">
        <v>803</v>
      </c>
      <c r="G51" s="54" t="s">
        <v>786</v>
      </c>
      <c r="H51" s="54" t="s">
        <v>817</v>
      </c>
      <c r="I51" s="165" t="s">
        <v>818</v>
      </c>
      <c r="J51" s="165" t="s">
        <v>330</v>
      </c>
      <c r="K51" s="37" t="s">
        <v>790</v>
      </c>
      <c r="L51" s="48">
        <v>3852</v>
      </c>
      <c r="M51" s="46">
        <v>11477</v>
      </c>
      <c r="N51" s="37" t="s">
        <v>790</v>
      </c>
      <c r="O51" s="37" t="s">
        <v>791</v>
      </c>
      <c r="P51" s="37" t="s">
        <v>591</v>
      </c>
      <c r="Q51" s="37" t="s">
        <v>677</v>
      </c>
      <c r="R51" s="37" t="s">
        <v>677</v>
      </c>
      <c r="S51" s="37" t="s">
        <v>677</v>
      </c>
      <c r="T51" s="37" t="s">
        <v>719</v>
      </c>
      <c r="U51" s="37" t="s">
        <v>677</v>
      </c>
      <c r="V51" s="37" t="s">
        <v>677</v>
      </c>
      <c r="W51" s="37" t="s">
        <v>677</v>
      </c>
      <c r="X51" s="37" t="s">
        <v>677</v>
      </c>
      <c r="Y51" s="37" t="s">
        <v>677</v>
      </c>
      <c r="Z51" s="37" t="s">
        <v>677</v>
      </c>
      <c r="AA51" s="37" t="s">
        <v>677</v>
      </c>
      <c r="AB51" s="37" t="s">
        <v>677</v>
      </c>
      <c r="AC51" s="37" t="s">
        <v>677</v>
      </c>
      <c r="AD51" s="37" t="s">
        <v>677</v>
      </c>
      <c r="AE51" s="184" t="s">
        <v>677</v>
      </c>
      <c r="AF51" s="37">
        <v>0</v>
      </c>
      <c r="AG51" s="278">
        <f>1070+535</f>
        <v>1605</v>
      </c>
      <c r="AH51" s="257">
        <f t="shared" si="0"/>
        <v>1605</v>
      </c>
      <c r="AI51" s="107"/>
      <c r="AJ51" s="107"/>
      <c r="AK51" s="107"/>
      <c r="AL51" s="107"/>
      <c r="AM51" s="107"/>
      <c r="AN51" s="107"/>
      <c r="AO51" s="107"/>
      <c r="AP51" s="107"/>
      <c r="AQ51" s="107"/>
      <c r="AR51" s="107"/>
      <c r="AS51" s="37"/>
      <c r="AT51" s="165"/>
      <c r="AU51" s="165"/>
      <c r="AV51" s="165"/>
      <c r="AW51" s="165"/>
      <c r="AX51" s="165"/>
      <c r="AY51" s="165"/>
      <c r="AZ51" s="165"/>
      <c r="BA51" s="165"/>
      <c r="BB51" s="165"/>
      <c r="BC51" s="165"/>
      <c r="BD51" s="165"/>
    </row>
    <row r="52" spans="1:56" ht="25.5" x14ac:dyDescent="0.25">
      <c r="A52" s="274">
        <v>28</v>
      </c>
      <c r="B52" s="49" t="s">
        <v>819</v>
      </c>
      <c r="C52" s="37" t="s">
        <v>820</v>
      </c>
      <c r="D52" s="37" t="s">
        <v>672</v>
      </c>
      <c r="E52" s="37" t="s">
        <v>168</v>
      </c>
      <c r="F52" s="37" t="s">
        <v>821</v>
      </c>
      <c r="G52" s="54" t="s">
        <v>822</v>
      </c>
      <c r="H52" s="54" t="s">
        <v>823</v>
      </c>
      <c r="I52" s="165" t="s">
        <v>824</v>
      </c>
      <c r="J52" s="241" t="s">
        <v>825</v>
      </c>
      <c r="K52" s="37" t="s">
        <v>826</v>
      </c>
      <c r="L52" s="48">
        <v>46269.599999999999</v>
      </c>
      <c r="M52" s="46">
        <v>11476</v>
      </c>
      <c r="N52" s="37" t="s">
        <v>826</v>
      </c>
      <c r="O52" s="37" t="s">
        <v>827</v>
      </c>
      <c r="P52" s="37" t="s">
        <v>591</v>
      </c>
      <c r="Q52" s="37" t="s">
        <v>677</v>
      </c>
      <c r="R52" s="37" t="s">
        <v>677</v>
      </c>
      <c r="S52" s="37" t="s">
        <v>677</v>
      </c>
      <c r="T52" s="37" t="s">
        <v>719</v>
      </c>
      <c r="U52" s="37" t="s">
        <v>677</v>
      </c>
      <c r="V52" s="37" t="s">
        <v>677</v>
      </c>
      <c r="W52" s="37" t="s">
        <v>677</v>
      </c>
      <c r="X52" s="37" t="s">
        <v>677</v>
      </c>
      <c r="Y52" s="37" t="s">
        <v>677</v>
      </c>
      <c r="Z52" s="37" t="s">
        <v>677</v>
      </c>
      <c r="AA52" s="37" t="s">
        <v>677</v>
      </c>
      <c r="AB52" s="37" t="s">
        <v>677</v>
      </c>
      <c r="AC52" s="37" t="s">
        <v>677</v>
      </c>
      <c r="AD52" s="37" t="s">
        <v>677</v>
      </c>
      <c r="AE52" s="184" t="s">
        <v>677</v>
      </c>
      <c r="AF52" s="37">
        <v>0</v>
      </c>
      <c r="AG52" s="278">
        <v>6483.46</v>
      </c>
      <c r="AH52" s="257">
        <f t="shared" si="0"/>
        <v>6483.46</v>
      </c>
      <c r="AI52" s="107"/>
      <c r="AJ52" s="107"/>
      <c r="AK52" s="107"/>
      <c r="AL52" s="107"/>
      <c r="AM52" s="107"/>
      <c r="AN52" s="107"/>
      <c r="AO52" s="107"/>
      <c r="AP52" s="107"/>
      <c r="AQ52" s="107"/>
      <c r="AR52" s="107"/>
      <c r="AS52" s="37"/>
      <c r="AT52" s="165"/>
      <c r="AU52" s="165"/>
      <c r="AV52" s="165"/>
      <c r="AW52" s="165"/>
      <c r="AX52" s="165"/>
      <c r="AY52" s="165"/>
      <c r="AZ52" s="165"/>
      <c r="BA52" s="165"/>
      <c r="BB52" s="165"/>
      <c r="BC52" s="165"/>
      <c r="BD52" s="165"/>
    </row>
    <row r="53" spans="1:56" ht="25.5" x14ac:dyDescent="0.25">
      <c r="A53" s="274">
        <v>29</v>
      </c>
      <c r="B53" s="49" t="s">
        <v>819</v>
      </c>
      <c r="C53" s="37" t="s">
        <v>820</v>
      </c>
      <c r="D53" s="37" t="s">
        <v>672</v>
      </c>
      <c r="E53" s="37" t="s">
        <v>168</v>
      </c>
      <c r="F53" s="37" t="s">
        <v>821</v>
      </c>
      <c r="G53" s="54" t="s">
        <v>822</v>
      </c>
      <c r="H53" s="54" t="s">
        <v>828</v>
      </c>
      <c r="I53" s="165" t="s">
        <v>829</v>
      </c>
      <c r="J53" s="241" t="s">
        <v>830</v>
      </c>
      <c r="K53" s="37" t="s">
        <v>826</v>
      </c>
      <c r="L53" s="48">
        <v>14861.3</v>
      </c>
      <c r="M53" s="46">
        <v>11476</v>
      </c>
      <c r="N53" s="37" t="s">
        <v>826</v>
      </c>
      <c r="O53" s="37" t="s">
        <v>827</v>
      </c>
      <c r="P53" s="37" t="s">
        <v>591</v>
      </c>
      <c r="Q53" s="37" t="s">
        <v>677</v>
      </c>
      <c r="R53" s="37" t="s">
        <v>677</v>
      </c>
      <c r="S53" s="37" t="s">
        <v>677</v>
      </c>
      <c r="T53" s="37" t="s">
        <v>719</v>
      </c>
      <c r="U53" s="37" t="s">
        <v>677</v>
      </c>
      <c r="V53" s="37" t="s">
        <v>677</v>
      </c>
      <c r="W53" s="37" t="s">
        <v>677</v>
      </c>
      <c r="X53" s="37" t="s">
        <v>677</v>
      </c>
      <c r="Y53" s="37" t="s">
        <v>677</v>
      </c>
      <c r="Z53" s="37" t="s">
        <v>677</v>
      </c>
      <c r="AA53" s="37" t="s">
        <v>677</v>
      </c>
      <c r="AB53" s="37" t="s">
        <v>677</v>
      </c>
      <c r="AC53" s="37" t="s">
        <v>677</v>
      </c>
      <c r="AD53" s="37" t="s">
        <v>677</v>
      </c>
      <c r="AE53" s="184" t="s">
        <v>677</v>
      </c>
      <c r="AF53" s="37">
        <v>0</v>
      </c>
      <c r="AG53" s="278">
        <v>1701.44</v>
      </c>
      <c r="AH53" s="257">
        <f t="shared" si="0"/>
        <v>1701.44</v>
      </c>
      <c r="AI53" s="107"/>
      <c r="AJ53" s="107"/>
      <c r="AK53" s="107"/>
      <c r="AL53" s="107"/>
      <c r="AM53" s="107"/>
      <c r="AN53" s="107"/>
      <c r="AO53" s="107"/>
      <c r="AP53" s="107"/>
      <c r="AQ53" s="107"/>
      <c r="AR53" s="107"/>
      <c r="AS53" s="37"/>
      <c r="AT53" s="165"/>
      <c r="AU53" s="165"/>
      <c r="AV53" s="165"/>
      <c r="AW53" s="165"/>
      <c r="AX53" s="165"/>
      <c r="AY53" s="165"/>
      <c r="AZ53" s="165"/>
      <c r="BA53" s="165"/>
      <c r="BB53" s="165"/>
      <c r="BC53" s="165"/>
      <c r="BD53" s="165"/>
    </row>
    <row r="54" spans="1:56" ht="25.5" x14ac:dyDescent="0.25">
      <c r="A54" s="274">
        <v>30</v>
      </c>
      <c r="B54" s="49" t="s">
        <v>819</v>
      </c>
      <c r="C54" s="37" t="s">
        <v>820</v>
      </c>
      <c r="D54" s="37" t="s">
        <v>672</v>
      </c>
      <c r="E54" s="37" t="s">
        <v>168</v>
      </c>
      <c r="F54" s="37" t="s">
        <v>821</v>
      </c>
      <c r="G54" s="54" t="s">
        <v>822</v>
      </c>
      <c r="H54" s="54" t="s">
        <v>831</v>
      </c>
      <c r="I54" s="165" t="s">
        <v>818</v>
      </c>
      <c r="J54" s="165" t="s">
        <v>330</v>
      </c>
      <c r="K54" s="37" t="s">
        <v>826</v>
      </c>
      <c r="L54" s="48">
        <v>23208</v>
      </c>
      <c r="M54" s="46">
        <v>11476</v>
      </c>
      <c r="N54" s="37" t="s">
        <v>826</v>
      </c>
      <c r="O54" s="37" t="s">
        <v>827</v>
      </c>
      <c r="P54" s="37" t="s">
        <v>591</v>
      </c>
      <c r="Q54" s="37" t="s">
        <v>677</v>
      </c>
      <c r="R54" s="37" t="s">
        <v>677</v>
      </c>
      <c r="S54" s="37" t="s">
        <v>677</v>
      </c>
      <c r="T54" s="37" t="s">
        <v>719</v>
      </c>
      <c r="U54" s="37" t="s">
        <v>677</v>
      </c>
      <c r="V54" s="37" t="s">
        <v>677</v>
      </c>
      <c r="W54" s="37" t="s">
        <v>677</v>
      </c>
      <c r="X54" s="37" t="s">
        <v>677</v>
      </c>
      <c r="Y54" s="37" t="s">
        <v>677</v>
      </c>
      <c r="Z54" s="37" t="s">
        <v>677</v>
      </c>
      <c r="AA54" s="37" t="s">
        <v>677</v>
      </c>
      <c r="AB54" s="37" t="s">
        <v>677</v>
      </c>
      <c r="AC54" s="37" t="s">
        <v>677</v>
      </c>
      <c r="AD54" s="37" t="s">
        <v>677</v>
      </c>
      <c r="AE54" s="184" t="s">
        <v>677</v>
      </c>
      <c r="AF54" s="37">
        <v>0</v>
      </c>
      <c r="AG54" s="278">
        <v>1040</v>
      </c>
      <c r="AH54" s="257">
        <f t="shared" si="0"/>
        <v>1040</v>
      </c>
      <c r="AI54" s="107"/>
      <c r="AJ54" s="107"/>
      <c r="AK54" s="107"/>
      <c r="AL54" s="107"/>
      <c r="AM54" s="107"/>
      <c r="AN54" s="107"/>
      <c r="AO54" s="107"/>
      <c r="AP54" s="107"/>
      <c r="AQ54" s="107"/>
      <c r="AR54" s="107"/>
      <c r="AS54" s="37"/>
      <c r="AT54" s="165"/>
      <c r="AU54" s="165"/>
      <c r="AV54" s="165"/>
      <c r="AW54" s="165"/>
      <c r="AX54" s="165"/>
      <c r="AY54" s="165"/>
      <c r="AZ54" s="165"/>
      <c r="BA54" s="165"/>
      <c r="BB54" s="165"/>
      <c r="BC54" s="165"/>
      <c r="BD54" s="165"/>
    </row>
    <row r="55" spans="1:56" ht="25.5" x14ac:dyDescent="0.25">
      <c r="A55" s="274">
        <v>31</v>
      </c>
      <c r="B55" s="49" t="s">
        <v>819</v>
      </c>
      <c r="C55" s="37" t="s">
        <v>820</v>
      </c>
      <c r="D55" s="37" t="s">
        <v>672</v>
      </c>
      <c r="E55" s="37" t="s">
        <v>168</v>
      </c>
      <c r="F55" s="37" t="s">
        <v>821</v>
      </c>
      <c r="G55" s="54" t="s">
        <v>822</v>
      </c>
      <c r="H55" s="54" t="s">
        <v>832</v>
      </c>
      <c r="I55" s="165" t="s">
        <v>833</v>
      </c>
      <c r="J55" s="165" t="s">
        <v>834</v>
      </c>
      <c r="K55" s="37" t="s">
        <v>826</v>
      </c>
      <c r="L55" s="48">
        <v>142864.6</v>
      </c>
      <c r="M55" s="46">
        <v>11476</v>
      </c>
      <c r="N55" s="37" t="s">
        <v>826</v>
      </c>
      <c r="O55" s="37" t="s">
        <v>827</v>
      </c>
      <c r="P55" s="37" t="s">
        <v>591</v>
      </c>
      <c r="Q55" s="37" t="s">
        <v>677</v>
      </c>
      <c r="R55" s="37" t="s">
        <v>677</v>
      </c>
      <c r="S55" s="37" t="s">
        <v>677</v>
      </c>
      <c r="T55" s="37" t="s">
        <v>719</v>
      </c>
      <c r="U55" s="37" t="s">
        <v>677</v>
      </c>
      <c r="V55" s="37" t="s">
        <v>677</v>
      </c>
      <c r="W55" s="37" t="s">
        <v>677</v>
      </c>
      <c r="X55" s="37" t="s">
        <v>677</v>
      </c>
      <c r="Y55" s="37" t="s">
        <v>677</v>
      </c>
      <c r="Z55" s="37" t="s">
        <v>677</v>
      </c>
      <c r="AA55" s="37" t="s">
        <v>677</v>
      </c>
      <c r="AB55" s="37" t="s">
        <v>677</v>
      </c>
      <c r="AC55" s="37" t="s">
        <v>677</v>
      </c>
      <c r="AD55" s="37" t="s">
        <v>677</v>
      </c>
      <c r="AE55" s="184" t="s">
        <v>677</v>
      </c>
      <c r="AF55" s="37">
        <v>0</v>
      </c>
      <c r="AG55" s="278">
        <v>29751.1</v>
      </c>
      <c r="AH55" s="257">
        <f t="shared" si="0"/>
        <v>29751.1</v>
      </c>
      <c r="AI55" s="107"/>
      <c r="AJ55" s="107"/>
      <c r="AK55" s="107"/>
      <c r="AL55" s="107"/>
      <c r="AM55" s="107"/>
      <c r="AN55" s="107"/>
      <c r="AO55" s="107"/>
      <c r="AP55" s="107"/>
      <c r="AQ55" s="107"/>
      <c r="AR55" s="107"/>
      <c r="AS55" s="37"/>
      <c r="AT55" s="165"/>
      <c r="AU55" s="165"/>
      <c r="AV55" s="165"/>
      <c r="AW55" s="165"/>
      <c r="AX55" s="165"/>
      <c r="AY55" s="165"/>
      <c r="AZ55" s="165"/>
      <c r="BA55" s="165"/>
      <c r="BB55" s="165"/>
      <c r="BC55" s="165"/>
      <c r="BD55" s="165"/>
    </row>
    <row r="56" spans="1:56" ht="25.5" x14ac:dyDescent="0.25">
      <c r="A56" s="274">
        <v>32</v>
      </c>
      <c r="B56" s="49" t="s">
        <v>819</v>
      </c>
      <c r="C56" s="37" t="s">
        <v>820</v>
      </c>
      <c r="D56" s="37" t="s">
        <v>672</v>
      </c>
      <c r="E56" s="37" t="s">
        <v>168</v>
      </c>
      <c r="F56" s="37" t="s">
        <v>821</v>
      </c>
      <c r="G56" s="54" t="s">
        <v>822</v>
      </c>
      <c r="H56" s="54" t="s">
        <v>835</v>
      </c>
      <c r="I56" s="165" t="s">
        <v>457</v>
      </c>
      <c r="J56" s="165" t="s">
        <v>836</v>
      </c>
      <c r="K56" s="37" t="s">
        <v>826</v>
      </c>
      <c r="L56" s="48">
        <v>37264.800000000003</v>
      </c>
      <c r="M56" s="46">
        <v>11476</v>
      </c>
      <c r="N56" s="37" t="s">
        <v>826</v>
      </c>
      <c r="O56" s="37" t="s">
        <v>827</v>
      </c>
      <c r="P56" s="37" t="s">
        <v>591</v>
      </c>
      <c r="Q56" s="37" t="s">
        <v>677</v>
      </c>
      <c r="R56" s="37" t="s">
        <v>677</v>
      </c>
      <c r="S56" s="37" t="s">
        <v>677</v>
      </c>
      <c r="T56" s="37" t="s">
        <v>719</v>
      </c>
      <c r="U56" s="37" t="s">
        <v>677</v>
      </c>
      <c r="V56" s="37" t="s">
        <v>677</v>
      </c>
      <c r="W56" s="37" t="s">
        <v>677</v>
      </c>
      <c r="X56" s="37" t="s">
        <v>677</v>
      </c>
      <c r="Y56" s="37" t="s">
        <v>677</v>
      </c>
      <c r="Z56" s="37" t="s">
        <v>677</v>
      </c>
      <c r="AA56" s="37" t="s">
        <v>677</v>
      </c>
      <c r="AB56" s="37" t="s">
        <v>677</v>
      </c>
      <c r="AC56" s="37" t="s">
        <v>677</v>
      </c>
      <c r="AD56" s="37" t="s">
        <v>677</v>
      </c>
      <c r="AE56" s="184" t="s">
        <v>677</v>
      </c>
      <c r="AF56" s="37">
        <v>0</v>
      </c>
      <c r="AG56" s="278">
        <v>1782.68</v>
      </c>
      <c r="AH56" s="257">
        <f t="shared" si="0"/>
        <v>1782.68</v>
      </c>
      <c r="AI56" s="107"/>
      <c r="AJ56" s="107"/>
      <c r="AK56" s="107"/>
      <c r="AL56" s="107"/>
      <c r="AM56" s="107"/>
      <c r="AN56" s="107"/>
      <c r="AO56" s="107"/>
      <c r="AP56" s="107"/>
      <c r="AQ56" s="107"/>
      <c r="AR56" s="107"/>
      <c r="AS56" s="37"/>
      <c r="AT56" s="165"/>
      <c r="AU56" s="165"/>
      <c r="AV56" s="165"/>
      <c r="AW56" s="165"/>
      <c r="AX56" s="165"/>
      <c r="AY56" s="165"/>
      <c r="AZ56" s="165"/>
      <c r="BA56" s="165"/>
      <c r="BB56" s="165"/>
      <c r="BC56" s="165"/>
      <c r="BD56" s="165"/>
    </row>
    <row r="57" spans="1:56" ht="25.5" x14ac:dyDescent="0.25">
      <c r="A57" s="274">
        <v>33</v>
      </c>
      <c r="B57" s="49" t="s">
        <v>819</v>
      </c>
      <c r="C57" s="37" t="s">
        <v>820</v>
      </c>
      <c r="D57" s="37" t="s">
        <v>672</v>
      </c>
      <c r="E57" s="37" t="s">
        <v>168</v>
      </c>
      <c r="F57" s="37" t="s">
        <v>821</v>
      </c>
      <c r="G57" s="54" t="s">
        <v>822</v>
      </c>
      <c r="H57" s="54" t="s">
        <v>837</v>
      </c>
      <c r="I57" s="165" t="s">
        <v>838</v>
      </c>
      <c r="J57" s="241" t="s">
        <v>839</v>
      </c>
      <c r="K57" s="37" t="s">
        <v>826</v>
      </c>
      <c r="L57" s="48">
        <v>44458.5</v>
      </c>
      <c r="M57" s="46">
        <v>11476</v>
      </c>
      <c r="N57" s="37" t="s">
        <v>826</v>
      </c>
      <c r="O57" s="37" t="s">
        <v>827</v>
      </c>
      <c r="P57" s="37" t="s">
        <v>591</v>
      </c>
      <c r="Q57" s="37" t="s">
        <v>677</v>
      </c>
      <c r="R57" s="37" t="s">
        <v>677</v>
      </c>
      <c r="S57" s="37" t="s">
        <v>677</v>
      </c>
      <c r="T57" s="37" t="s">
        <v>719</v>
      </c>
      <c r="U57" s="37" t="s">
        <v>677</v>
      </c>
      <c r="V57" s="37" t="s">
        <v>677</v>
      </c>
      <c r="W57" s="37" t="s">
        <v>677</v>
      </c>
      <c r="X57" s="37" t="s">
        <v>677</v>
      </c>
      <c r="Y57" s="37" t="s">
        <v>677</v>
      </c>
      <c r="Z57" s="37" t="s">
        <v>677</v>
      </c>
      <c r="AA57" s="37" t="s">
        <v>677</v>
      </c>
      <c r="AB57" s="37" t="s">
        <v>677</v>
      </c>
      <c r="AC57" s="37" t="s">
        <v>677</v>
      </c>
      <c r="AD57" s="37" t="s">
        <v>677</v>
      </c>
      <c r="AE57" s="184" t="s">
        <v>677</v>
      </c>
      <c r="AF57" s="37">
        <v>0</v>
      </c>
      <c r="AG57" s="278">
        <v>0</v>
      </c>
      <c r="AH57" s="257">
        <f t="shared" si="0"/>
        <v>0</v>
      </c>
      <c r="AI57" s="107"/>
      <c r="AJ57" s="107"/>
      <c r="AK57" s="107"/>
      <c r="AL57" s="107"/>
      <c r="AM57" s="107"/>
      <c r="AN57" s="107"/>
      <c r="AO57" s="107"/>
      <c r="AP57" s="107"/>
      <c r="AQ57" s="107"/>
      <c r="AR57" s="107"/>
      <c r="AS57" s="37"/>
      <c r="AT57" s="165"/>
      <c r="AU57" s="165"/>
      <c r="AV57" s="165"/>
      <c r="AW57" s="165"/>
      <c r="AX57" s="165"/>
      <c r="AY57" s="165"/>
      <c r="AZ57" s="165"/>
      <c r="BA57" s="165"/>
      <c r="BB57" s="165"/>
      <c r="BC57" s="165"/>
      <c r="BD57" s="165"/>
    </row>
    <row r="58" spans="1:56" ht="25.5" x14ac:dyDescent="0.25">
      <c r="A58" s="274">
        <v>34</v>
      </c>
      <c r="B58" s="49" t="s">
        <v>819</v>
      </c>
      <c r="C58" s="37" t="s">
        <v>820</v>
      </c>
      <c r="D58" s="37" t="s">
        <v>672</v>
      </c>
      <c r="E58" s="37" t="s">
        <v>168</v>
      </c>
      <c r="F58" s="37" t="s">
        <v>821</v>
      </c>
      <c r="G58" s="54" t="s">
        <v>822</v>
      </c>
      <c r="H58" s="54" t="s">
        <v>840</v>
      </c>
      <c r="I58" s="165" t="s">
        <v>812</v>
      </c>
      <c r="J58" s="165" t="s">
        <v>813</v>
      </c>
      <c r="K58" s="37" t="s">
        <v>826</v>
      </c>
      <c r="L58" s="48">
        <v>15062</v>
      </c>
      <c r="M58" s="46">
        <v>11476</v>
      </c>
      <c r="N58" s="37" t="s">
        <v>826</v>
      </c>
      <c r="O58" s="37" t="s">
        <v>827</v>
      </c>
      <c r="P58" s="37" t="s">
        <v>591</v>
      </c>
      <c r="Q58" s="37" t="s">
        <v>677</v>
      </c>
      <c r="R58" s="37" t="s">
        <v>677</v>
      </c>
      <c r="S58" s="37" t="s">
        <v>677</v>
      </c>
      <c r="T58" s="37" t="s">
        <v>719</v>
      </c>
      <c r="U58" s="37" t="s">
        <v>677</v>
      </c>
      <c r="V58" s="37" t="s">
        <v>677</v>
      </c>
      <c r="W58" s="37" t="s">
        <v>677</v>
      </c>
      <c r="X58" s="37" t="s">
        <v>677</v>
      </c>
      <c r="Y58" s="37" t="s">
        <v>677</v>
      </c>
      <c r="Z58" s="37" t="s">
        <v>677</v>
      </c>
      <c r="AA58" s="37" t="s">
        <v>677</v>
      </c>
      <c r="AB58" s="37" t="s">
        <v>677</v>
      </c>
      <c r="AC58" s="37" t="s">
        <v>677</v>
      </c>
      <c r="AD58" s="37" t="s">
        <v>677</v>
      </c>
      <c r="AE58" s="184" t="s">
        <v>677</v>
      </c>
      <c r="AF58" s="37">
        <v>0</v>
      </c>
      <c r="AG58" s="278">
        <v>1072</v>
      </c>
      <c r="AH58" s="257">
        <f t="shared" si="0"/>
        <v>1072</v>
      </c>
      <c r="AI58" s="107"/>
      <c r="AJ58" s="107"/>
      <c r="AK58" s="107"/>
      <c r="AL58" s="107"/>
      <c r="AM58" s="107"/>
      <c r="AN58" s="107"/>
      <c r="AO58" s="107"/>
      <c r="AP58" s="107"/>
      <c r="AQ58" s="107"/>
      <c r="AR58" s="107"/>
      <c r="AS58" s="37"/>
      <c r="AT58" s="165"/>
      <c r="AU58" s="165"/>
      <c r="AV58" s="165"/>
      <c r="AW58" s="165"/>
      <c r="AX58" s="165"/>
      <c r="AY58" s="165"/>
      <c r="AZ58" s="165"/>
      <c r="BA58" s="165"/>
      <c r="BB58" s="165"/>
      <c r="BC58" s="165"/>
      <c r="BD58" s="165"/>
    </row>
    <row r="59" spans="1:56" ht="26.25" thickBot="1" x14ac:dyDescent="0.3">
      <c r="A59" s="292">
        <v>35</v>
      </c>
      <c r="B59" s="280" t="s">
        <v>819</v>
      </c>
      <c r="C59" s="152" t="s">
        <v>820</v>
      </c>
      <c r="D59" s="152" t="s">
        <v>672</v>
      </c>
      <c r="E59" s="152" t="s">
        <v>168</v>
      </c>
      <c r="F59" s="152" t="s">
        <v>821</v>
      </c>
      <c r="G59" s="158" t="s">
        <v>822</v>
      </c>
      <c r="H59" s="158" t="s">
        <v>841</v>
      </c>
      <c r="I59" s="152" t="s">
        <v>717</v>
      </c>
      <c r="J59" s="152" t="s">
        <v>718</v>
      </c>
      <c r="K59" s="152" t="s">
        <v>826</v>
      </c>
      <c r="L59" s="155">
        <v>6967.2</v>
      </c>
      <c r="M59" s="156">
        <v>11476</v>
      </c>
      <c r="N59" s="152" t="s">
        <v>826</v>
      </c>
      <c r="O59" s="152" t="s">
        <v>827</v>
      </c>
      <c r="P59" s="152" t="s">
        <v>591</v>
      </c>
      <c r="Q59" s="152" t="s">
        <v>677</v>
      </c>
      <c r="R59" s="152" t="s">
        <v>677</v>
      </c>
      <c r="S59" s="152" t="s">
        <v>677</v>
      </c>
      <c r="T59" s="152" t="s">
        <v>719</v>
      </c>
      <c r="U59" s="152" t="s">
        <v>677</v>
      </c>
      <c r="V59" s="152" t="s">
        <v>677</v>
      </c>
      <c r="W59" s="152" t="s">
        <v>677</v>
      </c>
      <c r="X59" s="152" t="s">
        <v>677</v>
      </c>
      <c r="Y59" s="152" t="s">
        <v>677</v>
      </c>
      <c r="Z59" s="152" t="s">
        <v>677</v>
      </c>
      <c r="AA59" s="152" t="s">
        <v>677</v>
      </c>
      <c r="AB59" s="152" t="s">
        <v>677</v>
      </c>
      <c r="AC59" s="152" t="s">
        <v>677</v>
      </c>
      <c r="AD59" s="152" t="s">
        <v>677</v>
      </c>
      <c r="AE59" s="293" t="s">
        <v>677</v>
      </c>
      <c r="AF59" s="152">
        <v>0</v>
      </c>
      <c r="AG59" s="283">
        <v>0</v>
      </c>
      <c r="AH59" s="294">
        <f t="shared" si="0"/>
        <v>0</v>
      </c>
      <c r="AI59" s="285"/>
      <c r="AJ59" s="285"/>
      <c r="AK59" s="285"/>
      <c r="AL59" s="285"/>
      <c r="AM59" s="285"/>
      <c r="AN59" s="285"/>
      <c r="AO59" s="285"/>
      <c r="AP59" s="285"/>
      <c r="AQ59" s="285"/>
      <c r="AR59" s="285"/>
      <c r="AS59" s="152"/>
      <c r="AT59" s="281"/>
      <c r="AU59" s="281"/>
      <c r="AV59" s="281"/>
      <c r="AW59" s="281"/>
      <c r="AX59" s="281"/>
      <c r="AY59" s="281"/>
      <c r="AZ59" s="281"/>
      <c r="BA59" s="281"/>
      <c r="BB59" s="281"/>
      <c r="BC59" s="281"/>
      <c r="BD59" s="281"/>
    </row>
    <row r="60" spans="1:56" ht="15.75" thickBot="1" x14ac:dyDescent="0.3">
      <c r="A60" s="2118" t="s">
        <v>601</v>
      </c>
      <c r="B60" s="2119"/>
      <c r="C60" s="2119"/>
      <c r="D60" s="2119"/>
      <c r="E60" s="2119"/>
      <c r="F60" s="2119"/>
      <c r="G60" s="2119"/>
      <c r="H60" s="2119"/>
      <c r="I60" s="2119"/>
      <c r="J60" s="2119"/>
      <c r="K60" s="2119"/>
      <c r="L60" s="295">
        <f>SUM(L24:L47)</f>
        <v>2108207.1999999997</v>
      </c>
      <c r="M60" s="296"/>
      <c r="N60" s="296"/>
      <c r="O60" s="296"/>
      <c r="P60" s="296"/>
      <c r="Q60" s="296"/>
      <c r="R60" s="296"/>
      <c r="S60" s="296"/>
      <c r="T60" s="296"/>
      <c r="U60" s="296"/>
      <c r="V60" s="296"/>
      <c r="W60" s="296"/>
      <c r="X60" s="296"/>
      <c r="Y60" s="296"/>
      <c r="Z60" s="296"/>
      <c r="AA60" s="296"/>
      <c r="AB60" s="296"/>
      <c r="AC60" s="297">
        <f t="shared" ref="AC60:AH60" si="1">SUM(AC24:AC41)</f>
        <v>0</v>
      </c>
      <c r="AD60" s="297">
        <f t="shared" si="1"/>
        <v>0</v>
      </c>
      <c r="AE60" s="297">
        <f t="shared" si="1"/>
        <v>0</v>
      </c>
      <c r="AF60" s="297">
        <f t="shared" si="1"/>
        <v>0</v>
      </c>
      <c r="AG60" s="298">
        <f t="shared" si="1"/>
        <v>401294.45</v>
      </c>
      <c r="AH60" s="298">
        <f t="shared" si="1"/>
        <v>401294.45</v>
      </c>
      <c r="AI60" s="297"/>
      <c r="AJ60" s="297"/>
      <c r="AK60" s="297"/>
      <c r="AL60" s="297"/>
      <c r="AM60" s="297"/>
      <c r="AN60" s="297"/>
      <c r="AO60" s="297"/>
      <c r="AP60" s="297"/>
      <c r="AQ60" s="297"/>
      <c r="AR60" s="297"/>
      <c r="AS60" s="299"/>
      <c r="AT60" s="300"/>
      <c r="AU60" s="300"/>
      <c r="AV60" s="300"/>
      <c r="AW60" s="300"/>
      <c r="AX60" s="300"/>
      <c r="AY60" s="300"/>
      <c r="AZ60" s="300"/>
      <c r="BA60" s="300"/>
      <c r="BB60" s="300"/>
      <c r="BC60" s="300"/>
      <c r="BD60" s="301"/>
    </row>
    <row r="61" spans="1:56" x14ac:dyDescent="0.25">
      <c r="A61" s="302"/>
      <c r="B61" s="302"/>
      <c r="C61" s="302"/>
      <c r="D61" s="302"/>
      <c r="E61" s="302"/>
      <c r="F61" s="302"/>
      <c r="G61" s="302"/>
      <c r="H61" s="302"/>
      <c r="I61" s="302"/>
      <c r="J61" s="302"/>
      <c r="K61" s="302"/>
      <c r="L61" s="303"/>
      <c r="M61" s="304"/>
      <c r="N61" s="304"/>
      <c r="O61" s="304"/>
      <c r="P61" s="304"/>
      <c r="Q61" s="304"/>
      <c r="R61" s="304"/>
      <c r="S61" s="304"/>
      <c r="T61" s="304"/>
      <c r="U61" s="304"/>
      <c r="V61" s="304"/>
      <c r="W61" s="304"/>
      <c r="X61" s="304"/>
      <c r="Y61" s="304"/>
      <c r="Z61" s="304"/>
      <c r="AA61" s="304"/>
      <c r="AB61" s="304"/>
      <c r="AC61" s="305"/>
      <c r="AD61" s="305"/>
      <c r="AE61" s="305"/>
      <c r="AF61" s="305"/>
      <c r="AG61" s="306"/>
      <c r="AH61" s="306"/>
      <c r="AI61" s="305"/>
      <c r="AJ61" s="305"/>
      <c r="AK61" s="305"/>
      <c r="AL61" s="305"/>
      <c r="AM61" s="305"/>
      <c r="AN61" s="305"/>
      <c r="AO61" s="305"/>
      <c r="AP61" s="305"/>
      <c r="AQ61" s="305"/>
      <c r="AR61" s="305"/>
      <c r="AS61" s="307"/>
      <c r="AT61" s="308"/>
      <c r="AU61" s="308"/>
      <c r="AV61" s="308"/>
      <c r="AW61" s="308"/>
      <c r="AX61" s="308"/>
      <c r="AY61" s="308"/>
      <c r="AZ61" s="308"/>
      <c r="BA61" s="308"/>
      <c r="BB61" s="308"/>
      <c r="BC61" s="308"/>
      <c r="BD61" s="308"/>
    </row>
    <row r="62" spans="1:56" x14ac:dyDescent="0.25">
      <c r="A62" s="2120" t="s">
        <v>842</v>
      </c>
      <c r="B62" s="2120"/>
      <c r="C62" s="2120"/>
      <c r="D62" s="2120"/>
      <c r="E62" s="2120"/>
      <c r="F62" s="2120"/>
      <c r="G62" s="2120"/>
      <c r="H62" s="2120"/>
      <c r="I62" s="302"/>
      <c r="J62" s="302"/>
      <c r="K62" s="302"/>
      <c r="L62" s="303"/>
      <c r="M62" s="304"/>
      <c r="N62" s="304"/>
      <c r="O62" s="304"/>
      <c r="P62" s="304"/>
      <c r="Q62" s="304"/>
      <c r="R62" s="304"/>
      <c r="S62" s="304"/>
      <c r="T62" s="304"/>
      <c r="U62" s="304"/>
      <c r="V62" s="304"/>
      <c r="W62" s="304"/>
      <c r="X62" s="304"/>
      <c r="Y62" s="304"/>
      <c r="Z62" s="304"/>
      <c r="AA62" s="304"/>
      <c r="AB62" s="304"/>
      <c r="AC62" s="305"/>
      <c r="AD62" s="305"/>
      <c r="AE62" s="305"/>
      <c r="AF62" s="305"/>
      <c r="AG62" s="306"/>
      <c r="AH62" s="306"/>
      <c r="AI62" s="305"/>
      <c r="AJ62" s="305"/>
      <c r="AK62" s="305"/>
      <c r="AL62" s="305"/>
      <c r="AM62" s="305"/>
      <c r="AN62" s="305"/>
      <c r="AO62" s="305"/>
      <c r="AP62" s="305"/>
      <c r="AQ62" s="305"/>
      <c r="AR62" s="305"/>
      <c r="AS62" s="307"/>
      <c r="AT62" s="308"/>
      <c r="AU62" s="308"/>
      <c r="AV62" s="308"/>
      <c r="AW62" s="308"/>
      <c r="AX62" s="308"/>
      <c r="AY62" s="308"/>
      <c r="AZ62" s="308"/>
      <c r="BA62" s="308"/>
      <c r="BB62" s="308"/>
      <c r="BC62" s="308"/>
      <c r="BD62" s="308"/>
    </row>
    <row r="63" spans="1:56" x14ac:dyDescent="0.25">
      <c r="A63" s="302"/>
      <c r="B63" s="302"/>
      <c r="C63" s="302"/>
      <c r="D63" s="302"/>
      <c r="E63" s="302"/>
      <c r="F63" s="302"/>
      <c r="G63" s="302"/>
      <c r="H63" s="302"/>
      <c r="I63" s="302"/>
      <c r="J63" s="302"/>
      <c r="K63" s="302"/>
      <c r="L63" s="303"/>
      <c r="M63" s="304"/>
      <c r="N63" s="304"/>
      <c r="O63" s="304"/>
      <c r="P63" s="304"/>
      <c r="Q63" s="304"/>
      <c r="R63" s="304"/>
      <c r="S63" s="304"/>
      <c r="T63" s="304"/>
      <c r="U63" s="304"/>
      <c r="V63" s="304"/>
      <c r="W63" s="304"/>
      <c r="X63" s="304"/>
      <c r="Y63" s="304"/>
      <c r="Z63" s="304"/>
      <c r="AA63" s="304"/>
      <c r="AB63" s="304"/>
      <c r="AC63" s="305"/>
      <c r="AD63" s="305"/>
      <c r="AE63" s="305"/>
      <c r="AF63" s="305"/>
      <c r="AG63" s="306"/>
      <c r="AH63" s="306"/>
      <c r="AI63" s="305"/>
      <c r="AJ63" s="305"/>
      <c r="AK63" s="305"/>
      <c r="AL63" s="305"/>
      <c r="AM63" s="305"/>
      <c r="AN63" s="305"/>
      <c r="AO63" s="305"/>
      <c r="AP63" s="305"/>
      <c r="AQ63" s="305"/>
      <c r="AR63" s="305"/>
      <c r="AS63" s="307"/>
      <c r="AT63" s="308"/>
      <c r="AU63" s="308"/>
      <c r="AV63" s="308"/>
      <c r="AW63" s="308"/>
      <c r="AX63" s="308"/>
      <c r="AY63" s="308"/>
      <c r="AZ63" s="308"/>
      <c r="BA63" s="308"/>
      <c r="BB63" s="308"/>
      <c r="BC63" s="308"/>
      <c r="BD63" s="308"/>
    </row>
    <row r="64" spans="1:56" x14ac:dyDescent="0.25">
      <c r="A64" s="242" t="s">
        <v>843</v>
      </c>
      <c r="B64" s="242"/>
      <c r="C64" s="242"/>
      <c r="D64" s="242"/>
    </row>
    <row r="65" spans="1:4" x14ac:dyDescent="0.25">
      <c r="A65" s="240" t="s">
        <v>844</v>
      </c>
      <c r="B65" s="240"/>
      <c r="C65" s="240"/>
      <c r="D65" s="240"/>
    </row>
  </sheetData>
  <mergeCells count="36">
    <mergeCell ref="A18:AS18"/>
    <mergeCell ref="A13:AS13"/>
    <mergeCell ref="A14:J14"/>
    <mergeCell ref="A15:E15"/>
    <mergeCell ref="A17:AS17"/>
    <mergeCell ref="A60:K60"/>
    <mergeCell ref="A62:H62"/>
    <mergeCell ref="A19:AS19"/>
    <mergeCell ref="A21:A24"/>
    <mergeCell ref="B21:G22"/>
    <mergeCell ref="H21:AH21"/>
    <mergeCell ref="AI21:AL21"/>
    <mergeCell ref="AM21:AR21"/>
    <mergeCell ref="AS21:BD21"/>
    <mergeCell ref="H22:T22"/>
    <mergeCell ref="U22:AD22"/>
    <mergeCell ref="AZ22:AZ23"/>
    <mergeCell ref="BA22:BA23"/>
    <mergeCell ref="BB22:BD22"/>
    <mergeCell ref="AN22:AN23"/>
    <mergeCell ref="A9:BD9"/>
    <mergeCell ref="A11:BD11"/>
    <mergeCell ref="AT22:AT23"/>
    <mergeCell ref="AU22:AW22"/>
    <mergeCell ref="AX22:AY22"/>
    <mergeCell ref="AE22:AH22"/>
    <mergeCell ref="AI22:AI23"/>
    <mergeCell ref="AJ22:AJ23"/>
    <mergeCell ref="AK22:AK23"/>
    <mergeCell ref="AL22:AL23"/>
    <mergeCell ref="AM22:AM23"/>
    <mergeCell ref="AQ22:AQ23"/>
    <mergeCell ref="AR22:AR23"/>
    <mergeCell ref="AS22:AS23"/>
    <mergeCell ref="AO22:AO23"/>
    <mergeCell ref="AP22:AP23"/>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17"/>
  <sheetViews>
    <sheetView workbookViewId="0">
      <selection sqref="A1:XFD11"/>
    </sheetView>
  </sheetViews>
  <sheetFormatPr defaultRowHeight="15" x14ac:dyDescent="0.25"/>
  <cols>
    <col min="1" max="1" width="6.42578125" customWidth="1"/>
    <col min="2" max="2" width="16.85546875" bestFit="1" customWidth="1"/>
    <col min="3" max="3" width="21.140625" customWidth="1"/>
    <col min="4" max="4" width="32.5703125" customWidth="1"/>
    <col min="5" max="5" width="13.7109375" customWidth="1"/>
    <col min="6" max="6" width="55.7109375" customWidth="1"/>
    <col min="7" max="7" width="18.140625" customWidth="1"/>
    <col min="8" max="8" width="12.5703125" bestFit="1" customWidth="1"/>
    <col min="9" max="9" width="50.140625" customWidth="1"/>
    <col min="10" max="10" width="21.5703125" customWidth="1"/>
    <col min="11" max="11" width="10.5703125" customWidth="1"/>
    <col min="12" max="12" width="19.7109375" style="367" bestFit="1" customWidth="1"/>
    <col min="13" max="13" width="10.5703125" customWidth="1"/>
    <col min="14" max="14" width="11.5703125" customWidth="1"/>
    <col min="15" max="16" width="10.5703125" customWidth="1"/>
    <col min="17" max="17" width="12" customWidth="1"/>
    <col min="18" max="18" width="10.5703125" customWidth="1"/>
    <col min="19" max="19" width="10" bestFit="1" customWidth="1"/>
    <col min="20" max="20" width="13" customWidth="1"/>
    <col min="21" max="22" width="10.5703125" customWidth="1"/>
    <col min="23" max="23" width="14.7109375" customWidth="1"/>
    <col min="24" max="24" width="42.42578125" customWidth="1"/>
    <col min="25" max="25" width="13.7109375" customWidth="1"/>
    <col min="26" max="28" width="10.5703125" customWidth="1"/>
    <col min="29" max="29" width="16.140625" bestFit="1" customWidth="1"/>
    <col min="30" max="30" width="13.28515625" bestFit="1" customWidth="1"/>
    <col min="31" max="31" width="21" style="326" customWidth="1"/>
    <col min="32" max="32" width="18.7109375" customWidth="1"/>
    <col min="33" max="33" width="16.140625" customWidth="1"/>
    <col min="34" max="34" width="20.85546875" customWidth="1"/>
    <col min="35" max="35" width="11.5703125" customWidth="1"/>
    <col min="36" max="36" width="13.85546875" customWidth="1"/>
    <col min="37" max="37" width="33.140625" customWidth="1"/>
    <col min="38" max="38" width="13.140625" customWidth="1"/>
    <col min="39" max="39" width="14.5703125" customWidth="1"/>
    <col min="40" max="40" width="14.42578125" customWidth="1"/>
    <col min="41" max="41" width="13.85546875" customWidth="1"/>
    <col min="42" max="42" width="13.7109375" customWidth="1"/>
    <col min="43" max="43" width="13.28515625" customWidth="1"/>
    <col min="44" max="44" width="12.28515625" customWidth="1"/>
    <col min="53" max="53" width="10.140625" customWidth="1"/>
    <col min="56" max="56" width="55.28515625"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x14ac:dyDescent="0.25">
      <c r="AE12" s="221"/>
    </row>
    <row r="13" spans="1:56" s="1221" customFormat="1" x14ac:dyDescent="0.25">
      <c r="A13" s="2161" t="s">
        <v>1</v>
      </c>
      <c r="B13" s="2161"/>
      <c r="C13" s="2161"/>
      <c r="D13" s="2161"/>
      <c r="E13" s="2161"/>
      <c r="F13" s="2161"/>
      <c r="G13" s="2161"/>
      <c r="H13" s="2161"/>
      <c r="I13" s="2161"/>
      <c r="J13" s="2161"/>
      <c r="K13" s="2161"/>
      <c r="L13" s="2161"/>
      <c r="M13" s="2161"/>
      <c r="N13" s="2161"/>
      <c r="O13" s="2161"/>
      <c r="P13" s="2161"/>
      <c r="Q13" s="2161"/>
      <c r="R13" s="2161"/>
      <c r="S13" s="2161"/>
      <c r="T13" s="2161"/>
      <c r="U13" s="2161"/>
      <c r="V13" s="2161"/>
      <c r="W13" s="2161"/>
      <c r="X13" s="2161"/>
      <c r="Y13" s="2161"/>
      <c r="Z13" s="2161"/>
      <c r="AA13" s="2161"/>
      <c r="AB13" s="2161"/>
      <c r="AC13" s="2161"/>
      <c r="AD13" s="2161"/>
      <c r="AE13" s="2161"/>
      <c r="AF13" s="2161"/>
      <c r="AG13" s="2161"/>
      <c r="AH13" s="2161"/>
      <c r="AI13" s="2161"/>
      <c r="AJ13" s="2161"/>
      <c r="AK13" s="2161"/>
      <c r="AL13" s="2161"/>
      <c r="AM13" s="2161"/>
      <c r="AN13" s="2161"/>
      <c r="AO13" s="2161"/>
      <c r="AP13" s="2161"/>
      <c r="AQ13" s="2161"/>
      <c r="AR13" s="2161"/>
      <c r="AS13" s="2161"/>
    </row>
    <row r="14" spans="1:56" s="1221" customFormat="1" x14ac:dyDescent="0.25">
      <c r="A14" s="2161" t="s">
        <v>2</v>
      </c>
      <c r="B14" s="2161"/>
      <c r="C14" s="2161"/>
      <c r="D14" s="2161"/>
      <c r="E14" s="2161"/>
      <c r="F14" s="2161"/>
      <c r="G14" s="2161"/>
      <c r="H14" s="2161"/>
      <c r="I14" s="2161"/>
      <c r="J14" s="2161"/>
      <c r="K14" s="1233"/>
      <c r="L14" s="310"/>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row>
    <row r="15" spans="1:56" s="1221" customFormat="1" x14ac:dyDescent="0.25">
      <c r="A15" s="2161" t="s">
        <v>3</v>
      </c>
      <c r="B15" s="2161"/>
      <c r="C15" s="2161"/>
      <c r="D15" s="2161"/>
      <c r="E15" s="2161"/>
      <c r="F15" s="1234"/>
      <c r="G15" s="1234"/>
      <c r="H15" s="1234"/>
      <c r="I15" s="1234"/>
      <c r="J15" s="1234"/>
      <c r="K15" s="1234"/>
      <c r="L15" s="1235"/>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row>
    <row r="16" spans="1:56" s="1221" customFormat="1" x14ac:dyDescent="0.25">
      <c r="A16" s="1236"/>
      <c r="B16" s="1237"/>
      <c r="C16" s="1237"/>
      <c r="D16" s="1237"/>
      <c r="E16" s="1237"/>
      <c r="F16" s="1237"/>
      <c r="G16" s="1237"/>
      <c r="H16" s="1237"/>
      <c r="I16" s="1237"/>
      <c r="J16" s="1237"/>
      <c r="K16" s="1237"/>
      <c r="L16" s="1238"/>
      <c r="M16" s="1237"/>
      <c r="N16" s="1237"/>
      <c r="O16" s="1237"/>
      <c r="P16" s="1237"/>
      <c r="Q16" s="1237"/>
      <c r="R16" s="1237"/>
      <c r="S16" s="1237"/>
      <c r="T16" s="1237"/>
      <c r="U16" s="1237"/>
      <c r="V16" s="1237"/>
      <c r="W16" s="1237"/>
      <c r="X16" s="1237"/>
      <c r="Y16" s="1237"/>
      <c r="Z16" s="1237"/>
      <c r="AA16" s="1237"/>
      <c r="AB16" s="1237"/>
      <c r="AC16" s="1237"/>
      <c r="AD16" s="1237"/>
      <c r="AE16" s="1237"/>
      <c r="AF16" s="1237"/>
      <c r="AG16" s="1237"/>
      <c r="AH16" s="1237"/>
      <c r="AI16" s="1237"/>
      <c r="AJ16" s="1237"/>
      <c r="AK16" s="1237"/>
      <c r="AL16" s="1237"/>
      <c r="AM16" s="1237"/>
      <c r="AN16" s="1237"/>
      <c r="AO16" s="1237"/>
      <c r="AP16" s="1237"/>
      <c r="AQ16" s="1237"/>
      <c r="AR16" s="1237"/>
      <c r="AS16" s="1237"/>
    </row>
    <row r="17" spans="1:56" s="1221" customFormat="1" x14ac:dyDescent="0.25">
      <c r="A17" s="2161" t="s">
        <v>7537</v>
      </c>
      <c r="B17" s="2161"/>
      <c r="C17" s="2161"/>
      <c r="D17" s="2161"/>
      <c r="E17" s="2161"/>
      <c r="F17" s="2161"/>
      <c r="G17" s="2161"/>
      <c r="H17" s="2161"/>
      <c r="I17" s="2161"/>
      <c r="J17" s="2161"/>
      <c r="K17" s="2161"/>
      <c r="L17" s="2161"/>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61"/>
      <c r="AS17" s="2161"/>
    </row>
    <row r="18" spans="1:56" s="1221" customFormat="1" x14ac:dyDescent="0.25">
      <c r="A18" s="2161" t="s">
        <v>7536</v>
      </c>
      <c r="B18" s="2161"/>
      <c r="C18" s="2161"/>
      <c r="D18" s="2161"/>
      <c r="E18" s="2161"/>
      <c r="F18" s="2161"/>
      <c r="G18" s="2161"/>
      <c r="H18" s="2161"/>
      <c r="I18" s="2161"/>
      <c r="J18" s="2161"/>
      <c r="K18" s="2161"/>
      <c r="L18" s="2161"/>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c r="AN18" s="2161"/>
      <c r="AO18" s="2161"/>
      <c r="AP18" s="2161"/>
      <c r="AQ18" s="2161"/>
      <c r="AR18" s="2161"/>
      <c r="AS18" s="2161"/>
    </row>
    <row r="19" spans="1:56" s="1221" customFormat="1" x14ac:dyDescent="0.25">
      <c r="A19" s="2161" t="s">
        <v>7538</v>
      </c>
      <c r="B19" s="2161"/>
      <c r="C19" s="2161"/>
      <c r="D19" s="2161"/>
      <c r="E19" s="2161"/>
      <c r="F19" s="2161"/>
      <c r="G19" s="2161"/>
      <c r="H19" s="2161"/>
      <c r="I19" s="2161"/>
      <c r="J19" s="2161"/>
      <c r="K19" s="2161"/>
      <c r="L19" s="2161"/>
      <c r="M19" s="2161"/>
      <c r="N19" s="2161"/>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c r="AS19" s="2161"/>
    </row>
    <row r="20" spans="1:56" ht="15.75" thickBot="1" x14ac:dyDescent="0.3">
      <c r="A20" s="221"/>
      <c r="B20" s="204"/>
      <c r="C20" s="204"/>
      <c r="D20" s="204"/>
      <c r="E20" s="204"/>
      <c r="F20" s="204"/>
      <c r="G20" s="204"/>
      <c r="H20" s="204"/>
      <c r="I20" s="204"/>
      <c r="J20" s="204"/>
      <c r="K20" s="204"/>
      <c r="L20" s="309"/>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21"/>
    </row>
    <row r="21" spans="1:56" x14ac:dyDescent="0.25">
      <c r="A21" s="2122" t="s">
        <v>5</v>
      </c>
      <c r="B21" s="2068" t="s">
        <v>6</v>
      </c>
      <c r="C21" s="2049"/>
      <c r="D21" s="2049"/>
      <c r="E21" s="2049"/>
      <c r="F21" s="2049"/>
      <c r="G21" s="2049"/>
      <c r="H21" s="2095" t="s">
        <v>7</v>
      </c>
      <c r="I21" s="2095"/>
      <c r="J21" s="2095"/>
      <c r="K21" s="2095"/>
      <c r="L21" s="2095"/>
      <c r="M21" s="2095"/>
      <c r="N21" s="2095"/>
      <c r="O21" s="2095"/>
      <c r="P21" s="2095"/>
      <c r="Q21" s="2095"/>
      <c r="R21" s="2095"/>
      <c r="S21" s="2095"/>
      <c r="T21" s="2095"/>
      <c r="U21" s="2095"/>
      <c r="V21" s="2095"/>
      <c r="W21" s="2095"/>
      <c r="X21" s="2095"/>
      <c r="Y21" s="2095"/>
      <c r="Z21" s="2095"/>
      <c r="AA21" s="2095"/>
      <c r="AB21" s="2095"/>
      <c r="AC21" s="2095"/>
      <c r="AD21" s="2095"/>
      <c r="AE21" s="2095"/>
      <c r="AF21" s="2095"/>
      <c r="AG21" s="2095"/>
      <c r="AH21" s="2095"/>
      <c r="AI21" s="2095" t="s">
        <v>8</v>
      </c>
      <c r="AJ21" s="2095"/>
      <c r="AK21" s="2095"/>
      <c r="AL21" s="2095"/>
      <c r="AM21" s="2095" t="s">
        <v>9</v>
      </c>
      <c r="AN21" s="2095"/>
      <c r="AO21" s="2095"/>
      <c r="AP21" s="2095"/>
      <c r="AQ21" s="2095"/>
      <c r="AR21" s="2095"/>
      <c r="AS21" s="2099" t="s">
        <v>10</v>
      </c>
      <c r="AT21" s="2099"/>
      <c r="AU21" s="2099"/>
      <c r="AV21" s="2099"/>
      <c r="AW21" s="2099"/>
      <c r="AX21" s="2099"/>
      <c r="AY21" s="2099"/>
      <c r="AZ21" s="2099"/>
      <c r="BA21" s="2099"/>
      <c r="BB21" s="2099"/>
      <c r="BC21" s="2099"/>
      <c r="BD21" s="2100"/>
    </row>
    <row r="22" spans="1:56" x14ac:dyDescent="0.25">
      <c r="A22" s="2123"/>
      <c r="B22" s="2069"/>
      <c r="C22" s="2050"/>
      <c r="D22" s="2050"/>
      <c r="E22" s="2050"/>
      <c r="F22" s="2050"/>
      <c r="G22" s="2050"/>
      <c r="H22" s="2050" t="s">
        <v>11</v>
      </c>
      <c r="I22" s="2050"/>
      <c r="J22" s="2050"/>
      <c r="K22" s="2050"/>
      <c r="L22" s="2050"/>
      <c r="M22" s="2050"/>
      <c r="N22" s="2050"/>
      <c r="O22" s="2050"/>
      <c r="P22" s="2050"/>
      <c r="Q22" s="2050"/>
      <c r="R22" s="2050"/>
      <c r="S22" s="2050"/>
      <c r="T22" s="2050"/>
      <c r="U22" s="2050" t="s">
        <v>12</v>
      </c>
      <c r="V22" s="2050"/>
      <c r="W22" s="2050"/>
      <c r="X22" s="2050"/>
      <c r="Y22" s="2050"/>
      <c r="Z22" s="2050"/>
      <c r="AA22" s="2050"/>
      <c r="AB22" s="2050"/>
      <c r="AC22" s="2050"/>
      <c r="AD22" s="2050"/>
      <c r="AE22" s="2050" t="s">
        <v>13</v>
      </c>
      <c r="AF22" s="2050"/>
      <c r="AG22" s="2050"/>
      <c r="AH22" s="2050"/>
      <c r="AI22" s="2050" t="s">
        <v>14</v>
      </c>
      <c r="AJ22" s="2050" t="s">
        <v>15</v>
      </c>
      <c r="AK22" s="2050" t="s">
        <v>16</v>
      </c>
      <c r="AL22" s="2050" t="s">
        <v>581</v>
      </c>
      <c r="AM22" s="2050" t="s">
        <v>18</v>
      </c>
      <c r="AN22" s="2050" t="s">
        <v>19</v>
      </c>
      <c r="AO22" s="2050" t="s">
        <v>20</v>
      </c>
      <c r="AP22" s="2050" t="s">
        <v>21</v>
      </c>
      <c r="AQ22" s="2050" t="s">
        <v>22</v>
      </c>
      <c r="AR22" s="2050" t="s">
        <v>21</v>
      </c>
      <c r="AS22" s="2050" t="s">
        <v>23</v>
      </c>
      <c r="AT22" s="2110" t="s">
        <v>24</v>
      </c>
      <c r="AU22" s="2160" t="s">
        <v>25</v>
      </c>
      <c r="AV22" s="2160"/>
      <c r="AW22" s="2160"/>
      <c r="AX22" s="2160" t="s">
        <v>26</v>
      </c>
      <c r="AY22" s="2160"/>
      <c r="AZ22" s="2110" t="s">
        <v>27</v>
      </c>
      <c r="BA22" s="2050" t="s">
        <v>28</v>
      </c>
      <c r="BB22" s="2160" t="s">
        <v>29</v>
      </c>
      <c r="BC22" s="2160"/>
      <c r="BD22" s="2162"/>
    </row>
    <row r="23" spans="1:56" ht="51" x14ac:dyDescent="0.25">
      <c r="A23" s="2123"/>
      <c r="B23" s="148" t="s">
        <v>30</v>
      </c>
      <c r="C23" s="4" t="s">
        <v>31</v>
      </c>
      <c r="D23" s="4" t="s">
        <v>32</v>
      </c>
      <c r="E23" s="4" t="s">
        <v>23</v>
      </c>
      <c r="F23" s="4" t="s">
        <v>33</v>
      </c>
      <c r="G23" s="4" t="s">
        <v>34</v>
      </c>
      <c r="H23" s="311" t="s">
        <v>35</v>
      </c>
      <c r="I23" s="4" t="s">
        <v>36</v>
      </c>
      <c r="J23" s="4" t="s">
        <v>37</v>
      </c>
      <c r="K23" s="4" t="s">
        <v>38</v>
      </c>
      <c r="L23" s="312" t="s">
        <v>39</v>
      </c>
      <c r="M23" s="4" t="s">
        <v>40</v>
      </c>
      <c r="N23" s="4" t="s">
        <v>41</v>
      </c>
      <c r="O23" s="4" t="s">
        <v>42</v>
      </c>
      <c r="P23" s="4" t="s">
        <v>43</v>
      </c>
      <c r="Q23" s="4" t="s">
        <v>44</v>
      </c>
      <c r="R23" s="4" t="s">
        <v>45</v>
      </c>
      <c r="S23" s="4" t="s">
        <v>46</v>
      </c>
      <c r="T23" s="4" t="s">
        <v>47</v>
      </c>
      <c r="U23" s="4" t="s">
        <v>48</v>
      </c>
      <c r="V23" s="4" t="s">
        <v>38</v>
      </c>
      <c r="W23" s="4" t="s">
        <v>40</v>
      </c>
      <c r="X23" s="4" t="s">
        <v>49</v>
      </c>
      <c r="Y23" s="4" t="s">
        <v>41</v>
      </c>
      <c r="Z23" s="4" t="s">
        <v>42</v>
      </c>
      <c r="AA23" s="4" t="s">
        <v>50</v>
      </c>
      <c r="AB23" s="4" t="s">
        <v>51</v>
      </c>
      <c r="AC23" s="4" t="s">
        <v>52</v>
      </c>
      <c r="AD23" s="4" t="s">
        <v>53</v>
      </c>
      <c r="AE23" s="4" t="s">
        <v>54</v>
      </c>
      <c r="AF23" s="4" t="s">
        <v>55</v>
      </c>
      <c r="AG23" s="4" t="s">
        <v>56</v>
      </c>
      <c r="AH23" s="4" t="s">
        <v>57</v>
      </c>
      <c r="AI23" s="2050"/>
      <c r="AJ23" s="2050"/>
      <c r="AK23" s="2050"/>
      <c r="AL23" s="2050"/>
      <c r="AM23" s="2050"/>
      <c r="AN23" s="2050"/>
      <c r="AO23" s="2050"/>
      <c r="AP23" s="2050"/>
      <c r="AQ23" s="2050"/>
      <c r="AR23" s="2050"/>
      <c r="AS23" s="2050"/>
      <c r="AT23" s="2110"/>
      <c r="AU23" s="244" t="s">
        <v>58</v>
      </c>
      <c r="AV23" s="244" t="s">
        <v>59</v>
      </c>
      <c r="AW23" s="244" t="s">
        <v>60</v>
      </c>
      <c r="AX23" s="244" t="s">
        <v>61</v>
      </c>
      <c r="AY23" s="245" t="s">
        <v>62</v>
      </c>
      <c r="AZ23" s="2110"/>
      <c r="BA23" s="2050"/>
      <c r="BB23" s="244" t="s">
        <v>58</v>
      </c>
      <c r="BC23" s="244" t="s">
        <v>63</v>
      </c>
      <c r="BD23" s="246" t="s">
        <v>64</v>
      </c>
    </row>
    <row r="24" spans="1:56" ht="15.75" thickBot="1" x14ac:dyDescent="0.3">
      <c r="A24" s="2124"/>
      <c r="B24" s="16" t="s">
        <v>65</v>
      </c>
      <c r="C24" s="11" t="s">
        <v>66</v>
      </c>
      <c r="D24" s="12" t="s">
        <v>67</v>
      </c>
      <c r="E24" s="11" t="s">
        <v>68</v>
      </c>
      <c r="F24" s="11" t="s">
        <v>69</v>
      </c>
      <c r="G24" s="11" t="s">
        <v>70</v>
      </c>
      <c r="H24" s="12" t="s">
        <v>71</v>
      </c>
      <c r="I24" s="11" t="s">
        <v>72</v>
      </c>
      <c r="J24" s="11" t="s">
        <v>73</v>
      </c>
      <c r="K24" s="11" t="s">
        <v>74</v>
      </c>
      <c r="L24" s="313" t="s">
        <v>75</v>
      </c>
      <c r="M24" s="11" t="s">
        <v>76</v>
      </c>
      <c r="N24" s="11" t="s">
        <v>77</v>
      </c>
      <c r="O24" s="11" t="s">
        <v>78</v>
      </c>
      <c r="P24" s="11" t="s">
        <v>79</v>
      </c>
      <c r="Q24" s="11" t="s">
        <v>80</v>
      </c>
      <c r="R24" s="11" t="s">
        <v>81</v>
      </c>
      <c r="S24" s="11" t="s">
        <v>82</v>
      </c>
      <c r="T24" s="11" t="s">
        <v>83</v>
      </c>
      <c r="U24" s="11" t="s">
        <v>84</v>
      </c>
      <c r="V24" s="11" t="s">
        <v>85</v>
      </c>
      <c r="W24" s="11" t="s">
        <v>86</v>
      </c>
      <c r="X24" s="11" t="s">
        <v>87</v>
      </c>
      <c r="Y24" s="11" t="s">
        <v>88</v>
      </c>
      <c r="Z24" s="11" t="s">
        <v>89</v>
      </c>
      <c r="AA24" s="11" t="s">
        <v>90</v>
      </c>
      <c r="AB24" s="11" t="s">
        <v>91</v>
      </c>
      <c r="AC24" s="11" t="s">
        <v>92</v>
      </c>
      <c r="AD24" s="11" t="s">
        <v>93</v>
      </c>
      <c r="AE24" s="11" t="s">
        <v>94</v>
      </c>
      <c r="AF24" s="11" t="s">
        <v>95</v>
      </c>
      <c r="AG24" s="11" t="s">
        <v>96</v>
      </c>
      <c r="AH24" s="11" t="s">
        <v>97</v>
      </c>
      <c r="AI24" s="11" t="s">
        <v>98</v>
      </c>
      <c r="AJ24" s="11" t="s">
        <v>99</v>
      </c>
      <c r="AK24" s="11" t="s">
        <v>100</v>
      </c>
      <c r="AL24" s="11" t="s">
        <v>101</v>
      </c>
      <c r="AM24" s="314" t="s">
        <v>102</v>
      </c>
      <c r="AN24" s="314" t="s">
        <v>103</v>
      </c>
      <c r="AO24" s="314" t="s">
        <v>104</v>
      </c>
      <c r="AP24" s="314" t="s">
        <v>105</v>
      </c>
      <c r="AQ24" s="314" t="s">
        <v>106</v>
      </c>
      <c r="AR24" s="314" t="s">
        <v>107</v>
      </c>
      <c r="AS24" s="314" t="s">
        <v>108</v>
      </c>
      <c r="AT24" s="314" t="s">
        <v>109</v>
      </c>
      <c r="AU24" s="314" t="s">
        <v>110</v>
      </c>
      <c r="AV24" s="314" t="s">
        <v>111</v>
      </c>
      <c r="AW24" s="314" t="s">
        <v>112</v>
      </c>
      <c r="AX24" s="314" t="s">
        <v>113</v>
      </c>
      <c r="AY24" s="314" t="s">
        <v>114</v>
      </c>
      <c r="AZ24" s="314" t="s">
        <v>115</v>
      </c>
      <c r="BA24" s="314" t="s">
        <v>116</v>
      </c>
      <c r="BB24" s="314" t="s">
        <v>117</v>
      </c>
      <c r="BC24" s="314" t="s">
        <v>118</v>
      </c>
      <c r="BD24" s="315" t="s">
        <v>119</v>
      </c>
    </row>
    <row r="25" spans="1:56" x14ac:dyDescent="0.25">
      <c r="A25" s="254">
        <v>1</v>
      </c>
      <c r="B25" s="255"/>
      <c r="C25" s="150"/>
      <c r="D25" s="159" t="s">
        <v>690</v>
      </c>
      <c r="E25" s="150" t="s">
        <v>845</v>
      </c>
      <c r="F25" s="150" t="s">
        <v>846</v>
      </c>
      <c r="G25" s="150"/>
      <c r="H25" s="159" t="s">
        <v>847</v>
      </c>
      <c r="I25" s="150" t="s">
        <v>848</v>
      </c>
      <c r="J25" s="150" t="s">
        <v>849</v>
      </c>
      <c r="K25" s="150" t="s">
        <v>850</v>
      </c>
      <c r="L25" s="316">
        <v>160</v>
      </c>
      <c r="M25" s="147"/>
      <c r="N25" s="150"/>
      <c r="O25" s="150"/>
      <c r="P25" s="150">
        <v>1</v>
      </c>
      <c r="Q25" s="150"/>
      <c r="R25" s="150"/>
      <c r="S25" s="150"/>
      <c r="T25" s="150" t="s">
        <v>851</v>
      </c>
      <c r="U25" s="150"/>
      <c r="V25" s="150"/>
      <c r="W25" s="150"/>
      <c r="X25" s="150"/>
      <c r="Y25" s="150"/>
      <c r="Z25" s="150"/>
      <c r="AA25" s="150"/>
      <c r="AB25" s="150"/>
      <c r="AC25" s="316"/>
      <c r="AD25" s="150"/>
      <c r="AE25" s="316">
        <v>160</v>
      </c>
      <c r="AF25" s="316">
        <v>0</v>
      </c>
      <c r="AG25" s="316">
        <v>160</v>
      </c>
      <c r="AH25" s="317">
        <f>AF25+AG25</f>
        <v>160</v>
      </c>
      <c r="AI25" s="150"/>
      <c r="AJ25" s="150"/>
      <c r="AK25" s="150"/>
      <c r="AL25" s="150"/>
      <c r="AM25" s="318"/>
      <c r="AN25" s="318"/>
      <c r="AO25" s="318"/>
      <c r="AP25" s="318"/>
      <c r="AQ25" s="318"/>
      <c r="AR25" s="318"/>
      <c r="AS25" s="318"/>
      <c r="AT25" s="318"/>
      <c r="AU25" s="318"/>
      <c r="AV25" s="318"/>
      <c r="AW25" s="318"/>
      <c r="AX25" s="318"/>
      <c r="AY25" s="318"/>
      <c r="AZ25" s="318"/>
      <c r="BA25" s="318"/>
      <c r="BB25" s="318"/>
      <c r="BC25" s="318"/>
      <c r="BD25" s="318"/>
    </row>
    <row r="26" spans="1:56" ht="25.5" customHeight="1" x14ac:dyDescent="0.25">
      <c r="A26" s="319">
        <v>2</v>
      </c>
      <c r="B26" s="49"/>
      <c r="C26" s="37"/>
      <c r="D26" s="54" t="s">
        <v>690</v>
      </c>
      <c r="E26" s="37"/>
      <c r="F26" s="37" t="s">
        <v>852</v>
      </c>
      <c r="G26" s="37"/>
      <c r="H26" s="157">
        <v>9912231551</v>
      </c>
      <c r="I26" s="37" t="s">
        <v>853</v>
      </c>
      <c r="J26" s="37" t="s">
        <v>854</v>
      </c>
      <c r="K26" s="37" t="s">
        <v>855</v>
      </c>
      <c r="L26" s="320">
        <v>80777.8</v>
      </c>
      <c r="N26" s="37" t="s">
        <v>855</v>
      </c>
      <c r="O26" s="37" t="s">
        <v>856</v>
      </c>
      <c r="P26" s="37">
        <v>1</v>
      </c>
      <c r="Q26" s="37"/>
      <c r="R26" s="37"/>
      <c r="S26" s="37"/>
      <c r="T26" s="37" t="s">
        <v>208</v>
      </c>
      <c r="U26" s="37"/>
      <c r="V26" s="37"/>
      <c r="W26" s="37"/>
      <c r="X26" s="37"/>
      <c r="Y26" s="37"/>
      <c r="Z26" s="37"/>
      <c r="AA26" s="37"/>
      <c r="AB26" s="37"/>
      <c r="AC26" s="37"/>
      <c r="AD26" s="37"/>
      <c r="AE26" s="320">
        <v>80777.8</v>
      </c>
      <c r="AF26" s="321">
        <v>194324.35</v>
      </c>
      <c r="AG26" s="320">
        <v>2696.55</v>
      </c>
      <c r="AH26" s="322">
        <f>AF26+AG26</f>
        <v>197020.9</v>
      </c>
      <c r="AI26" s="37"/>
      <c r="AJ26" s="37"/>
      <c r="AK26" s="37"/>
      <c r="AL26" s="37"/>
      <c r="AM26" s="172"/>
      <c r="AN26" s="172"/>
      <c r="AO26" s="172"/>
      <c r="AP26" s="172"/>
      <c r="AQ26" s="172"/>
      <c r="AR26" s="172"/>
      <c r="AS26" s="172"/>
      <c r="AT26" s="172"/>
      <c r="AU26" s="172"/>
      <c r="AV26" s="172"/>
      <c r="AW26" s="172"/>
      <c r="AX26" s="172"/>
      <c r="AY26" s="172"/>
      <c r="AZ26" s="172"/>
      <c r="BA26" s="172"/>
      <c r="BB26" s="172"/>
      <c r="BC26" s="172"/>
      <c r="BD26" s="172"/>
    </row>
    <row r="27" spans="1:56" ht="25.5" x14ac:dyDescent="0.25">
      <c r="A27" s="2136">
        <v>3</v>
      </c>
      <c r="B27" s="2156" t="s">
        <v>857</v>
      </c>
      <c r="C27" s="2023" t="s">
        <v>858</v>
      </c>
      <c r="D27" s="2081" t="s">
        <v>859</v>
      </c>
      <c r="E27" s="1967" t="s">
        <v>845</v>
      </c>
      <c r="F27" s="2081" t="s">
        <v>860</v>
      </c>
      <c r="G27" s="2081" t="s">
        <v>861</v>
      </c>
      <c r="H27" s="2081" t="s">
        <v>862</v>
      </c>
      <c r="I27" s="2081" t="s">
        <v>863</v>
      </c>
      <c r="J27" s="1967" t="s">
        <v>864</v>
      </c>
      <c r="K27" s="1967" t="s">
        <v>865</v>
      </c>
      <c r="L27" s="2155">
        <v>15000</v>
      </c>
      <c r="M27" s="1972">
        <v>10139</v>
      </c>
      <c r="N27" s="1967" t="s">
        <v>865</v>
      </c>
      <c r="O27" s="1967" t="s">
        <v>866</v>
      </c>
      <c r="P27" s="1967">
        <v>1</v>
      </c>
      <c r="Q27" s="37"/>
      <c r="R27" s="37"/>
      <c r="S27" s="37"/>
      <c r="T27" s="37"/>
      <c r="U27" s="37" t="s">
        <v>867</v>
      </c>
      <c r="V27" s="37" t="s">
        <v>868</v>
      </c>
      <c r="W27" s="37">
        <v>10386</v>
      </c>
      <c r="X27" s="37" t="s">
        <v>869</v>
      </c>
      <c r="Y27" s="37" t="s">
        <v>868</v>
      </c>
      <c r="Z27" s="37" t="s">
        <v>870</v>
      </c>
      <c r="AA27" s="37"/>
      <c r="AB27" s="37"/>
      <c r="AC27" s="320">
        <v>15000</v>
      </c>
      <c r="AD27" s="37"/>
      <c r="AE27" s="320">
        <f>L27-AD27+AC27</f>
        <v>30000</v>
      </c>
      <c r="AF27" s="2152">
        <v>87900</v>
      </c>
      <c r="AG27" s="2138">
        <v>5100</v>
      </c>
      <c r="AH27" s="2137">
        <f>AF27+AG27</f>
        <v>93000</v>
      </c>
      <c r="AI27" s="37"/>
      <c r="AJ27" s="37"/>
      <c r="AK27" s="37"/>
      <c r="AL27" s="37"/>
      <c r="AM27" s="172"/>
      <c r="AN27" s="172"/>
      <c r="AO27" s="172"/>
      <c r="AP27" s="172"/>
      <c r="AQ27" s="172"/>
      <c r="AR27" s="172"/>
      <c r="AS27" s="172"/>
      <c r="AT27" s="172"/>
      <c r="AU27" s="172"/>
      <c r="AV27" s="172"/>
      <c r="AW27" s="172"/>
      <c r="AX27" s="172"/>
      <c r="AY27" s="172"/>
      <c r="AZ27" s="172"/>
      <c r="BA27" s="172"/>
      <c r="BB27" s="172"/>
      <c r="BC27" s="172"/>
      <c r="BD27" s="172"/>
    </row>
    <row r="28" spans="1:56" x14ac:dyDescent="0.25">
      <c r="A28" s="2136"/>
      <c r="B28" s="2156"/>
      <c r="C28" s="2023"/>
      <c r="D28" s="2081"/>
      <c r="E28" s="1967"/>
      <c r="F28" s="2081"/>
      <c r="G28" s="2081"/>
      <c r="H28" s="2081"/>
      <c r="I28" s="2081"/>
      <c r="J28" s="1967"/>
      <c r="K28" s="1967"/>
      <c r="L28" s="2155"/>
      <c r="M28" s="1972"/>
      <c r="N28" s="1967"/>
      <c r="O28" s="1967"/>
      <c r="P28" s="1967"/>
      <c r="Q28" s="37"/>
      <c r="R28" s="37"/>
      <c r="S28" s="37"/>
      <c r="T28" s="37"/>
      <c r="U28" s="37" t="s">
        <v>871</v>
      </c>
      <c r="V28" s="37" t="s">
        <v>872</v>
      </c>
      <c r="W28" s="37">
        <v>10430</v>
      </c>
      <c r="X28" s="37" t="s">
        <v>869</v>
      </c>
      <c r="Y28" s="37" t="s">
        <v>872</v>
      </c>
      <c r="Z28" s="37" t="s">
        <v>873</v>
      </c>
      <c r="AA28" s="37"/>
      <c r="AB28" s="37"/>
      <c r="AC28" s="320">
        <v>15000</v>
      </c>
      <c r="AD28" s="37"/>
      <c r="AE28" s="320">
        <f t="shared" ref="AE28:AE45" si="0">L28-AD28+AC28</f>
        <v>15000</v>
      </c>
      <c r="AF28" s="2152"/>
      <c r="AG28" s="2138"/>
      <c r="AH28" s="1967"/>
      <c r="AI28" s="37"/>
      <c r="AJ28" s="37"/>
      <c r="AK28" s="37"/>
      <c r="AL28" s="37"/>
      <c r="AM28" s="172"/>
      <c r="AN28" s="172"/>
      <c r="AO28" s="172"/>
      <c r="AP28" s="172"/>
      <c r="AQ28" s="172"/>
      <c r="AR28" s="172"/>
      <c r="AS28" s="172"/>
      <c r="AT28" s="172"/>
      <c r="AU28" s="172"/>
      <c r="AV28" s="172"/>
      <c r="AW28" s="172"/>
      <c r="AX28" s="172"/>
      <c r="AY28" s="172"/>
      <c r="AZ28" s="172"/>
      <c r="BA28" s="172"/>
      <c r="BB28" s="172"/>
      <c r="BC28" s="172"/>
      <c r="BD28" s="172"/>
    </row>
    <row r="29" spans="1:56" x14ac:dyDescent="0.25">
      <c r="A29" s="2136"/>
      <c r="B29" s="2156"/>
      <c r="C29" s="2023"/>
      <c r="D29" s="2081"/>
      <c r="E29" s="1967"/>
      <c r="F29" s="2081"/>
      <c r="G29" s="2081"/>
      <c r="H29" s="2081"/>
      <c r="I29" s="2081"/>
      <c r="J29" s="1967"/>
      <c r="K29" s="1967"/>
      <c r="L29" s="2155"/>
      <c r="M29" s="1972"/>
      <c r="N29" s="1967"/>
      <c r="O29" s="1967"/>
      <c r="P29" s="1967"/>
      <c r="Q29" s="37"/>
      <c r="R29" s="37"/>
      <c r="S29" s="37"/>
      <c r="T29" s="37"/>
      <c r="U29" s="37" t="s">
        <v>874</v>
      </c>
      <c r="V29" s="37" t="s">
        <v>875</v>
      </c>
      <c r="W29" s="37">
        <v>10651</v>
      </c>
      <c r="X29" s="37" t="s">
        <v>869</v>
      </c>
      <c r="Y29" s="37" t="s">
        <v>875</v>
      </c>
      <c r="Z29" s="37" t="s">
        <v>609</v>
      </c>
      <c r="AA29" s="37"/>
      <c r="AB29" s="37"/>
      <c r="AC29" s="320">
        <v>15000</v>
      </c>
      <c r="AD29" s="37"/>
      <c r="AE29" s="320">
        <f t="shared" si="0"/>
        <v>15000</v>
      </c>
      <c r="AF29" s="2152"/>
      <c r="AG29" s="2138"/>
      <c r="AH29" s="1967"/>
      <c r="AI29" s="37"/>
      <c r="AJ29" s="37"/>
      <c r="AK29" s="37"/>
      <c r="AL29" s="37"/>
      <c r="AM29" s="172"/>
      <c r="AN29" s="172"/>
      <c r="AO29" s="172"/>
      <c r="AP29" s="172"/>
      <c r="AQ29" s="172"/>
      <c r="AR29" s="172"/>
      <c r="AS29" s="172"/>
      <c r="AT29" s="172"/>
      <c r="AU29" s="172"/>
      <c r="AV29" s="172"/>
      <c r="AW29" s="172"/>
      <c r="AX29" s="172"/>
      <c r="AY29" s="172"/>
      <c r="AZ29" s="172"/>
      <c r="BA29" s="172"/>
      <c r="BB29" s="172"/>
      <c r="BC29" s="172"/>
      <c r="BD29" s="172"/>
    </row>
    <row r="30" spans="1:56" x14ac:dyDescent="0.25">
      <c r="A30" s="2136"/>
      <c r="B30" s="2156"/>
      <c r="C30" s="2023"/>
      <c r="D30" s="2081"/>
      <c r="E30" s="1967"/>
      <c r="F30" s="2081"/>
      <c r="G30" s="2081"/>
      <c r="H30" s="2081"/>
      <c r="I30" s="2081"/>
      <c r="J30" s="1967"/>
      <c r="K30" s="1967"/>
      <c r="L30" s="2155"/>
      <c r="M30" s="1972"/>
      <c r="N30" s="1967"/>
      <c r="O30" s="1967"/>
      <c r="P30" s="1967"/>
      <c r="Q30" s="37"/>
      <c r="R30" s="37"/>
      <c r="S30" s="37"/>
      <c r="T30" s="37"/>
      <c r="U30" s="37" t="s">
        <v>876</v>
      </c>
      <c r="V30" s="37" t="s">
        <v>877</v>
      </c>
      <c r="W30" s="37">
        <v>10876</v>
      </c>
      <c r="X30" s="37" t="s">
        <v>869</v>
      </c>
      <c r="Y30" s="37" t="s">
        <v>877</v>
      </c>
      <c r="Z30" s="37" t="s">
        <v>878</v>
      </c>
      <c r="AA30" s="37"/>
      <c r="AB30" s="37"/>
      <c r="AC30" s="320">
        <v>7500</v>
      </c>
      <c r="AD30" s="37"/>
      <c r="AE30" s="320">
        <f t="shared" si="0"/>
        <v>7500</v>
      </c>
      <c r="AF30" s="2152"/>
      <c r="AG30" s="2138"/>
      <c r="AH30" s="1967"/>
      <c r="AI30" s="37"/>
      <c r="AJ30" s="37"/>
      <c r="AK30" s="37"/>
      <c r="AL30" s="37"/>
      <c r="AM30" s="172"/>
      <c r="AN30" s="172"/>
      <c r="AO30" s="172"/>
      <c r="AP30" s="172"/>
      <c r="AQ30" s="172"/>
      <c r="AR30" s="172"/>
      <c r="AS30" s="172"/>
      <c r="AT30" s="172"/>
      <c r="AU30" s="172"/>
      <c r="AV30" s="172"/>
      <c r="AW30" s="172"/>
      <c r="AX30" s="172"/>
      <c r="AY30" s="172"/>
      <c r="AZ30" s="172"/>
      <c r="BA30" s="172"/>
      <c r="BB30" s="172"/>
      <c r="BC30" s="172"/>
      <c r="BD30" s="172"/>
    </row>
    <row r="31" spans="1:56" x14ac:dyDescent="0.25">
      <c r="A31" s="2136"/>
      <c r="B31" s="2156"/>
      <c r="C31" s="2023"/>
      <c r="D31" s="2081"/>
      <c r="E31" s="1967"/>
      <c r="F31" s="2081"/>
      <c r="G31" s="2081"/>
      <c r="H31" s="2081"/>
      <c r="I31" s="2081"/>
      <c r="J31" s="1967"/>
      <c r="K31" s="1967"/>
      <c r="L31" s="2155"/>
      <c r="M31" s="1972"/>
      <c r="N31" s="1967"/>
      <c r="O31" s="1967"/>
      <c r="P31" s="1967"/>
      <c r="Q31" s="37"/>
      <c r="R31" s="37"/>
      <c r="S31" s="37"/>
      <c r="T31" s="37"/>
      <c r="U31" s="37" t="s">
        <v>879</v>
      </c>
      <c r="V31" s="37" t="s">
        <v>880</v>
      </c>
      <c r="W31" s="37">
        <v>10958</v>
      </c>
      <c r="X31" s="37" t="s">
        <v>869</v>
      </c>
      <c r="Y31" s="37" t="s">
        <v>880</v>
      </c>
      <c r="Z31" s="37" t="s">
        <v>881</v>
      </c>
      <c r="AA31" s="37"/>
      <c r="AB31" s="37"/>
      <c r="AC31" s="320">
        <v>9000</v>
      </c>
      <c r="AD31" s="37"/>
      <c r="AE31" s="320">
        <f t="shared" si="0"/>
        <v>9000</v>
      </c>
      <c r="AF31" s="2152"/>
      <c r="AG31" s="2138"/>
      <c r="AH31" s="1967"/>
      <c r="AI31" s="37"/>
      <c r="AJ31" s="37"/>
      <c r="AK31" s="37"/>
      <c r="AL31" s="37"/>
      <c r="AM31" s="172"/>
      <c r="AN31" s="172"/>
      <c r="AO31" s="172"/>
      <c r="AP31" s="172"/>
      <c r="AQ31" s="172"/>
      <c r="AR31" s="172"/>
      <c r="AS31" s="172"/>
      <c r="AT31" s="172"/>
      <c r="AU31" s="172"/>
      <c r="AV31" s="172"/>
      <c r="AW31" s="172"/>
      <c r="AX31" s="172"/>
      <c r="AY31" s="172"/>
      <c r="AZ31" s="172"/>
      <c r="BA31" s="172"/>
      <c r="BB31" s="172"/>
      <c r="BC31" s="172"/>
      <c r="BD31" s="172"/>
    </row>
    <row r="32" spans="1:56" x14ac:dyDescent="0.25">
      <c r="A32" s="2136"/>
      <c r="B32" s="2156"/>
      <c r="C32" s="2023"/>
      <c r="D32" s="2081"/>
      <c r="E32" s="1967"/>
      <c r="F32" s="2081"/>
      <c r="G32" s="2081"/>
      <c r="H32" s="2081"/>
      <c r="I32" s="2081"/>
      <c r="J32" s="1967"/>
      <c r="K32" s="1967"/>
      <c r="L32" s="2155"/>
      <c r="M32" s="1972"/>
      <c r="N32" s="1967"/>
      <c r="O32" s="1967"/>
      <c r="P32" s="1967"/>
      <c r="Q32" s="37"/>
      <c r="R32" s="37"/>
      <c r="S32" s="37"/>
      <c r="T32" s="37"/>
      <c r="U32" s="37" t="s">
        <v>882</v>
      </c>
      <c r="V32" s="37" t="s">
        <v>883</v>
      </c>
      <c r="W32" s="37">
        <v>11026</v>
      </c>
      <c r="X32" s="37" t="s">
        <v>869</v>
      </c>
      <c r="Y32" s="37" t="s">
        <v>883</v>
      </c>
      <c r="Z32" s="37" t="s">
        <v>884</v>
      </c>
      <c r="AA32" s="37"/>
      <c r="AB32" s="37"/>
      <c r="AC32" s="320">
        <v>17001</v>
      </c>
      <c r="AD32" s="37"/>
      <c r="AE32" s="320">
        <f t="shared" si="0"/>
        <v>17001</v>
      </c>
      <c r="AF32" s="2152"/>
      <c r="AG32" s="2138"/>
      <c r="AH32" s="1967"/>
      <c r="AI32" s="37"/>
      <c r="AJ32" s="37"/>
      <c r="AK32" s="37"/>
      <c r="AL32" s="37"/>
      <c r="AM32" s="172"/>
      <c r="AN32" s="172"/>
      <c r="AO32" s="172"/>
      <c r="AP32" s="172"/>
      <c r="AQ32" s="172"/>
      <c r="AR32" s="172"/>
      <c r="AS32" s="172"/>
      <c r="AT32" s="172"/>
      <c r="AU32" s="172"/>
      <c r="AV32" s="172"/>
      <c r="AW32" s="172"/>
      <c r="AX32" s="172"/>
      <c r="AY32" s="172"/>
      <c r="AZ32" s="172"/>
      <c r="BA32" s="172"/>
      <c r="BB32" s="172"/>
      <c r="BC32" s="172"/>
      <c r="BD32" s="172"/>
    </row>
    <row r="33" spans="1:57" ht="25.5" x14ac:dyDescent="0.25">
      <c r="A33" s="2136">
        <v>4</v>
      </c>
      <c r="B33" s="2156" t="s">
        <v>857</v>
      </c>
      <c r="C33" s="2023" t="s">
        <v>858</v>
      </c>
      <c r="D33" s="2081" t="s">
        <v>152</v>
      </c>
      <c r="E33" s="1967" t="s">
        <v>845</v>
      </c>
      <c r="F33" s="2081" t="s">
        <v>860</v>
      </c>
      <c r="G33" s="2081" t="s">
        <v>861</v>
      </c>
      <c r="H33" s="2081" t="s">
        <v>885</v>
      </c>
      <c r="I33" s="2081" t="s">
        <v>886</v>
      </c>
      <c r="J33" s="1967" t="s">
        <v>887</v>
      </c>
      <c r="K33" s="1967" t="s">
        <v>888</v>
      </c>
      <c r="L33" s="2155">
        <v>15000</v>
      </c>
      <c r="M33" s="1972">
        <v>10139</v>
      </c>
      <c r="N33" s="1967" t="s">
        <v>865</v>
      </c>
      <c r="O33" s="1967" t="s">
        <v>868</v>
      </c>
      <c r="P33" s="1967">
        <v>1</v>
      </c>
      <c r="Q33" s="37"/>
      <c r="R33" s="37"/>
      <c r="S33" s="37"/>
      <c r="T33" s="37"/>
      <c r="U33" s="37" t="s">
        <v>867</v>
      </c>
      <c r="V33" s="323" t="s">
        <v>868</v>
      </c>
      <c r="W33" s="37">
        <v>10386</v>
      </c>
      <c r="X33" s="37" t="s">
        <v>869</v>
      </c>
      <c r="Y33" s="323" t="s">
        <v>868</v>
      </c>
      <c r="Z33" s="323" t="s">
        <v>889</v>
      </c>
      <c r="AA33" s="37"/>
      <c r="AB33" s="37"/>
      <c r="AC33" s="324">
        <v>15000</v>
      </c>
      <c r="AD33" s="37"/>
      <c r="AE33" s="320">
        <f t="shared" si="0"/>
        <v>30000</v>
      </c>
      <c r="AF33" s="2152">
        <v>87900</v>
      </c>
      <c r="AG33" s="2138">
        <v>5100</v>
      </c>
      <c r="AH33" s="2137">
        <f>AF33+AG33</f>
        <v>93000</v>
      </c>
      <c r="AI33" s="37"/>
      <c r="AJ33" s="37"/>
      <c r="AK33" s="37"/>
      <c r="AL33" s="37"/>
      <c r="AM33" s="172"/>
      <c r="AN33" s="172"/>
      <c r="AO33" s="172"/>
      <c r="AP33" s="172"/>
      <c r="AQ33" s="172"/>
      <c r="AR33" s="172"/>
      <c r="AS33" s="172"/>
      <c r="AT33" s="172"/>
      <c r="AU33" s="172"/>
      <c r="AV33" s="172"/>
      <c r="AW33" s="172"/>
      <c r="AX33" s="172"/>
      <c r="AY33" s="172"/>
      <c r="AZ33" s="172"/>
      <c r="BA33" s="172"/>
      <c r="BB33" s="172"/>
      <c r="BC33" s="172"/>
      <c r="BD33" s="172"/>
    </row>
    <row r="34" spans="1:57" s="326" customFormat="1" ht="25.5" x14ac:dyDescent="0.25">
      <c r="A34" s="2136"/>
      <c r="B34" s="2156"/>
      <c r="C34" s="2023"/>
      <c r="D34" s="2081"/>
      <c r="E34" s="1967"/>
      <c r="F34" s="2081"/>
      <c r="G34" s="2081"/>
      <c r="H34" s="2081"/>
      <c r="I34" s="2081"/>
      <c r="J34" s="1967"/>
      <c r="K34" s="1967"/>
      <c r="L34" s="2155"/>
      <c r="M34" s="1972"/>
      <c r="N34" s="1967"/>
      <c r="O34" s="1967"/>
      <c r="P34" s="1967"/>
      <c r="Q34" s="37"/>
      <c r="R34" s="37"/>
      <c r="S34" s="37"/>
      <c r="T34" s="37"/>
      <c r="U34" s="37" t="s">
        <v>871</v>
      </c>
      <c r="V34" s="323" t="s">
        <v>872</v>
      </c>
      <c r="W34" s="37">
        <v>10430</v>
      </c>
      <c r="X34" s="37" t="s">
        <v>869</v>
      </c>
      <c r="Y34" s="323" t="s">
        <v>872</v>
      </c>
      <c r="Z34" s="323" t="s">
        <v>873</v>
      </c>
      <c r="AA34" s="37"/>
      <c r="AB34" s="37"/>
      <c r="AC34" s="324">
        <v>15000</v>
      </c>
      <c r="AD34" s="37"/>
      <c r="AE34" s="320">
        <f t="shared" si="0"/>
        <v>15000</v>
      </c>
      <c r="AF34" s="2152"/>
      <c r="AG34" s="2138"/>
      <c r="AH34" s="1967"/>
      <c r="AI34" s="37"/>
      <c r="AJ34" s="37"/>
      <c r="AK34" s="37"/>
      <c r="AL34" s="37"/>
      <c r="AM34" s="172"/>
      <c r="AN34" s="172"/>
      <c r="AO34" s="172"/>
      <c r="AP34" s="172"/>
      <c r="AQ34" s="172"/>
      <c r="AR34" s="172"/>
      <c r="AS34" s="172"/>
      <c r="AT34" s="172"/>
      <c r="AU34" s="172"/>
      <c r="AV34" s="172"/>
      <c r="AW34" s="172"/>
      <c r="AX34" s="172"/>
      <c r="AY34" s="172"/>
      <c r="AZ34" s="172"/>
      <c r="BA34" s="172"/>
      <c r="BB34" s="172"/>
      <c r="BC34" s="172"/>
      <c r="BD34" s="172"/>
      <c r="BE34" s="325"/>
    </row>
    <row r="35" spans="1:57" s="326" customFormat="1" ht="25.5" x14ac:dyDescent="0.25">
      <c r="A35" s="2136"/>
      <c r="B35" s="2156"/>
      <c r="C35" s="2023"/>
      <c r="D35" s="2081"/>
      <c r="E35" s="1967"/>
      <c r="F35" s="2081"/>
      <c r="G35" s="2081"/>
      <c r="H35" s="2081"/>
      <c r="I35" s="2081"/>
      <c r="J35" s="1967"/>
      <c r="K35" s="1967"/>
      <c r="L35" s="2155"/>
      <c r="M35" s="1972"/>
      <c r="N35" s="1967"/>
      <c r="O35" s="1967"/>
      <c r="P35" s="1967"/>
      <c r="Q35" s="37"/>
      <c r="R35" s="37"/>
      <c r="S35" s="37"/>
      <c r="T35" s="37"/>
      <c r="U35" s="37" t="s">
        <v>874</v>
      </c>
      <c r="V35" s="323" t="s">
        <v>875</v>
      </c>
      <c r="W35" s="37">
        <v>10651</v>
      </c>
      <c r="X35" s="37" t="s">
        <v>869</v>
      </c>
      <c r="Y35" s="323" t="s">
        <v>875</v>
      </c>
      <c r="Z35" s="323" t="s">
        <v>609</v>
      </c>
      <c r="AA35" s="37"/>
      <c r="AB35" s="37"/>
      <c r="AC35" s="324">
        <v>15000</v>
      </c>
      <c r="AD35" s="37"/>
      <c r="AE35" s="320">
        <f t="shared" si="0"/>
        <v>15000</v>
      </c>
      <c r="AF35" s="2152"/>
      <c r="AG35" s="2138"/>
      <c r="AH35" s="1967"/>
      <c r="AI35" s="37"/>
      <c r="AJ35" s="37"/>
      <c r="AK35" s="37"/>
      <c r="AL35" s="37"/>
      <c r="AM35" s="172"/>
      <c r="AN35" s="172"/>
      <c r="AO35" s="172"/>
      <c r="AP35" s="172"/>
      <c r="AQ35" s="172"/>
      <c r="AR35" s="172"/>
      <c r="AS35" s="172"/>
      <c r="AT35" s="172"/>
      <c r="AU35" s="172"/>
      <c r="AV35" s="172"/>
      <c r="AW35" s="172"/>
      <c r="AX35" s="172"/>
      <c r="AY35" s="172"/>
      <c r="AZ35" s="172"/>
      <c r="BA35" s="172"/>
      <c r="BB35" s="172"/>
      <c r="BC35" s="172"/>
      <c r="BD35" s="172"/>
      <c r="BE35" s="325"/>
    </row>
    <row r="36" spans="1:57" s="326" customFormat="1" ht="25.5" x14ac:dyDescent="0.25">
      <c r="A36" s="2136"/>
      <c r="B36" s="2156"/>
      <c r="C36" s="2023"/>
      <c r="D36" s="2081"/>
      <c r="E36" s="1967"/>
      <c r="F36" s="2081"/>
      <c r="G36" s="2081"/>
      <c r="H36" s="2081"/>
      <c r="I36" s="2081"/>
      <c r="J36" s="1967"/>
      <c r="K36" s="1967"/>
      <c r="L36" s="2155"/>
      <c r="M36" s="1972"/>
      <c r="N36" s="1967"/>
      <c r="O36" s="1967"/>
      <c r="P36" s="1967"/>
      <c r="Q36" s="37"/>
      <c r="R36" s="37"/>
      <c r="S36" s="37"/>
      <c r="T36" s="37"/>
      <c r="U36" s="37" t="s">
        <v>876</v>
      </c>
      <c r="V36" s="323" t="s">
        <v>877</v>
      </c>
      <c r="W36" s="37">
        <v>10876</v>
      </c>
      <c r="X36" s="37" t="s">
        <v>869</v>
      </c>
      <c r="Y36" s="323" t="s">
        <v>877</v>
      </c>
      <c r="Z36" s="323" t="s">
        <v>890</v>
      </c>
      <c r="AA36" s="37"/>
      <c r="AB36" s="37"/>
      <c r="AC36" s="324">
        <v>7500</v>
      </c>
      <c r="AD36" s="37"/>
      <c r="AE36" s="320">
        <f t="shared" si="0"/>
        <v>7500</v>
      </c>
      <c r="AF36" s="2152"/>
      <c r="AG36" s="2138"/>
      <c r="AH36" s="1967"/>
      <c r="AI36" s="37"/>
      <c r="AJ36" s="37"/>
      <c r="AK36" s="37"/>
      <c r="AL36" s="37"/>
      <c r="AM36" s="172"/>
      <c r="AN36" s="172"/>
      <c r="AO36" s="172"/>
      <c r="AP36" s="172"/>
      <c r="AQ36" s="172"/>
      <c r="AR36" s="172"/>
      <c r="AS36" s="172"/>
      <c r="AT36" s="172"/>
      <c r="AU36" s="172"/>
      <c r="AV36" s="172"/>
      <c r="AW36" s="172"/>
      <c r="AX36" s="172"/>
      <c r="AY36" s="172"/>
      <c r="AZ36" s="172"/>
      <c r="BA36" s="172"/>
      <c r="BB36" s="172"/>
      <c r="BC36" s="172"/>
      <c r="BD36" s="172"/>
      <c r="BE36" s="325"/>
    </row>
    <row r="37" spans="1:57" s="326" customFormat="1" ht="26.25" x14ac:dyDescent="0.25">
      <c r="A37" s="2136"/>
      <c r="B37" s="2156"/>
      <c r="C37" s="2023"/>
      <c r="D37" s="2081"/>
      <c r="E37" s="1967"/>
      <c r="F37" s="2081"/>
      <c r="G37" s="2081"/>
      <c r="H37" s="2081"/>
      <c r="I37" s="2081"/>
      <c r="J37" s="1967"/>
      <c r="K37" s="1967"/>
      <c r="L37" s="2155"/>
      <c r="M37" s="1972"/>
      <c r="N37" s="1967"/>
      <c r="O37" s="1967"/>
      <c r="P37" s="1967"/>
      <c r="Q37" s="37"/>
      <c r="R37" s="37"/>
      <c r="S37" s="37"/>
      <c r="T37" s="37"/>
      <c r="U37" s="37" t="s">
        <v>879</v>
      </c>
      <c r="V37" s="323" t="s">
        <v>880</v>
      </c>
      <c r="W37" s="37">
        <v>10958</v>
      </c>
      <c r="X37" s="37" t="s">
        <v>869</v>
      </c>
      <c r="Y37" s="323" t="s">
        <v>880</v>
      </c>
      <c r="Z37" s="327" t="s">
        <v>891</v>
      </c>
      <c r="AA37" s="37"/>
      <c r="AB37" s="37"/>
      <c r="AC37" s="324">
        <v>9000</v>
      </c>
      <c r="AD37" s="37"/>
      <c r="AE37" s="320">
        <f t="shared" si="0"/>
        <v>9000</v>
      </c>
      <c r="AF37" s="2152"/>
      <c r="AG37" s="2138"/>
      <c r="AH37" s="1967"/>
      <c r="AI37" s="37"/>
      <c r="AJ37" s="37"/>
      <c r="AK37" s="37"/>
      <c r="AL37" s="37"/>
      <c r="AM37" s="172"/>
      <c r="AN37" s="172"/>
      <c r="AO37" s="172"/>
      <c r="AP37" s="172"/>
      <c r="AQ37" s="172"/>
      <c r="AR37" s="172"/>
      <c r="AS37" s="172"/>
      <c r="AT37" s="172"/>
      <c r="AU37" s="172"/>
      <c r="AV37" s="172"/>
      <c r="AW37" s="172"/>
      <c r="AX37" s="172"/>
      <c r="AY37" s="172"/>
      <c r="AZ37" s="172"/>
      <c r="BA37" s="172"/>
      <c r="BB37" s="172"/>
      <c r="BC37" s="172"/>
      <c r="BD37" s="172"/>
      <c r="BE37" s="325"/>
    </row>
    <row r="38" spans="1:57" s="221" customFormat="1" ht="25.5" x14ac:dyDescent="0.25">
      <c r="A38" s="2136"/>
      <c r="B38" s="2156"/>
      <c r="C38" s="2023"/>
      <c r="D38" s="2081"/>
      <c r="E38" s="1967"/>
      <c r="F38" s="2081"/>
      <c r="G38" s="2081"/>
      <c r="H38" s="2081"/>
      <c r="I38" s="2081"/>
      <c r="J38" s="1967"/>
      <c r="K38" s="1967"/>
      <c r="L38" s="2155"/>
      <c r="M38" s="1972"/>
      <c r="N38" s="1967"/>
      <c r="O38" s="1967"/>
      <c r="P38" s="1967"/>
      <c r="Q38" s="37"/>
      <c r="R38" s="37"/>
      <c r="S38" s="37"/>
      <c r="T38" s="37"/>
      <c r="U38" s="37" t="s">
        <v>882</v>
      </c>
      <c r="V38" s="323" t="s">
        <v>883</v>
      </c>
      <c r="W38" s="37">
        <v>11026</v>
      </c>
      <c r="X38" s="37" t="s">
        <v>869</v>
      </c>
      <c r="Y38" s="323" t="s">
        <v>883</v>
      </c>
      <c r="Z38" s="323" t="s">
        <v>884</v>
      </c>
      <c r="AA38" s="37"/>
      <c r="AB38" s="37"/>
      <c r="AC38" s="324">
        <v>17001</v>
      </c>
      <c r="AD38" s="37"/>
      <c r="AE38" s="320">
        <f t="shared" si="0"/>
        <v>17001</v>
      </c>
      <c r="AF38" s="2152"/>
      <c r="AG38" s="2138"/>
      <c r="AH38" s="1967"/>
      <c r="AI38" s="37"/>
      <c r="AJ38" s="37"/>
      <c r="AK38" s="37"/>
      <c r="AL38" s="37"/>
      <c r="AM38" s="172"/>
      <c r="AN38" s="172"/>
      <c r="AO38" s="172"/>
      <c r="AP38" s="172"/>
      <c r="AQ38" s="172"/>
      <c r="AR38" s="172"/>
      <c r="AS38" s="172"/>
      <c r="AT38" s="172"/>
      <c r="AU38" s="172"/>
      <c r="AV38" s="172"/>
      <c r="AW38" s="172"/>
      <c r="AX38" s="172"/>
      <c r="AY38" s="172"/>
      <c r="AZ38" s="172"/>
      <c r="BA38" s="172"/>
      <c r="BB38" s="172"/>
      <c r="BC38" s="172"/>
      <c r="BD38" s="172"/>
    </row>
    <row r="39" spans="1:57" s="221" customFormat="1" ht="25.5" x14ac:dyDescent="0.25">
      <c r="A39" s="2157">
        <v>5</v>
      </c>
      <c r="B39" s="2156" t="s">
        <v>857</v>
      </c>
      <c r="C39" s="2023" t="s">
        <v>858</v>
      </c>
      <c r="D39" s="2081" t="s">
        <v>152</v>
      </c>
      <c r="E39" s="1967" t="s">
        <v>845</v>
      </c>
      <c r="F39" s="2081" t="s">
        <v>860</v>
      </c>
      <c r="G39" s="2081" t="s">
        <v>861</v>
      </c>
      <c r="H39" s="2153" t="s">
        <v>892</v>
      </c>
      <c r="I39" s="2154" t="s">
        <v>893</v>
      </c>
      <c r="J39" s="1967" t="s">
        <v>894</v>
      </c>
      <c r="K39" s="1967" t="s">
        <v>888</v>
      </c>
      <c r="L39" s="2155">
        <v>15000</v>
      </c>
      <c r="M39" s="1972">
        <v>10139</v>
      </c>
      <c r="N39" s="1967" t="s">
        <v>865</v>
      </c>
      <c r="O39" s="1967" t="s">
        <v>868</v>
      </c>
      <c r="P39" s="1967">
        <v>1</v>
      </c>
      <c r="Q39" s="37"/>
      <c r="R39" s="37"/>
      <c r="S39" s="37"/>
      <c r="T39" s="37"/>
      <c r="U39" s="37" t="s">
        <v>867</v>
      </c>
      <c r="V39" s="323" t="s">
        <v>868</v>
      </c>
      <c r="W39" s="37">
        <v>10386</v>
      </c>
      <c r="X39" s="37" t="s">
        <v>869</v>
      </c>
      <c r="Y39" s="323" t="s">
        <v>868</v>
      </c>
      <c r="Z39" s="323" t="s">
        <v>889</v>
      </c>
      <c r="AA39" s="37"/>
      <c r="AB39" s="37"/>
      <c r="AC39" s="324">
        <v>15000</v>
      </c>
      <c r="AD39" s="37"/>
      <c r="AE39" s="320">
        <f t="shared" si="0"/>
        <v>30000</v>
      </c>
      <c r="AF39" s="2152">
        <v>89150</v>
      </c>
      <c r="AG39" s="2138">
        <v>5100</v>
      </c>
      <c r="AH39" s="2137">
        <f>AF39+AG39</f>
        <v>94250</v>
      </c>
      <c r="AI39" s="37"/>
      <c r="AJ39" s="37"/>
      <c r="AK39" s="37"/>
      <c r="AL39" s="37"/>
      <c r="AM39" s="172"/>
      <c r="AN39" s="172"/>
      <c r="AO39" s="172"/>
      <c r="AP39" s="172"/>
      <c r="AQ39" s="172"/>
      <c r="AR39" s="172"/>
      <c r="AS39" s="172"/>
      <c r="AT39" s="172"/>
      <c r="AU39" s="172"/>
      <c r="AV39" s="172"/>
      <c r="AW39" s="172"/>
      <c r="AX39" s="172"/>
      <c r="AY39" s="172"/>
      <c r="AZ39" s="172"/>
      <c r="BA39" s="172"/>
      <c r="BB39" s="172"/>
      <c r="BC39" s="172"/>
      <c r="BD39" s="172"/>
    </row>
    <row r="40" spans="1:57" s="221" customFormat="1" ht="25.5" x14ac:dyDescent="0.25">
      <c r="A40" s="2158"/>
      <c r="B40" s="2156"/>
      <c r="C40" s="2023"/>
      <c r="D40" s="2081"/>
      <c r="E40" s="1967"/>
      <c r="F40" s="2081"/>
      <c r="G40" s="2081"/>
      <c r="H40" s="2153"/>
      <c r="I40" s="2154"/>
      <c r="J40" s="1967"/>
      <c r="K40" s="1967"/>
      <c r="L40" s="2155"/>
      <c r="M40" s="1972"/>
      <c r="N40" s="1967"/>
      <c r="O40" s="1967"/>
      <c r="P40" s="1967"/>
      <c r="Q40" s="37"/>
      <c r="R40" s="37"/>
      <c r="S40" s="37"/>
      <c r="T40" s="37"/>
      <c r="U40" s="37" t="s">
        <v>871</v>
      </c>
      <c r="V40" s="323" t="s">
        <v>872</v>
      </c>
      <c r="W40" s="37">
        <v>10430</v>
      </c>
      <c r="X40" s="37" t="s">
        <v>869</v>
      </c>
      <c r="Y40" s="323" t="s">
        <v>872</v>
      </c>
      <c r="Z40" s="323" t="s">
        <v>873</v>
      </c>
      <c r="AA40" s="37"/>
      <c r="AB40" s="37"/>
      <c r="AC40" s="324">
        <v>15000</v>
      </c>
      <c r="AD40" s="37"/>
      <c r="AE40" s="320">
        <f t="shared" si="0"/>
        <v>15000</v>
      </c>
      <c r="AF40" s="2152"/>
      <c r="AG40" s="2138"/>
      <c r="AH40" s="1967"/>
      <c r="AI40" s="37"/>
      <c r="AJ40" s="37"/>
      <c r="AK40" s="37"/>
      <c r="AL40" s="37"/>
      <c r="AM40" s="172"/>
      <c r="AN40" s="172"/>
      <c r="AO40" s="172"/>
      <c r="AP40" s="172"/>
      <c r="AQ40" s="172"/>
      <c r="AR40" s="172"/>
      <c r="AS40" s="172"/>
      <c r="AT40" s="172"/>
      <c r="AU40" s="172"/>
      <c r="AV40" s="172"/>
      <c r="AW40" s="172"/>
      <c r="AX40" s="172"/>
      <c r="AY40" s="172"/>
      <c r="AZ40" s="172"/>
      <c r="BA40" s="172"/>
      <c r="BB40" s="172"/>
      <c r="BC40" s="172"/>
      <c r="BD40" s="172"/>
    </row>
    <row r="41" spans="1:57" ht="25.5" x14ac:dyDescent="0.25">
      <c r="A41" s="2158"/>
      <c r="B41" s="2156"/>
      <c r="C41" s="2023"/>
      <c r="D41" s="2081"/>
      <c r="E41" s="1967"/>
      <c r="F41" s="2081"/>
      <c r="G41" s="2081"/>
      <c r="H41" s="2153"/>
      <c r="I41" s="2154"/>
      <c r="J41" s="1967"/>
      <c r="K41" s="1967"/>
      <c r="L41" s="2155"/>
      <c r="M41" s="1972"/>
      <c r="N41" s="1967"/>
      <c r="O41" s="1967"/>
      <c r="P41" s="1967"/>
      <c r="Q41" s="37"/>
      <c r="R41" s="37"/>
      <c r="S41" s="37"/>
      <c r="T41" s="37"/>
      <c r="U41" s="37" t="s">
        <v>874</v>
      </c>
      <c r="V41" s="323" t="s">
        <v>875</v>
      </c>
      <c r="W41" s="37">
        <v>10651</v>
      </c>
      <c r="X41" s="37" t="s">
        <v>869</v>
      </c>
      <c r="Y41" s="323" t="s">
        <v>875</v>
      </c>
      <c r="Z41" s="323" t="s">
        <v>609</v>
      </c>
      <c r="AA41" s="37"/>
      <c r="AB41" s="37"/>
      <c r="AC41" s="324">
        <v>15000</v>
      </c>
      <c r="AD41" s="37"/>
      <c r="AE41" s="320">
        <f t="shared" si="0"/>
        <v>15000</v>
      </c>
      <c r="AF41" s="2152"/>
      <c r="AG41" s="2138"/>
      <c r="AH41" s="1967"/>
      <c r="AI41" s="37"/>
      <c r="AJ41" s="37"/>
      <c r="AK41" s="37"/>
      <c r="AL41" s="37"/>
      <c r="AM41" s="172"/>
      <c r="AN41" s="172"/>
      <c r="AO41" s="172"/>
      <c r="AP41" s="172"/>
      <c r="AQ41" s="172"/>
      <c r="AR41" s="172"/>
      <c r="AS41" s="172"/>
      <c r="AT41" s="172"/>
      <c r="AU41" s="172"/>
      <c r="AV41" s="172"/>
      <c r="AW41" s="172"/>
      <c r="AX41" s="172"/>
      <c r="AY41" s="172"/>
      <c r="AZ41" s="172"/>
      <c r="BA41" s="172"/>
      <c r="BB41" s="172"/>
      <c r="BC41" s="172"/>
      <c r="BD41" s="172"/>
    </row>
    <row r="42" spans="1:57" ht="25.5" x14ac:dyDescent="0.25">
      <c r="A42" s="2158"/>
      <c r="B42" s="2156"/>
      <c r="C42" s="2023"/>
      <c r="D42" s="2081"/>
      <c r="E42" s="1967"/>
      <c r="F42" s="2081"/>
      <c r="G42" s="2081"/>
      <c r="H42" s="2153"/>
      <c r="I42" s="2154"/>
      <c r="J42" s="1967"/>
      <c r="K42" s="1967"/>
      <c r="L42" s="2155"/>
      <c r="M42" s="1972"/>
      <c r="N42" s="1967"/>
      <c r="O42" s="1967"/>
      <c r="P42" s="1967"/>
      <c r="Q42" s="37"/>
      <c r="R42" s="37"/>
      <c r="S42" s="37"/>
      <c r="T42" s="37"/>
      <c r="U42" s="37" t="s">
        <v>876</v>
      </c>
      <c r="V42" s="323" t="s">
        <v>877</v>
      </c>
      <c r="W42" s="37">
        <v>10876</v>
      </c>
      <c r="X42" s="37" t="s">
        <v>869</v>
      </c>
      <c r="Y42" s="323" t="s">
        <v>877</v>
      </c>
      <c r="Z42" s="323" t="s">
        <v>890</v>
      </c>
      <c r="AA42" s="37"/>
      <c r="AB42" s="37"/>
      <c r="AC42" s="324">
        <v>7500</v>
      </c>
      <c r="AD42" s="37"/>
      <c r="AE42" s="320">
        <f t="shared" si="0"/>
        <v>7500</v>
      </c>
      <c r="AF42" s="2152"/>
      <c r="AG42" s="2138"/>
      <c r="AH42" s="1967"/>
      <c r="AI42" s="37"/>
      <c r="AJ42" s="37"/>
      <c r="AK42" s="37"/>
      <c r="AL42" s="37"/>
      <c r="AM42" s="172"/>
      <c r="AN42" s="172"/>
      <c r="AO42" s="172"/>
      <c r="AP42" s="172"/>
      <c r="AQ42" s="172"/>
      <c r="AR42" s="172"/>
      <c r="AS42" s="172"/>
      <c r="AT42" s="172"/>
      <c r="AU42" s="172"/>
      <c r="AV42" s="172"/>
      <c r="AW42" s="172"/>
      <c r="AX42" s="172"/>
      <c r="AY42" s="172"/>
      <c r="AZ42" s="172"/>
      <c r="BA42" s="172"/>
      <c r="BB42" s="172"/>
      <c r="BC42" s="172"/>
      <c r="BD42" s="172"/>
    </row>
    <row r="43" spans="1:57" ht="25.5" x14ac:dyDescent="0.25">
      <c r="A43" s="2158"/>
      <c r="B43" s="2156"/>
      <c r="C43" s="2023"/>
      <c r="D43" s="2081"/>
      <c r="E43" s="1967"/>
      <c r="F43" s="2081"/>
      <c r="G43" s="2081"/>
      <c r="H43" s="2153"/>
      <c r="I43" s="2154"/>
      <c r="J43" s="1967"/>
      <c r="K43" s="1967"/>
      <c r="L43" s="2155"/>
      <c r="M43" s="1972"/>
      <c r="N43" s="1967"/>
      <c r="O43" s="1967"/>
      <c r="P43" s="1967"/>
      <c r="Q43" s="37"/>
      <c r="R43" s="37"/>
      <c r="S43" s="37"/>
      <c r="T43" s="37"/>
      <c r="U43" s="37" t="s">
        <v>879</v>
      </c>
      <c r="V43" s="323" t="s">
        <v>880</v>
      </c>
      <c r="W43" s="37">
        <v>10958</v>
      </c>
      <c r="X43" s="37" t="s">
        <v>869</v>
      </c>
      <c r="Y43" s="323" t="s">
        <v>880</v>
      </c>
      <c r="Z43" s="323" t="s">
        <v>891</v>
      </c>
      <c r="AA43" s="37"/>
      <c r="AB43" s="37"/>
      <c r="AC43" s="324">
        <v>9000</v>
      </c>
      <c r="AD43" s="37"/>
      <c r="AE43" s="320">
        <f t="shared" si="0"/>
        <v>9000</v>
      </c>
      <c r="AF43" s="2152"/>
      <c r="AG43" s="2138"/>
      <c r="AH43" s="1967"/>
      <c r="AI43" s="37"/>
      <c r="AJ43" s="37"/>
      <c r="AK43" s="37"/>
      <c r="AL43" s="37"/>
      <c r="AM43" s="172"/>
      <c r="AN43" s="172"/>
      <c r="AO43" s="172"/>
      <c r="AP43" s="172"/>
      <c r="AQ43" s="172"/>
      <c r="AR43" s="172"/>
      <c r="AS43" s="172"/>
      <c r="AT43" s="172"/>
      <c r="AU43" s="172"/>
      <c r="AV43" s="172"/>
      <c r="AW43" s="172"/>
      <c r="AX43" s="172"/>
      <c r="AY43" s="172"/>
      <c r="AZ43" s="172"/>
      <c r="BA43" s="172"/>
      <c r="BB43" s="172"/>
      <c r="BC43" s="172"/>
      <c r="BD43" s="172"/>
    </row>
    <row r="44" spans="1:57" ht="25.5" x14ac:dyDescent="0.25">
      <c r="A44" s="2159"/>
      <c r="B44" s="2156"/>
      <c r="C44" s="2023"/>
      <c r="D44" s="2081"/>
      <c r="E44" s="1967"/>
      <c r="F44" s="2081"/>
      <c r="G44" s="2081"/>
      <c r="H44" s="2153"/>
      <c r="I44" s="2154"/>
      <c r="J44" s="1967"/>
      <c r="K44" s="1967"/>
      <c r="L44" s="2155"/>
      <c r="M44" s="1972"/>
      <c r="N44" s="1967"/>
      <c r="O44" s="1967"/>
      <c r="P44" s="1967"/>
      <c r="Q44" s="37"/>
      <c r="R44" s="37"/>
      <c r="S44" s="37"/>
      <c r="T44" s="37"/>
      <c r="U44" s="37" t="s">
        <v>882</v>
      </c>
      <c r="V44" s="323" t="s">
        <v>883</v>
      </c>
      <c r="W44" s="37">
        <v>11026</v>
      </c>
      <c r="X44" s="37" t="s">
        <v>869</v>
      </c>
      <c r="Y44" s="323" t="s">
        <v>883</v>
      </c>
      <c r="Z44" s="323" t="s">
        <v>884</v>
      </c>
      <c r="AA44" s="37"/>
      <c r="AB44" s="37"/>
      <c r="AC44" s="324">
        <v>17001</v>
      </c>
      <c r="AD44" s="37"/>
      <c r="AE44" s="320">
        <f t="shared" si="0"/>
        <v>17001</v>
      </c>
      <c r="AF44" s="2152"/>
      <c r="AG44" s="2138"/>
      <c r="AH44" s="1967"/>
      <c r="AI44" s="37"/>
      <c r="AJ44" s="37"/>
      <c r="AK44" s="37"/>
      <c r="AL44" s="37"/>
      <c r="AM44" s="172"/>
      <c r="AN44" s="172"/>
      <c r="AO44" s="172"/>
      <c r="AP44" s="172"/>
      <c r="AQ44" s="172"/>
      <c r="AR44" s="172"/>
      <c r="AS44" s="172"/>
      <c r="AT44" s="172"/>
      <c r="AU44" s="172"/>
      <c r="AV44" s="172"/>
      <c r="AW44" s="172"/>
      <c r="AX44" s="172"/>
      <c r="AY44" s="172"/>
      <c r="AZ44" s="172"/>
      <c r="BA44" s="172"/>
      <c r="BB44" s="172"/>
      <c r="BC44" s="172"/>
      <c r="BD44" s="172"/>
    </row>
    <row r="45" spans="1:57" ht="25.5" x14ac:dyDescent="0.25">
      <c r="A45" s="254">
        <v>6</v>
      </c>
      <c r="B45" s="328" t="s">
        <v>895</v>
      </c>
      <c r="C45" s="76"/>
      <c r="D45" s="166" t="s">
        <v>896</v>
      </c>
      <c r="E45" s="37" t="s">
        <v>845</v>
      </c>
      <c r="F45" s="76" t="s">
        <v>897</v>
      </c>
      <c r="G45" s="166" t="s">
        <v>898</v>
      </c>
      <c r="H45" s="329" t="s">
        <v>847</v>
      </c>
      <c r="I45" s="329" t="s">
        <v>899</v>
      </c>
      <c r="J45" s="152" t="s">
        <v>900</v>
      </c>
      <c r="K45" s="45">
        <v>41607</v>
      </c>
      <c r="L45" s="324">
        <v>5413</v>
      </c>
      <c r="M45" s="46"/>
      <c r="N45" s="37"/>
      <c r="O45" s="37"/>
      <c r="P45" s="37">
        <v>1</v>
      </c>
      <c r="Q45" s="37"/>
      <c r="R45" s="37"/>
      <c r="S45" s="37"/>
      <c r="T45" s="37" t="s">
        <v>408</v>
      </c>
      <c r="U45" s="37"/>
      <c r="V45" s="323"/>
      <c r="W45" s="37"/>
      <c r="X45" s="37"/>
      <c r="Y45" s="323"/>
      <c r="Z45" s="323"/>
      <c r="AA45" s="37"/>
      <c r="AB45" s="37"/>
      <c r="AC45" s="324"/>
      <c r="AD45" s="37"/>
      <c r="AE45" s="320">
        <f t="shared" si="0"/>
        <v>5413</v>
      </c>
      <c r="AF45" s="330">
        <v>0</v>
      </c>
      <c r="AG45" s="320">
        <v>5413</v>
      </c>
      <c r="AH45" s="322">
        <f>AF45+AG45</f>
        <v>5413</v>
      </c>
      <c r="AI45" s="37" t="s">
        <v>901</v>
      </c>
      <c r="AJ45" s="166" t="s">
        <v>898</v>
      </c>
      <c r="AK45" s="37" t="s">
        <v>902</v>
      </c>
      <c r="AL45" s="166" t="s">
        <v>898</v>
      </c>
      <c r="AM45" s="172"/>
      <c r="AN45" s="172"/>
      <c r="AO45" s="172"/>
      <c r="AP45" s="172"/>
      <c r="AQ45" s="172"/>
      <c r="AR45" s="172"/>
      <c r="AS45" s="172"/>
      <c r="AT45" s="172"/>
      <c r="AU45" s="172"/>
      <c r="AV45" s="172"/>
      <c r="AW45" s="172"/>
      <c r="AX45" s="172"/>
      <c r="AY45" s="172"/>
      <c r="AZ45" s="172"/>
      <c r="BA45" s="172"/>
      <c r="BB45" s="172"/>
      <c r="BC45" s="172"/>
      <c r="BD45" s="172"/>
    </row>
    <row r="46" spans="1:57" x14ac:dyDescent="0.25">
      <c r="A46" s="2136">
        <v>7</v>
      </c>
      <c r="B46" s="2150" t="s">
        <v>903</v>
      </c>
      <c r="C46" s="2151" t="s">
        <v>904</v>
      </c>
      <c r="D46" s="1978" t="s">
        <v>896</v>
      </c>
      <c r="E46" s="1967" t="s">
        <v>905</v>
      </c>
      <c r="F46" s="1967" t="s">
        <v>906</v>
      </c>
      <c r="G46" s="1967" t="s">
        <v>907</v>
      </c>
      <c r="H46" s="1978" t="s">
        <v>908</v>
      </c>
      <c r="I46" s="1967" t="s">
        <v>909</v>
      </c>
      <c r="J46" s="1985" t="s">
        <v>910</v>
      </c>
      <c r="K46" s="1967" t="s">
        <v>911</v>
      </c>
      <c r="L46" s="2138">
        <v>198917.04</v>
      </c>
      <c r="M46" s="1972">
        <v>10684</v>
      </c>
      <c r="N46" s="1967" t="s">
        <v>911</v>
      </c>
      <c r="O46" s="1967" t="s">
        <v>912</v>
      </c>
      <c r="P46" s="1967">
        <v>1</v>
      </c>
      <c r="Q46" s="37"/>
      <c r="R46" s="37"/>
      <c r="S46" s="37"/>
      <c r="T46" s="1967" t="s">
        <v>208</v>
      </c>
      <c r="U46" s="37" t="s">
        <v>867</v>
      </c>
      <c r="V46" s="37" t="s">
        <v>913</v>
      </c>
      <c r="W46" s="46">
        <v>10931</v>
      </c>
      <c r="X46" s="37" t="s">
        <v>914</v>
      </c>
      <c r="Y46" s="37" t="s">
        <v>913</v>
      </c>
      <c r="Z46" s="37" t="s">
        <v>915</v>
      </c>
      <c r="AA46" s="37"/>
      <c r="AB46" s="37"/>
      <c r="AC46" s="326"/>
      <c r="AD46" s="37"/>
      <c r="AF46" s="2149">
        <f>139760.22+249765.87+32077.69+234498.8</f>
        <v>656102.57999999996</v>
      </c>
      <c r="AG46" s="2138">
        <v>310073.61</v>
      </c>
      <c r="AH46" s="2138">
        <f>AF46+AG46</f>
        <v>966176.19</v>
      </c>
      <c r="AI46" s="1967" t="s">
        <v>587</v>
      </c>
      <c r="AJ46" s="1967" t="s">
        <v>907</v>
      </c>
      <c r="AK46" s="1967" t="s">
        <v>916</v>
      </c>
      <c r="AL46" s="1967" t="s">
        <v>907</v>
      </c>
      <c r="AM46" s="172"/>
      <c r="AN46" s="172"/>
      <c r="AO46" s="172"/>
      <c r="AP46" s="172"/>
      <c r="AQ46" s="172"/>
      <c r="AR46" s="172"/>
      <c r="AS46" s="172"/>
      <c r="AT46" s="172"/>
      <c r="AU46" s="172"/>
      <c r="AV46" s="172"/>
      <c r="AW46" s="172"/>
      <c r="AX46" s="172"/>
      <c r="AY46" s="172"/>
      <c r="AZ46" s="172"/>
      <c r="BA46" s="172"/>
      <c r="BB46" s="172"/>
      <c r="BC46" s="172"/>
      <c r="BD46" s="172"/>
    </row>
    <row r="47" spans="1:57" x14ac:dyDescent="0.25">
      <c r="A47" s="2136"/>
      <c r="B47" s="2150"/>
      <c r="C47" s="2151"/>
      <c r="D47" s="1978"/>
      <c r="E47" s="1967"/>
      <c r="F47" s="1967"/>
      <c r="G47" s="1967"/>
      <c r="H47" s="1978"/>
      <c r="I47" s="1967"/>
      <c r="J47" s="2021"/>
      <c r="K47" s="1967"/>
      <c r="L47" s="2138"/>
      <c r="M47" s="1972"/>
      <c r="N47" s="1967"/>
      <c r="O47" s="1967"/>
      <c r="P47" s="1967"/>
      <c r="Q47" s="37"/>
      <c r="R47" s="37"/>
      <c r="S47" s="37"/>
      <c r="T47" s="1967"/>
      <c r="U47" s="37" t="s">
        <v>871</v>
      </c>
      <c r="V47" s="37" t="s">
        <v>917</v>
      </c>
      <c r="W47" s="46">
        <v>11066</v>
      </c>
      <c r="X47" s="37" t="s">
        <v>918</v>
      </c>
      <c r="Y47" s="37"/>
      <c r="Z47" s="37"/>
      <c r="AA47" s="37">
        <v>25</v>
      </c>
      <c r="AB47" s="37"/>
      <c r="AC47" s="320">
        <v>49729.26</v>
      </c>
      <c r="AD47" s="37"/>
      <c r="AE47" s="322">
        <f>L46-AD46+AC47</f>
        <v>248646.30000000002</v>
      </c>
      <c r="AF47" s="2149"/>
      <c r="AG47" s="2138"/>
      <c r="AH47" s="2138"/>
      <c r="AI47" s="1967"/>
      <c r="AJ47" s="1967"/>
      <c r="AK47" s="1967"/>
      <c r="AL47" s="1967"/>
      <c r="AM47" s="172"/>
      <c r="AN47" s="172"/>
      <c r="AO47" s="172"/>
      <c r="AP47" s="172"/>
      <c r="AQ47" s="172"/>
      <c r="AR47" s="172"/>
      <c r="AS47" s="172"/>
      <c r="AT47" s="172"/>
      <c r="AU47" s="172"/>
      <c r="AV47" s="172"/>
      <c r="AW47" s="172"/>
      <c r="AX47" s="172"/>
      <c r="AY47" s="172"/>
      <c r="AZ47" s="172"/>
      <c r="BA47" s="172"/>
      <c r="BB47" s="172"/>
      <c r="BC47" s="172"/>
      <c r="BD47" s="172"/>
    </row>
    <row r="48" spans="1:57" x14ac:dyDescent="0.25">
      <c r="A48" s="2136"/>
      <c r="B48" s="2150"/>
      <c r="C48" s="2151"/>
      <c r="D48" s="1978"/>
      <c r="E48" s="1967"/>
      <c r="F48" s="1967"/>
      <c r="G48" s="1967"/>
      <c r="H48" s="1978"/>
      <c r="I48" s="1967"/>
      <c r="J48" s="1986"/>
      <c r="K48" s="1967"/>
      <c r="L48" s="2138"/>
      <c r="M48" s="1972"/>
      <c r="N48" s="1967"/>
      <c r="O48" s="1967"/>
      <c r="P48" s="1967"/>
      <c r="Q48" s="37"/>
      <c r="R48" s="37"/>
      <c r="S48" s="37"/>
      <c r="T48" s="1967"/>
      <c r="U48" s="37" t="s">
        <v>874</v>
      </c>
      <c r="V48" s="37" t="s">
        <v>919</v>
      </c>
      <c r="W48" s="46">
        <v>11184</v>
      </c>
      <c r="X48" s="37" t="s">
        <v>914</v>
      </c>
      <c r="Y48" s="37" t="s">
        <v>919</v>
      </c>
      <c r="Z48" s="37" t="s">
        <v>920</v>
      </c>
      <c r="AA48" s="37"/>
      <c r="AB48" s="37"/>
      <c r="AC48" s="37"/>
      <c r="AD48" s="37"/>
      <c r="AE48" s="37"/>
      <c r="AF48" s="2149"/>
      <c r="AG48" s="2138"/>
      <c r="AH48" s="2138"/>
      <c r="AI48" s="1967"/>
      <c r="AJ48" s="1967"/>
      <c r="AK48" s="1967"/>
      <c r="AL48" s="1967"/>
      <c r="AM48" s="172"/>
      <c r="AN48" s="172"/>
      <c r="AO48" s="172"/>
      <c r="AP48" s="172"/>
      <c r="AQ48" s="172"/>
      <c r="AR48" s="172"/>
      <c r="AS48" s="172"/>
      <c r="AT48" s="172"/>
      <c r="AU48" s="172"/>
      <c r="AV48" s="172"/>
      <c r="AW48" s="172"/>
      <c r="AX48" s="172"/>
      <c r="AY48" s="172"/>
      <c r="AZ48" s="172"/>
      <c r="BA48" s="172"/>
      <c r="BB48" s="172"/>
      <c r="BC48" s="172"/>
      <c r="BD48" s="172"/>
    </row>
    <row r="49" spans="1:56" x14ac:dyDescent="0.25">
      <c r="A49" s="2148">
        <v>8</v>
      </c>
      <c r="B49" s="2080" t="s">
        <v>921</v>
      </c>
      <c r="C49" s="1967" t="s">
        <v>922</v>
      </c>
      <c r="D49" s="1978" t="s">
        <v>122</v>
      </c>
      <c r="E49" s="2023" t="s">
        <v>923</v>
      </c>
      <c r="F49" s="1967" t="s">
        <v>924</v>
      </c>
      <c r="G49" s="1972">
        <v>10792</v>
      </c>
      <c r="H49" s="1972" t="s">
        <v>925</v>
      </c>
      <c r="I49" s="1967" t="s">
        <v>926</v>
      </c>
      <c r="J49" s="2023" t="s">
        <v>927</v>
      </c>
      <c r="K49" s="1967" t="s">
        <v>928</v>
      </c>
      <c r="L49" s="2138">
        <v>593733.32999999996</v>
      </c>
      <c r="M49" s="1972">
        <v>10849</v>
      </c>
      <c r="N49" s="1967" t="s">
        <v>928</v>
      </c>
      <c r="O49" s="1967" t="s">
        <v>610</v>
      </c>
      <c r="P49" s="1967">
        <v>1</v>
      </c>
      <c r="Q49" s="1967"/>
      <c r="R49" s="1967"/>
      <c r="S49" s="1967"/>
      <c r="T49" s="1967" t="s">
        <v>208</v>
      </c>
      <c r="U49" s="76" t="s">
        <v>867</v>
      </c>
      <c r="V49" s="76" t="s">
        <v>880</v>
      </c>
      <c r="W49" s="46">
        <v>10961</v>
      </c>
      <c r="X49" s="37" t="s">
        <v>869</v>
      </c>
      <c r="Y49" s="37" t="s">
        <v>880</v>
      </c>
      <c r="Z49" s="37" t="s">
        <v>881</v>
      </c>
      <c r="AA49" s="37">
        <v>0</v>
      </c>
      <c r="AB49" s="37">
        <v>10</v>
      </c>
      <c r="AC49" s="320">
        <v>0</v>
      </c>
      <c r="AD49" s="331">
        <v>59373.33</v>
      </c>
      <c r="AE49" s="2145">
        <f>L49-AD49+AC49</f>
        <v>534360</v>
      </c>
      <c r="AF49" s="2140">
        <v>777202.33</v>
      </c>
      <c r="AG49" s="2142">
        <v>499632</v>
      </c>
      <c r="AH49" s="2137">
        <f>AF49+AG49</f>
        <v>1276834.33</v>
      </c>
      <c r="AI49" s="1967"/>
      <c r="AJ49" s="1967"/>
      <c r="AK49" s="1967"/>
      <c r="AL49" s="1967"/>
      <c r="AM49" s="2082"/>
      <c r="AN49" s="2082"/>
      <c r="AO49" s="2082"/>
      <c r="AP49" s="2082"/>
      <c r="AQ49" s="2082"/>
      <c r="AR49" s="2082"/>
      <c r="AS49" s="2082"/>
      <c r="AT49" s="2082"/>
      <c r="AU49" s="2082"/>
      <c r="AV49" s="2082"/>
      <c r="AW49" s="2082"/>
      <c r="AX49" s="2082"/>
      <c r="AY49" s="2082"/>
      <c r="AZ49" s="2082"/>
      <c r="BA49" s="2082"/>
      <c r="BB49" s="2082"/>
      <c r="BC49" s="2082"/>
      <c r="BD49" s="2082"/>
    </row>
    <row r="50" spans="1:56" x14ac:dyDescent="0.25">
      <c r="A50" s="2148"/>
      <c r="B50" s="2080"/>
      <c r="C50" s="1967"/>
      <c r="D50" s="1978"/>
      <c r="E50" s="2023"/>
      <c r="F50" s="1967"/>
      <c r="G50" s="1972"/>
      <c r="H50" s="1972"/>
      <c r="I50" s="1967"/>
      <c r="J50" s="2023"/>
      <c r="K50" s="1967"/>
      <c r="L50" s="2138"/>
      <c r="M50" s="1972"/>
      <c r="N50" s="1967"/>
      <c r="O50" s="1967"/>
      <c r="P50" s="1967"/>
      <c r="Q50" s="1967"/>
      <c r="R50" s="1967"/>
      <c r="S50" s="1967"/>
      <c r="T50" s="1967"/>
      <c r="U50" s="37" t="s">
        <v>871</v>
      </c>
      <c r="V50" s="37" t="s">
        <v>881</v>
      </c>
      <c r="W50" s="46">
        <v>11111</v>
      </c>
      <c r="X50" s="37" t="s">
        <v>914</v>
      </c>
      <c r="Y50" s="37" t="s">
        <v>881</v>
      </c>
      <c r="Z50" s="37" t="s">
        <v>929</v>
      </c>
      <c r="AA50" s="37">
        <v>0</v>
      </c>
      <c r="AB50" s="37">
        <v>0</v>
      </c>
      <c r="AC50" s="37">
        <v>0</v>
      </c>
      <c r="AD50" s="37">
        <v>0</v>
      </c>
      <c r="AE50" s="2146"/>
      <c r="AF50" s="2140"/>
      <c r="AG50" s="2143"/>
      <c r="AH50" s="2137"/>
      <c r="AI50" s="1967"/>
      <c r="AJ50" s="1967"/>
      <c r="AK50" s="1967"/>
      <c r="AL50" s="1967"/>
      <c r="AM50" s="2082"/>
      <c r="AN50" s="2082"/>
      <c r="AO50" s="2082"/>
      <c r="AP50" s="2082"/>
      <c r="AQ50" s="2082"/>
      <c r="AR50" s="2082"/>
      <c r="AS50" s="2082"/>
      <c r="AT50" s="2082"/>
      <c r="AU50" s="2082"/>
      <c r="AV50" s="2082"/>
      <c r="AW50" s="2082"/>
      <c r="AX50" s="2082"/>
      <c r="AY50" s="2082"/>
      <c r="AZ50" s="2082"/>
      <c r="BA50" s="2082"/>
      <c r="BB50" s="2082"/>
      <c r="BC50" s="2082"/>
      <c r="BD50" s="2082"/>
    </row>
    <row r="51" spans="1:56" x14ac:dyDescent="0.25">
      <c r="A51" s="2148"/>
      <c r="B51" s="2080"/>
      <c r="C51" s="1967"/>
      <c r="D51" s="1978"/>
      <c r="E51" s="2023"/>
      <c r="F51" s="1967"/>
      <c r="G51" s="1972"/>
      <c r="H51" s="1972"/>
      <c r="I51" s="1967"/>
      <c r="J51" s="2023"/>
      <c r="K51" s="1967"/>
      <c r="L51" s="2138"/>
      <c r="M51" s="1972"/>
      <c r="N51" s="1967"/>
      <c r="O51" s="1967"/>
      <c r="P51" s="1967"/>
      <c r="Q51" s="1967"/>
      <c r="R51" s="1967"/>
      <c r="S51" s="1967"/>
      <c r="T51" s="1967"/>
      <c r="U51" s="37" t="s">
        <v>874</v>
      </c>
      <c r="V51" s="37" t="s">
        <v>930</v>
      </c>
      <c r="W51" s="61">
        <v>11244</v>
      </c>
      <c r="X51" s="37" t="s">
        <v>869</v>
      </c>
      <c r="Y51" s="37" t="s">
        <v>930</v>
      </c>
      <c r="Z51" s="37" t="s">
        <v>931</v>
      </c>
      <c r="AA51" s="37">
        <v>0</v>
      </c>
      <c r="AB51" s="37">
        <v>0</v>
      </c>
      <c r="AC51" s="37">
        <v>0</v>
      </c>
      <c r="AD51" s="37">
        <v>0</v>
      </c>
      <c r="AE51" s="2146"/>
      <c r="AF51" s="2140"/>
      <c r="AG51" s="2143"/>
      <c r="AH51" s="2137"/>
      <c r="AI51" s="1967"/>
      <c r="AJ51" s="1967"/>
      <c r="AK51" s="1967"/>
      <c r="AL51" s="1967"/>
      <c r="AM51" s="2082"/>
      <c r="AN51" s="2082"/>
      <c r="AO51" s="2082"/>
      <c r="AP51" s="2082"/>
      <c r="AQ51" s="2082"/>
      <c r="AR51" s="2082"/>
      <c r="AS51" s="2082"/>
      <c r="AT51" s="2082"/>
      <c r="AU51" s="2082"/>
      <c r="AV51" s="2082"/>
      <c r="AW51" s="2082"/>
      <c r="AX51" s="2082"/>
      <c r="AY51" s="2082"/>
      <c r="AZ51" s="2082"/>
      <c r="BA51" s="2082"/>
      <c r="BB51" s="2082"/>
      <c r="BC51" s="2082"/>
      <c r="BD51" s="2082"/>
    </row>
    <row r="52" spans="1:56" x14ac:dyDescent="0.25">
      <c r="A52" s="2148"/>
      <c r="B52" s="2080"/>
      <c r="C52" s="1967"/>
      <c r="D52" s="1978"/>
      <c r="E52" s="2023"/>
      <c r="F52" s="1967"/>
      <c r="G52" s="1972"/>
      <c r="H52" s="1972"/>
      <c r="I52" s="1967"/>
      <c r="J52" s="2023"/>
      <c r="K52" s="1967"/>
      <c r="L52" s="2138"/>
      <c r="M52" s="1972"/>
      <c r="N52" s="1967"/>
      <c r="O52" s="1967"/>
      <c r="P52" s="1967"/>
      <c r="Q52" s="1967"/>
      <c r="R52" s="1967"/>
      <c r="S52" s="1967"/>
      <c r="T52" s="1967"/>
      <c r="U52" s="37" t="s">
        <v>876</v>
      </c>
      <c r="V52" s="37" t="s">
        <v>931</v>
      </c>
      <c r="W52" s="61">
        <v>11354</v>
      </c>
      <c r="X52" s="37" t="s">
        <v>914</v>
      </c>
      <c r="Y52" s="37" t="s">
        <v>931</v>
      </c>
      <c r="Z52" s="37" t="s">
        <v>932</v>
      </c>
      <c r="AA52" s="37">
        <v>0</v>
      </c>
      <c r="AB52" s="37">
        <v>0</v>
      </c>
      <c r="AC52" s="331">
        <v>534360</v>
      </c>
      <c r="AD52" s="37">
        <v>0</v>
      </c>
      <c r="AE52" s="2147"/>
      <c r="AF52" s="2140"/>
      <c r="AG52" s="2144"/>
      <c r="AH52" s="2137"/>
      <c r="AI52" s="1967"/>
      <c r="AJ52" s="1967"/>
      <c r="AK52" s="1967"/>
      <c r="AL52" s="1967"/>
      <c r="AM52" s="172"/>
      <c r="AN52" s="172"/>
      <c r="AO52" s="172"/>
      <c r="AP52" s="172"/>
      <c r="AQ52" s="172"/>
      <c r="AR52" s="172"/>
      <c r="AS52" s="172"/>
      <c r="AT52" s="172"/>
      <c r="AU52" s="172"/>
      <c r="AV52" s="172"/>
      <c r="AW52" s="172"/>
      <c r="AX52" s="172"/>
      <c r="AY52" s="172"/>
      <c r="AZ52" s="172"/>
      <c r="BA52" s="172"/>
      <c r="BB52" s="172"/>
      <c r="BC52" s="172"/>
      <c r="BD52" s="172"/>
    </row>
    <row r="53" spans="1:56" ht="25.5" x14ac:dyDescent="0.25">
      <c r="A53" s="2136">
        <v>9</v>
      </c>
      <c r="B53" s="2080" t="s">
        <v>933</v>
      </c>
      <c r="C53" s="1967" t="s">
        <v>934</v>
      </c>
      <c r="D53" s="1967" t="s">
        <v>935</v>
      </c>
      <c r="E53" s="1967" t="s">
        <v>923</v>
      </c>
      <c r="F53" s="1967" t="s">
        <v>936</v>
      </c>
      <c r="G53" s="1972">
        <v>10556</v>
      </c>
      <c r="H53" s="1978" t="s">
        <v>937</v>
      </c>
      <c r="I53" s="1967" t="s">
        <v>938</v>
      </c>
      <c r="J53" s="1967" t="s">
        <v>939</v>
      </c>
      <c r="K53" s="1967" t="s">
        <v>940</v>
      </c>
      <c r="L53" s="2138">
        <v>20000</v>
      </c>
      <c r="M53" s="1972">
        <v>10849</v>
      </c>
      <c r="N53" s="1967" t="s">
        <v>940</v>
      </c>
      <c r="O53" s="1967" t="s">
        <v>941</v>
      </c>
      <c r="P53" s="1967">
        <v>1</v>
      </c>
      <c r="Q53" s="1967"/>
      <c r="R53" s="1967"/>
      <c r="S53" s="1967"/>
      <c r="T53" s="1967" t="s">
        <v>208</v>
      </c>
      <c r="U53" s="37" t="s">
        <v>867</v>
      </c>
      <c r="V53" s="37" t="s">
        <v>942</v>
      </c>
      <c r="W53" s="46">
        <v>10977</v>
      </c>
      <c r="X53" s="37" t="s">
        <v>914</v>
      </c>
      <c r="Y53" s="37" t="s">
        <v>942</v>
      </c>
      <c r="Z53" s="37" t="s">
        <v>943</v>
      </c>
      <c r="AA53" s="37">
        <v>0</v>
      </c>
      <c r="AB53" s="37">
        <v>0</v>
      </c>
      <c r="AC53" s="37">
        <v>0</v>
      </c>
      <c r="AD53" s="37">
        <v>0</v>
      </c>
      <c r="AE53" s="2137">
        <f>L53-AD54+AC54</f>
        <v>20000</v>
      </c>
      <c r="AF53" s="2140">
        <f>20000+12000</f>
        <v>32000</v>
      </c>
      <c r="AG53" s="1971">
        <v>22000</v>
      </c>
      <c r="AH53" s="2137">
        <f>AF53+AG53</f>
        <v>54000</v>
      </c>
      <c r="AI53" s="2015" t="s">
        <v>944</v>
      </c>
      <c r="AJ53" s="2006">
        <v>10590</v>
      </c>
      <c r="AK53" s="1967" t="s">
        <v>945</v>
      </c>
      <c r="AL53" s="2006">
        <v>10590</v>
      </c>
      <c r="AM53" s="2082"/>
      <c r="AN53" s="2082"/>
      <c r="AO53" s="2082"/>
      <c r="AP53" s="2082"/>
      <c r="AQ53" s="2082"/>
      <c r="AR53" s="2082"/>
      <c r="AS53" s="2082"/>
      <c r="AT53" s="2082"/>
      <c r="AU53" s="2082"/>
      <c r="AV53" s="2082"/>
      <c r="AW53" s="2082"/>
      <c r="AX53" s="2082"/>
      <c r="AY53" s="2082"/>
      <c r="AZ53" s="2082"/>
      <c r="BA53" s="2082"/>
      <c r="BB53" s="2082"/>
      <c r="BC53" s="2082"/>
      <c r="BD53" s="2082"/>
    </row>
    <row r="54" spans="1:56" ht="25.5" x14ac:dyDescent="0.25">
      <c r="A54" s="2136"/>
      <c r="B54" s="2080"/>
      <c r="C54" s="1967"/>
      <c r="D54" s="1967"/>
      <c r="E54" s="1967"/>
      <c r="F54" s="1967"/>
      <c r="G54" s="1972"/>
      <c r="H54" s="1978"/>
      <c r="I54" s="1967"/>
      <c r="J54" s="1967"/>
      <c r="K54" s="1967"/>
      <c r="L54" s="2138"/>
      <c r="M54" s="1972"/>
      <c r="N54" s="1967"/>
      <c r="O54" s="1967"/>
      <c r="P54" s="1967"/>
      <c r="Q54" s="1967"/>
      <c r="R54" s="1967"/>
      <c r="S54" s="1967"/>
      <c r="T54" s="1967"/>
      <c r="U54" s="37" t="s">
        <v>871</v>
      </c>
      <c r="V54" s="37" t="s">
        <v>946</v>
      </c>
      <c r="W54" s="46">
        <v>11084</v>
      </c>
      <c r="X54" s="37" t="s">
        <v>914</v>
      </c>
      <c r="Y54" s="37" t="s">
        <v>946</v>
      </c>
      <c r="Z54" s="37" t="s">
        <v>931</v>
      </c>
      <c r="AA54" s="37">
        <v>0</v>
      </c>
      <c r="AB54" s="37">
        <v>0</v>
      </c>
      <c r="AC54" s="37">
        <v>0</v>
      </c>
      <c r="AD54" s="37">
        <v>0</v>
      </c>
      <c r="AE54" s="2137"/>
      <c r="AF54" s="2140"/>
      <c r="AG54" s="1967"/>
      <c r="AH54" s="2137"/>
      <c r="AI54" s="2015"/>
      <c r="AJ54" s="2023"/>
      <c r="AK54" s="1967"/>
      <c r="AL54" s="2023"/>
      <c r="AM54" s="2082"/>
      <c r="AN54" s="2082"/>
      <c r="AO54" s="2082"/>
      <c r="AP54" s="2082"/>
      <c r="AQ54" s="2082"/>
      <c r="AR54" s="2082"/>
      <c r="AS54" s="2082"/>
      <c r="AT54" s="2082"/>
      <c r="AU54" s="2082"/>
      <c r="AV54" s="2082"/>
      <c r="AW54" s="2082"/>
      <c r="AX54" s="2082"/>
      <c r="AY54" s="2082"/>
      <c r="AZ54" s="2082"/>
      <c r="BA54" s="2082"/>
      <c r="BB54" s="2082"/>
      <c r="BC54" s="2082"/>
      <c r="BD54" s="2082"/>
    </row>
    <row r="55" spans="1:56" x14ac:dyDescent="0.25">
      <c r="A55" s="2136"/>
      <c r="B55" s="2080"/>
      <c r="C55" s="1967"/>
      <c r="D55" s="1967"/>
      <c r="E55" s="1967"/>
      <c r="F55" s="1967"/>
      <c r="G55" s="1972"/>
      <c r="H55" s="1978"/>
      <c r="I55" s="1967"/>
      <c r="J55" s="1967"/>
      <c r="K55" s="1967"/>
      <c r="L55" s="2138"/>
      <c r="M55" s="1972"/>
      <c r="N55" s="1967"/>
      <c r="O55" s="1967"/>
      <c r="P55" s="1967"/>
      <c r="Q55" s="1967"/>
      <c r="R55" s="1967"/>
      <c r="S55" s="1967"/>
      <c r="T55" s="1967"/>
      <c r="U55" s="37" t="s">
        <v>874</v>
      </c>
      <c r="V55" s="37" t="s">
        <v>947</v>
      </c>
      <c r="W55" s="61">
        <v>11351</v>
      </c>
      <c r="X55" s="37" t="s">
        <v>914</v>
      </c>
      <c r="Y55" s="37" t="s">
        <v>947</v>
      </c>
      <c r="Z55" s="37" t="s">
        <v>932</v>
      </c>
      <c r="AA55" s="37">
        <v>0</v>
      </c>
      <c r="AB55" s="37">
        <v>0</v>
      </c>
      <c r="AC55" s="37">
        <v>0</v>
      </c>
      <c r="AD55" s="37">
        <v>0</v>
      </c>
      <c r="AE55" s="2137"/>
      <c r="AF55" s="2140"/>
      <c r="AG55" s="1967"/>
      <c r="AH55" s="2137"/>
      <c r="AI55" s="2015"/>
      <c r="AJ55" s="2023"/>
      <c r="AK55" s="1967"/>
      <c r="AL55" s="2023"/>
      <c r="AM55" s="2082"/>
      <c r="AN55" s="2082"/>
      <c r="AO55" s="2082"/>
      <c r="AP55" s="2082"/>
      <c r="AQ55" s="2082"/>
      <c r="AR55" s="2082"/>
      <c r="AS55" s="2082"/>
      <c r="AT55" s="2082"/>
      <c r="AU55" s="2082"/>
      <c r="AV55" s="2082"/>
      <c r="AW55" s="2082"/>
      <c r="AX55" s="2082"/>
      <c r="AY55" s="2082"/>
      <c r="AZ55" s="2082"/>
      <c r="BA55" s="2082"/>
      <c r="BB55" s="2082"/>
      <c r="BC55" s="2082"/>
      <c r="BD55" s="2082"/>
    </row>
    <row r="56" spans="1:56" ht="38.25" x14ac:dyDescent="0.25">
      <c r="A56" s="319">
        <v>10</v>
      </c>
      <c r="B56" s="2080"/>
      <c r="C56" s="1967" t="s">
        <v>948</v>
      </c>
      <c r="D56" s="1967" t="s">
        <v>122</v>
      </c>
      <c r="E56" s="1967" t="s">
        <v>905</v>
      </c>
      <c r="F56" s="27" t="s">
        <v>949</v>
      </c>
      <c r="G56" s="46">
        <v>10884</v>
      </c>
      <c r="H56" s="37" t="s">
        <v>950</v>
      </c>
      <c r="I56" s="37" t="s">
        <v>951</v>
      </c>
      <c r="J56" s="332" t="s">
        <v>952</v>
      </c>
      <c r="K56" s="37" t="s">
        <v>953</v>
      </c>
      <c r="L56" s="333">
        <v>132000</v>
      </c>
      <c r="M56" s="46">
        <v>10930</v>
      </c>
      <c r="N56" s="37" t="s">
        <v>953</v>
      </c>
      <c r="O56" s="37" t="s">
        <v>954</v>
      </c>
      <c r="P56" s="37">
        <v>1</v>
      </c>
      <c r="Q56" s="37"/>
      <c r="R56" s="37"/>
      <c r="S56" s="37"/>
      <c r="T56" s="37" t="s">
        <v>208</v>
      </c>
      <c r="U56" s="37" t="s">
        <v>867</v>
      </c>
      <c r="V56" s="37" t="s">
        <v>954</v>
      </c>
      <c r="W56" s="61">
        <v>11183</v>
      </c>
      <c r="X56" s="37" t="s">
        <v>914</v>
      </c>
      <c r="Y56" s="37" t="s">
        <v>954</v>
      </c>
      <c r="Z56" s="37" t="s">
        <v>955</v>
      </c>
      <c r="AA56" s="37">
        <v>0</v>
      </c>
      <c r="AB56" s="37">
        <v>0</v>
      </c>
      <c r="AC56" s="331">
        <v>0</v>
      </c>
      <c r="AD56" s="37">
        <v>0</v>
      </c>
      <c r="AE56" s="321">
        <v>148249.98000000001</v>
      </c>
      <c r="AF56" s="334">
        <v>132000</v>
      </c>
      <c r="AG56" s="335">
        <v>142310.59</v>
      </c>
      <c r="AH56" s="336">
        <f t="shared" ref="AH56:AH61" si="1">AF56+AG56</f>
        <v>274310.58999999997</v>
      </c>
      <c r="AI56" s="157"/>
      <c r="AJ56" s="76"/>
      <c r="AK56" s="37"/>
      <c r="AL56" s="76"/>
      <c r="AM56" s="172"/>
      <c r="AN56" s="172"/>
      <c r="AO56" s="172"/>
      <c r="AP56" s="172"/>
      <c r="AQ56" s="172"/>
      <c r="AR56" s="172"/>
      <c r="AS56" s="172"/>
      <c r="AT56" s="172"/>
      <c r="AU56" s="172"/>
      <c r="AV56" s="172"/>
      <c r="AW56" s="172"/>
      <c r="AX56" s="172"/>
      <c r="AY56" s="172"/>
      <c r="AZ56" s="172"/>
      <c r="BA56" s="172"/>
      <c r="BB56" s="172"/>
      <c r="BC56" s="172"/>
      <c r="BD56" s="172"/>
    </row>
    <row r="57" spans="1:56" ht="38.25" x14ac:dyDescent="0.25">
      <c r="A57" s="319">
        <v>11</v>
      </c>
      <c r="B57" s="2080"/>
      <c r="C57" s="1967"/>
      <c r="D57" s="1967"/>
      <c r="E57" s="1967"/>
      <c r="F57" s="27" t="s">
        <v>956</v>
      </c>
      <c r="G57" s="46">
        <v>10884</v>
      </c>
      <c r="H57" s="37" t="s">
        <v>901</v>
      </c>
      <c r="I57" s="37" t="s">
        <v>957</v>
      </c>
      <c r="J57" s="37" t="s">
        <v>958</v>
      </c>
      <c r="K57" s="37" t="s">
        <v>959</v>
      </c>
      <c r="L57" s="333">
        <v>64999.92</v>
      </c>
      <c r="M57" s="46">
        <v>10924</v>
      </c>
      <c r="N57" s="37" t="s">
        <v>959</v>
      </c>
      <c r="O57" s="37" t="s">
        <v>960</v>
      </c>
      <c r="P57" s="37">
        <v>1</v>
      </c>
      <c r="Q57" s="37"/>
      <c r="R57" s="37"/>
      <c r="S57" s="37"/>
      <c r="T57" s="37" t="s">
        <v>208</v>
      </c>
      <c r="U57" s="37" t="s">
        <v>867</v>
      </c>
      <c r="V57" s="332" t="s">
        <v>954</v>
      </c>
      <c r="W57" s="61">
        <v>11179</v>
      </c>
      <c r="X57" s="37" t="s">
        <v>961</v>
      </c>
      <c r="Y57" s="332" t="s">
        <v>954</v>
      </c>
      <c r="Z57" s="37" t="s">
        <v>962</v>
      </c>
      <c r="AA57" s="37">
        <v>25</v>
      </c>
      <c r="AB57" s="37">
        <v>0</v>
      </c>
      <c r="AC57" s="331">
        <v>16249.98</v>
      </c>
      <c r="AD57" s="37">
        <v>0</v>
      </c>
      <c r="AE57" s="322">
        <f>L57-AD57+AC57</f>
        <v>81249.899999999994</v>
      </c>
      <c r="AF57" s="334">
        <v>80241.63</v>
      </c>
      <c r="AG57" s="334">
        <v>88025.08</v>
      </c>
      <c r="AH57" s="336">
        <f t="shared" si="1"/>
        <v>168266.71000000002</v>
      </c>
      <c r="AI57" s="157"/>
      <c r="AJ57" s="76"/>
      <c r="AK57" s="37"/>
      <c r="AL57" s="76"/>
      <c r="AM57" s="172"/>
      <c r="AN57" s="172"/>
      <c r="AO57" s="172"/>
      <c r="AP57" s="172"/>
      <c r="AQ57" s="172"/>
      <c r="AR57" s="172"/>
      <c r="AS57" s="172"/>
      <c r="AT57" s="172"/>
      <c r="AU57" s="172"/>
      <c r="AV57" s="172"/>
      <c r="AW57" s="172"/>
      <c r="AX57" s="172"/>
      <c r="AY57" s="172"/>
      <c r="AZ57" s="172"/>
      <c r="BA57" s="172"/>
      <c r="BB57" s="172"/>
      <c r="BC57" s="172"/>
      <c r="BD57" s="172"/>
    </row>
    <row r="58" spans="1:56" x14ac:dyDescent="0.25">
      <c r="A58" s="319">
        <v>12</v>
      </c>
      <c r="B58" s="49" t="s">
        <v>963</v>
      </c>
      <c r="C58" s="76" t="s">
        <v>964</v>
      </c>
      <c r="D58" s="37" t="s">
        <v>965</v>
      </c>
      <c r="E58" s="37" t="s">
        <v>923</v>
      </c>
      <c r="F58" s="37" t="s">
        <v>966</v>
      </c>
      <c r="G58" s="46">
        <v>10909</v>
      </c>
      <c r="H58" s="37" t="s">
        <v>967</v>
      </c>
      <c r="I58" s="37" t="e">
        <f>#REF!</f>
        <v>#REF!</v>
      </c>
      <c r="J58" s="37" t="s">
        <v>743</v>
      </c>
      <c r="K58" s="37" t="s">
        <v>968</v>
      </c>
      <c r="L58" s="333">
        <v>556998</v>
      </c>
      <c r="M58" s="46">
        <v>10997</v>
      </c>
      <c r="N58" s="37" t="s">
        <v>968</v>
      </c>
      <c r="O58" s="37" t="s">
        <v>969</v>
      </c>
      <c r="P58" s="37">
        <v>1</v>
      </c>
      <c r="Q58" s="37"/>
      <c r="R58" s="37"/>
      <c r="S58" s="37"/>
      <c r="T58" s="37" t="s">
        <v>208</v>
      </c>
      <c r="U58" s="37" t="s">
        <v>867</v>
      </c>
      <c r="V58" s="37" t="s">
        <v>969</v>
      </c>
      <c r="W58" s="61">
        <v>11252</v>
      </c>
      <c r="X58" s="37" t="s">
        <v>914</v>
      </c>
      <c r="Y58" s="37" t="s">
        <v>969</v>
      </c>
      <c r="Z58" s="37" t="s">
        <v>970</v>
      </c>
      <c r="AA58" s="37">
        <v>0</v>
      </c>
      <c r="AB58" s="37">
        <v>0</v>
      </c>
      <c r="AC58" s="37">
        <v>0</v>
      </c>
      <c r="AD58" s="37">
        <v>0</v>
      </c>
      <c r="AE58" s="322">
        <f>L58-AD58+AC58</f>
        <v>556998</v>
      </c>
      <c r="AF58" s="336">
        <v>52033.87</v>
      </c>
      <c r="AG58" s="334">
        <v>99621.97</v>
      </c>
      <c r="AH58" s="336">
        <f t="shared" si="1"/>
        <v>151655.84</v>
      </c>
      <c r="AI58" s="157" t="s">
        <v>971</v>
      </c>
      <c r="AJ58" s="61">
        <v>10909</v>
      </c>
      <c r="AK58" s="37" t="s">
        <v>972</v>
      </c>
      <c r="AL58" s="61">
        <v>10909</v>
      </c>
      <c r="AM58" s="172"/>
      <c r="AN58" s="172"/>
      <c r="AO58" s="172"/>
      <c r="AP58" s="172"/>
      <c r="AQ58" s="172"/>
      <c r="AR58" s="172"/>
      <c r="AS58" s="172"/>
      <c r="AT58" s="172"/>
      <c r="AU58" s="172"/>
      <c r="AV58" s="172"/>
      <c r="AW58" s="172"/>
      <c r="AX58" s="172"/>
      <c r="AY58" s="172"/>
      <c r="AZ58" s="172"/>
      <c r="BA58" s="172"/>
      <c r="BB58" s="172"/>
      <c r="BC58" s="172"/>
      <c r="BD58" s="172"/>
    </row>
    <row r="59" spans="1:56" x14ac:dyDescent="0.25">
      <c r="A59" s="319">
        <v>13</v>
      </c>
      <c r="B59" s="49"/>
      <c r="C59" s="76" t="s">
        <v>973</v>
      </c>
      <c r="D59" s="37" t="s">
        <v>965</v>
      </c>
      <c r="E59" s="37" t="s">
        <v>923</v>
      </c>
      <c r="F59" s="37" t="s">
        <v>974</v>
      </c>
      <c r="G59" s="46">
        <v>10759</v>
      </c>
      <c r="H59" s="37" t="s">
        <v>975</v>
      </c>
      <c r="I59" s="37" t="s">
        <v>976</v>
      </c>
      <c r="J59" s="37" t="s">
        <v>977</v>
      </c>
      <c r="K59" s="37" t="s">
        <v>978</v>
      </c>
      <c r="L59" s="333">
        <v>111900</v>
      </c>
      <c r="M59" s="46">
        <v>11053</v>
      </c>
      <c r="N59" s="37" t="s">
        <v>978</v>
      </c>
      <c r="O59" s="37" t="s">
        <v>979</v>
      </c>
      <c r="P59" s="37">
        <v>1</v>
      </c>
      <c r="Q59" s="37"/>
      <c r="R59" s="37"/>
      <c r="S59" s="37"/>
      <c r="T59" s="37" t="s">
        <v>316</v>
      </c>
      <c r="U59" s="37"/>
      <c r="V59" s="37"/>
      <c r="W59" s="61"/>
      <c r="X59" s="37"/>
      <c r="Y59" s="37"/>
      <c r="Z59" s="37"/>
      <c r="AA59" s="37"/>
      <c r="AB59" s="37"/>
      <c r="AC59" s="37"/>
      <c r="AD59" s="37"/>
      <c r="AE59" s="322">
        <f>L59-AD59+AC59</f>
        <v>111900</v>
      </c>
      <c r="AF59" s="334">
        <v>50355</v>
      </c>
      <c r="AG59" s="336">
        <v>5595</v>
      </c>
      <c r="AH59" s="336">
        <f t="shared" si="1"/>
        <v>55950</v>
      </c>
      <c r="AI59" s="157" t="s">
        <v>980</v>
      </c>
      <c r="AJ59" s="61">
        <v>10831</v>
      </c>
      <c r="AK59" s="37" t="s">
        <v>981</v>
      </c>
      <c r="AL59" s="61">
        <v>10831</v>
      </c>
      <c r="AM59" s="172"/>
      <c r="AN59" s="172"/>
      <c r="AO59" s="172"/>
      <c r="AP59" s="172"/>
      <c r="AQ59" s="172"/>
      <c r="AR59" s="172"/>
      <c r="AS59" s="172"/>
      <c r="AT59" s="172"/>
      <c r="AU59" s="172"/>
      <c r="AV59" s="172"/>
      <c r="AW59" s="172"/>
      <c r="AX59" s="172"/>
      <c r="AY59" s="172"/>
      <c r="AZ59" s="172"/>
      <c r="BA59" s="172"/>
      <c r="BB59" s="172"/>
      <c r="BC59" s="172"/>
      <c r="BD59" s="172"/>
    </row>
    <row r="60" spans="1:56" ht="25.5" x14ac:dyDescent="0.25">
      <c r="A60" s="319">
        <v>14</v>
      </c>
      <c r="B60" s="2080" t="s">
        <v>982</v>
      </c>
      <c r="C60" s="1967" t="s">
        <v>983</v>
      </c>
      <c r="D60" s="1967" t="s">
        <v>984</v>
      </c>
      <c r="E60" s="1967" t="s">
        <v>923</v>
      </c>
      <c r="F60" s="39" t="s">
        <v>985</v>
      </c>
      <c r="G60" s="1972">
        <v>10799</v>
      </c>
      <c r="H60" s="37" t="s">
        <v>986</v>
      </c>
      <c r="I60" s="1967" t="s">
        <v>987</v>
      </c>
      <c r="J60" s="1967" t="s">
        <v>988</v>
      </c>
      <c r="K60" s="37" t="s">
        <v>989</v>
      </c>
      <c r="L60" s="333">
        <v>39500</v>
      </c>
      <c r="M60" s="46">
        <v>10998</v>
      </c>
      <c r="N60" s="37" t="s">
        <v>989</v>
      </c>
      <c r="O60" s="37" t="s">
        <v>856</v>
      </c>
      <c r="P60" s="1967">
        <v>1</v>
      </c>
      <c r="Q60" s="37"/>
      <c r="R60" s="37"/>
      <c r="S60" s="37"/>
      <c r="T60" s="1967" t="s">
        <v>208</v>
      </c>
      <c r="U60" s="37" t="s">
        <v>867</v>
      </c>
      <c r="V60" s="37" t="s">
        <v>990</v>
      </c>
      <c r="W60" s="61">
        <v>11221</v>
      </c>
      <c r="X60" s="37" t="s">
        <v>914</v>
      </c>
      <c r="Y60" s="37" t="s">
        <v>990</v>
      </c>
      <c r="Z60" s="37" t="s">
        <v>991</v>
      </c>
      <c r="AA60" s="37">
        <v>0</v>
      </c>
      <c r="AB60" s="37">
        <v>0</v>
      </c>
      <c r="AC60" s="37">
        <v>0</v>
      </c>
      <c r="AD60" s="37">
        <v>0</v>
      </c>
      <c r="AE60" s="322">
        <f>L60-AD60+AC60</f>
        <v>39500</v>
      </c>
      <c r="AF60" s="336">
        <v>39500</v>
      </c>
      <c r="AG60" s="334">
        <v>35550</v>
      </c>
      <c r="AH60" s="336">
        <f t="shared" si="1"/>
        <v>75050</v>
      </c>
      <c r="AI60" s="157"/>
      <c r="AJ60" s="76"/>
      <c r="AK60" s="37"/>
      <c r="AL60" s="76"/>
      <c r="AM60" s="172"/>
      <c r="AN60" s="172"/>
      <c r="AO60" s="172"/>
      <c r="AP60" s="172"/>
      <c r="AQ60" s="172"/>
      <c r="AR60" s="172"/>
      <c r="AS60" s="172"/>
      <c r="AT60" s="172"/>
      <c r="AU60" s="172"/>
      <c r="AV60" s="172"/>
      <c r="AW60" s="172"/>
      <c r="AX60" s="172"/>
      <c r="AY60" s="172"/>
      <c r="AZ60" s="172"/>
      <c r="BA60" s="172"/>
      <c r="BB60" s="172"/>
      <c r="BC60" s="172"/>
      <c r="BD60" s="172"/>
    </row>
    <row r="61" spans="1:56" x14ac:dyDescent="0.25">
      <c r="A61" s="2136">
        <v>15</v>
      </c>
      <c r="B61" s="2080"/>
      <c r="C61" s="1967"/>
      <c r="D61" s="1967"/>
      <c r="E61" s="1967"/>
      <c r="F61" s="1967" t="s">
        <v>992</v>
      </c>
      <c r="G61" s="1972"/>
      <c r="H61" s="1978" t="s">
        <v>993</v>
      </c>
      <c r="I61" s="1967"/>
      <c r="J61" s="1967"/>
      <c r="K61" s="1967" t="s">
        <v>994</v>
      </c>
      <c r="L61" s="2138">
        <v>11970</v>
      </c>
      <c r="M61" s="1972">
        <v>11024</v>
      </c>
      <c r="N61" s="1967" t="s">
        <v>994</v>
      </c>
      <c r="O61" s="2141" t="s">
        <v>995</v>
      </c>
      <c r="P61" s="1967"/>
      <c r="Q61" s="1967"/>
      <c r="R61" s="1967"/>
      <c r="S61" s="1967"/>
      <c r="T61" s="1967"/>
      <c r="U61" s="37" t="s">
        <v>867</v>
      </c>
      <c r="V61" s="37" t="s">
        <v>996</v>
      </c>
      <c r="W61" s="61">
        <v>11131</v>
      </c>
      <c r="X61" s="37" t="s">
        <v>914</v>
      </c>
      <c r="Y61" s="37" t="s">
        <v>996</v>
      </c>
      <c r="Z61" s="37" t="s">
        <v>997</v>
      </c>
      <c r="AA61" s="1967">
        <v>0</v>
      </c>
      <c r="AB61" s="1967">
        <v>0</v>
      </c>
      <c r="AC61" s="1967">
        <v>0</v>
      </c>
      <c r="AD61" s="1967">
        <v>0</v>
      </c>
      <c r="AE61" s="2137">
        <f>L61-AD62+AC62</f>
        <v>11970</v>
      </c>
      <c r="AF61" s="2137">
        <v>19950</v>
      </c>
      <c r="AG61" s="2140">
        <v>23940</v>
      </c>
      <c r="AH61" s="2137">
        <f t="shared" si="1"/>
        <v>43890</v>
      </c>
      <c r="AI61" s="2015" t="s">
        <v>998</v>
      </c>
      <c r="AJ61" s="2006">
        <v>10799</v>
      </c>
      <c r="AK61" s="1967" t="s">
        <v>999</v>
      </c>
      <c r="AL61" s="2023">
        <v>10799</v>
      </c>
      <c r="AM61" s="2082"/>
      <c r="AN61" s="2082"/>
      <c r="AO61" s="2082"/>
      <c r="AP61" s="2082"/>
      <c r="AQ61" s="2082"/>
      <c r="AR61" s="2082"/>
      <c r="AS61" s="2082"/>
      <c r="AT61" s="2082"/>
      <c r="AU61" s="2082"/>
      <c r="AV61" s="2082"/>
      <c r="AW61" s="2082"/>
      <c r="AX61" s="2082"/>
      <c r="AY61" s="2082"/>
      <c r="AZ61" s="2082"/>
      <c r="BA61" s="2082"/>
      <c r="BB61" s="2082"/>
      <c r="BC61" s="2082"/>
      <c r="BD61" s="2082"/>
    </row>
    <row r="62" spans="1:56" x14ac:dyDescent="0.25">
      <c r="A62" s="2136"/>
      <c r="B62" s="2080"/>
      <c r="C62" s="1967"/>
      <c r="D62" s="1967"/>
      <c r="E62" s="1967"/>
      <c r="F62" s="1967"/>
      <c r="G62" s="1972"/>
      <c r="H62" s="1978"/>
      <c r="I62" s="1967"/>
      <c r="J62" s="1967"/>
      <c r="K62" s="1967"/>
      <c r="L62" s="2138"/>
      <c r="M62" s="1972"/>
      <c r="N62" s="1967"/>
      <c r="O62" s="2141"/>
      <c r="P62" s="1967"/>
      <c r="Q62" s="1967"/>
      <c r="R62" s="1967"/>
      <c r="S62" s="1967"/>
      <c r="T62" s="1967"/>
      <c r="U62" s="37" t="s">
        <v>871</v>
      </c>
      <c r="V62" s="337" t="s">
        <v>997</v>
      </c>
      <c r="W62" s="61">
        <v>11221</v>
      </c>
      <c r="X62" s="37" t="s">
        <v>914</v>
      </c>
      <c r="Y62" s="37" t="s">
        <v>997</v>
      </c>
      <c r="Z62" s="326" t="s">
        <v>1000</v>
      </c>
      <c r="AA62" s="1967"/>
      <c r="AB62" s="1967"/>
      <c r="AC62" s="1967"/>
      <c r="AD62" s="1967"/>
      <c r="AE62" s="2137"/>
      <c r="AF62" s="2137"/>
      <c r="AG62" s="2140"/>
      <c r="AH62" s="2137"/>
      <c r="AI62" s="2015"/>
      <c r="AJ62" s="2006"/>
      <c r="AK62" s="1967"/>
      <c r="AL62" s="2023"/>
      <c r="AM62" s="2082"/>
      <c r="AN62" s="2082"/>
      <c r="AO62" s="2082"/>
      <c r="AP62" s="2082"/>
      <c r="AQ62" s="2082"/>
      <c r="AR62" s="2082"/>
      <c r="AS62" s="2082"/>
      <c r="AT62" s="2082"/>
      <c r="AU62" s="2082"/>
      <c r="AV62" s="2082"/>
      <c r="AW62" s="2082"/>
      <c r="AX62" s="2082"/>
      <c r="AY62" s="2082"/>
      <c r="AZ62" s="2082"/>
      <c r="BA62" s="2082"/>
      <c r="BB62" s="2082"/>
      <c r="BC62" s="2082"/>
      <c r="BD62" s="2082"/>
    </row>
    <row r="63" spans="1:56" x14ac:dyDescent="0.25">
      <c r="A63" s="2136"/>
      <c r="B63" s="2080"/>
      <c r="C63" s="1967"/>
      <c r="D63" s="1967"/>
      <c r="E63" s="1967"/>
      <c r="F63" s="1967"/>
      <c r="G63" s="1972"/>
      <c r="H63" s="1978"/>
      <c r="I63" s="1967"/>
      <c r="J63" s="1967"/>
      <c r="K63" s="1967"/>
      <c r="L63" s="2138"/>
      <c r="M63" s="1972"/>
      <c r="N63" s="1967"/>
      <c r="O63" s="2141"/>
      <c r="P63" s="1967"/>
      <c r="Q63" s="1967"/>
      <c r="R63" s="1967"/>
      <c r="S63" s="1967"/>
      <c r="T63" s="1967"/>
      <c r="U63" s="37" t="s">
        <v>874</v>
      </c>
      <c r="V63" s="337" t="s">
        <v>1001</v>
      </c>
      <c r="W63" s="61">
        <v>11350</v>
      </c>
      <c r="X63" s="37" t="s">
        <v>914</v>
      </c>
      <c r="Y63" s="37" t="s">
        <v>1001</v>
      </c>
      <c r="Z63" s="76" t="s">
        <v>1002</v>
      </c>
      <c r="AA63" s="1967"/>
      <c r="AB63" s="1967"/>
      <c r="AC63" s="1967"/>
      <c r="AD63" s="1967"/>
      <c r="AE63" s="2137"/>
      <c r="AF63" s="2137"/>
      <c r="AG63" s="2140"/>
      <c r="AH63" s="2137"/>
      <c r="AI63" s="2015"/>
      <c r="AJ63" s="2006"/>
      <c r="AK63" s="1967"/>
      <c r="AL63" s="2023"/>
      <c r="AM63" s="2082"/>
      <c r="AN63" s="2082"/>
      <c r="AO63" s="2082"/>
      <c r="AP63" s="2082"/>
      <c r="AQ63" s="2082"/>
      <c r="AR63" s="2082"/>
      <c r="AS63" s="2082"/>
      <c r="AT63" s="2082"/>
      <c r="AU63" s="2082"/>
      <c r="AV63" s="2082"/>
      <c r="AW63" s="2082"/>
      <c r="AX63" s="2082"/>
      <c r="AY63" s="2082"/>
      <c r="AZ63" s="2082"/>
      <c r="BA63" s="2082"/>
      <c r="BB63" s="2082"/>
      <c r="BC63" s="2082"/>
      <c r="BD63" s="2082"/>
    </row>
    <row r="64" spans="1:56" x14ac:dyDescent="0.25">
      <c r="A64" s="2136">
        <v>16</v>
      </c>
      <c r="B64" s="2080"/>
      <c r="C64" s="1967"/>
      <c r="D64" s="1967"/>
      <c r="E64" s="1967"/>
      <c r="F64" s="1967"/>
      <c r="G64" s="1972"/>
      <c r="H64" s="1978" t="s">
        <v>1003</v>
      </c>
      <c r="I64" s="1967"/>
      <c r="J64" s="1967"/>
      <c r="K64" s="1967" t="s">
        <v>1004</v>
      </c>
      <c r="L64" s="2138">
        <v>11970</v>
      </c>
      <c r="M64" s="1972">
        <v>11024</v>
      </c>
      <c r="N64" s="1967" t="s">
        <v>1004</v>
      </c>
      <c r="O64" s="2141" t="s">
        <v>995</v>
      </c>
      <c r="P64" s="1967"/>
      <c r="Q64" s="1967"/>
      <c r="R64" s="1967"/>
      <c r="S64" s="1967"/>
      <c r="T64" s="1967"/>
      <c r="U64" s="37" t="s">
        <v>867</v>
      </c>
      <c r="V64" s="326" t="s">
        <v>1005</v>
      </c>
      <c r="W64" s="61">
        <v>11131</v>
      </c>
      <c r="X64" s="37" t="s">
        <v>914</v>
      </c>
      <c r="Y64" s="338" t="s">
        <v>1005</v>
      </c>
      <c r="Z64" s="76" t="s">
        <v>997</v>
      </c>
      <c r="AA64" s="1967">
        <v>0</v>
      </c>
      <c r="AB64" s="1967">
        <v>0</v>
      </c>
      <c r="AC64" s="1967">
        <v>0</v>
      </c>
      <c r="AD64" s="1967">
        <v>0</v>
      </c>
      <c r="AE64" s="2137">
        <f>L64-AD65+AC65</f>
        <v>11970</v>
      </c>
      <c r="AF64" s="2137">
        <f>11970+7980</f>
        <v>19950</v>
      </c>
      <c r="AG64" s="2137">
        <v>11970</v>
      </c>
      <c r="AH64" s="2137">
        <f>AF64+AG64</f>
        <v>31920</v>
      </c>
      <c r="AI64" s="2015"/>
      <c r="AJ64" s="2006"/>
      <c r="AK64" s="1967"/>
      <c r="AL64" s="2023"/>
      <c r="AM64" s="2082"/>
      <c r="AN64" s="2082"/>
      <c r="AO64" s="2082"/>
      <c r="AP64" s="2082"/>
      <c r="AQ64" s="2082"/>
      <c r="AR64" s="2082"/>
      <c r="AS64" s="2082"/>
      <c r="AT64" s="2082"/>
      <c r="AU64" s="2082"/>
      <c r="AV64" s="2082"/>
      <c r="AW64" s="2082"/>
      <c r="AX64" s="2082"/>
      <c r="AY64" s="2082"/>
      <c r="AZ64" s="2082"/>
      <c r="BA64" s="2082"/>
      <c r="BB64" s="2082"/>
      <c r="BC64" s="2082"/>
      <c r="BD64" s="2082"/>
    </row>
    <row r="65" spans="1:56" x14ac:dyDescent="0.25">
      <c r="A65" s="2136"/>
      <c r="B65" s="2080"/>
      <c r="C65" s="1967"/>
      <c r="D65" s="1967"/>
      <c r="E65" s="1967"/>
      <c r="F65" s="1967"/>
      <c r="G65" s="1972"/>
      <c r="H65" s="1978"/>
      <c r="I65" s="1967"/>
      <c r="J65" s="1967"/>
      <c r="K65" s="1967"/>
      <c r="L65" s="2138"/>
      <c r="M65" s="1972"/>
      <c r="N65" s="1967"/>
      <c r="O65" s="2141"/>
      <c r="P65" s="1967"/>
      <c r="Q65" s="1967"/>
      <c r="R65" s="1967"/>
      <c r="S65" s="1967"/>
      <c r="T65" s="1967"/>
      <c r="U65" s="37" t="s">
        <v>871</v>
      </c>
      <c r="V65" s="337" t="s">
        <v>997</v>
      </c>
      <c r="W65" s="61">
        <v>11221</v>
      </c>
      <c r="X65" s="37" t="s">
        <v>914</v>
      </c>
      <c r="Y65" s="37" t="s">
        <v>997</v>
      </c>
      <c r="Z65" s="326" t="s">
        <v>1000</v>
      </c>
      <c r="AA65" s="1967"/>
      <c r="AB65" s="1967"/>
      <c r="AC65" s="1967"/>
      <c r="AD65" s="1967"/>
      <c r="AE65" s="2137"/>
      <c r="AF65" s="2137"/>
      <c r="AG65" s="2137"/>
      <c r="AH65" s="2137"/>
      <c r="AI65" s="2015"/>
      <c r="AJ65" s="2006"/>
      <c r="AK65" s="1967"/>
      <c r="AL65" s="2023"/>
      <c r="AM65" s="2082"/>
      <c r="AN65" s="2082"/>
      <c r="AO65" s="2082"/>
      <c r="AP65" s="2082"/>
      <c r="AQ65" s="2082"/>
      <c r="AR65" s="2082"/>
      <c r="AS65" s="2082"/>
      <c r="AT65" s="2082"/>
      <c r="AU65" s="2082"/>
      <c r="AV65" s="2082"/>
      <c r="AW65" s="2082"/>
      <c r="AX65" s="2082"/>
      <c r="AY65" s="2082"/>
      <c r="AZ65" s="2082"/>
      <c r="BA65" s="2082"/>
      <c r="BB65" s="2082"/>
      <c r="BC65" s="2082"/>
      <c r="BD65" s="2082"/>
    </row>
    <row r="66" spans="1:56" x14ac:dyDescent="0.25">
      <c r="A66" s="2136"/>
      <c r="B66" s="2080"/>
      <c r="C66" s="1967"/>
      <c r="D66" s="1967"/>
      <c r="E66" s="1967"/>
      <c r="F66" s="1967"/>
      <c r="G66" s="1972"/>
      <c r="H66" s="1978"/>
      <c r="I66" s="1967"/>
      <c r="J66" s="1967"/>
      <c r="K66" s="1967"/>
      <c r="L66" s="2138"/>
      <c r="M66" s="1972"/>
      <c r="N66" s="1967"/>
      <c r="O66" s="2141"/>
      <c r="P66" s="1967"/>
      <c r="Q66" s="1967"/>
      <c r="R66" s="1967"/>
      <c r="S66" s="1967"/>
      <c r="T66" s="1967"/>
      <c r="U66" s="37" t="s">
        <v>874</v>
      </c>
      <c r="V66" s="337" t="s">
        <v>1001</v>
      </c>
      <c r="W66" s="61">
        <v>11350</v>
      </c>
      <c r="X66" s="37" t="s">
        <v>914</v>
      </c>
      <c r="Y66" s="37" t="s">
        <v>1001</v>
      </c>
      <c r="Z66" s="76" t="s">
        <v>1002</v>
      </c>
      <c r="AA66" s="1967"/>
      <c r="AB66" s="1967"/>
      <c r="AC66" s="1967"/>
      <c r="AD66" s="1967"/>
      <c r="AE66" s="2137"/>
      <c r="AF66" s="2137"/>
      <c r="AG66" s="2137"/>
      <c r="AH66" s="2137"/>
      <c r="AI66" s="2015"/>
      <c r="AJ66" s="2006"/>
      <c r="AK66" s="1967"/>
      <c r="AL66" s="2023"/>
      <c r="AM66" s="2082"/>
      <c r="AN66" s="2082"/>
      <c r="AO66" s="2082"/>
      <c r="AP66" s="2082"/>
      <c r="AQ66" s="2082"/>
      <c r="AR66" s="2082"/>
      <c r="AS66" s="2082"/>
      <c r="AT66" s="2082"/>
      <c r="AU66" s="2082"/>
      <c r="AV66" s="2082"/>
      <c r="AW66" s="2082"/>
      <c r="AX66" s="2082"/>
      <c r="AY66" s="2082"/>
      <c r="AZ66" s="2082"/>
      <c r="BA66" s="2082"/>
      <c r="BB66" s="2082"/>
      <c r="BC66" s="2082"/>
      <c r="BD66" s="2082"/>
    </row>
    <row r="67" spans="1:56" x14ac:dyDescent="0.25">
      <c r="A67" s="2136">
        <v>17</v>
      </c>
      <c r="B67" s="2080"/>
      <c r="C67" s="1967"/>
      <c r="D67" s="1967"/>
      <c r="E67" s="1967"/>
      <c r="F67" s="1967"/>
      <c r="G67" s="1972"/>
      <c r="H67" s="1978" t="s">
        <v>1006</v>
      </c>
      <c r="I67" s="1967"/>
      <c r="J67" s="1967"/>
      <c r="K67" s="1967" t="s">
        <v>994</v>
      </c>
      <c r="L67" s="2138">
        <v>11970</v>
      </c>
      <c r="M67" s="1972">
        <v>11024</v>
      </c>
      <c r="N67" s="1967" t="s">
        <v>994</v>
      </c>
      <c r="O67" s="2141" t="s">
        <v>995</v>
      </c>
      <c r="P67" s="1967"/>
      <c r="Q67" s="1967"/>
      <c r="R67" s="1967"/>
      <c r="S67" s="1967"/>
      <c r="T67" s="1967"/>
      <c r="U67" s="37" t="s">
        <v>867</v>
      </c>
      <c r="V67" s="76" t="s">
        <v>996</v>
      </c>
      <c r="W67" s="61">
        <v>11131</v>
      </c>
      <c r="X67" s="37" t="s">
        <v>914</v>
      </c>
      <c r="Y67" s="76" t="s">
        <v>1005</v>
      </c>
      <c r="Z67" s="76" t="s">
        <v>997</v>
      </c>
      <c r="AA67" s="1967">
        <v>0</v>
      </c>
      <c r="AB67" s="1967">
        <v>0</v>
      </c>
      <c r="AC67" s="1967">
        <v>0</v>
      </c>
      <c r="AD67" s="1967">
        <v>0</v>
      </c>
      <c r="AE67" s="2137">
        <f>L67-AD68+AC68</f>
        <v>11970</v>
      </c>
      <c r="AF67" s="2137">
        <f>11970+7980</f>
        <v>19950</v>
      </c>
      <c r="AG67" s="2140">
        <v>23940</v>
      </c>
      <c r="AH67" s="2137">
        <f>AF67+AG67</f>
        <v>43890</v>
      </c>
      <c r="AI67" s="2015"/>
      <c r="AJ67" s="2006"/>
      <c r="AK67" s="1967"/>
      <c r="AL67" s="2023"/>
      <c r="AM67" s="2082"/>
      <c r="AN67" s="2082"/>
      <c r="AO67" s="2082"/>
      <c r="AP67" s="2082"/>
      <c r="AQ67" s="2082"/>
      <c r="AR67" s="2082"/>
      <c r="AS67" s="2082"/>
      <c r="AT67" s="2082"/>
      <c r="AU67" s="2082"/>
      <c r="AV67" s="2082"/>
      <c r="AW67" s="2082"/>
      <c r="AX67" s="2082"/>
      <c r="AY67" s="2082"/>
      <c r="AZ67" s="2082"/>
      <c r="BA67" s="2082"/>
      <c r="BB67" s="2082"/>
      <c r="BC67" s="2082"/>
      <c r="BD67" s="2082"/>
    </row>
    <row r="68" spans="1:56" x14ac:dyDescent="0.25">
      <c r="A68" s="2136"/>
      <c r="B68" s="2080"/>
      <c r="C68" s="1967"/>
      <c r="D68" s="1967"/>
      <c r="E68" s="1967"/>
      <c r="F68" s="1967"/>
      <c r="G68" s="1972"/>
      <c r="H68" s="1978"/>
      <c r="I68" s="1967"/>
      <c r="J68" s="1967"/>
      <c r="K68" s="1967"/>
      <c r="L68" s="2138"/>
      <c r="M68" s="1972"/>
      <c r="N68" s="1967"/>
      <c r="O68" s="2141"/>
      <c r="P68" s="1967"/>
      <c r="Q68" s="1967"/>
      <c r="R68" s="1967"/>
      <c r="S68" s="1967"/>
      <c r="T68" s="1967"/>
      <c r="U68" s="37" t="s">
        <v>871</v>
      </c>
      <c r="V68" s="76" t="s">
        <v>997</v>
      </c>
      <c r="W68" s="61">
        <v>11221</v>
      </c>
      <c r="X68" s="37" t="s">
        <v>914</v>
      </c>
      <c r="Y68" s="76" t="s">
        <v>997</v>
      </c>
      <c r="Z68" s="76" t="s">
        <v>1000</v>
      </c>
      <c r="AA68" s="1967"/>
      <c r="AB68" s="1967"/>
      <c r="AC68" s="1967"/>
      <c r="AD68" s="1967"/>
      <c r="AE68" s="2137"/>
      <c r="AF68" s="2137"/>
      <c r="AG68" s="2140"/>
      <c r="AH68" s="2137"/>
      <c r="AI68" s="2015"/>
      <c r="AJ68" s="2006"/>
      <c r="AK68" s="1967"/>
      <c r="AL68" s="2023"/>
      <c r="AM68" s="2082"/>
      <c r="AN68" s="2082"/>
      <c r="AO68" s="2082"/>
      <c r="AP68" s="2082"/>
      <c r="AQ68" s="2082"/>
      <c r="AR68" s="2082"/>
      <c r="AS68" s="2082"/>
      <c r="AT68" s="2082"/>
      <c r="AU68" s="2082"/>
      <c r="AV68" s="2082"/>
      <c r="AW68" s="2082"/>
      <c r="AX68" s="2082"/>
      <c r="AY68" s="2082"/>
      <c r="AZ68" s="2082"/>
      <c r="BA68" s="2082"/>
      <c r="BB68" s="2082"/>
      <c r="BC68" s="2082"/>
      <c r="BD68" s="2082"/>
    </row>
    <row r="69" spans="1:56" x14ac:dyDescent="0.25">
      <c r="A69" s="2136"/>
      <c r="B69" s="2080"/>
      <c r="C69" s="1967"/>
      <c r="D69" s="1967"/>
      <c r="E69" s="1967"/>
      <c r="F69" s="1967"/>
      <c r="G69" s="1972"/>
      <c r="H69" s="1978"/>
      <c r="I69" s="1967"/>
      <c r="J69" s="1967"/>
      <c r="K69" s="1967"/>
      <c r="L69" s="2138"/>
      <c r="M69" s="1972"/>
      <c r="N69" s="1967"/>
      <c r="O69" s="2141"/>
      <c r="P69" s="1967"/>
      <c r="Q69" s="1967"/>
      <c r="R69" s="1967"/>
      <c r="S69" s="1967"/>
      <c r="T69" s="1967"/>
      <c r="U69" s="37" t="s">
        <v>874</v>
      </c>
      <c r="V69" s="76" t="s">
        <v>1001</v>
      </c>
      <c r="W69" s="61">
        <v>11350</v>
      </c>
      <c r="X69" s="37" t="s">
        <v>914</v>
      </c>
      <c r="Y69" s="76" t="s">
        <v>1001</v>
      </c>
      <c r="Z69" s="76" t="s">
        <v>1002</v>
      </c>
      <c r="AA69" s="1967"/>
      <c r="AB69" s="1967"/>
      <c r="AC69" s="1967"/>
      <c r="AD69" s="1967"/>
      <c r="AE69" s="2137"/>
      <c r="AF69" s="2137"/>
      <c r="AG69" s="2140"/>
      <c r="AH69" s="2137"/>
      <c r="AI69" s="2015"/>
      <c r="AJ69" s="2006"/>
      <c r="AK69" s="1967"/>
      <c r="AL69" s="2023"/>
      <c r="AM69" s="2082"/>
      <c r="AN69" s="2082"/>
      <c r="AO69" s="2082"/>
      <c r="AP69" s="2082"/>
      <c r="AQ69" s="2082"/>
      <c r="AR69" s="2082"/>
      <c r="AS69" s="2082"/>
      <c r="AT69" s="2082"/>
      <c r="AU69" s="2082"/>
      <c r="AV69" s="2082"/>
      <c r="AW69" s="2082"/>
      <c r="AX69" s="2082"/>
      <c r="AY69" s="2082"/>
      <c r="AZ69" s="2082"/>
      <c r="BA69" s="2082"/>
      <c r="BB69" s="2082"/>
      <c r="BC69" s="2082"/>
      <c r="BD69" s="2082"/>
    </row>
    <row r="70" spans="1:56" ht="25.5" x14ac:dyDescent="0.25">
      <c r="A70" s="2136">
        <v>18</v>
      </c>
      <c r="B70" s="2080" t="s">
        <v>728</v>
      </c>
      <c r="C70" s="1967" t="s">
        <v>1007</v>
      </c>
      <c r="D70" s="1967" t="s">
        <v>935</v>
      </c>
      <c r="E70" s="1967" t="s">
        <v>923</v>
      </c>
      <c r="F70" s="1967" t="s">
        <v>1008</v>
      </c>
      <c r="G70" s="1972">
        <v>10997</v>
      </c>
      <c r="H70" s="1978" t="s">
        <v>1009</v>
      </c>
      <c r="I70" s="1967" t="s">
        <v>1010</v>
      </c>
      <c r="J70" s="1967" t="s">
        <v>1011</v>
      </c>
      <c r="K70" s="1967" t="s">
        <v>1012</v>
      </c>
      <c r="L70" s="37" t="s">
        <v>1013</v>
      </c>
      <c r="M70" s="1972">
        <v>11021</v>
      </c>
      <c r="N70" s="1967" t="s">
        <v>1012</v>
      </c>
      <c r="O70" s="1967" t="s">
        <v>1014</v>
      </c>
      <c r="P70" s="1967">
        <v>1</v>
      </c>
      <c r="Q70" s="1967"/>
      <c r="R70" s="1967"/>
      <c r="S70" s="1967"/>
      <c r="T70" s="1967" t="s">
        <v>316</v>
      </c>
      <c r="U70" s="1967"/>
      <c r="V70" s="2023"/>
      <c r="W70" s="2023"/>
      <c r="X70" s="1967"/>
      <c r="Y70" s="2023"/>
      <c r="Z70" s="2023"/>
      <c r="AA70" s="1967"/>
      <c r="AB70" s="1967"/>
      <c r="AC70" s="1967"/>
      <c r="AD70" s="1967"/>
      <c r="AE70" s="2137"/>
      <c r="AF70" s="2137">
        <f>[1]Plan1!N65</f>
        <v>755229.9</v>
      </c>
      <c r="AG70" s="2139">
        <v>394548.13</v>
      </c>
      <c r="AH70" s="2137">
        <f>AF70+AG70</f>
        <v>1149778.03</v>
      </c>
      <c r="AI70" s="2015"/>
      <c r="AJ70" s="2023"/>
      <c r="AK70" s="1967"/>
      <c r="AL70" s="2023"/>
      <c r="AM70" s="2082"/>
      <c r="AN70" s="2082"/>
      <c r="AO70" s="2082"/>
      <c r="AP70" s="2082"/>
      <c r="AQ70" s="2082"/>
      <c r="AR70" s="2082"/>
      <c r="AS70" s="2082"/>
      <c r="AT70" s="2082"/>
      <c r="AU70" s="2082"/>
      <c r="AV70" s="2082"/>
      <c r="AW70" s="2082"/>
      <c r="AX70" s="2082"/>
      <c r="AY70" s="2082"/>
      <c r="AZ70" s="2082"/>
      <c r="BA70" s="2082"/>
      <c r="BB70" s="2082"/>
      <c r="BC70" s="2082"/>
      <c r="BD70" s="2082"/>
    </row>
    <row r="71" spans="1:56" x14ac:dyDescent="0.25">
      <c r="A71" s="2136"/>
      <c r="B71" s="2080"/>
      <c r="C71" s="1967"/>
      <c r="D71" s="1967"/>
      <c r="E71" s="1967"/>
      <c r="F71" s="1967"/>
      <c r="G71" s="1972"/>
      <c r="H71" s="1978"/>
      <c r="I71" s="1967"/>
      <c r="J71" s="1967"/>
      <c r="K71" s="1967"/>
      <c r="L71" s="37" t="s">
        <v>1015</v>
      </c>
      <c r="M71" s="1972"/>
      <c r="N71" s="1967"/>
      <c r="O71" s="1967"/>
      <c r="P71" s="1967"/>
      <c r="Q71" s="1967"/>
      <c r="R71" s="1967"/>
      <c r="S71" s="1967"/>
      <c r="T71" s="1967"/>
      <c r="U71" s="1967"/>
      <c r="V71" s="2023"/>
      <c r="W71" s="2023"/>
      <c r="X71" s="1967"/>
      <c r="Y71" s="2023"/>
      <c r="Z71" s="2023"/>
      <c r="AA71" s="1967"/>
      <c r="AB71" s="1967"/>
      <c r="AC71" s="1967"/>
      <c r="AD71" s="1967"/>
      <c r="AE71" s="2137"/>
      <c r="AF71" s="2137"/>
      <c r="AG71" s="2139"/>
      <c r="AH71" s="2137"/>
      <c r="AI71" s="2015"/>
      <c r="AJ71" s="2023"/>
      <c r="AK71" s="1967"/>
      <c r="AL71" s="2023"/>
      <c r="AM71" s="2082"/>
      <c r="AN71" s="2082"/>
      <c r="AO71" s="2082"/>
      <c r="AP71" s="2082"/>
      <c r="AQ71" s="2082"/>
      <c r="AR71" s="2082"/>
      <c r="AS71" s="2082"/>
      <c r="AT71" s="2082"/>
      <c r="AU71" s="2082"/>
      <c r="AV71" s="2082"/>
      <c r="AW71" s="2082"/>
      <c r="AX71" s="2082"/>
      <c r="AY71" s="2082"/>
      <c r="AZ71" s="2082"/>
      <c r="BA71" s="2082"/>
      <c r="BB71" s="2082"/>
      <c r="BC71" s="2082"/>
      <c r="BD71" s="2082"/>
    </row>
    <row r="72" spans="1:56" x14ac:dyDescent="0.25">
      <c r="A72" s="2136"/>
      <c r="B72" s="2080"/>
      <c r="C72" s="1967"/>
      <c r="D72" s="1967"/>
      <c r="E72" s="1967"/>
      <c r="F72" s="1967"/>
      <c r="G72" s="1972"/>
      <c r="H72" s="1978"/>
      <c r="I72" s="1967"/>
      <c r="J72" s="1967"/>
      <c r="K72" s="1967"/>
      <c r="L72" s="37" t="s">
        <v>1016</v>
      </c>
      <c r="M72" s="1972"/>
      <c r="N72" s="1967"/>
      <c r="O72" s="1967"/>
      <c r="P72" s="1967"/>
      <c r="Q72" s="1967"/>
      <c r="R72" s="1967"/>
      <c r="S72" s="1967"/>
      <c r="T72" s="1967"/>
      <c r="U72" s="1967"/>
      <c r="V72" s="2023"/>
      <c r="W72" s="2023"/>
      <c r="X72" s="1967"/>
      <c r="Y72" s="2023"/>
      <c r="Z72" s="2023"/>
      <c r="AA72" s="1967"/>
      <c r="AB72" s="1967"/>
      <c r="AC72" s="1967"/>
      <c r="AD72" s="1967"/>
      <c r="AE72" s="2137"/>
      <c r="AF72" s="2137"/>
      <c r="AG72" s="2139"/>
      <c r="AH72" s="2137"/>
      <c r="AI72" s="2015"/>
      <c r="AJ72" s="2023"/>
      <c r="AK72" s="1967"/>
      <c r="AL72" s="2023"/>
      <c r="AM72" s="2082"/>
      <c r="AN72" s="2082"/>
      <c r="AO72" s="2082"/>
      <c r="AP72" s="2082"/>
      <c r="AQ72" s="2082"/>
      <c r="AR72" s="2082"/>
      <c r="AS72" s="2082"/>
      <c r="AT72" s="2082"/>
      <c r="AU72" s="2082"/>
      <c r="AV72" s="2082"/>
      <c r="AW72" s="2082"/>
      <c r="AX72" s="2082"/>
      <c r="AY72" s="2082"/>
      <c r="AZ72" s="2082"/>
      <c r="BA72" s="2082"/>
      <c r="BB72" s="2082"/>
      <c r="BC72" s="2082"/>
      <c r="BD72" s="2082"/>
    </row>
    <row r="73" spans="1:56" x14ac:dyDescent="0.25">
      <c r="A73" s="2136">
        <v>19</v>
      </c>
      <c r="B73" s="2080"/>
      <c r="C73" s="1967" t="s">
        <v>1017</v>
      </c>
      <c r="D73" s="1967" t="s">
        <v>984</v>
      </c>
      <c r="E73" s="1967" t="s">
        <v>923</v>
      </c>
      <c r="F73" s="1967" t="s">
        <v>1018</v>
      </c>
      <c r="G73" s="1972">
        <v>10964</v>
      </c>
      <c r="H73" s="1978" t="s">
        <v>1019</v>
      </c>
      <c r="I73" s="1978" t="s">
        <v>1020</v>
      </c>
      <c r="J73" s="1967" t="s">
        <v>1021</v>
      </c>
      <c r="K73" s="1967" t="s">
        <v>1022</v>
      </c>
      <c r="L73" s="2138">
        <v>45000</v>
      </c>
      <c r="M73" s="1967">
        <v>11059</v>
      </c>
      <c r="N73" s="1967" t="s">
        <v>1022</v>
      </c>
      <c r="O73" s="1967" t="s">
        <v>878</v>
      </c>
      <c r="P73" s="1967">
        <v>1</v>
      </c>
      <c r="Q73" s="1967"/>
      <c r="R73" s="1967"/>
      <c r="S73" s="1967"/>
      <c r="T73" s="1967" t="s">
        <v>316</v>
      </c>
      <c r="U73" s="37" t="s">
        <v>867</v>
      </c>
      <c r="V73" s="76" t="s">
        <v>929</v>
      </c>
      <c r="W73" s="61">
        <v>11237</v>
      </c>
      <c r="X73" s="37" t="s">
        <v>914</v>
      </c>
      <c r="Y73" s="76" t="s">
        <v>929</v>
      </c>
      <c r="Z73" s="76" t="s">
        <v>1023</v>
      </c>
      <c r="AA73" s="1967"/>
      <c r="AB73" s="1967"/>
      <c r="AC73" s="1967"/>
      <c r="AD73" s="1967"/>
      <c r="AE73" s="2137">
        <v>45000</v>
      </c>
      <c r="AF73" s="2137">
        <v>680.5</v>
      </c>
      <c r="AG73" s="2137">
        <v>621.5</v>
      </c>
      <c r="AH73" s="2137">
        <f>AF73+AG73</f>
        <v>1302</v>
      </c>
      <c r="AI73" s="2015" t="s">
        <v>1024</v>
      </c>
      <c r="AJ73" s="1972">
        <v>10964</v>
      </c>
      <c r="AK73" s="2023" t="s">
        <v>1025</v>
      </c>
      <c r="AL73" s="1972">
        <v>10964</v>
      </c>
      <c r="AM73" s="2082"/>
      <c r="AN73" s="2082"/>
      <c r="AO73" s="2082"/>
      <c r="AP73" s="2082"/>
      <c r="AQ73" s="2082"/>
      <c r="AR73" s="172"/>
      <c r="AS73" s="172"/>
      <c r="AT73" s="172"/>
      <c r="AU73" s="172"/>
      <c r="AV73" s="172"/>
      <c r="AW73" s="172"/>
      <c r="AX73" s="172"/>
      <c r="AY73" s="172"/>
      <c r="AZ73" s="172"/>
      <c r="BA73" s="172"/>
      <c r="BB73" s="172"/>
      <c r="BC73" s="172"/>
      <c r="BD73" s="172"/>
    </row>
    <row r="74" spans="1:56" x14ac:dyDescent="0.25">
      <c r="A74" s="2136"/>
      <c r="B74" s="2080"/>
      <c r="C74" s="1967"/>
      <c r="D74" s="1967"/>
      <c r="E74" s="1967"/>
      <c r="F74" s="1967"/>
      <c r="G74" s="1972"/>
      <c r="H74" s="1978"/>
      <c r="I74" s="1978"/>
      <c r="J74" s="1967"/>
      <c r="K74" s="1967"/>
      <c r="L74" s="2138"/>
      <c r="M74" s="1967"/>
      <c r="N74" s="1967"/>
      <c r="O74" s="1967"/>
      <c r="P74" s="1967"/>
      <c r="Q74" s="1967"/>
      <c r="R74" s="1967"/>
      <c r="S74" s="1967"/>
      <c r="T74" s="1967"/>
      <c r="U74" s="37" t="s">
        <v>871</v>
      </c>
      <c r="V74" s="76" t="s">
        <v>1026</v>
      </c>
      <c r="W74" s="61">
        <v>11319</v>
      </c>
      <c r="X74" s="37" t="s">
        <v>1027</v>
      </c>
      <c r="Y74" s="76" t="s">
        <v>1026</v>
      </c>
      <c r="Z74" s="76" t="s">
        <v>932</v>
      </c>
      <c r="AA74" s="1967"/>
      <c r="AB74" s="1967"/>
      <c r="AC74" s="1967"/>
      <c r="AD74" s="1967"/>
      <c r="AE74" s="2137"/>
      <c r="AF74" s="2137"/>
      <c r="AG74" s="2137"/>
      <c r="AH74" s="2137"/>
      <c r="AI74" s="2015"/>
      <c r="AJ74" s="1972"/>
      <c r="AK74" s="2023"/>
      <c r="AL74" s="1972"/>
      <c r="AM74" s="2082"/>
      <c r="AN74" s="2082"/>
      <c r="AO74" s="2082"/>
      <c r="AP74" s="2082"/>
      <c r="AQ74" s="2082"/>
      <c r="AR74" s="172"/>
      <c r="AS74" s="172"/>
      <c r="AT74" s="172"/>
      <c r="AU74" s="172"/>
      <c r="AV74" s="172"/>
      <c r="AW74" s="172"/>
      <c r="AX74" s="172"/>
      <c r="AY74" s="172"/>
      <c r="AZ74" s="172"/>
      <c r="BA74" s="172"/>
      <c r="BB74" s="172"/>
      <c r="BC74" s="172"/>
      <c r="BD74" s="172"/>
    </row>
    <row r="75" spans="1:56" ht="25.5" x14ac:dyDescent="0.25">
      <c r="A75" s="319">
        <v>20</v>
      </c>
      <c r="B75" s="49" t="s">
        <v>1028</v>
      </c>
      <c r="C75" s="37" t="s">
        <v>1029</v>
      </c>
      <c r="D75" s="37" t="s">
        <v>984</v>
      </c>
      <c r="E75" s="37" t="s">
        <v>923</v>
      </c>
      <c r="F75" s="37" t="s">
        <v>1030</v>
      </c>
      <c r="G75" s="46">
        <v>10935</v>
      </c>
      <c r="H75" s="46" t="s">
        <v>1031</v>
      </c>
      <c r="I75" s="46" t="s">
        <v>1032</v>
      </c>
      <c r="J75" s="37" t="s">
        <v>1033</v>
      </c>
      <c r="K75" s="27" t="s">
        <v>1034</v>
      </c>
      <c r="L75" s="320">
        <v>139249.44</v>
      </c>
      <c r="M75" s="46">
        <v>11060</v>
      </c>
      <c r="N75" s="27" t="s">
        <v>1034</v>
      </c>
      <c r="O75" s="27" t="s">
        <v>1035</v>
      </c>
      <c r="P75" s="37">
        <v>1</v>
      </c>
      <c r="Q75" s="37"/>
      <c r="R75" s="37"/>
      <c r="S75" s="37"/>
      <c r="T75" s="37" t="s">
        <v>208</v>
      </c>
      <c r="U75" s="37" t="s">
        <v>867</v>
      </c>
      <c r="V75" s="76" t="s">
        <v>1036</v>
      </c>
      <c r="W75" s="61">
        <v>11325</v>
      </c>
      <c r="X75" s="37" t="s">
        <v>1037</v>
      </c>
      <c r="Y75" s="76" t="s">
        <v>1036</v>
      </c>
      <c r="Z75" s="76" t="s">
        <v>1038</v>
      </c>
      <c r="AA75" s="37"/>
      <c r="AB75" s="37"/>
      <c r="AC75" s="37"/>
      <c r="AD75" s="37"/>
      <c r="AE75" s="320">
        <v>139249.44</v>
      </c>
      <c r="AF75" s="321">
        <v>87030.9</v>
      </c>
      <c r="AG75" s="322">
        <v>109981.27</v>
      </c>
      <c r="AH75" s="322">
        <f t="shared" ref="AH75:AH110" si="2">AF75+AG75</f>
        <v>197012.16999999998</v>
      </c>
      <c r="AI75" s="157" t="s">
        <v>1039</v>
      </c>
      <c r="AJ75" s="46">
        <v>10935</v>
      </c>
      <c r="AK75" s="320" t="s">
        <v>1040</v>
      </c>
      <c r="AL75" s="46">
        <v>10935</v>
      </c>
      <c r="AM75" s="172"/>
      <c r="AN75" s="172"/>
      <c r="AO75" s="172"/>
      <c r="AP75" s="172"/>
      <c r="AQ75" s="172"/>
      <c r="AR75" s="172"/>
      <c r="AS75" s="172"/>
      <c r="AT75" s="172"/>
      <c r="AU75" s="172"/>
      <c r="AV75" s="172"/>
      <c r="AW75" s="172"/>
      <c r="AX75" s="172"/>
      <c r="AY75" s="172"/>
      <c r="AZ75" s="172"/>
      <c r="BA75" s="172"/>
      <c r="BB75" s="172"/>
      <c r="BC75" s="172"/>
      <c r="BD75" s="172"/>
    </row>
    <row r="76" spans="1:56" x14ac:dyDescent="0.25">
      <c r="A76" s="2136">
        <v>21</v>
      </c>
      <c r="B76" s="2080"/>
      <c r="C76" s="1967" t="s">
        <v>321</v>
      </c>
      <c r="D76" s="1967" t="s">
        <v>935</v>
      </c>
      <c r="E76" s="1967" t="s">
        <v>923</v>
      </c>
      <c r="F76" s="1967" t="s">
        <v>1041</v>
      </c>
      <c r="G76" s="1972">
        <v>11084</v>
      </c>
      <c r="H76" s="46" t="s">
        <v>388</v>
      </c>
      <c r="I76" s="46" t="s">
        <v>1042</v>
      </c>
      <c r="J76" s="37" t="s">
        <v>1043</v>
      </c>
      <c r="K76" s="37" t="s">
        <v>1044</v>
      </c>
      <c r="L76" s="320">
        <v>6420</v>
      </c>
      <c r="M76" s="46">
        <v>11082</v>
      </c>
      <c r="N76" s="37" t="s">
        <v>1044</v>
      </c>
      <c r="O76" s="37" t="s">
        <v>1045</v>
      </c>
      <c r="P76" s="1967">
        <v>1</v>
      </c>
      <c r="Q76" s="37"/>
      <c r="R76" s="37"/>
      <c r="S76" s="37"/>
      <c r="T76" s="1967" t="s">
        <v>158</v>
      </c>
      <c r="U76" s="37" t="s">
        <v>867</v>
      </c>
      <c r="V76" s="76" t="s">
        <v>929</v>
      </c>
      <c r="W76" s="2006">
        <v>11222</v>
      </c>
      <c r="X76" s="37" t="s">
        <v>914</v>
      </c>
      <c r="Y76" s="76" t="s">
        <v>929</v>
      </c>
      <c r="Z76" s="76" t="s">
        <v>932</v>
      </c>
      <c r="AA76" s="37"/>
      <c r="AB76" s="37"/>
      <c r="AC76" s="37"/>
      <c r="AD76" s="37"/>
      <c r="AE76" s="320">
        <v>6420</v>
      </c>
      <c r="AF76" s="320">
        <v>6420</v>
      </c>
      <c r="AG76" s="322">
        <v>9630</v>
      </c>
      <c r="AH76" s="322">
        <f t="shared" si="2"/>
        <v>16050</v>
      </c>
      <c r="AI76" s="157"/>
      <c r="AJ76" s="76"/>
      <c r="AK76" s="37"/>
      <c r="AL76" s="76"/>
      <c r="AM76" s="172"/>
      <c r="AN76" s="172"/>
      <c r="AO76" s="172"/>
      <c r="AP76" s="172"/>
      <c r="AQ76" s="172"/>
      <c r="AR76" s="172"/>
      <c r="AS76" s="172"/>
      <c r="AT76" s="172"/>
      <c r="AU76" s="172"/>
      <c r="AV76" s="172"/>
      <c r="AW76" s="172"/>
      <c r="AX76" s="172"/>
      <c r="AY76" s="172"/>
      <c r="AZ76" s="172"/>
      <c r="BA76" s="172"/>
      <c r="BB76" s="172"/>
      <c r="BC76" s="172"/>
      <c r="BD76" s="172"/>
    </row>
    <row r="77" spans="1:56" x14ac:dyDescent="0.25">
      <c r="A77" s="2136"/>
      <c r="B77" s="2080"/>
      <c r="C77" s="1967"/>
      <c r="D77" s="1967"/>
      <c r="E77" s="1967"/>
      <c r="F77" s="1967"/>
      <c r="G77" s="1972"/>
      <c r="H77" s="46" t="s">
        <v>1046</v>
      </c>
      <c r="I77" s="46" t="s">
        <v>1047</v>
      </c>
      <c r="J77" s="37" t="s">
        <v>1048</v>
      </c>
      <c r="K77" s="37" t="s">
        <v>1049</v>
      </c>
      <c r="L77" s="320">
        <v>6420</v>
      </c>
      <c r="M77" s="46">
        <v>11094</v>
      </c>
      <c r="N77" s="37" t="s">
        <v>1049</v>
      </c>
      <c r="O77" s="37" t="s">
        <v>929</v>
      </c>
      <c r="P77" s="1967"/>
      <c r="Q77" s="37"/>
      <c r="R77" s="37"/>
      <c r="S77" s="37"/>
      <c r="T77" s="1967"/>
      <c r="U77" s="37" t="s">
        <v>867</v>
      </c>
      <c r="V77" s="76" t="s">
        <v>929</v>
      </c>
      <c r="W77" s="2006"/>
      <c r="X77" s="37" t="s">
        <v>914</v>
      </c>
      <c r="Y77" s="76" t="s">
        <v>929</v>
      </c>
      <c r="Z77" s="76" t="s">
        <v>932</v>
      </c>
      <c r="AA77" s="37"/>
      <c r="AB77" s="37"/>
      <c r="AC77" s="37"/>
      <c r="AD77" s="37"/>
      <c r="AE77" s="320">
        <v>7490</v>
      </c>
      <c r="AF77" s="320">
        <v>5885</v>
      </c>
      <c r="AG77" s="322">
        <v>6420</v>
      </c>
      <c r="AH77" s="322">
        <f t="shared" si="2"/>
        <v>12305</v>
      </c>
      <c r="AI77" s="157"/>
      <c r="AJ77" s="76"/>
      <c r="AK77" s="37"/>
      <c r="AL77" s="76"/>
      <c r="AM77" s="172"/>
      <c r="AN77" s="172"/>
      <c r="AO77" s="172"/>
      <c r="AP77" s="172"/>
      <c r="AQ77" s="172"/>
      <c r="AR77" s="172"/>
      <c r="AS77" s="172"/>
      <c r="AT77" s="172"/>
      <c r="AU77" s="172"/>
      <c r="AV77" s="172"/>
      <c r="AW77" s="172"/>
      <c r="AX77" s="172"/>
      <c r="AY77" s="172"/>
      <c r="AZ77" s="172"/>
      <c r="BA77" s="172"/>
      <c r="BB77" s="172"/>
      <c r="BC77" s="172"/>
      <c r="BD77" s="172"/>
    </row>
    <row r="78" spans="1:56" x14ac:dyDescent="0.25">
      <c r="A78" s="319">
        <v>22</v>
      </c>
      <c r="B78" s="49"/>
      <c r="C78" s="37" t="s">
        <v>1050</v>
      </c>
      <c r="D78" s="37" t="s">
        <v>935</v>
      </c>
      <c r="E78" s="37" t="s">
        <v>923</v>
      </c>
      <c r="F78" s="37" t="s">
        <v>1051</v>
      </c>
      <c r="G78" s="46">
        <v>10970</v>
      </c>
      <c r="H78" s="46" t="s">
        <v>403</v>
      </c>
      <c r="I78" s="46" t="s">
        <v>1052</v>
      </c>
      <c r="J78" s="37" t="s">
        <v>1053</v>
      </c>
      <c r="K78" s="37" t="s">
        <v>1054</v>
      </c>
      <c r="L78" s="320">
        <v>6160</v>
      </c>
      <c r="M78" s="46">
        <v>11091</v>
      </c>
      <c r="N78" s="37" t="s">
        <v>1054</v>
      </c>
      <c r="O78" s="37" t="s">
        <v>768</v>
      </c>
      <c r="P78" s="37">
        <v>1</v>
      </c>
      <c r="Q78" s="37"/>
      <c r="R78" s="37"/>
      <c r="S78" s="37"/>
      <c r="T78" s="37" t="s">
        <v>316</v>
      </c>
      <c r="U78" s="37" t="s">
        <v>867</v>
      </c>
      <c r="V78" s="76" t="s">
        <v>768</v>
      </c>
      <c r="W78" s="61">
        <v>11364</v>
      </c>
      <c r="X78" s="37" t="s">
        <v>914</v>
      </c>
      <c r="Y78" s="76" t="s">
        <v>768</v>
      </c>
      <c r="Z78" s="76" t="s">
        <v>769</v>
      </c>
      <c r="AA78" s="37"/>
      <c r="AB78" s="37"/>
      <c r="AC78" s="37"/>
      <c r="AD78" s="37"/>
      <c r="AE78" s="320">
        <v>6160</v>
      </c>
      <c r="AF78" s="320">
        <v>1969</v>
      </c>
      <c r="AG78" s="322">
        <v>1539.4</v>
      </c>
      <c r="AH78" s="322">
        <f t="shared" si="2"/>
        <v>3508.4</v>
      </c>
      <c r="AI78" s="157" t="s">
        <v>986</v>
      </c>
      <c r="AJ78" s="46">
        <v>10970</v>
      </c>
      <c r="AK78" s="37" t="s">
        <v>1055</v>
      </c>
      <c r="AL78" s="46">
        <v>10970</v>
      </c>
      <c r="AM78" s="172"/>
      <c r="AN78" s="172"/>
      <c r="AO78" s="172"/>
      <c r="AP78" s="172"/>
      <c r="AQ78" s="172"/>
      <c r="AR78" s="172"/>
      <c r="AS78" s="172"/>
      <c r="AT78" s="172"/>
      <c r="AU78" s="172"/>
      <c r="AV78" s="172"/>
      <c r="AW78" s="172"/>
      <c r="AX78" s="172"/>
      <c r="AY78" s="172"/>
      <c r="AZ78" s="172"/>
      <c r="BA78" s="172"/>
      <c r="BB78" s="172"/>
      <c r="BC78" s="172"/>
      <c r="BD78" s="172"/>
    </row>
    <row r="79" spans="1:56" ht="38.25" x14ac:dyDescent="0.25">
      <c r="A79" s="319">
        <v>23</v>
      </c>
      <c r="B79" s="49" t="s">
        <v>1056</v>
      </c>
      <c r="C79" s="37" t="s">
        <v>1057</v>
      </c>
      <c r="D79" s="37" t="s">
        <v>965</v>
      </c>
      <c r="E79" s="37" t="s">
        <v>923</v>
      </c>
      <c r="F79" s="37" t="s">
        <v>1058</v>
      </c>
      <c r="G79" s="61">
        <v>11029</v>
      </c>
      <c r="H79" s="54" t="s">
        <v>1059</v>
      </c>
      <c r="I79" s="46" t="s">
        <v>742</v>
      </c>
      <c r="J79" s="37" t="s">
        <v>743</v>
      </c>
      <c r="K79" s="37" t="s">
        <v>1060</v>
      </c>
      <c r="L79" s="320">
        <v>20459</v>
      </c>
      <c r="M79" s="61">
        <v>11128</v>
      </c>
      <c r="N79" s="37" t="s">
        <v>1060</v>
      </c>
      <c r="O79" s="37" t="s">
        <v>1061</v>
      </c>
      <c r="P79" s="37">
        <v>1</v>
      </c>
      <c r="Q79" s="37"/>
      <c r="R79" s="37"/>
      <c r="S79" s="37"/>
      <c r="T79" s="37" t="s">
        <v>1062</v>
      </c>
      <c r="U79" s="37" t="s">
        <v>867</v>
      </c>
      <c r="V79" s="61" t="s">
        <v>1063</v>
      </c>
      <c r="W79" s="61">
        <v>11365</v>
      </c>
      <c r="X79" s="37" t="s">
        <v>914</v>
      </c>
      <c r="Y79" s="76" t="s">
        <v>1063</v>
      </c>
      <c r="Z79" s="76" t="s">
        <v>1064</v>
      </c>
      <c r="AA79" s="37"/>
      <c r="AB79" s="37"/>
      <c r="AC79" s="37"/>
      <c r="AD79" s="37"/>
      <c r="AE79" s="320">
        <v>20459</v>
      </c>
      <c r="AF79" s="320">
        <v>2678.14</v>
      </c>
      <c r="AG79" s="322">
        <v>2400</v>
      </c>
      <c r="AH79" s="322">
        <f t="shared" si="2"/>
        <v>5078.1399999999994</v>
      </c>
      <c r="AI79" s="157" t="s">
        <v>1056</v>
      </c>
      <c r="AJ79" s="61">
        <v>11029</v>
      </c>
      <c r="AK79" s="37" t="s">
        <v>1065</v>
      </c>
      <c r="AL79" s="61">
        <v>11029</v>
      </c>
      <c r="AM79" s="172"/>
      <c r="AN79" s="172"/>
      <c r="AO79" s="172"/>
      <c r="AP79" s="172"/>
      <c r="AQ79" s="172"/>
      <c r="AR79" s="172"/>
      <c r="AS79" s="172"/>
      <c r="AT79" s="172"/>
      <c r="AU79" s="172"/>
      <c r="AV79" s="172"/>
      <c r="AW79" s="172"/>
      <c r="AX79" s="172"/>
      <c r="AY79" s="172"/>
      <c r="AZ79" s="172"/>
      <c r="BA79" s="172"/>
      <c r="BB79" s="172"/>
      <c r="BC79" s="172"/>
      <c r="BD79" s="172"/>
    </row>
    <row r="80" spans="1:56" ht="25.5" x14ac:dyDescent="0.25">
      <c r="A80" s="319">
        <v>24</v>
      </c>
      <c r="B80" s="49" t="s">
        <v>1066</v>
      </c>
      <c r="C80" s="37" t="s">
        <v>1067</v>
      </c>
      <c r="D80" s="37" t="s">
        <v>965</v>
      </c>
      <c r="E80" s="37" t="s">
        <v>923</v>
      </c>
      <c r="F80" s="37" t="s">
        <v>1068</v>
      </c>
      <c r="G80" s="61" t="s">
        <v>1069</v>
      </c>
      <c r="H80" s="54" t="s">
        <v>1070</v>
      </c>
      <c r="I80" s="46" t="s">
        <v>1071</v>
      </c>
      <c r="J80" s="37" t="s">
        <v>1072</v>
      </c>
      <c r="K80" s="37" t="s">
        <v>1073</v>
      </c>
      <c r="L80" s="320">
        <v>432000</v>
      </c>
      <c r="M80" s="61">
        <v>11161</v>
      </c>
      <c r="N80" s="37" t="s">
        <v>1073</v>
      </c>
      <c r="O80" s="37" t="s">
        <v>920</v>
      </c>
      <c r="P80" s="37">
        <v>1</v>
      </c>
      <c r="Q80" s="37"/>
      <c r="R80" s="37"/>
      <c r="S80" s="37"/>
      <c r="T80" s="37" t="s">
        <v>208</v>
      </c>
      <c r="U80" s="37"/>
      <c r="V80" s="76"/>
      <c r="W80" s="37">
        <v>11161</v>
      </c>
      <c r="X80" s="37" t="s">
        <v>1074</v>
      </c>
      <c r="Y80" s="76"/>
      <c r="Z80" s="76"/>
      <c r="AA80" s="37"/>
      <c r="AB80" s="37"/>
      <c r="AC80" s="37"/>
      <c r="AD80" s="37"/>
      <c r="AE80" s="320">
        <v>432000</v>
      </c>
      <c r="AF80" s="320">
        <v>27600</v>
      </c>
      <c r="AG80" s="322">
        <v>432000</v>
      </c>
      <c r="AH80" s="322">
        <f t="shared" si="2"/>
        <v>459600</v>
      </c>
      <c r="AI80" s="157" t="s">
        <v>1075</v>
      </c>
      <c r="AJ80" s="61" t="s">
        <v>1069</v>
      </c>
      <c r="AK80" s="76" t="s">
        <v>1076</v>
      </c>
      <c r="AL80" s="61" t="s">
        <v>1069</v>
      </c>
      <c r="AM80" s="172"/>
      <c r="AN80" s="172"/>
      <c r="AO80" s="172"/>
      <c r="AP80" s="172"/>
      <c r="AQ80" s="172"/>
      <c r="AR80" s="172"/>
      <c r="AS80" s="172"/>
      <c r="AT80" s="172"/>
      <c r="AU80" s="172"/>
      <c r="AV80" s="172"/>
      <c r="AW80" s="172"/>
      <c r="AX80" s="172"/>
      <c r="AY80" s="172"/>
      <c r="AZ80" s="172"/>
      <c r="BA80" s="172"/>
      <c r="BB80" s="172"/>
      <c r="BC80" s="172"/>
      <c r="BD80" s="172"/>
    </row>
    <row r="81" spans="1:56" ht="38.25" x14ac:dyDescent="0.25">
      <c r="A81" s="319">
        <v>25</v>
      </c>
      <c r="B81" s="49" t="s">
        <v>1077</v>
      </c>
      <c r="C81" s="37" t="s">
        <v>680</v>
      </c>
      <c r="D81" s="37" t="s">
        <v>122</v>
      </c>
      <c r="E81" s="37" t="s">
        <v>845</v>
      </c>
      <c r="F81" s="37" t="s">
        <v>1078</v>
      </c>
      <c r="G81" s="61">
        <v>11253</v>
      </c>
      <c r="H81" s="54" t="s">
        <v>847</v>
      </c>
      <c r="I81" s="46" t="s">
        <v>1079</v>
      </c>
      <c r="J81" s="37" t="s">
        <v>1080</v>
      </c>
      <c r="K81" s="37" t="s">
        <v>884</v>
      </c>
      <c r="L81" s="320">
        <v>30754.400000000001</v>
      </c>
      <c r="M81" s="61"/>
      <c r="N81" s="37"/>
      <c r="O81" s="37"/>
      <c r="P81" s="37">
        <v>1</v>
      </c>
      <c r="Q81" s="37"/>
      <c r="R81" s="37"/>
      <c r="S81" s="37"/>
      <c r="T81" s="37" t="s">
        <v>208</v>
      </c>
      <c r="U81" s="37"/>
      <c r="V81" s="76"/>
      <c r="W81" s="37"/>
      <c r="X81" s="37"/>
      <c r="Y81" s="76"/>
      <c r="Z81" s="76"/>
      <c r="AA81" s="37"/>
      <c r="AB81" s="37"/>
      <c r="AC81" s="37"/>
      <c r="AD81" s="37"/>
      <c r="AE81" s="331">
        <v>30754.400000000001</v>
      </c>
      <c r="AF81" s="320"/>
      <c r="AG81" s="320">
        <v>30754.400000000001</v>
      </c>
      <c r="AH81" s="322">
        <f t="shared" si="2"/>
        <v>30754.400000000001</v>
      </c>
      <c r="AI81" s="157"/>
      <c r="AJ81" s="61"/>
      <c r="AK81" s="76"/>
      <c r="AL81" s="61"/>
      <c r="AM81" s="172"/>
      <c r="AN81" s="172"/>
      <c r="AO81" s="172"/>
      <c r="AP81" s="172"/>
      <c r="AQ81" s="172"/>
      <c r="AR81" s="172"/>
      <c r="AS81" s="172"/>
      <c r="AT81" s="172"/>
      <c r="AU81" s="172"/>
      <c r="AV81" s="172"/>
      <c r="AW81" s="172"/>
      <c r="AX81" s="172"/>
      <c r="AY81" s="172"/>
      <c r="AZ81" s="172"/>
      <c r="BA81" s="172"/>
      <c r="BB81" s="172"/>
      <c r="BC81" s="172"/>
      <c r="BD81" s="172"/>
    </row>
    <row r="82" spans="1:56" ht="76.5" x14ac:dyDescent="0.25">
      <c r="A82" s="319">
        <v>26</v>
      </c>
      <c r="B82" s="49" t="s">
        <v>1081</v>
      </c>
      <c r="C82" s="37" t="s">
        <v>841</v>
      </c>
      <c r="D82" s="37" t="s">
        <v>965</v>
      </c>
      <c r="E82" s="37" t="s">
        <v>923</v>
      </c>
      <c r="F82" s="37" t="s">
        <v>1082</v>
      </c>
      <c r="G82" s="46">
        <v>11247</v>
      </c>
      <c r="H82" s="54" t="s">
        <v>675</v>
      </c>
      <c r="I82" s="37" t="s">
        <v>1083</v>
      </c>
      <c r="J82" s="37" t="s">
        <v>1084</v>
      </c>
      <c r="K82" s="37" t="s">
        <v>732</v>
      </c>
      <c r="L82" s="320">
        <v>7064947</v>
      </c>
      <c r="M82" s="46">
        <v>11281</v>
      </c>
      <c r="N82" s="37" t="s">
        <v>732</v>
      </c>
      <c r="O82" s="37" t="s">
        <v>733</v>
      </c>
      <c r="P82" s="37">
        <v>1</v>
      </c>
      <c r="Q82" s="37"/>
      <c r="R82" s="37"/>
      <c r="S82" s="37"/>
      <c r="T82" s="37" t="s">
        <v>316</v>
      </c>
      <c r="U82" s="37"/>
      <c r="V82" s="37"/>
      <c r="W82" s="37"/>
      <c r="X82" s="37"/>
      <c r="Y82" s="37"/>
      <c r="Z82" s="37"/>
      <c r="AA82" s="37"/>
      <c r="AB82" s="37"/>
      <c r="AC82" s="37"/>
      <c r="AD82" s="37"/>
      <c r="AE82" s="320">
        <v>7064947</v>
      </c>
      <c r="AF82" s="320">
        <v>0</v>
      </c>
      <c r="AG82" s="320">
        <v>584905.12</v>
      </c>
      <c r="AH82" s="322">
        <f t="shared" si="2"/>
        <v>584905.12</v>
      </c>
      <c r="AI82" s="339" t="s">
        <v>388</v>
      </c>
      <c r="AJ82" s="46">
        <v>11273</v>
      </c>
      <c r="AK82" s="157" t="s">
        <v>1085</v>
      </c>
      <c r="AL82" s="340">
        <v>11273</v>
      </c>
      <c r="AM82" s="37"/>
      <c r="AN82" s="37"/>
      <c r="AO82" s="37"/>
      <c r="AP82" s="37"/>
      <c r="AQ82" s="37"/>
      <c r="AR82" s="37"/>
      <c r="AS82" s="37"/>
      <c r="AT82" s="37"/>
      <c r="AU82" s="37"/>
      <c r="AV82" s="37"/>
      <c r="AW82" s="37"/>
      <c r="AX82" s="37"/>
      <c r="AY82" s="37"/>
      <c r="AZ82" s="37"/>
      <c r="BA82" s="37"/>
      <c r="BB82" s="37"/>
      <c r="BC82" s="37"/>
      <c r="BD82" s="37"/>
    </row>
    <row r="83" spans="1:56" ht="25.5" x14ac:dyDescent="0.25">
      <c r="A83" s="319">
        <v>27</v>
      </c>
      <c r="B83" s="2080" t="s">
        <v>1086</v>
      </c>
      <c r="C83" s="1967" t="s">
        <v>680</v>
      </c>
      <c r="D83" s="1967" t="s">
        <v>965</v>
      </c>
      <c r="E83" s="1967" t="s">
        <v>845</v>
      </c>
      <c r="F83" s="27" t="s">
        <v>1087</v>
      </c>
      <c r="G83" s="1972">
        <v>11215</v>
      </c>
      <c r="H83" s="54" t="s">
        <v>683</v>
      </c>
      <c r="I83" s="1967" t="s">
        <v>1088</v>
      </c>
      <c r="J83" s="1967" t="s">
        <v>225</v>
      </c>
      <c r="K83" s="37" t="s">
        <v>732</v>
      </c>
      <c r="L83" s="320">
        <v>60000</v>
      </c>
      <c r="M83" s="46">
        <v>11282</v>
      </c>
      <c r="N83" s="37" t="s">
        <v>732</v>
      </c>
      <c r="O83" s="37" t="s">
        <v>733</v>
      </c>
      <c r="P83" s="1967">
        <v>1</v>
      </c>
      <c r="Q83" s="37"/>
      <c r="R83" s="37"/>
      <c r="S83" s="37"/>
      <c r="T83" s="1967" t="s">
        <v>208</v>
      </c>
      <c r="U83" s="37"/>
      <c r="V83" s="37"/>
      <c r="W83" s="37"/>
      <c r="X83" s="37"/>
      <c r="Y83" s="37"/>
      <c r="Z83" s="37"/>
      <c r="AA83" s="37"/>
      <c r="AB83" s="37"/>
      <c r="AC83" s="37"/>
      <c r="AD83" s="37"/>
      <c r="AE83" s="320">
        <v>60000</v>
      </c>
      <c r="AF83" s="320">
        <v>0</v>
      </c>
      <c r="AG83" s="331">
        <v>43083.33</v>
      </c>
      <c r="AH83" s="322">
        <f t="shared" si="2"/>
        <v>43083.33</v>
      </c>
      <c r="AI83" s="2015" t="s">
        <v>686</v>
      </c>
      <c r="AJ83" s="1972">
        <v>11232</v>
      </c>
      <c r="AK83" s="2135" t="s">
        <v>1089</v>
      </c>
      <c r="AL83" s="1972">
        <v>11232</v>
      </c>
      <c r="AM83" s="37"/>
      <c r="AN83" s="37"/>
      <c r="AO83" s="37"/>
      <c r="AP83" s="37"/>
      <c r="AQ83" s="37"/>
      <c r="AR83" s="37"/>
      <c r="AS83" s="37"/>
      <c r="AT83" s="37"/>
      <c r="AU83" s="37"/>
      <c r="AV83" s="37"/>
      <c r="AW83" s="37"/>
      <c r="AX83" s="37"/>
      <c r="AY83" s="37"/>
      <c r="AZ83" s="37"/>
      <c r="BA83" s="37"/>
      <c r="BB83" s="37"/>
      <c r="BC83" s="37"/>
      <c r="BD83" s="37"/>
    </row>
    <row r="84" spans="1:56" ht="25.5" x14ac:dyDescent="0.25">
      <c r="A84" s="319">
        <v>28</v>
      </c>
      <c r="B84" s="2080"/>
      <c r="C84" s="1967"/>
      <c r="D84" s="1967"/>
      <c r="E84" s="1967"/>
      <c r="F84" s="27" t="s">
        <v>1090</v>
      </c>
      <c r="G84" s="1972"/>
      <c r="H84" s="54" t="s">
        <v>686</v>
      </c>
      <c r="I84" s="1967"/>
      <c r="J84" s="1967"/>
      <c r="K84" s="37" t="s">
        <v>1091</v>
      </c>
      <c r="L84" s="320">
        <v>30000</v>
      </c>
      <c r="M84" s="46">
        <v>11320</v>
      </c>
      <c r="N84" s="37" t="s">
        <v>1091</v>
      </c>
      <c r="O84" s="37" t="s">
        <v>1092</v>
      </c>
      <c r="P84" s="1967"/>
      <c r="Q84" s="37"/>
      <c r="R84" s="37"/>
      <c r="S84" s="37"/>
      <c r="T84" s="1967"/>
      <c r="U84" s="37"/>
      <c r="V84" s="37"/>
      <c r="W84" s="37"/>
      <c r="X84" s="37"/>
      <c r="Y84" s="37"/>
      <c r="Z84" s="37"/>
      <c r="AA84" s="37"/>
      <c r="AB84" s="37"/>
      <c r="AC84" s="37"/>
      <c r="AD84" s="37"/>
      <c r="AE84" s="322">
        <f t="shared" ref="AE84:AE110" si="3">L84-AD84+AC84</f>
        <v>30000</v>
      </c>
      <c r="AF84" s="320">
        <v>0</v>
      </c>
      <c r="AG84" s="331">
        <v>16750</v>
      </c>
      <c r="AH84" s="322">
        <f t="shared" si="2"/>
        <v>16750</v>
      </c>
      <c r="AI84" s="2015"/>
      <c r="AJ84" s="1972"/>
      <c r="AK84" s="2135"/>
      <c r="AL84" s="1972"/>
      <c r="AM84" s="37"/>
      <c r="AN84" s="37"/>
      <c r="AO84" s="37"/>
      <c r="AP84" s="37"/>
      <c r="AQ84" s="37"/>
      <c r="AR84" s="37"/>
      <c r="AS84" s="37"/>
      <c r="AT84" s="37"/>
      <c r="AU84" s="37"/>
      <c r="AV84" s="37"/>
      <c r="AW84" s="37"/>
      <c r="AX84" s="37"/>
      <c r="AY84" s="37"/>
      <c r="AZ84" s="37"/>
      <c r="BA84" s="37"/>
      <c r="BB84" s="37"/>
      <c r="BC84" s="37"/>
      <c r="BD84" s="37"/>
    </row>
    <row r="85" spans="1:56" ht="25.5" x14ac:dyDescent="0.25">
      <c r="A85" s="319">
        <v>29</v>
      </c>
      <c r="B85" s="49" t="s">
        <v>1093</v>
      </c>
      <c r="C85" s="37"/>
      <c r="D85" s="37" t="s">
        <v>690</v>
      </c>
      <c r="E85" s="37"/>
      <c r="F85" s="37" t="s">
        <v>1094</v>
      </c>
      <c r="G85" s="46"/>
      <c r="H85" s="54" t="s">
        <v>1095</v>
      </c>
      <c r="I85" s="37" t="s">
        <v>853</v>
      </c>
      <c r="J85" s="37" t="s">
        <v>854</v>
      </c>
      <c r="K85" s="37" t="s">
        <v>1014</v>
      </c>
      <c r="L85" s="320">
        <v>139000</v>
      </c>
      <c r="M85" s="46">
        <v>11273</v>
      </c>
      <c r="N85" s="37" t="s">
        <v>1096</v>
      </c>
      <c r="O85" s="37" t="s">
        <v>1097</v>
      </c>
      <c r="P85" s="37">
        <v>1</v>
      </c>
      <c r="Q85" s="37"/>
      <c r="R85" s="37"/>
      <c r="S85" s="37"/>
      <c r="T85" s="37"/>
      <c r="U85" s="37"/>
      <c r="V85" s="37"/>
      <c r="W85" s="37"/>
      <c r="X85" s="37"/>
      <c r="Y85" s="37"/>
      <c r="Z85" s="37"/>
      <c r="AA85" s="37"/>
      <c r="AB85" s="37"/>
      <c r="AC85" s="37"/>
      <c r="AD85" s="37"/>
      <c r="AE85" s="322">
        <f t="shared" si="3"/>
        <v>139000</v>
      </c>
      <c r="AF85" s="320">
        <v>0</v>
      </c>
      <c r="AG85" s="320">
        <v>137103.15</v>
      </c>
      <c r="AH85" s="322">
        <f t="shared" si="2"/>
        <v>137103.15</v>
      </c>
      <c r="AI85" s="37"/>
      <c r="AJ85" s="37"/>
      <c r="AK85" s="37"/>
      <c r="AL85" s="37"/>
      <c r="AM85" s="112" t="s">
        <v>1098</v>
      </c>
      <c r="AN85" s="112" t="s">
        <v>1099</v>
      </c>
      <c r="AO85" s="46">
        <v>11247</v>
      </c>
      <c r="AP85" s="107" t="s">
        <v>1100</v>
      </c>
      <c r="AQ85" s="46">
        <v>11247</v>
      </c>
      <c r="AR85" s="107" t="s">
        <v>1100</v>
      </c>
      <c r="AS85" s="37"/>
      <c r="AT85" s="37"/>
      <c r="AU85" s="37"/>
      <c r="AV85" s="37"/>
      <c r="AW85" s="37"/>
      <c r="AX85" s="37"/>
      <c r="AY85" s="37"/>
      <c r="AZ85" s="37"/>
      <c r="BA85" s="37"/>
      <c r="BB85" s="37"/>
      <c r="BC85" s="37"/>
      <c r="BD85" s="37"/>
    </row>
    <row r="86" spans="1:56" ht="38.25" x14ac:dyDescent="0.25">
      <c r="A86" s="319">
        <v>30</v>
      </c>
      <c r="B86" s="49"/>
      <c r="C86" s="37"/>
      <c r="D86" s="37" t="s">
        <v>690</v>
      </c>
      <c r="E86" s="37"/>
      <c r="F86" s="37" t="s">
        <v>1101</v>
      </c>
      <c r="G86" s="46"/>
      <c r="H86" s="54"/>
      <c r="I86" s="37" t="s">
        <v>1102</v>
      </c>
      <c r="J86" s="37" t="s">
        <v>1103</v>
      </c>
      <c r="K86" s="37" t="s">
        <v>1104</v>
      </c>
      <c r="L86" s="320">
        <v>3800</v>
      </c>
      <c r="M86" s="46"/>
      <c r="N86" s="37"/>
      <c r="O86" s="37"/>
      <c r="P86" s="37">
        <v>1</v>
      </c>
      <c r="Q86" s="37"/>
      <c r="R86" s="37"/>
      <c r="S86" s="37"/>
      <c r="T86" s="37" t="s">
        <v>208</v>
      </c>
      <c r="U86" s="37"/>
      <c r="V86" s="37"/>
      <c r="W86" s="37"/>
      <c r="X86" s="37"/>
      <c r="Y86" s="37"/>
      <c r="Z86" s="37"/>
      <c r="AA86" s="37"/>
      <c r="AB86" s="37"/>
      <c r="AC86" s="37"/>
      <c r="AD86" s="37"/>
      <c r="AE86" s="322">
        <v>3800</v>
      </c>
      <c r="AF86" s="320"/>
      <c r="AG86" s="320">
        <v>3800</v>
      </c>
      <c r="AH86" s="322">
        <f t="shared" si="2"/>
        <v>3800</v>
      </c>
      <c r="AI86" s="37"/>
      <c r="AJ86" s="37"/>
      <c r="AK86" s="37"/>
      <c r="AL86" s="37"/>
      <c r="AM86" s="112" t="s">
        <v>1098</v>
      </c>
      <c r="AN86" s="112" t="s">
        <v>1105</v>
      </c>
      <c r="AO86" s="46"/>
      <c r="AP86" s="107"/>
      <c r="AQ86" s="46"/>
      <c r="AR86" s="107"/>
      <c r="AS86" s="37"/>
      <c r="AT86" s="37"/>
      <c r="AU86" s="37"/>
      <c r="AV86" s="37"/>
      <c r="AW86" s="37"/>
      <c r="AX86" s="37"/>
      <c r="AY86" s="37"/>
      <c r="AZ86" s="37"/>
      <c r="BA86" s="37"/>
      <c r="BB86" s="37"/>
      <c r="BC86" s="37"/>
      <c r="BD86" s="37"/>
    </row>
    <row r="87" spans="1:56" ht="25.5" x14ac:dyDescent="0.25">
      <c r="A87" s="319">
        <v>31</v>
      </c>
      <c r="B87" s="49"/>
      <c r="C87" s="37"/>
      <c r="D87" s="37" t="s">
        <v>690</v>
      </c>
      <c r="E87" s="37"/>
      <c r="F87" s="37" t="s">
        <v>1106</v>
      </c>
      <c r="G87" s="46"/>
      <c r="H87" s="54"/>
      <c r="I87" s="37" t="s">
        <v>1107</v>
      </c>
      <c r="J87" s="37" t="s">
        <v>1108</v>
      </c>
      <c r="K87" s="37" t="s">
        <v>1109</v>
      </c>
      <c r="L87" s="320">
        <v>750</v>
      </c>
      <c r="M87" s="46"/>
      <c r="N87" s="37"/>
      <c r="O87" s="37"/>
      <c r="P87" s="37">
        <v>1</v>
      </c>
      <c r="Q87" s="37"/>
      <c r="R87" s="37"/>
      <c r="S87" s="37"/>
      <c r="T87" s="37" t="s">
        <v>208</v>
      </c>
      <c r="U87" s="37"/>
      <c r="V87" s="37"/>
      <c r="W87" s="37"/>
      <c r="X87" s="37"/>
      <c r="Y87" s="37"/>
      <c r="Z87" s="37"/>
      <c r="AA87" s="37"/>
      <c r="AB87" s="37"/>
      <c r="AC87" s="37"/>
      <c r="AD87" s="37"/>
      <c r="AE87" s="322">
        <v>750</v>
      </c>
      <c r="AF87" s="320"/>
      <c r="AG87" s="320">
        <v>600</v>
      </c>
      <c r="AH87" s="322">
        <f t="shared" si="2"/>
        <v>600</v>
      </c>
      <c r="AI87" s="37"/>
      <c r="AJ87" s="37"/>
      <c r="AK87" s="37"/>
      <c r="AL87" s="37"/>
      <c r="AM87" s="112" t="s">
        <v>1098</v>
      </c>
      <c r="AN87" s="112" t="s">
        <v>1110</v>
      </c>
      <c r="AO87" s="46"/>
      <c r="AP87" s="107"/>
      <c r="AQ87" s="46"/>
      <c r="AR87" s="107"/>
      <c r="AS87" s="37"/>
      <c r="AT87" s="37"/>
      <c r="AU87" s="37"/>
      <c r="AV87" s="37"/>
      <c r="AW87" s="37"/>
      <c r="AX87" s="37"/>
      <c r="AY87" s="37"/>
      <c r="AZ87" s="37"/>
      <c r="BA87" s="37"/>
      <c r="BB87" s="37"/>
      <c r="BC87" s="37"/>
      <c r="BD87" s="37"/>
    </row>
    <row r="88" spans="1:56" x14ac:dyDescent="0.25">
      <c r="A88" s="319">
        <v>32</v>
      </c>
      <c r="B88" s="49"/>
      <c r="C88" s="37"/>
      <c r="D88" s="37"/>
      <c r="E88" s="37"/>
      <c r="F88" s="37" t="s">
        <v>1111</v>
      </c>
      <c r="G88" s="37"/>
      <c r="H88" s="37" t="s">
        <v>704</v>
      </c>
      <c r="I88" s="37"/>
      <c r="J88" s="37"/>
      <c r="K88" s="37"/>
      <c r="L88" s="320"/>
      <c r="M88" s="37"/>
      <c r="N88" s="37"/>
      <c r="O88" s="37"/>
      <c r="P88" s="37"/>
      <c r="Q88" s="37"/>
      <c r="R88" s="37"/>
      <c r="S88" s="37"/>
      <c r="T88" s="37"/>
      <c r="U88" s="37"/>
      <c r="V88" s="37"/>
      <c r="W88" s="37"/>
      <c r="X88" s="37"/>
      <c r="Y88" s="37"/>
      <c r="Z88" s="37"/>
      <c r="AA88" s="37"/>
      <c r="AB88" s="37"/>
      <c r="AC88" s="37"/>
      <c r="AD88" s="37"/>
      <c r="AE88" s="322"/>
      <c r="AF88" s="320">
        <v>0</v>
      </c>
      <c r="AG88" s="37"/>
      <c r="AH88" s="322">
        <f t="shared" si="2"/>
        <v>0</v>
      </c>
      <c r="AI88" s="37"/>
      <c r="AJ88" s="37"/>
      <c r="AK88" s="37"/>
      <c r="AL88" s="37"/>
      <c r="AM88" s="37"/>
      <c r="AN88" s="37"/>
      <c r="AO88" s="37"/>
      <c r="AP88" s="37"/>
      <c r="AQ88" s="37"/>
      <c r="AR88" s="37"/>
      <c r="AS88" s="37"/>
      <c r="AT88" s="37"/>
      <c r="AU88" s="37"/>
      <c r="AV88" s="37"/>
      <c r="AW88" s="37"/>
      <c r="AX88" s="37"/>
      <c r="AY88" s="37"/>
      <c r="AZ88" s="37"/>
      <c r="BA88" s="37"/>
      <c r="BB88" s="37"/>
      <c r="BC88" s="37"/>
      <c r="BD88" s="37"/>
    </row>
    <row r="89" spans="1:56" ht="25.5" x14ac:dyDescent="0.25">
      <c r="A89" s="319">
        <v>33</v>
      </c>
      <c r="B89" s="49"/>
      <c r="C89" s="37"/>
      <c r="D89" s="37" t="s">
        <v>690</v>
      </c>
      <c r="E89" s="37"/>
      <c r="F89" s="37" t="s">
        <v>1112</v>
      </c>
      <c r="G89" s="37"/>
      <c r="H89" s="37"/>
      <c r="I89" s="37" t="s">
        <v>1113</v>
      </c>
      <c r="J89" s="37" t="s">
        <v>1114</v>
      </c>
      <c r="K89" s="37" t="s">
        <v>1115</v>
      </c>
      <c r="L89" s="320">
        <v>390</v>
      </c>
      <c r="M89" s="37"/>
      <c r="N89" s="37"/>
      <c r="O89" s="37"/>
      <c r="P89" s="37">
        <v>1</v>
      </c>
      <c r="Q89" s="37"/>
      <c r="R89" s="37"/>
      <c r="S89" s="37"/>
      <c r="T89" s="37" t="s">
        <v>1116</v>
      </c>
      <c r="U89" s="37"/>
      <c r="V89" s="37"/>
      <c r="W89" s="37"/>
      <c r="X89" s="37"/>
      <c r="Y89" s="37"/>
      <c r="Z89" s="37"/>
      <c r="AA89" s="37"/>
      <c r="AB89" s="37"/>
      <c r="AC89" s="37"/>
      <c r="AD89" s="37"/>
      <c r="AE89" s="322">
        <v>390</v>
      </c>
      <c r="AF89" s="320"/>
      <c r="AG89" s="320">
        <v>390</v>
      </c>
      <c r="AH89" s="322">
        <f t="shared" si="2"/>
        <v>390</v>
      </c>
      <c r="AI89" s="37"/>
      <c r="AJ89" s="37"/>
      <c r="AK89" s="37"/>
      <c r="AL89" s="37"/>
      <c r="AM89" s="112" t="s">
        <v>1098</v>
      </c>
      <c r="AN89" s="112" t="s">
        <v>1110</v>
      </c>
      <c r="AO89" s="37"/>
      <c r="AP89" s="37"/>
      <c r="AQ89" s="37"/>
      <c r="AR89" s="37"/>
      <c r="AS89" s="37"/>
      <c r="AT89" s="37"/>
      <c r="AU89" s="37"/>
      <c r="AV89" s="37"/>
      <c r="AW89" s="37"/>
      <c r="AX89" s="37"/>
      <c r="AY89" s="37"/>
      <c r="AZ89" s="37"/>
      <c r="BA89" s="37"/>
      <c r="BB89" s="37"/>
      <c r="BC89" s="37"/>
      <c r="BD89" s="37"/>
    </row>
    <row r="90" spans="1:56" ht="51" x14ac:dyDescent="0.25">
      <c r="A90" s="319">
        <v>34</v>
      </c>
      <c r="B90" s="49" t="s">
        <v>1117</v>
      </c>
      <c r="C90" s="37" t="s">
        <v>792</v>
      </c>
      <c r="D90" s="37" t="s">
        <v>690</v>
      </c>
      <c r="E90" s="37" t="s">
        <v>845</v>
      </c>
      <c r="F90" s="27" t="s">
        <v>1118</v>
      </c>
      <c r="G90" s="37"/>
      <c r="H90" s="54" t="s">
        <v>716</v>
      </c>
      <c r="I90" s="37" t="s">
        <v>1119</v>
      </c>
      <c r="J90" s="37" t="s">
        <v>1120</v>
      </c>
      <c r="K90" s="37" t="s">
        <v>1121</v>
      </c>
      <c r="L90" s="320">
        <v>129492</v>
      </c>
      <c r="M90" s="46">
        <v>11375</v>
      </c>
      <c r="N90" s="37" t="s">
        <v>1121</v>
      </c>
      <c r="O90" s="37" t="s">
        <v>1122</v>
      </c>
      <c r="P90" s="37">
        <v>1</v>
      </c>
      <c r="Q90" s="37"/>
      <c r="R90" s="37"/>
      <c r="S90" s="37"/>
      <c r="T90" s="37" t="s">
        <v>208</v>
      </c>
      <c r="U90" s="37"/>
      <c r="V90" s="37"/>
      <c r="W90" s="37"/>
      <c r="X90" s="37"/>
      <c r="Y90" s="37"/>
      <c r="Z90" s="37"/>
      <c r="AA90" s="37"/>
      <c r="AB90" s="37"/>
      <c r="AC90" s="37"/>
      <c r="AD90" s="37"/>
      <c r="AE90" s="322">
        <f t="shared" si="3"/>
        <v>129492</v>
      </c>
      <c r="AF90" s="320">
        <v>0</v>
      </c>
      <c r="AG90" s="320">
        <v>0</v>
      </c>
      <c r="AH90" s="322">
        <f t="shared" si="2"/>
        <v>0</v>
      </c>
      <c r="AI90" s="339" t="s">
        <v>792</v>
      </c>
      <c r="AJ90" s="341" t="s">
        <v>1123</v>
      </c>
      <c r="AK90" s="112" t="s">
        <v>1124</v>
      </c>
      <c r="AL90" s="341" t="s">
        <v>1123</v>
      </c>
      <c r="AM90" s="37"/>
      <c r="AN90" s="37"/>
      <c r="AO90" s="37"/>
      <c r="AP90" s="37"/>
      <c r="AQ90" s="37"/>
      <c r="AR90" s="37"/>
      <c r="AS90" s="37"/>
      <c r="AT90" s="37"/>
      <c r="AU90" s="37"/>
      <c r="AV90" s="37"/>
      <c r="AW90" s="37"/>
      <c r="AX90" s="37"/>
      <c r="AY90" s="37"/>
      <c r="AZ90" s="37"/>
      <c r="BA90" s="37"/>
      <c r="BB90" s="37"/>
      <c r="BC90" s="37"/>
      <c r="BD90" s="37"/>
    </row>
    <row r="91" spans="1:56" ht="25.5" x14ac:dyDescent="0.25">
      <c r="A91" s="342">
        <v>35</v>
      </c>
      <c r="B91" s="49"/>
      <c r="C91" s="37"/>
      <c r="D91" s="37" t="s">
        <v>690</v>
      </c>
      <c r="E91" s="37"/>
      <c r="F91" s="27" t="s">
        <v>1125</v>
      </c>
      <c r="G91" s="37"/>
      <c r="H91" s="37"/>
      <c r="I91" s="37" t="s">
        <v>1126</v>
      </c>
      <c r="J91" s="37" t="s">
        <v>1127</v>
      </c>
      <c r="K91" s="37" t="s">
        <v>1128</v>
      </c>
      <c r="L91" s="320">
        <v>1483.7</v>
      </c>
      <c r="M91" s="61">
        <v>11230</v>
      </c>
      <c r="N91" s="37"/>
      <c r="O91" s="37"/>
      <c r="P91" s="37">
        <v>1</v>
      </c>
      <c r="Q91" s="37"/>
      <c r="R91" s="37"/>
      <c r="S91" s="37"/>
      <c r="T91" s="37" t="s">
        <v>1129</v>
      </c>
      <c r="U91" s="37"/>
      <c r="V91" s="37"/>
      <c r="W91" s="37"/>
      <c r="X91" s="37"/>
      <c r="Y91" s="37"/>
      <c r="Z91" s="37"/>
      <c r="AA91" s="37"/>
      <c r="AB91" s="37"/>
      <c r="AC91" s="37"/>
      <c r="AD91" s="37"/>
      <c r="AE91" s="322">
        <f t="shared" si="3"/>
        <v>1483.7</v>
      </c>
      <c r="AF91" s="320">
        <v>0</v>
      </c>
      <c r="AG91" s="320">
        <v>1563.7</v>
      </c>
      <c r="AH91" s="322">
        <f t="shared" si="2"/>
        <v>1563.7</v>
      </c>
      <c r="AI91" s="37"/>
      <c r="AJ91" s="37"/>
      <c r="AK91" s="37"/>
      <c r="AL91" s="37"/>
      <c r="AM91" s="112" t="s">
        <v>1098</v>
      </c>
      <c r="AN91" s="112" t="s">
        <v>1110</v>
      </c>
      <c r="AO91" s="61">
        <v>11230</v>
      </c>
      <c r="AP91" s="76" t="s">
        <v>1130</v>
      </c>
      <c r="AQ91" s="37"/>
      <c r="AR91" s="37"/>
      <c r="AS91" s="37"/>
      <c r="AT91" s="37"/>
      <c r="AU91" s="37"/>
      <c r="AV91" s="37"/>
      <c r="AW91" s="37"/>
      <c r="AX91" s="37"/>
      <c r="AY91" s="37"/>
      <c r="AZ91" s="37"/>
      <c r="BA91" s="37"/>
      <c r="BB91" s="37"/>
      <c r="BC91" s="37"/>
      <c r="BD91" s="37"/>
    </row>
    <row r="92" spans="1:56" ht="25.5" x14ac:dyDescent="0.25">
      <c r="A92" s="342">
        <v>36</v>
      </c>
      <c r="B92" s="49"/>
      <c r="C92" s="37"/>
      <c r="D92" s="37" t="s">
        <v>690</v>
      </c>
      <c r="E92" s="37"/>
      <c r="F92" s="27" t="s">
        <v>1131</v>
      </c>
      <c r="G92" s="37"/>
      <c r="H92" s="37"/>
      <c r="I92" s="37" t="s">
        <v>457</v>
      </c>
      <c r="J92" s="37" t="s">
        <v>458</v>
      </c>
      <c r="K92" s="37" t="s">
        <v>1132</v>
      </c>
      <c r="L92" s="320">
        <v>404.84</v>
      </c>
      <c r="M92" s="61">
        <v>11237</v>
      </c>
      <c r="N92" s="37"/>
      <c r="O92" s="37"/>
      <c r="P92" s="37">
        <v>1</v>
      </c>
      <c r="Q92" s="37"/>
      <c r="R92" s="37"/>
      <c r="S92" s="37"/>
      <c r="T92" s="37" t="s">
        <v>1133</v>
      </c>
      <c r="U92" s="37"/>
      <c r="V92" s="37"/>
      <c r="W92" s="37"/>
      <c r="X92" s="37"/>
      <c r="Y92" s="37"/>
      <c r="Z92" s="37"/>
      <c r="AA92" s="37"/>
      <c r="AB92" s="37"/>
      <c r="AC92" s="37"/>
      <c r="AD92" s="37"/>
      <c r="AE92" s="322">
        <f t="shared" si="3"/>
        <v>404.84</v>
      </c>
      <c r="AF92" s="320">
        <v>0</v>
      </c>
      <c r="AG92" s="320">
        <v>404.84</v>
      </c>
      <c r="AH92" s="322">
        <f t="shared" si="2"/>
        <v>404.84</v>
      </c>
      <c r="AI92" s="37"/>
      <c r="AJ92" s="37"/>
      <c r="AK92" s="37"/>
      <c r="AL92" s="37"/>
      <c r="AM92" s="112" t="s">
        <v>1098</v>
      </c>
      <c r="AN92" s="112" t="s">
        <v>1110</v>
      </c>
      <c r="AO92" s="61">
        <v>11237</v>
      </c>
      <c r="AP92" s="76" t="s">
        <v>1134</v>
      </c>
      <c r="AQ92" s="37"/>
      <c r="AR92" s="37"/>
      <c r="AS92" s="37"/>
      <c r="AT92" s="37"/>
      <c r="AU92" s="37"/>
      <c r="AV92" s="37"/>
      <c r="AW92" s="37"/>
      <c r="AX92" s="37"/>
      <c r="AY92" s="37"/>
      <c r="AZ92" s="37"/>
      <c r="BA92" s="37"/>
      <c r="BB92" s="37"/>
      <c r="BC92" s="37"/>
      <c r="BD92" s="37"/>
    </row>
    <row r="93" spans="1:56" ht="25.5" x14ac:dyDescent="0.25">
      <c r="A93" s="342">
        <v>37</v>
      </c>
      <c r="B93" s="49"/>
      <c r="C93" s="37"/>
      <c r="D93" s="37" t="s">
        <v>690</v>
      </c>
      <c r="E93" s="37"/>
      <c r="F93" s="27" t="s">
        <v>1135</v>
      </c>
      <c r="G93" s="37"/>
      <c r="H93" s="37"/>
      <c r="I93" s="37" t="s">
        <v>1136</v>
      </c>
      <c r="J93" s="37" t="s">
        <v>1137</v>
      </c>
      <c r="K93" s="37" t="s">
        <v>969</v>
      </c>
      <c r="L93" s="320">
        <v>290</v>
      </c>
      <c r="M93" s="61">
        <v>11252</v>
      </c>
      <c r="N93" s="37"/>
      <c r="O93" s="37"/>
      <c r="P93" s="37">
        <v>1</v>
      </c>
      <c r="Q93" s="37"/>
      <c r="R93" s="37"/>
      <c r="S93" s="37"/>
      <c r="T93" s="37" t="s">
        <v>1129</v>
      </c>
      <c r="U93" s="37"/>
      <c r="V93" s="37"/>
      <c r="W93" s="37"/>
      <c r="X93" s="37"/>
      <c r="Y93" s="37"/>
      <c r="Z93" s="37"/>
      <c r="AA93" s="37"/>
      <c r="AB93" s="37"/>
      <c r="AC93" s="37"/>
      <c r="AD93" s="37"/>
      <c r="AE93" s="322">
        <f t="shared" si="3"/>
        <v>290</v>
      </c>
      <c r="AF93" s="320">
        <v>0</v>
      </c>
      <c r="AG93" s="321">
        <v>290</v>
      </c>
      <c r="AH93" s="322">
        <f t="shared" si="2"/>
        <v>290</v>
      </c>
      <c r="AI93" s="37"/>
      <c r="AJ93" s="37"/>
      <c r="AK93" s="37"/>
      <c r="AL93" s="37"/>
      <c r="AM93" s="112" t="s">
        <v>1098</v>
      </c>
      <c r="AN93" s="112" t="s">
        <v>1110</v>
      </c>
      <c r="AO93" s="61">
        <v>11252</v>
      </c>
      <c r="AP93" s="76" t="s">
        <v>856</v>
      </c>
      <c r="AQ93" s="37"/>
      <c r="AR93" s="37"/>
      <c r="AS93" s="37"/>
      <c r="AT93" s="37"/>
      <c r="AU93" s="37"/>
      <c r="AV93" s="37"/>
      <c r="AW93" s="37"/>
      <c r="AX93" s="37"/>
      <c r="AY93" s="37"/>
      <c r="AZ93" s="37"/>
      <c r="BA93" s="37"/>
      <c r="BB93" s="37"/>
      <c r="BC93" s="37"/>
      <c r="BD93" s="37"/>
    </row>
    <row r="94" spans="1:56" ht="25.5" x14ac:dyDescent="0.25">
      <c r="A94" s="342">
        <v>38</v>
      </c>
      <c r="B94" s="49" t="s">
        <v>1138</v>
      </c>
      <c r="C94" s="37"/>
      <c r="D94" s="37" t="s">
        <v>690</v>
      </c>
      <c r="E94" s="37"/>
      <c r="F94" s="76" t="s">
        <v>1139</v>
      </c>
      <c r="G94" s="37"/>
      <c r="H94" s="37"/>
      <c r="I94" s="37" t="s">
        <v>1140</v>
      </c>
      <c r="J94" s="37" t="s">
        <v>1141</v>
      </c>
      <c r="K94" s="37" t="s">
        <v>969</v>
      </c>
      <c r="L94" s="320">
        <v>5250</v>
      </c>
      <c r="M94" s="61">
        <v>11302</v>
      </c>
      <c r="N94" s="37"/>
      <c r="O94" s="37"/>
      <c r="P94" s="37">
        <v>1</v>
      </c>
      <c r="Q94" s="37"/>
      <c r="R94" s="37"/>
      <c r="S94" s="37"/>
      <c r="T94" s="37" t="s">
        <v>208</v>
      </c>
      <c r="U94" s="37"/>
      <c r="V94" s="37"/>
      <c r="W94" s="37"/>
      <c r="X94" s="37"/>
      <c r="Y94" s="37"/>
      <c r="Z94" s="37"/>
      <c r="AA94" s="37"/>
      <c r="AB94" s="37"/>
      <c r="AC94" s="37"/>
      <c r="AD94" s="37"/>
      <c r="AE94" s="322">
        <f t="shared" si="3"/>
        <v>5250</v>
      </c>
      <c r="AF94" s="320">
        <v>0</v>
      </c>
      <c r="AG94" s="320">
        <v>5250</v>
      </c>
      <c r="AH94" s="322">
        <f t="shared" si="2"/>
        <v>5250</v>
      </c>
      <c r="AI94" s="37"/>
      <c r="AJ94" s="37"/>
      <c r="AK94" s="37"/>
      <c r="AL94" s="37"/>
      <c r="AM94" s="112" t="s">
        <v>1098</v>
      </c>
      <c r="AN94" s="112" t="s">
        <v>1110</v>
      </c>
      <c r="AO94" s="61">
        <v>11302</v>
      </c>
      <c r="AP94" s="76" t="s">
        <v>1142</v>
      </c>
      <c r="AQ94" s="37"/>
      <c r="AR94" s="37"/>
      <c r="AS94" s="37"/>
      <c r="AT94" s="37"/>
      <c r="AU94" s="37"/>
      <c r="AV94" s="37"/>
      <c r="AW94" s="37"/>
      <c r="AX94" s="37"/>
      <c r="AY94" s="37"/>
      <c r="AZ94" s="37"/>
      <c r="BA94" s="37"/>
      <c r="BB94" s="37"/>
      <c r="BC94" s="37"/>
      <c r="BD94" s="37"/>
    </row>
    <row r="95" spans="1:56" ht="25.5" x14ac:dyDescent="0.25">
      <c r="A95" s="342">
        <v>39</v>
      </c>
      <c r="B95" s="49"/>
      <c r="C95" s="37"/>
      <c r="D95" s="37" t="s">
        <v>690</v>
      </c>
      <c r="E95" s="37"/>
      <c r="F95" s="76" t="s">
        <v>1143</v>
      </c>
      <c r="G95" s="37"/>
      <c r="H95" s="37"/>
      <c r="I95" s="37" t="s">
        <v>1144</v>
      </c>
      <c r="J95" s="332" t="s">
        <v>1145</v>
      </c>
      <c r="K95" s="37" t="s">
        <v>1146</v>
      </c>
      <c r="L95" s="320">
        <v>380</v>
      </c>
      <c r="M95" s="61">
        <v>11386</v>
      </c>
      <c r="N95" s="37"/>
      <c r="O95" s="37"/>
      <c r="P95" s="37">
        <v>1</v>
      </c>
      <c r="Q95" s="37"/>
      <c r="R95" s="37"/>
      <c r="S95" s="37"/>
      <c r="T95" s="37" t="s">
        <v>1129</v>
      </c>
      <c r="U95" s="37"/>
      <c r="V95" s="37"/>
      <c r="W95" s="37"/>
      <c r="X95" s="37"/>
      <c r="Y95" s="37"/>
      <c r="Z95" s="37"/>
      <c r="AA95" s="37"/>
      <c r="AB95" s="37"/>
      <c r="AC95" s="37"/>
      <c r="AD95" s="37"/>
      <c r="AE95" s="322">
        <f t="shared" si="3"/>
        <v>380</v>
      </c>
      <c r="AF95" s="320">
        <v>0</v>
      </c>
      <c r="AG95" s="320">
        <v>380</v>
      </c>
      <c r="AH95" s="322">
        <f t="shared" si="2"/>
        <v>380</v>
      </c>
      <c r="AI95" s="37"/>
      <c r="AJ95" s="37"/>
      <c r="AK95" s="37"/>
      <c r="AL95" s="37"/>
      <c r="AM95" s="112" t="s">
        <v>1098</v>
      </c>
      <c r="AN95" s="112" t="s">
        <v>1110</v>
      </c>
      <c r="AO95" s="61">
        <v>11386</v>
      </c>
      <c r="AP95" s="76" t="s">
        <v>1147</v>
      </c>
      <c r="AQ95" s="37"/>
      <c r="AR95" s="37"/>
      <c r="AS95" s="37"/>
      <c r="AT95" s="37"/>
      <c r="AU95" s="37"/>
      <c r="AV95" s="37"/>
      <c r="AW95" s="37"/>
      <c r="AX95" s="37"/>
      <c r="AY95" s="37"/>
      <c r="AZ95" s="37"/>
      <c r="BA95" s="37"/>
      <c r="BB95" s="37"/>
      <c r="BC95" s="37"/>
      <c r="BD95" s="37"/>
    </row>
    <row r="96" spans="1:56" ht="25.5" x14ac:dyDescent="0.25">
      <c r="A96" s="342">
        <v>40</v>
      </c>
      <c r="B96" s="49"/>
      <c r="C96" s="37"/>
      <c r="D96" s="37" t="s">
        <v>690</v>
      </c>
      <c r="E96" s="37"/>
      <c r="F96" s="76" t="s">
        <v>1148</v>
      </c>
      <c r="G96" s="37"/>
      <c r="H96" s="37"/>
      <c r="I96" s="37" t="s">
        <v>1144</v>
      </c>
      <c r="J96" s="332" t="s">
        <v>1145</v>
      </c>
      <c r="K96" s="37" t="s">
        <v>1146</v>
      </c>
      <c r="L96" s="320">
        <v>370</v>
      </c>
      <c r="M96" s="61">
        <v>11386</v>
      </c>
      <c r="N96" s="37"/>
      <c r="O96" s="37"/>
      <c r="P96" s="37">
        <v>1</v>
      </c>
      <c r="Q96" s="37"/>
      <c r="R96" s="37"/>
      <c r="S96" s="37"/>
      <c r="T96" s="37" t="s">
        <v>1129</v>
      </c>
      <c r="U96" s="37"/>
      <c r="V96" s="37"/>
      <c r="W96" s="37"/>
      <c r="X96" s="37"/>
      <c r="Y96" s="37"/>
      <c r="Z96" s="37"/>
      <c r="AA96" s="37"/>
      <c r="AB96" s="37"/>
      <c r="AC96" s="37"/>
      <c r="AD96" s="37"/>
      <c r="AE96" s="322">
        <f t="shared" si="3"/>
        <v>370</v>
      </c>
      <c r="AF96" s="320">
        <v>0</v>
      </c>
      <c r="AG96" s="320">
        <v>370</v>
      </c>
      <c r="AH96" s="322">
        <f t="shared" si="2"/>
        <v>370</v>
      </c>
      <c r="AI96" s="37"/>
      <c r="AJ96" s="37"/>
      <c r="AK96" s="37"/>
      <c r="AL96" s="37"/>
      <c r="AM96" s="112" t="s">
        <v>1098</v>
      </c>
      <c r="AN96" s="112" t="s">
        <v>1110</v>
      </c>
      <c r="AO96" s="61">
        <v>11386</v>
      </c>
      <c r="AP96" s="76" t="s">
        <v>1147</v>
      </c>
      <c r="AQ96" s="37"/>
      <c r="AR96" s="37"/>
      <c r="AS96" s="37"/>
      <c r="AT96" s="37"/>
      <c r="AU96" s="37"/>
      <c r="AV96" s="37"/>
      <c r="AW96" s="37"/>
      <c r="AX96" s="37"/>
      <c r="AY96" s="37"/>
      <c r="AZ96" s="37"/>
      <c r="BA96" s="37"/>
      <c r="BB96" s="37"/>
      <c r="BC96" s="37"/>
      <c r="BD96" s="37"/>
    </row>
    <row r="97" spans="1:56" ht="25.5" x14ac:dyDescent="0.25">
      <c r="A97" s="342">
        <v>41</v>
      </c>
      <c r="B97" s="49"/>
      <c r="C97" s="37"/>
      <c r="D97" s="37" t="s">
        <v>690</v>
      </c>
      <c r="E97" s="37"/>
      <c r="F97" s="76" t="s">
        <v>1149</v>
      </c>
      <c r="G97" s="37"/>
      <c r="H97" s="37"/>
      <c r="I97" s="37" t="s">
        <v>457</v>
      </c>
      <c r="J97" s="37" t="s">
        <v>458</v>
      </c>
      <c r="K97" s="37" t="s">
        <v>1150</v>
      </c>
      <c r="L97" s="320">
        <v>530</v>
      </c>
      <c r="M97" s="61"/>
      <c r="N97" s="37"/>
      <c r="O97" s="37"/>
      <c r="P97" s="37">
        <v>1</v>
      </c>
      <c r="Q97" s="37"/>
      <c r="R97" s="37"/>
      <c r="S97" s="37"/>
      <c r="T97" s="37" t="s">
        <v>316</v>
      </c>
      <c r="U97" s="37"/>
      <c r="V97" s="37"/>
      <c r="W97" s="37"/>
      <c r="X97" s="37"/>
      <c r="Y97" s="37"/>
      <c r="Z97" s="37"/>
      <c r="AA97" s="37"/>
      <c r="AB97" s="37"/>
      <c r="AC97" s="37"/>
      <c r="AD97" s="37"/>
      <c r="AE97" s="322">
        <f t="shared" si="3"/>
        <v>530</v>
      </c>
      <c r="AF97" s="320"/>
      <c r="AG97" s="320">
        <v>530</v>
      </c>
      <c r="AH97" s="322">
        <f t="shared" si="2"/>
        <v>530</v>
      </c>
      <c r="AI97" s="37"/>
      <c r="AJ97" s="37"/>
      <c r="AK97" s="37"/>
      <c r="AL97" s="37"/>
      <c r="AM97" s="112" t="s">
        <v>1098</v>
      </c>
      <c r="AN97" s="112" t="s">
        <v>1151</v>
      </c>
      <c r="AO97" s="61"/>
      <c r="AP97" s="76"/>
      <c r="AQ97" s="37"/>
      <c r="AR97" s="37"/>
      <c r="AS97" s="37"/>
      <c r="AT97" s="37"/>
      <c r="AU97" s="37"/>
      <c r="AV97" s="37"/>
      <c r="AW97" s="37"/>
      <c r="AX97" s="37"/>
      <c r="AY97" s="37"/>
      <c r="AZ97" s="37"/>
      <c r="BA97" s="37"/>
      <c r="BB97" s="37"/>
      <c r="BC97" s="37"/>
      <c r="BD97" s="37"/>
    </row>
    <row r="98" spans="1:56" ht="51" x14ac:dyDescent="0.25">
      <c r="A98" s="319">
        <v>42</v>
      </c>
      <c r="B98" s="49"/>
      <c r="C98" s="37"/>
      <c r="D98" s="37" t="s">
        <v>690</v>
      </c>
      <c r="E98" s="37"/>
      <c r="F98" s="343" t="s">
        <v>1152</v>
      </c>
      <c r="G98" s="37"/>
      <c r="H98" s="37"/>
      <c r="I98" s="37" t="s">
        <v>1153</v>
      </c>
      <c r="J98" s="37" t="s">
        <v>1154</v>
      </c>
      <c r="K98" s="37" t="s">
        <v>1155</v>
      </c>
      <c r="L98" s="320">
        <v>2502</v>
      </c>
      <c r="M98" s="61">
        <v>11361</v>
      </c>
      <c r="N98" s="37"/>
      <c r="O98" s="37"/>
      <c r="P98" s="37">
        <v>1</v>
      </c>
      <c r="Q98" s="37"/>
      <c r="R98" s="37"/>
      <c r="S98" s="37"/>
      <c r="T98" s="37" t="s">
        <v>233</v>
      </c>
      <c r="U98" s="37"/>
      <c r="V98" s="37"/>
      <c r="W98" s="37"/>
      <c r="X98" s="37"/>
      <c r="Y98" s="37"/>
      <c r="Z98" s="37"/>
      <c r="AA98" s="37"/>
      <c r="AB98" s="37"/>
      <c r="AC98" s="37"/>
      <c r="AD98" s="74"/>
      <c r="AE98" s="322">
        <f t="shared" si="3"/>
        <v>2502</v>
      </c>
      <c r="AF98" s="344">
        <v>0</v>
      </c>
      <c r="AG98" s="320">
        <v>2502</v>
      </c>
      <c r="AH98" s="322">
        <f t="shared" si="2"/>
        <v>2502</v>
      </c>
      <c r="AI98" s="37"/>
      <c r="AJ98" s="37"/>
      <c r="AK98" s="37"/>
      <c r="AL98" s="37"/>
      <c r="AM98" s="216" t="s">
        <v>1098</v>
      </c>
      <c r="AN98" s="345" t="s">
        <v>1110</v>
      </c>
      <c r="AO98" s="61">
        <v>11361</v>
      </c>
      <c r="AP98" s="76" t="s">
        <v>1156</v>
      </c>
      <c r="AQ98" s="37"/>
      <c r="AR98" s="37"/>
      <c r="AS98" s="37"/>
      <c r="AT98" s="37"/>
      <c r="AU98" s="37"/>
      <c r="AV98" s="37"/>
      <c r="AW98" s="37"/>
      <c r="AX98" s="37"/>
      <c r="AY98" s="37"/>
      <c r="AZ98" s="37"/>
      <c r="BA98" s="37"/>
      <c r="BB98" s="37"/>
      <c r="BC98" s="37"/>
      <c r="BD98" s="37"/>
    </row>
    <row r="99" spans="1:56" ht="25.5" x14ac:dyDescent="0.25">
      <c r="A99" s="319">
        <v>43</v>
      </c>
      <c r="B99" s="49"/>
      <c r="C99" s="37"/>
      <c r="D99" s="37" t="s">
        <v>690</v>
      </c>
      <c r="E99" s="37"/>
      <c r="F99" s="152" t="s">
        <v>1157</v>
      </c>
      <c r="G99" s="37"/>
      <c r="H99" s="37"/>
      <c r="I99" s="37" t="s">
        <v>1158</v>
      </c>
      <c r="J99" s="37" t="s">
        <v>1159</v>
      </c>
      <c r="K99" s="37" t="s">
        <v>1160</v>
      </c>
      <c r="L99" s="320">
        <v>1307.6300000000001</v>
      </c>
      <c r="M99" s="61">
        <v>11387</v>
      </c>
      <c r="N99" s="37"/>
      <c r="O99" s="37"/>
      <c r="P99" s="37">
        <v>1</v>
      </c>
      <c r="Q99" s="37"/>
      <c r="R99" s="37"/>
      <c r="S99" s="37"/>
      <c r="T99" s="37" t="s">
        <v>1161</v>
      </c>
      <c r="U99" s="37"/>
      <c r="V99" s="37"/>
      <c r="W99" s="37"/>
      <c r="X99" s="37"/>
      <c r="Y99" s="37"/>
      <c r="Z99" s="37"/>
      <c r="AA99" s="37"/>
      <c r="AB99" s="37"/>
      <c r="AC99" s="37"/>
      <c r="AD99" s="74"/>
      <c r="AE99" s="322">
        <f t="shared" si="3"/>
        <v>1307.6300000000001</v>
      </c>
      <c r="AF99" s="344"/>
      <c r="AG99" s="320">
        <v>1307.6300000000001</v>
      </c>
      <c r="AH99" s="322">
        <f t="shared" si="2"/>
        <v>1307.6300000000001</v>
      </c>
      <c r="AI99" s="37"/>
      <c r="AJ99" s="37"/>
      <c r="AK99" s="37"/>
      <c r="AL99" s="37"/>
      <c r="AM99" s="216" t="s">
        <v>1098</v>
      </c>
      <c r="AN99" s="345" t="s">
        <v>1110</v>
      </c>
      <c r="AO99" s="61">
        <v>11387</v>
      </c>
      <c r="AP99" s="76" t="s">
        <v>1160</v>
      </c>
      <c r="AQ99" s="37"/>
      <c r="AR99" s="37"/>
      <c r="AS99" s="37"/>
      <c r="AT99" s="37"/>
      <c r="AU99" s="37"/>
      <c r="AV99" s="37"/>
      <c r="AW99" s="37"/>
      <c r="AX99" s="37"/>
      <c r="AY99" s="37"/>
      <c r="AZ99" s="37"/>
      <c r="BA99" s="37"/>
      <c r="BB99" s="37"/>
      <c r="BC99" s="37"/>
      <c r="BD99" s="37"/>
    </row>
    <row r="100" spans="1:56" ht="25.5" x14ac:dyDescent="0.25">
      <c r="A100" s="319">
        <v>44</v>
      </c>
      <c r="B100" s="49"/>
      <c r="C100" s="37"/>
      <c r="D100" s="37" t="s">
        <v>690</v>
      </c>
      <c r="E100" s="37"/>
      <c r="F100" s="152" t="s">
        <v>1162</v>
      </c>
      <c r="G100" s="37"/>
      <c r="H100" s="37"/>
      <c r="I100" s="37" t="s">
        <v>1163</v>
      </c>
      <c r="J100" s="37" t="s">
        <v>1164</v>
      </c>
      <c r="K100" s="37" t="s">
        <v>1165</v>
      </c>
      <c r="L100" s="320">
        <v>8000</v>
      </c>
      <c r="M100" s="61">
        <v>11409</v>
      </c>
      <c r="N100" s="37"/>
      <c r="O100" s="37"/>
      <c r="P100" s="37">
        <v>1</v>
      </c>
      <c r="Q100" s="37"/>
      <c r="R100" s="37"/>
      <c r="S100" s="37"/>
      <c r="T100" s="37" t="s">
        <v>233</v>
      </c>
      <c r="U100" s="37"/>
      <c r="V100" s="37"/>
      <c r="W100" s="37"/>
      <c r="X100" s="37"/>
      <c r="Y100" s="37"/>
      <c r="Z100" s="37"/>
      <c r="AA100" s="37"/>
      <c r="AB100" s="37"/>
      <c r="AC100" s="37"/>
      <c r="AD100" s="74"/>
      <c r="AE100" s="322">
        <f t="shared" si="3"/>
        <v>8000</v>
      </c>
      <c r="AF100" s="344"/>
      <c r="AG100" s="320">
        <v>8000</v>
      </c>
      <c r="AH100" s="322">
        <f t="shared" si="2"/>
        <v>8000</v>
      </c>
      <c r="AI100" s="37"/>
      <c r="AJ100" s="37"/>
      <c r="AK100" s="37"/>
      <c r="AL100" s="37"/>
      <c r="AM100" s="216" t="s">
        <v>1098</v>
      </c>
      <c r="AN100" s="345" t="s">
        <v>1110</v>
      </c>
      <c r="AO100" s="61">
        <v>11409</v>
      </c>
      <c r="AP100" s="76" t="s">
        <v>1165</v>
      </c>
      <c r="AQ100" s="37"/>
      <c r="AR100" s="37"/>
      <c r="AS100" s="37"/>
      <c r="AT100" s="37"/>
      <c r="AU100" s="37"/>
      <c r="AV100" s="37"/>
      <c r="AW100" s="37"/>
      <c r="AX100" s="37"/>
      <c r="AY100" s="37"/>
      <c r="AZ100" s="37"/>
      <c r="BA100" s="37"/>
      <c r="BB100" s="37"/>
      <c r="BC100" s="37"/>
      <c r="BD100" s="37"/>
    </row>
    <row r="101" spans="1:56" ht="51" x14ac:dyDescent="0.25">
      <c r="A101" s="319">
        <v>45</v>
      </c>
      <c r="B101" s="49"/>
      <c r="C101" s="37"/>
      <c r="D101" s="37" t="s">
        <v>690</v>
      </c>
      <c r="E101" s="37"/>
      <c r="F101" s="152" t="s">
        <v>1166</v>
      </c>
      <c r="G101" s="37"/>
      <c r="H101" s="37"/>
      <c r="I101" s="37" t="s">
        <v>1167</v>
      </c>
      <c r="J101" s="37" t="s">
        <v>1168</v>
      </c>
      <c r="K101" s="37" t="s">
        <v>1169</v>
      </c>
      <c r="L101" s="320">
        <v>5980</v>
      </c>
      <c r="M101" s="61">
        <v>11430</v>
      </c>
      <c r="N101" s="37"/>
      <c r="O101" s="37"/>
      <c r="P101" s="37">
        <v>1</v>
      </c>
      <c r="Q101" s="37"/>
      <c r="R101" s="37"/>
      <c r="S101" s="37"/>
      <c r="T101" s="37" t="s">
        <v>233</v>
      </c>
      <c r="U101" s="37"/>
      <c r="V101" s="37"/>
      <c r="W101" s="37"/>
      <c r="X101" s="37"/>
      <c r="Y101" s="37"/>
      <c r="Z101" s="37"/>
      <c r="AA101" s="37"/>
      <c r="AB101" s="37"/>
      <c r="AC101" s="37"/>
      <c r="AD101" s="74"/>
      <c r="AE101" s="322">
        <f t="shared" si="3"/>
        <v>5980</v>
      </c>
      <c r="AF101" s="344"/>
      <c r="AG101" s="320">
        <v>5980</v>
      </c>
      <c r="AH101" s="322">
        <f t="shared" si="2"/>
        <v>5980</v>
      </c>
      <c r="AI101" s="37"/>
      <c r="AJ101" s="37"/>
      <c r="AK101" s="37"/>
      <c r="AL101" s="37"/>
      <c r="AM101" s="216" t="s">
        <v>1098</v>
      </c>
      <c r="AN101" s="345" t="s">
        <v>1110</v>
      </c>
      <c r="AO101" s="61">
        <v>11430</v>
      </c>
      <c r="AP101" s="76" t="s">
        <v>1169</v>
      </c>
      <c r="AQ101" s="37"/>
      <c r="AR101" s="37"/>
      <c r="AS101" s="37"/>
      <c r="AT101" s="37"/>
      <c r="AU101" s="37"/>
      <c r="AV101" s="37"/>
      <c r="AW101" s="37"/>
      <c r="AX101" s="37"/>
      <c r="AY101" s="37"/>
      <c r="AZ101" s="37"/>
      <c r="BA101" s="37"/>
      <c r="BB101" s="37"/>
      <c r="BC101" s="37"/>
      <c r="BD101" s="37"/>
    </row>
    <row r="102" spans="1:56" x14ac:dyDescent="0.25">
      <c r="A102" s="319">
        <v>46</v>
      </c>
      <c r="B102" s="49" t="s">
        <v>1170</v>
      </c>
      <c r="C102" s="37" t="s">
        <v>765</v>
      </c>
      <c r="D102" s="37" t="s">
        <v>1171</v>
      </c>
      <c r="E102" s="37" t="s">
        <v>845</v>
      </c>
      <c r="F102" s="152" t="s">
        <v>1172</v>
      </c>
      <c r="G102" s="46">
        <v>11382</v>
      </c>
      <c r="H102" s="37"/>
      <c r="I102" s="37" t="s">
        <v>1173</v>
      </c>
      <c r="J102" s="37" t="s">
        <v>1174</v>
      </c>
      <c r="K102" s="37" t="s">
        <v>1175</v>
      </c>
      <c r="L102" s="320">
        <v>33400</v>
      </c>
      <c r="M102" s="61"/>
      <c r="N102" s="37"/>
      <c r="O102" s="37"/>
      <c r="P102" s="37">
        <v>1</v>
      </c>
      <c r="Q102" s="37"/>
      <c r="R102" s="37"/>
      <c r="S102" s="37"/>
      <c r="T102" s="37" t="s">
        <v>316</v>
      </c>
      <c r="U102" s="37"/>
      <c r="V102" s="37"/>
      <c r="W102" s="37"/>
      <c r="X102" s="37"/>
      <c r="Y102" s="37"/>
      <c r="Z102" s="37"/>
      <c r="AA102" s="37"/>
      <c r="AB102" s="37"/>
      <c r="AC102" s="37"/>
      <c r="AD102" s="74"/>
      <c r="AE102" s="322">
        <f t="shared" si="3"/>
        <v>33400</v>
      </c>
      <c r="AF102" s="344"/>
      <c r="AG102" s="320">
        <v>33400</v>
      </c>
      <c r="AH102" s="322">
        <f t="shared" si="2"/>
        <v>33400</v>
      </c>
      <c r="AI102" s="37"/>
      <c r="AJ102" s="37"/>
      <c r="AK102" s="37"/>
      <c r="AL102" s="37"/>
      <c r="AM102" s="216"/>
      <c r="AN102" s="345"/>
      <c r="AO102" s="61"/>
      <c r="AP102" s="76"/>
      <c r="AQ102" s="37"/>
      <c r="AR102" s="37"/>
      <c r="AS102" s="37"/>
      <c r="AT102" s="37"/>
      <c r="AU102" s="37"/>
      <c r="AV102" s="37"/>
      <c r="AW102" s="37"/>
      <c r="AX102" s="37"/>
      <c r="AY102" s="37"/>
      <c r="AZ102" s="37"/>
      <c r="BA102" s="37"/>
      <c r="BB102" s="37"/>
      <c r="BC102" s="37"/>
      <c r="BD102" s="37"/>
    </row>
    <row r="103" spans="1:56" ht="25.5" x14ac:dyDescent="0.25">
      <c r="A103" s="319">
        <v>47</v>
      </c>
      <c r="B103" s="49"/>
      <c r="C103" s="37"/>
      <c r="D103" s="37" t="s">
        <v>1176</v>
      </c>
      <c r="E103" s="37"/>
      <c r="F103" s="152" t="s">
        <v>1177</v>
      </c>
      <c r="G103" s="46">
        <v>11264</v>
      </c>
      <c r="H103" s="37"/>
      <c r="I103" s="37" t="s">
        <v>1178</v>
      </c>
      <c r="J103" s="37" t="s">
        <v>1179</v>
      </c>
      <c r="K103" s="37" t="s">
        <v>1180</v>
      </c>
      <c r="L103" s="320">
        <v>22100</v>
      </c>
      <c r="M103" s="61"/>
      <c r="N103" s="37"/>
      <c r="O103" s="37"/>
      <c r="P103" s="37">
        <v>1</v>
      </c>
      <c r="Q103" s="37"/>
      <c r="R103" s="37"/>
      <c r="S103" s="37"/>
      <c r="T103" s="37" t="s">
        <v>1181</v>
      </c>
      <c r="U103" s="37"/>
      <c r="V103" s="37"/>
      <c r="W103" s="37"/>
      <c r="X103" s="37"/>
      <c r="Y103" s="37"/>
      <c r="Z103" s="37"/>
      <c r="AA103" s="37"/>
      <c r="AB103" s="37"/>
      <c r="AC103" s="37"/>
      <c r="AD103" s="74"/>
      <c r="AE103" s="322">
        <f t="shared" si="3"/>
        <v>22100</v>
      </c>
      <c r="AF103" s="344"/>
      <c r="AG103" s="320">
        <v>46088</v>
      </c>
      <c r="AH103" s="322">
        <f t="shared" si="2"/>
        <v>46088</v>
      </c>
      <c r="AI103" s="37" t="s">
        <v>835</v>
      </c>
      <c r="AJ103" s="46">
        <v>11328</v>
      </c>
      <c r="AK103" s="37" t="s">
        <v>1182</v>
      </c>
      <c r="AL103" s="46">
        <v>11328</v>
      </c>
      <c r="AM103" s="216"/>
      <c r="AN103" s="345"/>
      <c r="AO103" s="61"/>
      <c r="AP103" s="76"/>
      <c r="AQ103" s="37"/>
      <c r="AR103" s="37"/>
      <c r="AS103" s="37"/>
      <c r="AT103" s="37"/>
      <c r="AU103" s="37"/>
      <c r="AV103" s="37"/>
      <c r="AW103" s="37"/>
      <c r="AX103" s="37"/>
      <c r="AY103" s="37"/>
      <c r="AZ103" s="37"/>
      <c r="BA103" s="37"/>
      <c r="BB103" s="37"/>
      <c r="BC103" s="37"/>
      <c r="BD103" s="37"/>
    </row>
    <row r="104" spans="1:56" ht="25.5" x14ac:dyDescent="0.25">
      <c r="A104" s="319">
        <v>48</v>
      </c>
      <c r="B104" s="49"/>
      <c r="C104" s="37"/>
      <c r="D104" s="37" t="s">
        <v>690</v>
      </c>
      <c r="E104" s="37"/>
      <c r="F104" s="152" t="s">
        <v>1183</v>
      </c>
      <c r="G104" s="46">
        <v>11424</v>
      </c>
      <c r="H104" s="37"/>
      <c r="I104" s="37" t="s">
        <v>1184</v>
      </c>
      <c r="J104" s="37" t="s">
        <v>1185</v>
      </c>
      <c r="K104" s="37" t="s">
        <v>1186</v>
      </c>
      <c r="L104" s="320">
        <v>7959</v>
      </c>
      <c r="M104" s="61"/>
      <c r="N104" s="37"/>
      <c r="O104" s="37"/>
      <c r="P104" s="37">
        <v>1</v>
      </c>
      <c r="Q104" s="37"/>
      <c r="R104" s="37"/>
      <c r="S104" s="37"/>
      <c r="T104" s="37" t="s">
        <v>316</v>
      </c>
      <c r="U104" s="37"/>
      <c r="V104" s="37"/>
      <c r="W104" s="37"/>
      <c r="X104" s="37"/>
      <c r="Y104" s="37"/>
      <c r="Z104" s="37"/>
      <c r="AA104" s="37"/>
      <c r="AB104" s="37"/>
      <c r="AC104" s="37"/>
      <c r="AD104" s="74"/>
      <c r="AE104" s="322">
        <f t="shared" si="3"/>
        <v>7959</v>
      </c>
      <c r="AF104" s="344"/>
      <c r="AG104" s="320">
        <v>7959</v>
      </c>
      <c r="AH104" s="322">
        <f t="shared" si="2"/>
        <v>7959</v>
      </c>
      <c r="AI104" s="37"/>
      <c r="AJ104" s="46"/>
      <c r="AK104" s="37"/>
      <c r="AL104" s="46"/>
      <c r="AM104" s="216" t="s">
        <v>1098</v>
      </c>
      <c r="AN104" s="345" t="s">
        <v>1110</v>
      </c>
      <c r="AO104" s="61">
        <v>11424</v>
      </c>
      <c r="AP104" s="61" t="s">
        <v>1186</v>
      </c>
      <c r="AQ104" s="37"/>
      <c r="AR104" s="37"/>
      <c r="AS104" s="37"/>
      <c r="AT104" s="37"/>
      <c r="AU104" s="37"/>
      <c r="AV104" s="37"/>
      <c r="AW104" s="37"/>
      <c r="AX104" s="37"/>
      <c r="AY104" s="37"/>
      <c r="AZ104" s="37"/>
      <c r="BA104" s="37"/>
      <c r="BB104" s="37"/>
      <c r="BC104" s="37"/>
      <c r="BD104" s="37"/>
    </row>
    <row r="105" spans="1:56" ht="25.5" x14ac:dyDescent="0.25">
      <c r="A105" s="319">
        <v>49</v>
      </c>
      <c r="B105" s="49" t="s">
        <v>1187</v>
      </c>
      <c r="C105" s="37" t="s">
        <v>395</v>
      </c>
      <c r="D105" s="37" t="s">
        <v>935</v>
      </c>
      <c r="E105" s="37" t="s">
        <v>845</v>
      </c>
      <c r="F105" s="343" t="s">
        <v>1188</v>
      </c>
      <c r="G105" s="46">
        <v>11296</v>
      </c>
      <c r="H105" s="37"/>
      <c r="I105" s="37" t="s">
        <v>1189</v>
      </c>
      <c r="J105" s="37" t="s">
        <v>1190</v>
      </c>
      <c r="K105" s="37" t="s">
        <v>1180</v>
      </c>
      <c r="L105" s="320">
        <v>2014047.1</v>
      </c>
      <c r="M105" s="61">
        <v>11414</v>
      </c>
      <c r="N105" s="37" t="s">
        <v>1180</v>
      </c>
      <c r="O105" s="37" t="s">
        <v>1191</v>
      </c>
      <c r="P105" s="37">
        <v>1</v>
      </c>
      <c r="Q105" s="37"/>
      <c r="R105" s="37"/>
      <c r="S105" s="37"/>
      <c r="T105" s="37" t="s">
        <v>316</v>
      </c>
      <c r="U105" s="37"/>
      <c r="V105" s="37"/>
      <c r="W105" s="37"/>
      <c r="X105" s="37"/>
      <c r="Y105" s="37"/>
      <c r="Z105" s="37"/>
      <c r="AA105" s="37"/>
      <c r="AB105" s="37"/>
      <c r="AC105" s="37"/>
      <c r="AD105" s="74"/>
      <c r="AE105" s="322">
        <f t="shared" si="3"/>
        <v>2014047.1</v>
      </c>
      <c r="AF105" s="344"/>
      <c r="AG105" s="320">
        <v>100153.9</v>
      </c>
      <c r="AH105" s="322">
        <f t="shared" si="2"/>
        <v>100153.9</v>
      </c>
      <c r="AI105" s="37"/>
      <c r="AJ105" s="37"/>
      <c r="AK105" s="37"/>
      <c r="AL105" s="37"/>
      <c r="AM105" s="216"/>
      <c r="AN105" s="345"/>
      <c r="AO105" s="61"/>
      <c r="AP105" s="76"/>
      <c r="AQ105" s="37"/>
      <c r="AR105" s="37"/>
      <c r="AS105" s="37"/>
      <c r="AT105" s="37"/>
      <c r="AU105" s="37"/>
      <c r="AV105" s="37"/>
      <c r="AW105" s="37"/>
      <c r="AX105" s="37"/>
      <c r="AY105" s="37"/>
      <c r="AZ105" s="37"/>
      <c r="BA105" s="37"/>
      <c r="BB105" s="37"/>
      <c r="BC105" s="37"/>
      <c r="BD105" s="37"/>
    </row>
    <row r="106" spans="1:56" ht="25.5" x14ac:dyDescent="0.25">
      <c r="A106" s="319">
        <v>50</v>
      </c>
      <c r="B106" s="49"/>
      <c r="C106" s="37" t="s">
        <v>704</v>
      </c>
      <c r="D106" s="37" t="s">
        <v>1176</v>
      </c>
      <c r="E106" s="37" t="s">
        <v>1192</v>
      </c>
      <c r="F106" s="343" t="s">
        <v>1193</v>
      </c>
      <c r="G106" s="46"/>
      <c r="H106" s="37"/>
      <c r="I106" s="37" t="s">
        <v>1194</v>
      </c>
      <c r="J106" s="37" t="s">
        <v>407</v>
      </c>
      <c r="K106" s="37" t="s">
        <v>1195</v>
      </c>
      <c r="L106" s="320">
        <v>3951999.9</v>
      </c>
      <c r="M106" s="61">
        <v>11327</v>
      </c>
      <c r="N106" s="37" t="s">
        <v>1196</v>
      </c>
      <c r="O106" s="37" t="s">
        <v>1197</v>
      </c>
      <c r="P106" s="37">
        <v>8</v>
      </c>
      <c r="Q106" s="37"/>
      <c r="R106" s="37"/>
      <c r="S106" s="37"/>
      <c r="T106" s="37" t="s">
        <v>408</v>
      </c>
      <c r="U106" s="37"/>
      <c r="V106" s="37"/>
      <c r="W106" s="37"/>
      <c r="X106" s="37"/>
      <c r="Y106" s="37"/>
      <c r="Z106" s="37"/>
      <c r="AA106" s="37"/>
      <c r="AB106" s="37"/>
      <c r="AC106" s="37"/>
      <c r="AD106" s="74"/>
      <c r="AE106" s="322">
        <f t="shared" si="3"/>
        <v>3951999.9</v>
      </c>
      <c r="AF106" s="344"/>
      <c r="AG106" s="320">
        <v>33030</v>
      </c>
      <c r="AH106" s="322">
        <f t="shared" si="2"/>
        <v>33030</v>
      </c>
      <c r="AI106" s="37"/>
      <c r="AJ106" s="46">
        <v>11327</v>
      </c>
      <c r="AK106" s="37" t="s">
        <v>1198</v>
      </c>
      <c r="AL106" s="46">
        <v>11327</v>
      </c>
      <c r="AM106" s="216"/>
      <c r="AN106" s="345"/>
      <c r="AO106" s="61"/>
      <c r="AP106" s="76"/>
      <c r="AQ106" s="37"/>
      <c r="AR106" s="37"/>
      <c r="AS106" s="37"/>
      <c r="AT106" s="37"/>
      <c r="AU106" s="37"/>
      <c r="AV106" s="37"/>
      <c r="AW106" s="37"/>
      <c r="AX106" s="37"/>
      <c r="AY106" s="37"/>
      <c r="AZ106" s="37"/>
      <c r="BA106" s="37"/>
      <c r="BB106" s="37"/>
      <c r="BC106" s="37"/>
      <c r="BD106" s="37"/>
    </row>
    <row r="107" spans="1:56" ht="25.5" x14ac:dyDescent="0.25">
      <c r="A107" s="319">
        <v>51</v>
      </c>
      <c r="B107" s="49"/>
      <c r="C107" s="37"/>
      <c r="D107" s="37" t="s">
        <v>690</v>
      </c>
      <c r="E107" s="37" t="s">
        <v>1199</v>
      </c>
      <c r="F107" s="343" t="s">
        <v>1200</v>
      </c>
      <c r="G107" s="46"/>
      <c r="H107" s="37"/>
      <c r="I107" s="37" t="s">
        <v>1201</v>
      </c>
      <c r="J107" s="37" t="s">
        <v>1202</v>
      </c>
      <c r="K107" s="37" t="s">
        <v>1203</v>
      </c>
      <c r="L107" s="320">
        <v>8000</v>
      </c>
      <c r="M107" s="61"/>
      <c r="N107" s="37" t="s">
        <v>1203</v>
      </c>
      <c r="O107" s="37" t="s">
        <v>1197</v>
      </c>
      <c r="P107" s="37">
        <v>1</v>
      </c>
      <c r="Q107" s="37"/>
      <c r="R107" s="37"/>
      <c r="S107" s="37"/>
      <c r="T107" s="37" t="s">
        <v>408</v>
      </c>
      <c r="U107" s="37"/>
      <c r="V107" s="37"/>
      <c r="W107" s="37"/>
      <c r="X107" s="37"/>
      <c r="Y107" s="37"/>
      <c r="Z107" s="37"/>
      <c r="AA107" s="37"/>
      <c r="AB107" s="37"/>
      <c r="AC107" s="37"/>
      <c r="AD107" s="74"/>
      <c r="AE107" s="322">
        <v>8000</v>
      </c>
      <c r="AF107" s="344"/>
      <c r="AG107" s="320">
        <v>8000</v>
      </c>
      <c r="AH107" s="322">
        <f t="shared" si="2"/>
        <v>8000</v>
      </c>
      <c r="AI107" s="37"/>
      <c r="AJ107" s="37"/>
      <c r="AK107" s="37"/>
      <c r="AL107" s="37"/>
      <c r="AM107" s="216" t="s">
        <v>690</v>
      </c>
      <c r="AN107" s="345" t="s">
        <v>1110</v>
      </c>
      <c r="AO107" s="61">
        <v>11457</v>
      </c>
      <c r="AP107" s="76" t="s">
        <v>1204</v>
      </c>
      <c r="AQ107" s="37"/>
      <c r="AR107" s="37"/>
      <c r="AS107" s="37"/>
      <c r="AT107" s="37"/>
      <c r="AU107" s="37"/>
      <c r="AV107" s="37"/>
      <c r="AW107" s="37"/>
      <c r="AX107" s="37"/>
      <c r="AY107" s="37"/>
      <c r="AZ107" s="37"/>
      <c r="BA107" s="37"/>
      <c r="BB107" s="37"/>
      <c r="BC107" s="37"/>
      <c r="BD107" s="37"/>
    </row>
    <row r="108" spans="1:56" ht="25.5" x14ac:dyDescent="0.25">
      <c r="A108" s="319">
        <v>52</v>
      </c>
      <c r="B108" s="49"/>
      <c r="C108" s="37"/>
      <c r="D108" s="37" t="s">
        <v>690</v>
      </c>
      <c r="E108" s="37" t="s">
        <v>1192</v>
      </c>
      <c r="F108" s="343" t="s">
        <v>1205</v>
      </c>
      <c r="G108" s="46"/>
      <c r="H108" s="37"/>
      <c r="I108" s="37" t="s">
        <v>1206</v>
      </c>
      <c r="J108" s="37" t="s">
        <v>1207</v>
      </c>
      <c r="K108" s="37" t="s">
        <v>1208</v>
      </c>
      <c r="L108" s="320">
        <v>780</v>
      </c>
      <c r="M108" s="61"/>
      <c r="N108" s="37" t="s">
        <v>1208</v>
      </c>
      <c r="O108" s="37" t="s">
        <v>1197</v>
      </c>
      <c r="P108" s="37">
        <v>1</v>
      </c>
      <c r="Q108" s="37"/>
      <c r="R108" s="37"/>
      <c r="S108" s="37"/>
      <c r="T108" s="37" t="s">
        <v>408</v>
      </c>
      <c r="U108" s="37"/>
      <c r="V108" s="37"/>
      <c r="W108" s="37"/>
      <c r="X108" s="37"/>
      <c r="Y108" s="37"/>
      <c r="Z108" s="37"/>
      <c r="AA108" s="37"/>
      <c r="AB108" s="37"/>
      <c r="AC108" s="37"/>
      <c r="AD108" s="74"/>
      <c r="AE108" s="322">
        <v>780</v>
      </c>
      <c r="AF108" s="344"/>
      <c r="AG108" s="320">
        <v>780</v>
      </c>
      <c r="AH108" s="322">
        <f t="shared" si="2"/>
        <v>780</v>
      </c>
      <c r="AI108" s="37"/>
      <c r="AJ108" s="37"/>
      <c r="AK108" s="37"/>
      <c r="AL108" s="37"/>
      <c r="AM108" s="216" t="s">
        <v>690</v>
      </c>
      <c r="AN108" s="345" t="s">
        <v>1110</v>
      </c>
      <c r="AO108" s="61">
        <v>11397</v>
      </c>
      <c r="AP108" s="76" t="s">
        <v>1209</v>
      </c>
      <c r="AQ108" s="37"/>
      <c r="AR108" s="37"/>
      <c r="AS108" s="37"/>
      <c r="AT108" s="37"/>
      <c r="AU108" s="37"/>
      <c r="AV108" s="37"/>
      <c r="AW108" s="37"/>
      <c r="AX108" s="37"/>
      <c r="AY108" s="37"/>
      <c r="AZ108" s="37"/>
      <c r="BA108" s="37"/>
      <c r="BB108" s="37"/>
      <c r="BC108" s="37"/>
      <c r="BD108" s="37"/>
    </row>
    <row r="109" spans="1:56" ht="25.5" x14ac:dyDescent="0.25">
      <c r="A109" s="319">
        <v>53</v>
      </c>
      <c r="B109" s="49"/>
      <c r="C109" s="37" t="s">
        <v>1210</v>
      </c>
      <c r="D109" s="37" t="s">
        <v>1176</v>
      </c>
      <c r="E109" s="37" t="s">
        <v>1192</v>
      </c>
      <c r="F109" s="343" t="s">
        <v>1211</v>
      </c>
      <c r="G109" s="46">
        <v>11322</v>
      </c>
      <c r="H109" s="37"/>
      <c r="I109" s="37" t="s">
        <v>1212</v>
      </c>
      <c r="J109" s="37" t="s">
        <v>452</v>
      </c>
      <c r="K109" s="37" t="s">
        <v>1213</v>
      </c>
      <c r="L109" s="320">
        <v>5199</v>
      </c>
      <c r="M109" s="61"/>
      <c r="N109" s="37" t="s">
        <v>1213</v>
      </c>
      <c r="O109" s="37" t="s">
        <v>1197</v>
      </c>
      <c r="P109" s="37">
        <v>1</v>
      </c>
      <c r="Q109" s="37"/>
      <c r="R109" s="37"/>
      <c r="S109" s="37"/>
      <c r="T109" s="37" t="s">
        <v>408</v>
      </c>
      <c r="U109" s="37"/>
      <c r="V109" s="37"/>
      <c r="W109" s="37"/>
      <c r="X109" s="37"/>
      <c r="Y109" s="37"/>
      <c r="Z109" s="37"/>
      <c r="AA109" s="37"/>
      <c r="AB109" s="37"/>
      <c r="AC109" s="37"/>
      <c r="AD109" s="74"/>
      <c r="AE109" s="322">
        <v>5199</v>
      </c>
      <c r="AF109" s="344"/>
      <c r="AG109" s="320">
        <v>5199</v>
      </c>
      <c r="AH109" s="322">
        <v>5199</v>
      </c>
      <c r="AI109" s="37" t="s">
        <v>835</v>
      </c>
      <c r="AJ109" s="46">
        <v>11328</v>
      </c>
      <c r="AK109" s="37" t="s">
        <v>1182</v>
      </c>
      <c r="AL109" s="46">
        <v>11328</v>
      </c>
      <c r="AM109" s="216"/>
      <c r="AN109" s="345"/>
      <c r="AO109" s="61"/>
      <c r="AP109" s="76"/>
      <c r="AQ109" s="37"/>
      <c r="AR109" s="37"/>
      <c r="AS109" s="37"/>
      <c r="AT109" s="37"/>
      <c r="AU109" s="37"/>
      <c r="AV109" s="37"/>
      <c r="AW109" s="37"/>
      <c r="AX109" s="37"/>
      <c r="AY109" s="37"/>
      <c r="AZ109" s="37"/>
      <c r="BA109" s="37"/>
      <c r="BB109" s="37"/>
      <c r="BC109" s="37"/>
      <c r="BD109" s="37"/>
    </row>
    <row r="110" spans="1:56" ht="15.75" thickBot="1" x14ac:dyDescent="0.3">
      <c r="A110" s="346">
        <v>54</v>
      </c>
      <c r="B110" s="280"/>
      <c r="C110" s="152"/>
      <c r="D110" s="152"/>
      <c r="E110" s="152"/>
      <c r="F110" s="343"/>
      <c r="G110" s="156"/>
      <c r="H110" s="152"/>
      <c r="I110" s="152"/>
      <c r="J110" s="152"/>
      <c r="K110" s="152"/>
      <c r="L110" s="347"/>
      <c r="M110" s="348"/>
      <c r="N110" s="152"/>
      <c r="O110" s="152"/>
      <c r="P110" s="152"/>
      <c r="Q110" s="152"/>
      <c r="R110" s="152"/>
      <c r="S110" s="152"/>
      <c r="T110" s="152"/>
      <c r="U110" s="152"/>
      <c r="V110" s="152"/>
      <c r="W110" s="152"/>
      <c r="X110" s="152"/>
      <c r="Y110" s="152"/>
      <c r="Z110" s="152"/>
      <c r="AA110" s="152"/>
      <c r="AB110" s="152"/>
      <c r="AC110" s="152"/>
      <c r="AD110" s="349"/>
      <c r="AE110" s="350">
        <f t="shared" si="3"/>
        <v>0</v>
      </c>
      <c r="AF110" s="351"/>
      <c r="AG110" s="347"/>
      <c r="AH110" s="350">
        <f t="shared" si="2"/>
        <v>0</v>
      </c>
      <c r="AI110" s="152"/>
      <c r="AJ110" s="152"/>
      <c r="AK110" s="152"/>
      <c r="AL110" s="152"/>
      <c r="AM110" s="352"/>
      <c r="AN110" s="353"/>
      <c r="AO110" s="348"/>
      <c r="AP110" s="153"/>
      <c r="AQ110" s="152"/>
      <c r="AR110" s="152"/>
      <c r="AS110" s="152"/>
      <c r="AT110" s="152"/>
      <c r="AU110" s="152"/>
      <c r="AV110" s="152"/>
      <c r="AW110" s="152"/>
      <c r="AX110" s="152"/>
      <c r="AY110" s="152"/>
      <c r="AZ110" s="152"/>
      <c r="BA110" s="152"/>
      <c r="BB110" s="152"/>
      <c r="BC110" s="152"/>
      <c r="BD110" s="152"/>
    </row>
    <row r="111" spans="1:56" ht="15.75" thickBot="1" x14ac:dyDescent="0.3">
      <c r="A111" s="2132" t="s">
        <v>601</v>
      </c>
      <c r="B111" s="2133"/>
      <c r="C111" s="2133"/>
      <c r="D111" s="2133"/>
      <c r="E111" s="2133"/>
      <c r="F111" s="2133"/>
      <c r="G111" s="2133"/>
      <c r="H111" s="2133"/>
      <c r="I111" s="2133"/>
      <c r="J111" s="2133"/>
      <c r="K111" s="2134"/>
      <c r="L111" s="354">
        <f>SUM(L24:L110)</f>
        <v>16070134.1</v>
      </c>
      <c r="M111" s="355"/>
      <c r="N111" s="355"/>
      <c r="O111" s="355"/>
      <c r="P111" s="355"/>
      <c r="Q111" s="355"/>
      <c r="R111" s="355"/>
      <c r="S111" s="355"/>
      <c r="T111" s="355"/>
      <c r="U111" s="355"/>
      <c r="V111" s="355"/>
      <c r="W111" s="355"/>
      <c r="X111" s="355"/>
      <c r="Y111" s="355"/>
      <c r="Z111" s="355"/>
      <c r="AA111" s="355"/>
      <c r="AB111" s="355"/>
      <c r="AC111" s="356">
        <f t="shared" ref="AC111:AH111" si="4">SUM(AC24:AC110)</f>
        <v>835842.24</v>
      </c>
      <c r="AD111" s="357">
        <f t="shared" si="4"/>
        <v>59373.33</v>
      </c>
      <c r="AE111" s="356">
        <f t="shared" si="4"/>
        <v>16329562.99</v>
      </c>
      <c r="AF111" s="358">
        <f t="shared" si="4"/>
        <v>3226053.1999999997</v>
      </c>
      <c r="AG111" s="356">
        <f t="shared" si="4"/>
        <v>3321942.1699999995</v>
      </c>
      <c r="AH111" s="357">
        <f t="shared" si="4"/>
        <v>6547995.370000001</v>
      </c>
      <c r="AI111" s="359"/>
      <c r="AJ111" s="360"/>
      <c r="AK111" s="360"/>
      <c r="AL111" s="361"/>
      <c r="AM111" s="359"/>
      <c r="AN111" s="362"/>
      <c r="AO111" s="362"/>
      <c r="AP111" s="362"/>
      <c r="AQ111" s="362"/>
      <c r="AR111" s="363"/>
      <c r="AS111" s="364"/>
      <c r="AT111" s="365"/>
      <c r="AU111" s="365"/>
      <c r="AV111" s="365"/>
      <c r="AW111" s="365"/>
      <c r="AX111" s="365"/>
      <c r="AY111" s="365"/>
      <c r="AZ111" s="365"/>
      <c r="BA111" s="365"/>
      <c r="BB111" s="365"/>
      <c r="BC111" s="365"/>
      <c r="BD111" s="366"/>
    </row>
    <row r="112" spans="1:56" x14ac:dyDescent="0.25">
      <c r="AE112" s="221"/>
    </row>
    <row r="113" spans="1:31" x14ac:dyDescent="0.25">
      <c r="A113" s="164" t="s">
        <v>1214</v>
      </c>
      <c r="B113" s="164"/>
      <c r="C113" s="164"/>
      <c r="D113" s="164"/>
      <c r="AE113" s="221"/>
    </row>
    <row r="114" spans="1:31" x14ac:dyDescent="0.25">
      <c r="A114" s="2079" t="s">
        <v>1215</v>
      </c>
      <c r="B114" s="2079"/>
      <c r="C114" s="2079"/>
      <c r="D114" s="2079"/>
      <c r="AE114" s="221"/>
    </row>
    <row r="115" spans="1:31" x14ac:dyDescent="0.25">
      <c r="AE115" s="221"/>
    </row>
    <row r="116" spans="1:31" x14ac:dyDescent="0.25">
      <c r="AE116" s="221"/>
    </row>
    <row r="117" spans="1:31" x14ac:dyDescent="0.25">
      <c r="AE117" s="221"/>
    </row>
  </sheetData>
  <mergeCells count="411">
    <mergeCell ref="A13:AS13"/>
    <mergeCell ref="A14:J14"/>
    <mergeCell ref="A15:E15"/>
    <mergeCell ref="A17:AS17"/>
    <mergeCell ref="A18:AS18"/>
    <mergeCell ref="A19:AS19"/>
    <mergeCell ref="A21:A24"/>
    <mergeCell ref="B21:G22"/>
    <mergeCell ref="H21:AH21"/>
    <mergeCell ref="AI21:AL21"/>
    <mergeCell ref="AM21:AR21"/>
    <mergeCell ref="AS21:BD21"/>
    <mergeCell ref="H22:T22"/>
    <mergeCell ref="U22:AD22"/>
    <mergeCell ref="BB22:BD22"/>
    <mergeCell ref="AN22:AN23"/>
    <mergeCell ref="AO22:AO23"/>
    <mergeCell ref="AP22:AP23"/>
    <mergeCell ref="AQ22:AQ23"/>
    <mergeCell ref="AR22:AR23"/>
    <mergeCell ref="AS22:AS23"/>
    <mergeCell ref="AE22:AH22"/>
    <mergeCell ref="AI22:AI23"/>
    <mergeCell ref="AJ22:AJ23"/>
    <mergeCell ref="AK22:AK23"/>
    <mergeCell ref="AL22:AL23"/>
    <mergeCell ref="AM22:AM23"/>
    <mergeCell ref="C27:C32"/>
    <mergeCell ref="D27:D32"/>
    <mergeCell ref="E27:E32"/>
    <mergeCell ref="F27:F32"/>
    <mergeCell ref="J27:J32"/>
    <mergeCell ref="K27:K32"/>
    <mergeCell ref="L27:L32"/>
    <mergeCell ref="AT22:AT23"/>
    <mergeCell ref="AU22:AW22"/>
    <mergeCell ref="AX22:AY22"/>
    <mergeCell ref="AZ22:AZ23"/>
    <mergeCell ref="BA22:BA23"/>
    <mergeCell ref="AH27:AH32"/>
    <mergeCell ref="A33:A38"/>
    <mergeCell ref="B33:B38"/>
    <mergeCell ref="C33:C38"/>
    <mergeCell ref="D33:D38"/>
    <mergeCell ref="E33:E38"/>
    <mergeCell ref="F33:F38"/>
    <mergeCell ref="G33:G38"/>
    <mergeCell ref="H33:H38"/>
    <mergeCell ref="I33:I38"/>
    <mergeCell ref="M27:M32"/>
    <mergeCell ref="N27:N32"/>
    <mergeCell ref="O27:O32"/>
    <mergeCell ref="P27:P32"/>
    <mergeCell ref="AF27:AF32"/>
    <mergeCell ref="AG27:AG32"/>
    <mergeCell ref="G27:G32"/>
    <mergeCell ref="H27:H32"/>
    <mergeCell ref="I27:I32"/>
    <mergeCell ref="A27:A32"/>
    <mergeCell ref="B27:B32"/>
    <mergeCell ref="P33:P38"/>
    <mergeCell ref="AF33:AF38"/>
    <mergeCell ref="AG33:AG38"/>
    <mergeCell ref="AH33:AH38"/>
    <mergeCell ref="A39:A44"/>
    <mergeCell ref="B39:B44"/>
    <mergeCell ref="C39:C44"/>
    <mergeCell ref="D39:D44"/>
    <mergeCell ref="E39:E44"/>
    <mergeCell ref="F39:F44"/>
    <mergeCell ref="J33:J38"/>
    <mergeCell ref="K33:K38"/>
    <mergeCell ref="L33:L38"/>
    <mergeCell ref="M33:M38"/>
    <mergeCell ref="N33:N38"/>
    <mergeCell ref="O33:O38"/>
    <mergeCell ref="N46:N48"/>
    <mergeCell ref="O46:O48"/>
    <mergeCell ref="AH39:AH44"/>
    <mergeCell ref="A46:A48"/>
    <mergeCell ref="B46:B48"/>
    <mergeCell ref="C46:C48"/>
    <mergeCell ref="D46:D48"/>
    <mergeCell ref="E46:E48"/>
    <mergeCell ref="F46:F48"/>
    <mergeCell ref="G46:G48"/>
    <mergeCell ref="H46:H48"/>
    <mergeCell ref="I46:I48"/>
    <mergeCell ref="M39:M44"/>
    <mergeCell ref="N39:N44"/>
    <mergeCell ref="O39:O44"/>
    <mergeCell ref="P39:P44"/>
    <mergeCell ref="AF39:AF44"/>
    <mergeCell ref="AG39:AG44"/>
    <mergeCell ref="G39:G44"/>
    <mergeCell ref="H39:H44"/>
    <mergeCell ref="I39:I44"/>
    <mergeCell ref="J39:J44"/>
    <mergeCell ref="K39:K44"/>
    <mergeCell ref="L39:L44"/>
    <mergeCell ref="J49:J52"/>
    <mergeCell ref="K49:K52"/>
    <mergeCell ref="L49:L52"/>
    <mergeCell ref="M49:M52"/>
    <mergeCell ref="AJ46:AJ48"/>
    <mergeCell ref="AK46:AK48"/>
    <mergeCell ref="AL46:AL48"/>
    <mergeCell ref="A49:A52"/>
    <mergeCell ref="B49:B52"/>
    <mergeCell ref="C49:C52"/>
    <mergeCell ref="D49:D52"/>
    <mergeCell ref="E49:E52"/>
    <mergeCell ref="F49:F52"/>
    <mergeCell ref="G49:G52"/>
    <mergeCell ref="P46:P48"/>
    <mergeCell ref="T46:T48"/>
    <mergeCell ref="AF46:AF48"/>
    <mergeCell ref="AG46:AG48"/>
    <mergeCell ref="AH46:AH48"/>
    <mergeCell ref="AI46:AI48"/>
    <mergeCell ref="J46:J48"/>
    <mergeCell ref="K46:K48"/>
    <mergeCell ref="L46:L48"/>
    <mergeCell ref="M46:M48"/>
    <mergeCell ref="A53:A55"/>
    <mergeCell ref="B53:B55"/>
    <mergeCell ref="C53:C55"/>
    <mergeCell ref="D53:D55"/>
    <mergeCell ref="E53:E55"/>
    <mergeCell ref="F53:F55"/>
    <mergeCell ref="G53:G55"/>
    <mergeCell ref="AV49:AV51"/>
    <mergeCell ref="AW49:AW51"/>
    <mergeCell ref="AP49:AP51"/>
    <mergeCell ref="AQ49:AQ51"/>
    <mergeCell ref="AR49:AR51"/>
    <mergeCell ref="AS49:AS51"/>
    <mergeCell ref="AT49:AT51"/>
    <mergeCell ref="AU49:AU51"/>
    <mergeCell ref="AJ49:AJ52"/>
    <mergeCell ref="AK49:AK52"/>
    <mergeCell ref="AL49:AL52"/>
    <mergeCell ref="AM49:AM51"/>
    <mergeCell ref="AN49:AN51"/>
    <mergeCell ref="AO49:AO51"/>
    <mergeCell ref="T49:T52"/>
    <mergeCell ref="AE49:AE52"/>
    <mergeCell ref="AF49:AF52"/>
    <mergeCell ref="H53:H55"/>
    <mergeCell ref="I53:I55"/>
    <mergeCell ref="J53:J55"/>
    <mergeCell ref="K53:K55"/>
    <mergeCell ref="L53:L55"/>
    <mergeCell ref="M53:M55"/>
    <mergeCell ref="BB49:BB51"/>
    <mergeCell ref="BC49:BC51"/>
    <mergeCell ref="BD49:BD51"/>
    <mergeCell ref="AX49:AX51"/>
    <mergeCell ref="AY49:AY51"/>
    <mergeCell ref="AZ49:AZ51"/>
    <mergeCell ref="BA49:BA51"/>
    <mergeCell ref="AG49:AG52"/>
    <mergeCell ref="AH49:AH52"/>
    <mergeCell ref="AI49:AI52"/>
    <mergeCell ref="N49:N52"/>
    <mergeCell ref="O49:O52"/>
    <mergeCell ref="P49:P52"/>
    <mergeCell ref="Q49:Q52"/>
    <mergeCell ref="R49:R52"/>
    <mergeCell ref="S49:S52"/>
    <mergeCell ref="H49:H52"/>
    <mergeCell ref="I49:I52"/>
    <mergeCell ref="AO53:AO55"/>
    <mergeCell ref="T53:T55"/>
    <mergeCell ref="AE53:AE55"/>
    <mergeCell ref="AF53:AF55"/>
    <mergeCell ref="AG53:AG55"/>
    <mergeCell ref="AH53:AH55"/>
    <mergeCell ref="AI53:AI55"/>
    <mergeCell ref="N53:N55"/>
    <mergeCell ref="O53:O55"/>
    <mergeCell ref="P53:P55"/>
    <mergeCell ref="Q53:Q55"/>
    <mergeCell ref="R53:R55"/>
    <mergeCell ref="S53:S55"/>
    <mergeCell ref="BB53:BB55"/>
    <mergeCell ref="BC53:BC55"/>
    <mergeCell ref="BD53:BD55"/>
    <mergeCell ref="B56:B57"/>
    <mergeCell ref="C56:C57"/>
    <mergeCell ref="D56:D57"/>
    <mergeCell ref="E56:E57"/>
    <mergeCell ref="AV53:AV55"/>
    <mergeCell ref="AW53:AW55"/>
    <mergeCell ref="AX53:AX55"/>
    <mergeCell ref="AY53:AY55"/>
    <mergeCell ref="AZ53:AZ55"/>
    <mergeCell ref="BA53:BA55"/>
    <mergeCell ref="AP53:AP55"/>
    <mergeCell ref="AQ53:AQ55"/>
    <mergeCell ref="AR53:AR55"/>
    <mergeCell ref="AS53:AS55"/>
    <mergeCell ref="AT53:AT55"/>
    <mergeCell ref="AU53:AU55"/>
    <mergeCell ref="AJ53:AJ55"/>
    <mergeCell ref="AK53:AK55"/>
    <mergeCell ref="AL53:AL55"/>
    <mergeCell ref="AM53:AM55"/>
    <mergeCell ref="AN53:AN55"/>
    <mergeCell ref="A61:A63"/>
    <mergeCell ref="F61:F69"/>
    <mergeCell ref="H61:H63"/>
    <mergeCell ref="K61:K63"/>
    <mergeCell ref="L61:L63"/>
    <mergeCell ref="M61:M63"/>
    <mergeCell ref="N61:N63"/>
    <mergeCell ref="B60:B69"/>
    <mergeCell ref="C60:C69"/>
    <mergeCell ref="D60:D69"/>
    <mergeCell ref="E60:E69"/>
    <mergeCell ref="G60:G69"/>
    <mergeCell ref="I60:I69"/>
    <mergeCell ref="A67:A69"/>
    <mergeCell ref="H67:H69"/>
    <mergeCell ref="AE67:AE69"/>
    <mergeCell ref="O61:O63"/>
    <mergeCell ref="Q61:Q63"/>
    <mergeCell ref="R61:R63"/>
    <mergeCell ref="S61:S63"/>
    <mergeCell ref="AA61:AA63"/>
    <mergeCell ref="AB61:AB63"/>
    <mergeCell ref="J60:J69"/>
    <mergeCell ref="P60:P69"/>
    <mergeCell ref="T60:T69"/>
    <mergeCell ref="O64:O66"/>
    <mergeCell ref="Q64:Q69"/>
    <mergeCell ref="R64:R69"/>
    <mergeCell ref="S64:S69"/>
    <mergeCell ref="AA64:AA66"/>
    <mergeCell ref="AB64:AB66"/>
    <mergeCell ref="O67:O69"/>
    <mergeCell ref="AA67:AA69"/>
    <mergeCell ref="AB67:AB69"/>
    <mergeCell ref="K67:K69"/>
    <mergeCell ref="L67:L69"/>
    <mergeCell ref="M67:M69"/>
    <mergeCell ref="N67:N69"/>
    <mergeCell ref="AT61:AT69"/>
    <mergeCell ref="AI61:AI69"/>
    <mergeCell ref="AJ61:AJ69"/>
    <mergeCell ref="AK61:AK69"/>
    <mergeCell ref="AL61:AL69"/>
    <mergeCell ref="AM61:AM69"/>
    <mergeCell ref="AN61:AN69"/>
    <mergeCell ref="AC61:AC63"/>
    <mergeCell ref="AD61:AD63"/>
    <mergeCell ref="AE61:AE63"/>
    <mergeCell ref="AF61:AF63"/>
    <mergeCell ref="AG61:AG63"/>
    <mergeCell ref="AH61:AH63"/>
    <mergeCell ref="AC64:AC66"/>
    <mergeCell ref="AD64:AD66"/>
    <mergeCell ref="AE64:AE66"/>
    <mergeCell ref="AF64:AF66"/>
    <mergeCell ref="AG64:AG66"/>
    <mergeCell ref="AH64:AH66"/>
    <mergeCell ref="AF67:AF69"/>
    <mergeCell ref="AG67:AG69"/>
    <mergeCell ref="AH67:AH69"/>
    <mergeCell ref="AC67:AC69"/>
    <mergeCell ref="AD67:AD69"/>
    <mergeCell ref="W70:W72"/>
    <mergeCell ref="X70:X72"/>
    <mergeCell ref="Y70:Y72"/>
    <mergeCell ref="BA61:BA69"/>
    <mergeCell ref="BB61:BB69"/>
    <mergeCell ref="BC61:BC69"/>
    <mergeCell ref="BD61:BD69"/>
    <mergeCell ref="A64:A66"/>
    <mergeCell ref="H64:H66"/>
    <mergeCell ref="K64:K66"/>
    <mergeCell ref="L64:L66"/>
    <mergeCell ref="M64:M66"/>
    <mergeCell ref="N64:N66"/>
    <mergeCell ref="AU61:AU69"/>
    <mergeCell ref="AV61:AV69"/>
    <mergeCell ref="AW61:AW69"/>
    <mergeCell ref="AX61:AX69"/>
    <mergeCell ref="AY61:AY69"/>
    <mergeCell ref="AZ61:AZ69"/>
    <mergeCell ref="AO61:AO69"/>
    <mergeCell ref="AP61:AP69"/>
    <mergeCell ref="AQ61:AQ69"/>
    <mergeCell ref="AR61:AR69"/>
    <mergeCell ref="AS61:AS69"/>
    <mergeCell ref="A70:A72"/>
    <mergeCell ref="B70:B72"/>
    <mergeCell ref="C70:C72"/>
    <mergeCell ref="D70:D72"/>
    <mergeCell ref="E70:E72"/>
    <mergeCell ref="F70:F72"/>
    <mergeCell ref="G70:G72"/>
    <mergeCell ref="H70:H72"/>
    <mergeCell ref="I70:I72"/>
    <mergeCell ref="J70:J72"/>
    <mergeCell ref="K70:K72"/>
    <mergeCell ref="M70:M72"/>
    <mergeCell ref="AF70:AF72"/>
    <mergeCell ref="AG70:AG72"/>
    <mergeCell ref="AH70:AH72"/>
    <mergeCell ref="AI70:AI72"/>
    <mergeCell ref="AJ70:AJ72"/>
    <mergeCell ref="AK70:AK72"/>
    <mergeCell ref="AC70:AC72"/>
    <mergeCell ref="AD70:AD72"/>
    <mergeCell ref="AE70:AE72"/>
    <mergeCell ref="N70:N72"/>
    <mergeCell ref="O70:O72"/>
    <mergeCell ref="P70:P72"/>
    <mergeCell ref="Q70:Q72"/>
    <mergeCell ref="R70:R72"/>
    <mergeCell ref="S70:S72"/>
    <mergeCell ref="Z70:Z72"/>
    <mergeCell ref="AA70:AA72"/>
    <mergeCell ref="AB70:AB72"/>
    <mergeCell ref="T70:T72"/>
    <mergeCell ref="U70:U72"/>
    <mergeCell ref="V70:V72"/>
    <mergeCell ref="AS70:AS72"/>
    <mergeCell ref="AT70:AT72"/>
    <mergeCell ref="AU70:AU72"/>
    <mergeCell ref="AV70:AV72"/>
    <mergeCell ref="AW70:AW72"/>
    <mergeCell ref="AL70:AL72"/>
    <mergeCell ref="AM70:AM72"/>
    <mergeCell ref="AN70:AN72"/>
    <mergeCell ref="AO70:AO72"/>
    <mergeCell ref="AP70:AP72"/>
    <mergeCell ref="AQ70:AQ72"/>
    <mergeCell ref="AA73:AA74"/>
    <mergeCell ref="J73:J74"/>
    <mergeCell ref="K73:K74"/>
    <mergeCell ref="L73:L74"/>
    <mergeCell ref="M73:M74"/>
    <mergeCell ref="N73:N74"/>
    <mergeCell ref="O73:O74"/>
    <mergeCell ref="BD70:BD72"/>
    <mergeCell ref="A73:A74"/>
    <mergeCell ref="B73:B74"/>
    <mergeCell ref="C73:C74"/>
    <mergeCell ref="D73:D74"/>
    <mergeCell ref="E73:E74"/>
    <mergeCell ref="F73:F74"/>
    <mergeCell ref="G73:G74"/>
    <mergeCell ref="H73:H74"/>
    <mergeCell ref="I73:I74"/>
    <mergeCell ref="AX70:AX72"/>
    <mergeCell ref="AY70:AY72"/>
    <mergeCell ref="AZ70:AZ72"/>
    <mergeCell ref="BA70:BA72"/>
    <mergeCell ref="BB70:BB72"/>
    <mergeCell ref="BC70:BC72"/>
    <mergeCell ref="AR70:AR72"/>
    <mergeCell ref="AQ73:AQ74"/>
    <mergeCell ref="A76:A77"/>
    <mergeCell ref="B76:B77"/>
    <mergeCell ref="C76:C77"/>
    <mergeCell ref="D76:D77"/>
    <mergeCell ref="E76:E77"/>
    <mergeCell ref="F76:F77"/>
    <mergeCell ref="AH73:AH74"/>
    <mergeCell ref="AI73:AI74"/>
    <mergeCell ref="AJ73:AJ74"/>
    <mergeCell ref="AK73:AK74"/>
    <mergeCell ref="AL73:AL74"/>
    <mergeCell ref="AM73:AM74"/>
    <mergeCell ref="AB73:AB74"/>
    <mergeCell ref="AC73:AC74"/>
    <mergeCell ref="AD73:AD74"/>
    <mergeCell ref="AE73:AE74"/>
    <mergeCell ref="AF73:AF74"/>
    <mergeCell ref="AG73:AG74"/>
    <mergeCell ref="P73:P74"/>
    <mergeCell ref="Q73:Q74"/>
    <mergeCell ref="R73:R74"/>
    <mergeCell ref="S73:S74"/>
    <mergeCell ref="T73:T74"/>
    <mergeCell ref="A9:BD9"/>
    <mergeCell ref="A11:BD11"/>
    <mergeCell ref="AL83:AL84"/>
    <mergeCell ref="A111:K111"/>
    <mergeCell ref="A114:D114"/>
    <mergeCell ref="J83:J84"/>
    <mergeCell ref="P83:P84"/>
    <mergeCell ref="T83:T84"/>
    <mergeCell ref="AI83:AI84"/>
    <mergeCell ref="AJ83:AJ84"/>
    <mergeCell ref="AK83:AK84"/>
    <mergeCell ref="G76:G77"/>
    <mergeCell ref="P76:P77"/>
    <mergeCell ref="T76:T77"/>
    <mergeCell ref="W76:W77"/>
    <mergeCell ref="B83:B84"/>
    <mergeCell ref="C83:C84"/>
    <mergeCell ref="D83:D84"/>
    <mergeCell ref="E83:E84"/>
    <mergeCell ref="G83:G84"/>
    <mergeCell ref="I83:I84"/>
    <mergeCell ref="AN73:AN74"/>
    <mergeCell ref="AO73:AO74"/>
    <mergeCell ref="AP73:AP74"/>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8"/>
  <sheetViews>
    <sheetView topLeftCell="W1" workbookViewId="0">
      <selection sqref="A1:XFD11"/>
    </sheetView>
  </sheetViews>
  <sheetFormatPr defaultRowHeight="15" x14ac:dyDescent="0.25"/>
  <cols>
    <col min="1" max="1" width="6.85546875" style="239" customWidth="1"/>
    <col min="2" max="2" width="13.5703125" style="239" customWidth="1"/>
    <col min="3" max="3" width="17.140625" style="239" customWidth="1"/>
    <col min="4" max="4" width="32.5703125" style="239" customWidth="1"/>
    <col min="5" max="5" width="13.7109375" style="239" customWidth="1"/>
    <col min="6" max="6" width="55.7109375" style="239" customWidth="1"/>
    <col min="7" max="7" width="18.140625" style="239" customWidth="1"/>
    <col min="8" max="8" width="12.7109375" style="239" customWidth="1"/>
    <col min="9" max="9" width="50.140625" style="239" customWidth="1"/>
    <col min="10" max="10" width="21.5703125" style="239" customWidth="1"/>
    <col min="11" max="11" width="10.5703125" style="239" customWidth="1"/>
    <col min="12" max="12" width="12.7109375" style="239" bestFit="1" customWidth="1"/>
    <col min="13" max="13" width="10.5703125" style="239" customWidth="1"/>
    <col min="14" max="14" width="11.5703125" style="239" customWidth="1"/>
    <col min="15" max="16" width="10.5703125" style="239" customWidth="1"/>
    <col min="17" max="17" width="12" style="239" customWidth="1"/>
    <col min="18" max="18" width="10.5703125" style="239" customWidth="1"/>
    <col min="19" max="19" width="10" style="239" bestFit="1" customWidth="1"/>
    <col min="20" max="20" width="13" style="239" customWidth="1"/>
    <col min="21" max="21" width="10.5703125" style="239" customWidth="1"/>
    <col min="22" max="22" width="11.5703125" style="239" bestFit="1" customWidth="1"/>
    <col min="23" max="23" width="14.7109375" style="239" customWidth="1"/>
    <col min="24" max="24" width="42.42578125" style="239" customWidth="1"/>
    <col min="25" max="25" width="13.7109375" style="239" customWidth="1"/>
    <col min="26" max="28" width="10.5703125" style="239" customWidth="1"/>
    <col min="29" max="29" width="11.42578125" style="239" bestFit="1" customWidth="1"/>
    <col min="30" max="30" width="10.5703125" style="239" customWidth="1"/>
    <col min="31" max="31" width="21" style="239" customWidth="1"/>
    <col min="32" max="32" width="18.7109375" style="239" customWidth="1"/>
    <col min="33" max="33" width="16.140625" style="239" customWidth="1"/>
    <col min="34" max="34" width="20.85546875" style="239" customWidth="1"/>
    <col min="35" max="35" width="11.5703125" style="239" customWidth="1"/>
    <col min="36" max="36" width="13.85546875" style="239" customWidth="1"/>
    <col min="37" max="37" width="33.140625" style="239" customWidth="1"/>
    <col min="38" max="38" width="13.140625" style="239" customWidth="1"/>
    <col min="39" max="39" width="14.5703125" style="239" customWidth="1"/>
    <col min="40" max="40" width="14.42578125" style="239" customWidth="1"/>
    <col min="41" max="41" width="13.85546875" style="239" customWidth="1"/>
    <col min="42" max="42" width="13.7109375" style="239" customWidth="1"/>
    <col min="43" max="43" width="13.28515625" style="239" customWidth="1"/>
    <col min="44" max="44" width="12.28515625" style="239" customWidth="1"/>
    <col min="45" max="52" width="9.140625" style="239"/>
    <col min="53" max="53" width="10.140625" style="239" customWidth="1"/>
    <col min="54" max="55" width="9.140625" style="239"/>
    <col min="56" max="56" width="55.28515625" style="239" customWidth="1"/>
    <col min="57"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customFormat="1" x14ac:dyDescent="0.25">
      <c r="L12" s="367"/>
      <c r="AE12" s="221"/>
    </row>
    <row r="13" spans="1:56" s="1228" customFormat="1" x14ac:dyDescent="0.25">
      <c r="A13" s="2121" t="s">
        <v>1</v>
      </c>
      <c r="B13" s="2121"/>
      <c r="C13" s="2121"/>
      <c r="D13" s="2121"/>
      <c r="E13" s="2121"/>
      <c r="F13" s="2121"/>
      <c r="G13" s="2121"/>
      <c r="H13" s="2121"/>
      <c r="I13" s="2121"/>
      <c r="J13" s="2121"/>
      <c r="K13" s="2121"/>
      <c r="L13" s="2121"/>
      <c r="M13" s="2121"/>
      <c r="N13" s="2121"/>
      <c r="O13" s="2121"/>
      <c r="P13" s="2121"/>
      <c r="Q13" s="2121"/>
      <c r="R13" s="2121"/>
      <c r="S13" s="2121"/>
      <c r="T13" s="2121"/>
      <c r="U13" s="2121"/>
      <c r="V13" s="2121"/>
      <c r="W13" s="2121"/>
      <c r="X13" s="2121"/>
      <c r="Y13" s="2121"/>
      <c r="Z13" s="2121"/>
      <c r="AA13" s="2121"/>
      <c r="AB13" s="2121"/>
      <c r="AC13" s="2121"/>
      <c r="AD13" s="2121"/>
      <c r="AE13" s="2121"/>
      <c r="AF13" s="2121"/>
      <c r="AG13" s="2121"/>
      <c r="AH13" s="2121"/>
      <c r="AI13" s="2121"/>
      <c r="AJ13" s="2121"/>
      <c r="AK13" s="2121"/>
      <c r="AL13" s="2121"/>
      <c r="AM13" s="2121"/>
      <c r="AN13" s="2121"/>
      <c r="AO13" s="2121"/>
      <c r="AP13" s="2121"/>
      <c r="AQ13" s="2121"/>
      <c r="AR13" s="2121"/>
      <c r="AS13" s="2121"/>
    </row>
    <row r="14" spans="1:56" s="1228" customFormat="1" x14ac:dyDescent="0.25">
      <c r="A14" s="2121" t="s">
        <v>2</v>
      </c>
      <c r="B14" s="2121"/>
      <c r="C14" s="2121"/>
      <c r="D14" s="2121"/>
      <c r="E14" s="2121"/>
      <c r="F14" s="2121"/>
      <c r="G14" s="2121"/>
      <c r="H14" s="2121"/>
      <c r="I14" s="2121"/>
      <c r="J14" s="2121"/>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row>
    <row r="15" spans="1:56" s="1228" customFormat="1" x14ac:dyDescent="0.25">
      <c r="A15" s="2121" t="s">
        <v>3</v>
      </c>
      <c r="B15" s="2121"/>
      <c r="C15" s="2121"/>
      <c r="D15" s="2121"/>
      <c r="E15" s="2121"/>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row>
    <row r="16" spans="1:56" s="1228" customFormat="1" x14ac:dyDescent="0.25">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231"/>
      <c r="AS16" s="1231"/>
    </row>
    <row r="17" spans="1:56" s="1228" customFormat="1" x14ac:dyDescent="0.25">
      <c r="A17" s="2121" t="s">
        <v>7539</v>
      </c>
      <c r="B17" s="2121"/>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c r="AS17" s="2121"/>
    </row>
    <row r="18" spans="1:56" s="1228" customFormat="1" x14ac:dyDescent="0.25">
      <c r="A18" s="2121" t="s">
        <v>7540</v>
      </c>
      <c r="B18" s="2121"/>
      <c r="C18" s="2121"/>
      <c r="D18" s="2121"/>
      <c r="E18" s="2121"/>
      <c r="F18" s="2121"/>
      <c r="G18" s="2121"/>
      <c r="H18" s="2121"/>
      <c r="I18" s="2121"/>
      <c r="J18" s="2121"/>
      <c r="K18" s="2121"/>
      <c r="L18" s="2121"/>
      <c r="M18" s="2121"/>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c r="AS18" s="2121"/>
    </row>
    <row r="19" spans="1:56" s="1228" customFormat="1" x14ac:dyDescent="0.25">
      <c r="A19" s="2121" t="s">
        <v>1216</v>
      </c>
      <c r="B19" s="2121"/>
      <c r="C19" s="2121"/>
      <c r="D19" s="1352">
        <f>DATE(2015,2,20)</f>
        <v>42055</v>
      </c>
      <c r="F19" s="1353"/>
      <c r="G19" s="1353"/>
      <c r="H19" s="1353"/>
      <c r="I19" s="1353"/>
      <c r="J19" s="1353"/>
      <c r="K19" s="1353"/>
      <c r="L19" s="1353"/>
      <c r="M19" s="1353"/>
      <c r="N19" s="1353"/>
      <c r="O19" s="1353"/>
      <c r="P19" s="1353"/>
      <c r="Q19" s="1353"/>
      <c r="R19" s="1353"/>
      <c r="S19" s="1353"/>
      <c r="T19" s="1353"/>
      <c r="U19" s="1353"/>
      <c r="V19" s="1353"/>
      <c r="W19" s="1353"/>
      <c r="X19" s="1353"/>
      <c r="Y19" s="1353"/>
      <c r="Z19" s="1353"/>
      <c r="AA19" s="1353"/>
      <c r="AB19" s="1353"/>
      <c r="AC19" s="1353"/>
      <c r="AD19" s="1353"/>
      <c r="AE19" s="1353"/>
      <c r="AF19" s="1353"/>
      <c r="AG19" s="1353"/>
      <c r="AH19" s="1353"/>
      <c r="AI19" s="1353"/>
      <c r="AJ19" s="1353"/>
      <c r="AK19" s="1353"/>
      <c r="AL19" s="1353"/>
      <c r="AM19" s="1353"/>
      <c r="AN19" s="1353"/>
      <c r="AO19" s="1353"/>
      <c r="AP19" s="1353"/>
      <c r="AQ19" s="1353"/>
      <c r="AR19" s="1353"/>
      <c r="AS19" s="1353"/>
    </row>
    <row r="20" spans="1:56" ht="15.75" x14ac:dyDescent="0.25">
      <c r="A20" s="369"/>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69"/>
    </row>
    <row r="21" spans="1:56" ht="15.75" customHeight="1" thickBot="1" x14ac:dyDescent="0.3">
      <c r="A21" s="2205"/>
      <c r="B21" s="2205"/>
      <c r="C21" s="2205"/>
      <c r="D21" s="2205"/>
      <c r="E21" s="2205"/>
      <c r="F21" s="2205"/>
      <c r="G21" s="2205"/>
      <c r="H21" s="2205"/>
      <c r="I21" s="2205"/>
      <c r="J21" s="2205"/>
      <c r="K21" s="2205"/>
      <c r="L21" s="2205"/>
      <c r="M21" s="2205"/>
      <c r="N21" s="2205"/>
      <c r="O21" s="2205"/>
      <c r="P21" s="2205"/>
      <c r="Q21" s="2205"/>
      <c r="R21" s="2205"/>
      <c r="S21" s="2205"/>
      <c r="T21" s="2205"/>
      <c r="U21" s="2205"/>
      <c r="V21" s="2205"/>
      <c r="W21" s="2205"/>
      <c r="X21" s="2205"/>
      <c r="Y21" s="2205"/>
      <c r="Z21" s="2205"/>
      <c r="AA21" s="2205"/>
      <c r="AB21" s="2205"/>
      <c r="AC21" s="2205"/>
      <c r="AD21" s="2205"/>
      <c r="AE21" s="2205"/>
      <c r="AF21" s="2205"/>
      <c r="AG21" s="2205"/>
      <c r="AH21" s="2205"/>
      <c r="AI21" s="2205"/>
      <c r="AJ21" s="2205"/>
      <c r="AK21" s="2205"/>
      <c r="AL21" s="2205"/>
      <c r="AM21" s="2205"/>
      <c r="AN21" s="2205"/>
      <c r="AO21" s="2205"/>
      <c r="AP21" s="2205"/>
      <c r="AQ21" s="2205"/>
      <c r="AR21" s="2205"/>
      <c r="AS21" s="2205"/>
      <c r="AT21" s="2205"/>
      <c r="AU21" s="2205"/>
      <c r="AV21" s="2205"/>
      <c r="AW21" s="2205"/>
      <c r="AX21" s="2205"/>
      <c r="AY21" s="2205"/>
      <c r="AZ21" s="2205"/>
      <c r="BA21" s="2205"/>
      <c r="BB21" s="2205"/>
      <c r="BC21" s="2205"/>
      <c r="BD21" s="2205"/>
    </row>
    <row r="22" spans="1:56" ht="15.75" customHeight="1" x14ac:dyDescent="0.25">
      <c r="A22" s="2122" t="s">
        <v>5</v>
      </c>
      <c r="B22" s="2086" t="s">
        <v>6</v>
      </c>
      <c r="C22" s="2087"/>
      <c r="D22" s="2087"/>
      <c r="E22" s="2087"/>
      <c r="F22" s="2087"/>
      <c r="G22" s="2088"/>
      <c r="H22" s="2125" t="s">
        <v>7</v>
      </c>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056" t="s">
        <v>8</v>
      </c>
      <c r="AJ22" s="2049"/>
      <c r="AK22" s="2049"/>
      <c r="AL22" s="2051"/>
      <c r="AM22" s="2125" t="s">
        <v>9</v>
      </c>
      <c r="AN22" s="2126"/>
      <c r="AO22" s="2126"/>
      <c r="AP22" s="2126"/>
      <c r="AQ22" s="2126"/>
      <c r="AR22" s="2127"/>
      <c r="AS22" s="2128" t="s">
        <v>10</v>
      </c>
      <c r="AT22" s="2129"/>
      <c r="AU22" s="2129"/>
      <c r="AV22" s="2129"/>
      <c r="AW22" s="2129"/>
      <c r="AX22" s="2129"/>
      <c r="AY22" s="2129"/>
      <c r="AZ22" s="2129"/>
      <c r="BA22" s="2129"/>
      <c r="BB22" s="2129"/>
      <c r="BC22" s="2129"/>
      <c r="BD22" s="2130"/>
    </row>
    <row r="23" spans="1:56" ht="15.75" customHeight="1" x14ac:dyDescent="0.25">
      <c r="A23" s="2123"/>
      <c r="B23" s="2089"/>
      <c r="C23" s="2090"/>
      <c r="D23" s="2090"/>
      <c r="E23" s="2090"/>
      <c r="F23" s="2090"/>
      <c r="G23" s="2091"/>
      <c r="H23" s="2101" t="s">
        <v>11</v>
      </c>
      <c r="I23" s="2102"/>
      <c r="J23" s="2102"/>
      <c r="K23" s="2102"/>
      <c r="L23" s="2102"/>
      <c r="M23" s="2102"/>
      <c r="N23" s="2102"/>
      <c r="O23" s="2102"/>
      <c r="P23" s="2102"/>
      <c r="Q23" s="2102"/>
      <c r="R23" s="2102"/>
      <c r="S23" s="2102"/>
      <c r="T23" s="2069"/>
      <c r="U23" s="2103" t="s">
        <v>12</v>
      </c>
      <c r="V23" s="2102"/>
      <c r="W23" s="2102"/>
      <c r="X23" s="2102"/>
      <c r="Y23" s="2102"/>
      <c r="Z23" s="2102"/>
      <c r="AA23" s="2102"/>
      <c r="AB23" s="2102"/>
      <c r="AC23" s="2102"/>
      <c r="AD23" s="2069"/>
      <c r="AE23" s="2103" t="s">
        <v>13</v>
      </c>
      <c r="AF23" s="2102"/>
      <c r="AG23" s="2102"/>
      <c r="AH23" s="2102"/>
      <c r="AI23" s="2057" t="s">
        <v>14</v>
      </c>
      <c r="AJ23" s="2050" t="s">
        <v>15</v>
      </c>
      <c r="AK23" s="2050" t="s">
        <v>16</v>
      </c>
      <c r="AL23" s="2052" t="s">
        <v>581</v>
      </c>
      <c r="AM23" s="2112" t="s">
        <v>18</v>
      </c>
      <c r="AN23" s="2114" t="s">
        <v>19</v>
      </c>
      <c r="AO23" s="2114" t="s">
        <v>20</v>
      </c>
      <c r="AP23" s="2114" t="s">
        <v>21</v>
      </c>
      <c r="AQ23" s="2114" t="s">
        <v>22</v>
      </c>
      <c r="AR23" s="2116" t="s">
        <v>21</v>
      </c>
      <c r="AS23" s="2069" t="s">
        <v>23</v>
      </c>
      <c r="AT23" s="2110" t="s">
        <v>24</v>
      </c>
      <c r="AU23" s="2111" t="s">
        <v>25</v>
      </c>
      <c r="AV23" s="2111"/>
      <c r="AW23" s="2111"/>
      <c r="AX23" s="2111" t="s">
        <v>26</v>
      </c>
      <c r="AY23" s="2111"/>
      <c r="AZ23" s="2110" t="s">
        <v>27</v>
      </c>
      <c r="BA23" s="2050" t="s">
        <v>28</v>
      </c>
      <c r="BB23" s="2111" t="s">
        <v>29</v>
      </c>
      <c r="BC23" s="2111"/>
      <c r="BD23" s="2131"/>
    </row>
    <row r="24" spans="1:56" ht="51" x14ac:dyDescent="0.25">
      <c r="A24" s="2123"/>
      <c r="B24" s="3" t="s">
        <v>30</v>
      </c>
      <c r="C24" s="4" t="s">
        <v>31</v>
      </c>
      <c r="D24" s="4" t="s">
        <v>32</v>
      </c>
      <c r="E24" s="4" t="s">
        <v>23</v>
      </c>
      <c r="F24" s="4" t="s">
        <v>33</v>
      </c>
      <c r="G24" s="5" t="s">
        <v>34</v>
      </c>
      <c r="H24" s="6" t="s">
        <v>35</v>
      </c>
      <c r="I24" s="4" t="s">
        <v>36</v>
      </c>
      <c r="J24" s="4" t="s">
        <v>37</v>
      </c>
      <c r="K24" s="4" t="s">
        <v>38</v>
      </c>
      <c r="L24" s="4" t="s">
        <v>39</v>
      </c>
      <c r="M24" s="4" t="s">
        <v>40</v>
      </c>
      <c r="N24" s="4" t="s">
        <v>41</v>
      </c>
      <c r="O24" s="4" t="s">
        <v>42</v>
      </c>
      <c r="P24" s="4" t="s">
        <v>43</v>
      </c>
      <c r="Q24" s="4" t="s">
        <v>44</v>
      </c>
      <c r="R24" s="4" t="s">
        <v>45</v>
      </c>
      <c r="S24" s="4" t="s">
        <v>46</v>
      </c>
      <c r="T24" s="4" t="s">
        <v>47</v>
      </c>
      <c r="U24" s="4" t="s">
        <v>48</v>
      </c>
      <c r="V24" s="4" t="s">
        <v>38</v>
      </c>
      <c r="W24" s="4" t="s">
        <v>40</v>
      </c>
      <c r="X24" s="4" t="s">
        <v>1217</v>
      </c>
      <c r="Y24" s="4" t="s">
        <v>41</v>
      </c>
      <c r="Z24" s="4" t="s">
        <v>42</v>
      </c>
      <c r="AA24" s="4" t="s">
        <v>50</v>
      </c>
      <c r="AB24" s="4" t="s">
        <v>51</v>
      </c>
      <c r="AC24" s="4" t="s">
        <v>52</v>
      </c>
      <c r="AD24" s="4" t="s">
        <v>53</v>
      </c>
      <c r="AE24" s="4" t="s">
        <v>54</v>
      </c>
      <c r="AF24" s="4" t="s">
        <v>55</v>
      </c>
      <c r="AG24" s="4" t="s">
        <v>56</v>
      </c>
      <c r="AH24" s="243" t="s">
        <v>57</v>
      </c>
      <c r="AI24" s="2057"/>
      <c r="AJ24" s="2050"/>
      <c r="AK24" s="2050"/>
      <c r="AL24" s="2052"/>
      <c r="AM24" s="2113"/>
      <c r="AN24" s="2115"/>
      <c r="AO24" s="2115"/>
      <c r="AP24" s="2115"/>
      <c r="AQ24" s="2115"/>
      <c r="AR24" s="2117"/>
      <c r="AS24" s="2069"/>
      <c r="AT24" s="2110"/>
      <c r="AU24" s="244" t="s">
        <v>58</v>
      </c>
      <c r="AV24" s="244" t="s">
        <v>59</v>
      </c>
      <c r="AW24" s="244" t="s">
        <v>60</v>
      </c>
      <c r="AX24" s="244" t="s">
        <v>61</v>
      </c>
      <c r="AY24" s="245" t="s">
        <v>62</v>
      </c>
      <c r="AZ24" s="2110"/>
      <c r="BA24" s="2050"/>
      <c r="BB24" s="244" t="s">
        <v>58</v>
      </c>
      <c r="BC24" s="244" t="s">
        <v>63</v>
      </c>
      <c r="BD24" s="246" t="s">
        <v>64</v>
      </c>
    </row>
    <row r="25" spans="1:56" ht="15.75" thickBot="1" x14ac:dyDescent="0.3">
      <c r="A25" s="2124"/>
      <c r="B25" s="10" t="s">
        <v>65</v>
      </c>
      <c r="C25" s="11" t="s">
        <v>66</v>
      </c>
      <c r="D25" s="12" t="s">
        <v>67</v>
      </c>
      <c r="E25" s="11" t="s">
        <v>68</v>
      </c>
      <c r="F25" s="11" t="s">
        <v>69</v>
      </c>
      <c r="G25" s="13" t="s">
        <v>70</v>
      </c>
      <c r="H25" s="14" t="s">
        <v>71</v>
      </c>
      <c r="I25" s="11" t="s">
        <v>72</v>
      </c>
      <c r="J25" s="11" t="s">
        <v>73</v>
      </c>
      <c r="K25" s="11" t="s">
        <v>74</v>
      </c>
      <c r="L25" s="15" t="s">
        <v>75</v>
      </c>
      <c r="M25" s="11" t="s">
        <v>76</v>
      </c>
      <c r="N25" s="11" t="s">
        <v>77</v>
      </c>
      <c r="O25" s="11" t="s">
        <v>78</v>
      </c>
      <c r="P25" s="11" t="s">
        <v>79</v>
      </c>
      <c r="Q25" s="11" t="s">
        <v>80</v>
      </c>
      <c r="R25" s="11" t="s">
        <v>81</v>
      </c>
      <c r="S25" s="11" t="s">
        <v>82</v>
      </c>
      <c r="T25" s="11" t="s">
        <v>83</v>
      </c>
      <c r="U25" s="11" t="s">
        <v>84</v>
      </c>
      <c r="V25" s="11" t="s">
        <v>85</v>
      </c>
      <c r="W25" s="11" t="s">
        <v>86</v>
      </c>
      <c r="X25" s="11" t="s">
        <v>87</v>
      </c>
      <c r="Y25" s="11" t="s">
        <v>88</v>
      </c>
      <c r="Z25" s="11" t="s">
        <v>89</v>
      </c>
      <c r="AA25" s="11" t="s">
        <v>90</v>
      </c>
      <c r="AB25" s="11" t="s">
        <v>91</v>
      </c>
      <c r="AC25" s="11" t="s">
        <v>92</v>
      </c>
      <c r="AD25" s="11" t="s">
        <v>93</v>
      </c>
      <c r="AE25" s="11" t="s">
        <v>94</v>
      </c>
      <c r="AF25" s="11" t="s">
        <v>95</v>
      </c>
      <c r="AG25" s="247" t="s">
        <v>96</v>
      </c>
      <c r="AH25" s="372" t="s">
        <v>97</v>
      </c>
      <c r="AI25" s="3" t="s">
        <v>98</v>
      </c>
      <c r="AJ25" s="148" t="s">
        <v>99</v>
      </c>
      <c r="AK25" s="148" t="s">
        <v>100</v>
      </c>
      <c r="AL25" s="373" t="s">
        <v>101</v>
      </c>
      <c r="AM25" s="374" t="s">
        <v>102</v>
      </c>
      <c r="AN25" s="244" t="s">
        <v>103</v>
      </c>
      <c r="AO25" s="244" t="s">
        <v>104</v>
      </c>
      <c r="AP25" s="244" t="s">
        <v>105</v>
      </c>
      <c r="AQ25" s="244" t="s">
        <v>106</v>
      </c>
      <c r="AR25" s="246" t="s">
        <v>107</v>
      </c>
      <c r="AS25" s="375" t="s">
        <v>108</v>
      </c>
      <c r="AT25" s="244" t="s">
        <v>109</v>
      </c>
      <c r="AU25" s="244" t="s">
        <v>110</v>
      </c>
      <c r="AV25" s="244" t="s">
        <v>111</v>
      </c>
      <c r="AW25" s="246" t="s">
        <v>112</v>
      </c>
      <c r="AX25" s="246" t="s">
        <v>113</v>
      </c>
      <c r="AY25" s="246" t="s">
        <v>114</v>
      </c>
      <c r="AZ25" s="244" t="s">
        <v>115</v>
      </c>
      <c r="BA25" s="244" t="s">
        <v>116</v>
      </c>
      <c r="BB25" s="244" t="s">
        <v>117</v>
      </c>
      <c r="BC25" s="246" t="s">
        <v>118</v>
      </c>
      <c r="BD25" s="246" t="s">
        <v>119</v>
      </c>
    </row>
    <row r="26" spans="1:56" ht="38.25" customHeight="1" x14ac:dyDescent="0.25">
      <c r="A26" s="2200">
        <v>1</v>
      </c>
      <c r="B26" s="2201" t="s">
        <v>1218</v>
      </c>
      <c r="C26" s="2198" t="s">
        <v>1219</v>
      </c>
      <c r="D26" s="2198" t="s">
        <v>152</v>
      </c>
      <c r="E26" s="2198"/>
      <c r="F26" s="2202" t="s">
        <v>1220</v>
      </c>
      <c r="G26" s="2198"/>
      <c r="H26" s="2199" t="s">
        <v>1221</v>
      </c>
      <c r="I26" s="2198" t="s">
        <v>1222</v>
      </c>
      <c r="J26" s="2198" t="s">
        <v>1223</v>
      </c>
      <c r="K26" s="2203">
        <v>40301</v>
      </c>
      <c r="L26" s="2204">
        <v>11200</v>
      </c>
      <c r="M26" s="2198"/>
      <c r="N26" s="2203">
        <v>40301</v>
      </c>
      <c r="O26" s="2203">
        <v>40546</v>
      </c>
      <c r="P26" s="2198">
        <v>1</v>
      </c>
      <c r="Q26" s="2198"/>
      <c r="R26" s="2198"/>
      <c r="S26" s="2198"/>
      <c r="T26" s="2198" t="s">
        <v>158</v>
      </c>
      <c r="U26" s="150" t="s">
        <v>1224</v>
      </c>
      <c r="V26" s="151">
        <v>40471</v>
      </c>
      <c r="W26" s="150"/>
      <c r="X26" s="376" t="s">
        <v>1225</v>
      </c>
      <c r="Y26" s="151">
        <v>40532</v>
      </c>
      <c r="Z26" s="151">
        <v>40897</v>
      </c>
      <c r="AA26" s="150"/>
      <c r="AB26" s="150"/>
      <c r="AC26" s="150"/>
      <c r="AD26" s="150"/>
      <c r="AE26" s="339">
        <f>L26-AD26+AC26</f>
        <v>11200</v>
      </c>
      <c r="AF26" s="377">
        <f>11200+16800+16800+20400</f>
        <v>65200</v>
      </c>
      <c r="AG26" s="377">
        <f>1791.8*12</f>
        <v>21501.599999999999</v>
      </c>
      <c r="AH26" s="378">
        <f>AF26+AG26</f>
        <v>86701.6</v>
      </c>
      <c r="AI26" s="179"/>
      <c r="AJ26" s="107"/>
      <c r="AK26" s="107"/>
      <c r="AL26" s="180"/>
      <c r="AM26" s="179"/>
      <c r="AN26" s="181"/>
      <c r="AO26" s="181"/>
      <c r="AP26" s="181"/>
      <c r="AQ26" s="181"/>
      <c r="AR26" s="182"/>
      <c r="AS26" s="49"/>
      <c r="AT26" s="165"/>
      <c r="AU26" s="165"/>
      <c r="AV26" s="165"/>
      <c r="AW26" s="165"/>
      <c r="AX26" s="165"/>
      <c r="AY26" s="165"/>
      <c r="AZ26" s="165"/>
      <c r="BA26" s="165"/>
      <c r="BB26" s="165"/>
      <c r="BC26" s="165"/>
      <c r="BD26" s="167"/>
    </row>
    <row r="27" spans="1:56" ht="25.5" x14ac:dyDescent="0.25">
      <c r="A27" s="2192"/>
      <c r="B27" s="2195"/>
      <c r="C27" s="2021"/>
      <c r="D27" s="2021"/>
      <c r="E27" s="2021"/>
      <c r="F27" s="2189"/>
      <c r="G27" s="2021"/>
      <c r="H27" s="2176"/>
      <c r="I27" s="2021"/>
      <c r="J27" s="2021"/>
      <c r="K27" s="2033"/>
      <c r="L27" s="2187"/>
      <c r="M27" s="2021"/>
      <c r="N27" s="2033"/>
      <c r="O27" s="2033"/>
      <c r="P27" s="2021"/>
      <c r="Q27" s="2021"/>
      <c r="R27" s="2021"/>
      <c r="S27" s="2021"/>
      <c r="T27" s="2021"/>
      <c r="U27" s="37" t="s">
        <v>1226</v>
      </c>
      <c r="V27" s="45">
        <v>40909</v>
      </c>
      <c r="W27" s="46">
        <v>10698</v>
      </c>
      <c r="X27" s="379" t="s">
        <v>1225</v>
      </c>
      <c r="Y27" s="45">
        <v>40909</v>
      </c>
      <c r="Z27" s="45">
        <v>41275</v>
      </c>
      <c r="AA27" s="150"/>
      <c r="AB27" s="150"/>
      <c r="AC27" s="150"/>
      <c r="AD27" s="150"/>
      <c r="AE27" s="339">
        <f t="shared" ref="AE27:AE75" si="0">L27-AD27+AC27</f>
        <v>0</v>
      </c>
      <c r="AF27" s="377"/>
      <c r="AG27" s="377"/>
      <c r="AH27" s="378"/>
      <c r="AI27" s="179"/>
      <c r="AJ27" s="107"/>
      <c r="AK27" s="107"/>
      <c r="AL27" s="180"/>
      <c r="AM27" s="179"/>
      <c r="AN27" s="181"/>
      <c r="AO27" s="181"/>
      <c r="AP27" s="181"/>
      <c r="AQ27" s="181"/>
      <c r="AR27" s="182"/>
      <c r="AS27" s="49"/>
      <c r="AT27" s="165"/>
      <c r="AU27" s="165"/>
      <c r="AV27" s="165"/>
      <c r="AW27" s="165"/>
      <c r="AX27" s="165"/>
      <c r="AY27" s="165"/>
      <c r="AZ27" s="165"/>
      <c r="BA27" s="165"/>
      <c r="BB27" s="165"/>
      <c r="BC27" s="165"/>
      <c r="BD27" s="167"/>
    </row>
    <row r="28" spans="1:56" ht="30" x14ac:dyDescent="0.25">
      <c r="A28" s="2192"/>
      <c r="B28" s="2195"/>
      <c r="C28" s="2021"/>
      <c r="D28" s="2021"/>
      <c r="E28" s="2021"/>
      <c r="F28" s="2189"/>
      <c r="G28" s="2021"/>
      <c r="H28" s="2176"/>
      <c r="I28" s="2021"/>
      <c r="J28" s="2021"/>
      <c r="K28" s="2033"/>
      <c r="L28" s="2187"/>
      <c r="M28" s="2021"/>
      <c r="N28" s="2033"/>
      <c r="O28" s="2033"/>
      <c r="P28" s="2021"/>
      <c r="Q28" s="2021"/>
      <c r="R28" s="2021"/>
      <c r="S28" s="2021"/>
      <c r="T28" s="2021"/>
      <c r="U28" s="380" t="s">
        <v>1227</v>
      </c>
      <c r="V28" s="381">
        <v>41269</v>
      </c>
      <c r="W28" s="382"/>
      <c r="X28" s="383" t="s">
        <v>1225</v>
      </c>
      <c r="Y28" s="384">
        <v>41275</v>
      </c>
      <c r="Z28" s="384">
        <v>41634</v>
      </c>
      <c r="AA28" s="37"/>
      <c r="AB28" s="37"/>
      <c r="AC28" s="37"/>
      <c r="AD28" s="37"/>
      <c r="AE28" s="339">
        <f t="shared" si="0"/>
        <v>0</v>
      </c>
      <c r="AF28" s="339"/>
      <c r="AG28" s="339"/>
      <c r="AH28" s="378">
        <f t="shared" ref="AH28:AH75" si="1">AF28+AG28</f>
        <v>0</v>
      </c>
      <c r="AI28" s="179"/>
      <c r="AJ28" s="107"/>
      <c r="AK28" s="107"/>
      <c r="AL28" s="180"/>
      <c r="AM28" s="179"/>
      <c r="AN28" s="181"/>
      <c r="AO28" s="181"/>
      <c r="AP28" s="181"/>
      <c r="AQ28" s="181"/>
      <c r="AR28" s="182"/>
      <c r="AS28" s="49"/>
      <c r="AT28" s="165"/>
      <c r="AU28" s="165"/>
      <c r="AV28" s="165"/>
      <c r="AW28" s="165"/>
      <c r="AX28" s="165"/>
      <c r="AY28" s="165"/>
      <c r="AZ28" s="165"/>
      <c r="BA28" s="165"/>
      <c r="BB28" s="165"/>
      <c r="BC28" s="165"/>
      <c r="BD28" s="167"/>
    </row>
    <row r="29" spans="1:56" x14ac:dyDescent="0.25">
      <c r="A29" s="2192"/>
      <c r="B29" s="2195"/>
      <c r="C29" s="2021"/>
      <c r="D29" s="2021"/>
      <c r="E29" s="2021"/>
      <c r="F29" s="2189"/>
      <c r="G29" s="2021"/>
      <c r="H29" s="2176"/>
      <c r="I29" s="2021"/>
      <c r="J29" s="2021"/>
      <c r="K29" s="2033"/>
      <c r="L29" s="2187"/>
      <c r="M29" s="2021"/>
      <c r="N29" s="2033"/>
      <c r="O29" s="2033"/>
      <c r="P29" s="2021"/>
      <c r="Q29" s="2021"/>
      <c r="R29" s="2021"/>
      <c r="S29" s="2021"/>
      <c r="T29" s="2021"/>
      <c r="U29" s="37" t="s">
        <v>1228</v>
      </c>
      <c r="V29" s="45">
        <v>41638</v>
      </c>
      <c r="W29" s="46"/>
      <c r="X29" s="379" t="s">
        <v>1229</v>
      </c>
      <c r="Y29" s="45">
        <v>41639</v>
      </c>
      <c r="Z29" s="45">
        <v>42004</v>
      </c>
      <c r="AA29" s="37"/>
      <c r="AB29" s="37"/>
      <c r="AC29" s="37"/>
      <c r="AD29" s="37"/>
      <c r="AE29" s="339">
        <f t="shared" si="0"/>
        <v>0</v>
      </c>
      <c r="AF29" s="339"/>
      <c r="AG29" s="339"/>
      <c r="AH29" s="378"/>
      <c r="AI29" s="179"/>
      <c r="AJ29" s="107"/>
      <c r="AK29" s="107"/>
      <c r="AL29" s="180"/>
      <c r="AM29" s="179"/>
      <c r="AN29" s="181"/>
      <c r="AO29" s="181"/>
      <c r="AP29" s="181"/>
      <c r="AQ29" s="181"/>
      <c r="AR29" s="182"/>
      <c r="AS29" s="49"/>
      <c r="AT29" s="165"/>
      <c r="AU29" s="165"/>
      <c r="AV29" s="165"/>
      <c r="AW29" s="165"/>
      <c r="AX29" s="165"/>
      <c r="AY29" s="165"/>
      <c r="AZ29" s="165"/>
      <c r="BA29" s="165"/>
      <c r="BB29" s="165"/>
      <c r="BC29" s="165"/>
      <c r="BD29" s="167"/>
    </row>
    <row r="30" spans="1:56" ht="25.5" x14ac:dyDescent="0.25">
      <c r="A30" s="2193"/>
      <c r="B30" s="2196"/>
      <c r="C30" s="1986"/>
      <c r="D30" s="1986"/>
      <c r="E30" s="1986"/>
      <c r="F30" s="2190"/>
      <c r="G30" s="1986"/>
      <c r="H30" s="1992"/>
      <c r="I30" s="1986"/>
      <c r="J30" s="1986"/>
      <c r="K30" s="1997"/>
      <c r="L30" s="2003"/>
      <c r="M30" s="1986"/>
      <c r="N30" s="1997"/>
      <c r="O30" s="1997"/>
      <c r="P30" s="1986"/>
      <c r="Q30" s="1986"/>
      <c r="R30" s="1986"/>
      <c r="S30" s="1986"/>
      <c r="T30" s="1986"/>
      <c r="U30" s="37" t="s">
        <v>1224</v>
      </c>
      <c r="V30" s="45">
        <v>41673</v>
      </c>
      <c r="W30" s="46">
        <v>11251</v>
      </c>
      <c r="X30" s="379" t="s">
        <v>1230</v>
      </c>
      <c r="Y30" s="45"/>
      <c r="Z30" s="37"/>
      <c r="AA30" s="37"/>
      <c r="AB30" s="37"/>
      <c r="AC30" s="37"/>
      <c r="AD30" s="37"/>
      <c r="AE30" s="339">
        <f t="shared" si="0"/>
        <v>0</v>
      </c>
      <c r="AF30" s="339"/>
      <c r="AG30" s="339"/>
      <c r="AH30" s="378">
        <f t="shared" si="1"/>
        <v>0</v>
      </c>
      <c r="AI30" s="179"/>
      <c r="AJ30" s="107"/>
      <c r="AK30" s="107"/>
      <c r="AL30" s="180"/>
      <c r="AM30" s="179"/>
      <c r="AN30" s="181"/>
      <c r="AO30" s="181"/>
      <c r="AP30" s="181"/>
      <c r="AQ30" s="181"/>
      <c r="AR30" s="182"/>
      <c r="AS30" s="49"/>
      <c r="AT30" s="165"/>
      <c r="AU30" s="165"/>
      <c r="AV30" s="165"/>
      <c r="AW30" s="165"/>
      <c r="AX30" s="165"/>
      <c r="AY30" s="165"/>
      <c r="AZ30" s="165"/>
      <c r="BA30" s="165"/>
      <c r="BB30" s="165"/>
      <c r="BC30" s="165"/>
      <c r="BD30" s="167"/>
    </row>
    <row r="31" spans="1:56" ht="37.5" customHeight="1" x14ac:dyDescent="0.25">
      <c r="A31" s="2191">
        <v>2</v>
      </c>
      <c r="B31" s="2194" t="s">
        <v>1231</v>
      </c>
      <c r="C31" s="1985" t="s">
        <v>1232</v>
      </c>
      <c r="D31" s="1985" t="s">
        <v>1233</v>
      </c>
      <c r="E31" s="1985" t="s">
        <v>1234</v>
      </c>
      <c r="F31" s="2188" t="s">
        <v>1235</v>
      </c>
      <c r="G31" s="1985"/>
      <c r="H31" s="1991" t="s">
        <v>1236</v>
      </c>
      <c r="I31" s="1985" t="s">
        <v>1237</v>
      </c>
      <c r="J31" s="1985" t="s">
        <v>1238</v>
      </c>
      <c r="K31" s="1996">
        <v>40569</v>
      </c>
      <c r="L31" s="2165">
        <f>1934239.92+1091569.64</f>
        <v>3025809.5599999996</v>
      </c>
      <c r="M31" s="2163"/>
      <c r="N31" s="2172">
        <v>40569</v>
      </c>
      <c r="O31" s="2172">
        <v>40934</v>
      </c>
      <c r="P31" s="2163" t="s">
        <v>1239</v>
      </c>
      <c r="Q31" s="1985"/>
      <c r="R31" s="1985"/>
      <c r="S31" s="1985"/>
      <c r="T31" s="1985" t="s">
        <v>649</v>
      </c>
      <c r="U31" s="37" t="s">
        <v>1224</v>
      </c>
      <c r="V31" s="45">
        <v>40934</v>
      </c>
      <c r="W31" s="46">
        <v>10735</v>
      </c>
      <c r="X31" s="379" t="s">
        <v>1240</v>
      </c>
      <c r="Y31" s="45">
        <v>40935</v>
      </c>
      <c r="Z31" s="45">
        <v>41117</v>
      </c>
      <c r="AA31" s="37"/>
      <c r="AB31" s="37"/>
      <c r="AC31" s="37"/>
      <c r="AD31" s="37"/>
      <c r="AE31" s="339">
        <f t="shared" si="0"/>
        <v>3025809.5599999996</v>
      </c>
      <c r="AF31" s="339">
        <f>2256574-160000</f>
        <v>2096574</v>
      </c>
      <c r="AG31" s="339">
        <v>616121.64</v>
      </c>
      <c r="AH31" s="378">
        <f>AF31+AG31</f>
        <v>2712695.64</v>
      </c>
      <c r="AI31" s="179"/>
      <c r="AJ31" s="107"/>
      <c r="AK31" s="107"/>
      <c r="AL31" s="180"/>
      <c r="AM31" s="179"/>
      <c r="AN31" s="181"/>
      <c r="AO31" s="181"/>
      <c r="AP31" s="181"/>
      <c r="AQ31" s="181"/>
      <c r="AR31" s="182"/>
      <c r="AS31" s="49"/>
      <c r="AT31" s="165"/>
      <c r="AU31" s="165"/>
      <c r="AV31" s="165"/>
      <c r="AW31" s="165"/>
      <c r="AX31" s="165"/>
      <c r="AY31" s="165"/>
      <c r="AZ31" s="165"/>
      <c r="BA31" s="165"/>
      <c r="BB31" s="165"/>
      <c r="BC31" s="165"/>
      <c r="BD31" s="167"/>
    </row>
    <row r="32" spans="1:56" ht="38.25" customHeight="1" x14ac:dyDescent="0.25">
      <c r="A32" s="2192"/>
      <c r="B32" s="2195"/>
      <c r="C32" s="2021"/>
      <c r="D32" s="2021"/>
      <c r="E32" s="2021"/>
      <c r="F32" s="2189"/>
      <c r="G32" s="2021"/>
      <c r="H32" s="2176"/>
      <c r="I32" s="2021"/>
      <c r="J32" s="2021"/>
      <c r="K32" s="2033"/>
      <c r="L32" s="2179"/>
      <c r="M32" s="2175"/>
      <c r="N32" s="2173"/>
      <c r="O32" s="2173"/>
      <c r="P32" s="2175"/>
      <c r="Q32" s="2021"/>
      <c r="R32" s="2021"/>
      <c r="S32" s="2021"/>
      <c r="T32" s="2021"/>
      <c r="U32" s="1985" t="s">
        <v>1226</v>
      </c>
      <c r="V32" s="1996">
        <v>41018</v>
      </c>
      <c r="W32" s="1985" t="s">
        <v>1241</v>
      </c>
      <c r="X32" s="2188" t="s">
        <v>1242</v>
      </c>
      <c r="Y32" s="1996">
        <v>40935</v>
      </c>
      <c r="Z32" s="1996">
        <v>41117</v>
      </c>
      <c r="AA32" s="1985">
        <v>4.1500000000000004</v>
      </c>
      <c r="AB32" s="1985"/>
      <c r="AC32" s="2002">
        <v>125571.09</v>
      </c>
      <c r="AD32" s="1985"/>
      <c r="AE32" s="2181">
        <f t="shared" si="0"/>
        <v>125571.09</v>
      </c>
      <c r="AF32" s="2181">
        <v>80000</v>
      </c>
      <c r="AG32" s="2181"/>
      <c r="AH32" s="2184">
        <f t="shared" si="1"/>
        <v>80000</v>
      </c>
      <c r="AI32" s="179"/>
      <c r="AJ32" s="107"/>
      <c r="AK32" s="107"/>
      <c r="AL32" s="180"/>
      <c r="AM32" s="179"/>
      <c r="AN32" s="181"/>
      <c r="AO32" s="181"/>
      <c r="AP32" s="181"/>
      <c r="AQ32" s="181"/>
      <c r="AR32" s="182"/>
      <c r="AS32" s="49"/>
      <c r="AT32" s="165"/>
      <c r="AU32" s="165"/>
      <c r="AV32" s="165"/>
      <c r="AW32" s="165"/>
      <c r="AX32" s="165"/>
      <c r="AY32" s="165"/>
      <c r="AZ32" s="165"/>
      <c r="BA32" s="165"/>
      <c r="BB32" s="165"/>
      <c r="BC32" s="165"/>
      <c r="BD32" s="167"/>
    </row>
    <row r="33" spans="1:56" ht="15" customHeight="1" x14ac:dyDescent="0.25">
      <c r="A33" s="2192"/>
      <c r="B33" s="2195"/>
      <c r="C33" s="2021"/>
      <c r="D33" s="2021"/>
      <c r="E33" s="2021"/>
      <c r="F33" s="2189"/>
      <c r="G33" s="2021"/>
      <c r="H33" s="2176"/>
      <c r="I33" s="2021"/>
      <c r="J33" s="2021"/>
      <c r="K33" s="2033"/>
      <c r="L33" s="2179"/>
      <c r="M33" s="2175"/>
      <c r="N33" s="2173"/>
      <c r="O33" s="2173"/>
      <c r="P33" s="2175"/>
      <c r="Q33" s="2021"/>
      <c r="R33" s="2021"/>
      <c r="S33" s="2021"/>
      <c r="T33" s="2021"/>
      <c r="U33" s="2021"/>
      <c r="V33" s="2033"/>
      <c r="W33" s="2021"/>
      <c r="X33" s="2189"/>
      <c r="Y33" s="2033"/>
      <c r="Z33" s="2033"/>
      <c r="AA33" s="2021"/>
      <c r="AB33" s="2021"/>
      <c r="AC33" s="2187"/>
      <c r="AD33" s="2021"/>
      <c r="AE33" s="2182"/>
      <c r="AF33" s="2182"/>
      <c r="AG33" s="2182"/>
      <c r="AH33" s="2185"/>
      <c r="AI33" s="179"/>
      <c r="AJ33" s="107"/>
      <c r="AK33" s="107"/>
      <c r="AL33" s="180"/>
      <c r="AM33" s="179"/>
      <c r="AN33" s="181"/>
      <c r="AO33" s="181"/>
      <c r="AP33" s="181"/>
      <c r="AQ33" s="181"/>
      <c r="AR33" s="182"/>
      <c r="AS33" s="49"/>
      <c r="AT33" s="165"/>
      <c r="AU33" s="165"/>
      <c r="AV33" s="165"/>
      <c r="AW33" s="165"/>
      <c r="AX33" s="165"/>
      <c r="AY33" s="165"/>
      <c r="AZ33" s="165"/>
      <c r="BA33" s="165"/>
      <c r="BB33" s="165"/>
      <c r="BC33" s="165"/>
      <c r="BD33" s="167"/>
    </row>
    <row r="34" spans="1:56" x14ac:dyDescent="0.25">
      <c r="A34" s="2192"/>
      <c r="B34" s="2195"/>
      <c r="C34" s="2021"/>
      <c r="D34" s="2021"/>
      <c r="E34" s="2021"/>
      <c r="F34" s="2189"/>
      <c r="G34" s="2021"/>
      <c r="H34" s="2176"/>
      <c r="I34" s="2021"/>
      <c r="J34" s="2021"/>
      <c r="K34" s="2033"/>
      <c r="L34" s="2179"/>
      <c r="M34" s="2175"/>
      <c r="N34" s="2173"/>
      <c r="O34" s="2173"/>
      <c r="P34" s="2175"/>
      <c r="Q34" s="2021"/>
      <c r="R34" s="2021"/>
      <c r="S34" s="2021"/>
      <c r="T34" s="2021"/>
      <c r="U34" s="2021"/>
      <c r="V34" s="2033"/>
      <c r="W34" s="2021"/>
      <c r="X34" s="2189"/>
      <c r="Y34" s="2033"/>
      <c r="Z34" s="2033"/>
      <c r="AA34" s="2021"/>
      <c r="AB34" s="2021"/>
      <c r="AC34" s="2187"/>
      <c r="AD34" s="2021"/>
      <c r="AE34" s="2182"/>
      <c r="AF34" s="2182"/>
      <c r="AG34" s="2182"/>
      <c r="AH34" s="2185"/>
      <c r="AI34" s="179"/>
      <c r="AJ34" s="107"/>
      <c r="AK34" s="107"/>
      <c r="AL34" s="180"/>
      <c r="AM34" s="179"/>
      <c r="AN34" s="181"/>
      <c r="AO34" s="181"/>
      <c r="AP34" s="181"/>
      <c r="AQ34" s="181"/>
      <c r="AR34" s="182"/>
      <c r="AS34" s="49"/>
      <c r="AT34" s="165"/>
      <c r="AU34" s="165"/>
      <c r="AV34" s="165"/>
      <c r="AW34" s="165"/>
      <c r="AX34" s="165"/>
      <c r="AY34" s="165"/>
      <c r="AZ34" s="165"/>
      <c r="BA34" s="165"/>
      <c r="BB34" s="165"/>
      <c r="BC34" s="165"/>
      <c r="BD34" s="167"/>
    </row>
    <row r="35" spans="1:56" x14ac:dyDescent="0.25">
      <c r="A35" s="2192"/>
      <c r="B35" s="2195"/>
      <c r="C35" s="2021"/>
      <c r="D35" s="2021"/>
      <c r="E35" s="2021"/>
      <c r="F35" s="2189"/>
      <c r="G35" s="2021"/>
      <c r="H35" s="2176"/>
      <c r="I35" s="2021"/>
      <c r="J35" s="2021"/>
      <c r="K35" s="2033"/>
      <c r="L35" s="2179"/>
      <c r="M35" s="2175"/>
      <c r="N35" s="2173"/>
      <c r="O35" s="2173"/>
      <c r="P35" s="2175"/>
      <c r="Q35" s="2021"/>
      <c r="R35" s="2021"/>
      <c r="S35" s="2021"/>
      <c r="T35" s="2021"/>
      <c r="U35" s="2021"/>
      <c r="V35" s="2033"/>
      <c r="W35" s="2021"/>
      <c r="X35" s="2189"/>
      <c r="Y35" s="2033"/>
      <c r="Z35" s="2033"/>
      <c r="AA35" s="2021"/>
      <c r="AB35" s="2021"/>
      <c r="AC35" s="2187"/>
      <c r="AD35" s="2021"/>
      <c r="AE35" s="2182"/>
      <c r="AF35" s="2182"/>
      <c r="AG35" s="2182"/>
      <c r="AH35" s="2185"/>
      <c r="AI35" s="179"/>
      <c r="AJ35" s="107"/>
      <c r="AK35" s="107"/>
      <c r="AL35" s="180"/>
      <c r="AM35" s="179"/>
      <c r="AN35" s="181"/>
      <c r="AO35" s="181"/>
      <c r="AP35" s="181"/>
      <c r="AQ35" s="181"/>
      <c r="AR35" s="182"/>
      <c r="AS35" s="49"/>
      <c r="AT35" s="165"/>
      <c r="AU35" s="165"/>
      <c r="AV35" s="165"/>
      <c r="AW35" s="165"/>
      <c r="AX35" s="165"/>
      <c r="AY35" s="165"/>
      <c r="AZ35" s="165"/>
      <c r="BA35" s="165"/>
      <c r="BB35" s="165"/>
      <c r="BC35" s="165"/>
      <c r="BD35" s="167"/>
    </row>
    <row r="36" spans="1:56" ht="15" hidden="1" customHeight="1" x14ac:dyDescent="0.25">
      <c r="A36" s="2192"/>
      <c r="B36" s="2195"/>
      <c r="C36" s="2021"/>
      <c r="D36" s="2021"/>
      <c r="E36" s="2021"/>
      <c r="F36" s="2189"/>
      <c r="G36" s="2021"/>
      <c r="H36" s="2176"/>
      <c r="I36" s="2021"/>
      <c r="J36" s="2021"/>
      <c r="K36" s="2033"/>
      <c r="L36" s="2179"/>
      <c r="M36" s="2175"/>
      <c r="N36" s="2173"/>
      <c r="O36" s="2173"/>
      <c r="P36" s="2175"/>
      <c r="Q36" s="2021"/>
      <c r="R36" s="2021"/>
      <c r="S36" s="2021"/>
      <c r="T36" s="2021"/>
      <c r="U36" s="2021"/>
      <c r="V36" s="2033"/>
      <c r="W36" s="2021"/>
      <c r="X36" s="2189"/>
      <c r="Y36" s="2033"/>
      <c r="Z36" s="2033"/>
      <c r="AA36" s="2021"/>
      <c r="AB36" s="2021"/>
      <c r="AC36" s="2187"/>
      <c r="AD36" s="2021"/>
      <c r="AE36" s="2182"/>
      <c r="AF36" s="2182"/>
      <c r="AG36" s="2182"/>
      <c r="AH36" s="2185"/>
      <c r="AI36" s="179"/>
      <c r="AJ36" s="107"/>
      <c r="AK36" s="107"/>
      <c r="AL36" s="180"/>
      <c r="AM36" s="179"/>
      <c r="AN36" s="181"/>
      <c r="AO36" s="181"/>
      <c r="AP36" s="181"/>
      <c r="AQ36" s="181"/>
      <c r="AR36" s="182"/>
      <c r="AS36" s="49"/>
      <c r="AT36" s="165"/>
      <c r="AU36" s="165"/>
      <c r="AV36" s="165"/>
      <c r="AW36" s="165"/>
      <c r="AX36" s="165"/>
      <c r="AY36" s="165"/>
      <c r="AZ36" s="165"/>
      <c r="BA36" s="165"/>
      <c r="BB36" s="165"/>
      <c r="BC36" s="165"/>
      <c r="BD36" s="167"/>
    </row>
    <row r="37" spans="1:56" ht="15" hidden="1" customHeight="1" x14ac:dyDescent="0.25">
      <c r="A37" s="2192"/>
      <c r="B37" s="2195"/>
      <c r="C37" s="2021"/>
      <c r="D37" s="2021"/>
      <c r="E37" s="2021"/>
      <c r="F37" s="2189"/>
      <c r="G37" s="2021"/>
      <c r="H37" s="2176"/>
      <c r="I37" s="2021"/>
      <c r="J37" s="2021"/>
      <c r="K37" s="2033"/>
      <c r="L37" s="2179"/>
      <c r="M37" s="2175"/>
      <c r="N37" s="2173"/>
      <c r="O37" s="2173"/>
      <c r="P37" s="2175"/>
      <c r="Q37" s="2021"/>
      <c r="R37" s="2021"/>
      <c r="S37" s="2021"/>
      <c r="T37" s="2021"/>
      <c r="U37" s="2021"/>
      <c r="V37" s="2033"/>
      <c r="W37" s="2021"/>
      <c r="X37" s="2189"/>
      <c r="Y37" s="2033"/>
      <c r="Z37" s="2033"/>
      <c r="AA37" s="2021"/>
      <c r="AB37" s="2021"/>
      <c r="AC37" s="2187"/>
      <c r="AD37" s="2021"/>
      <c r="AE37" s="2182"/>
      <c r="AF37" s="2182"/>
      <c r="AG37" s="2182"/>
      <c r="AH37" s="2185"/>
      <c r="AI37" s="179"/>
      <c r="AJ37" s="107"/>
      <c r="AK37" s="107"/>
      <c r="AL37" s="180"/>
      <c r="AM37" s="179"/>
      <c r="AN37" s="181"/>
      <c r="AO37" s="181"/>
      <c r="AP37" s="181"/>
      <c r="AQ37" s="181"/>
      <c r="AR37" s="182"/>
      <c r="AS37" s="49"/>
      <c r="AT37" s="165"/>
      <c r="AU37" s="165"/>
      <c r="AV37" s="165"/>
      <c r="AW37" s="165"/>
      <c r="AX37" s="165"/>
      <c r="AY37" s="165"/>
      <c r="AZ37" s="165"/>
      <c r="BA37" s="165"/>
      <c r="BB37" s="165"/>
      <c r="BC37" s="165"/>
      <c r="BD37" s="167"/>
    </row>
    <row r="38" spans="1:56" ht="15" hidden="1" customHeight="1" x14ac:dyDescent="0.25">
      <c r="A38" s="2192"/>
      <c r="B38" s="2195"/>
      <c r="C38" s="2021"/>
      <c r="D38" s="2021"/>
      <c r="E38" s="2021"/>
      <c r="F38" s="2189"/>
      <c r="G38" s="2021"/>
      <c r="H38" s="2176"/>
      <c r="I38" s="2021"/>
      <c r="J38" s="2021"/>
      <c r="K38" s="2033"/>
      <c r="L38" s="2179"/>
      <c r="M38" s="2175"/>
      <c r="N38" s="2173"/>
      <c r="O38" s="2173"/>
      <c r="P38" s="2175"/>
      <c r="Q38" s="2021"/>
      <c r="R38" s="2021"/>
      <c r="S38" s="2021"/>
      <c r="T38" s="2021"/>
      <c r="U38" s="2021"/>
      <c r="V38" s="2033"/>
      <c r="W38" s="2021"/>
      <c r="X38" s="2189"/>
      <c r="Y38" s="2033"/>
      <c r="Z38" s="2033"/>
      <c r="AA38" s="2021"/>
      <c r="AB38" s="2021"/>
      <c r="AC38" s="2187"/>
      <c r="AD38" s="2021"/>
      <c r="AE38" s="2182"/>
      <c r="AF38" s="2182"/>
      <c r="AG38" s="2182"/>
      <c r="AH38" s="2185"/>
      <c r="AI38" s="179"/>
      <c r="AJ38" s="107"/>
      <c r="AK38" s="107"/>
      <c r="AL38" s="180"/>
      <c r="AM38" s="179"/>
      <c r="AN38" s="181"/>
      <c r="AO38" s="181"/>
      <c r="AP38" s="181"/>
      <c r="AQ38" s="181"/>
      <c r="AR38" s="182"/>
      <c r="AS38" s="49"/>
      <c r="AT38" s="165"/>
      <c r="AU38" s="165"/>
      <c r="AV38" s="165"/>
      <c r="AW38" s="165"/>
      <c r="AX38" s="165"/>
      <c r="AY38" s="165"/>
      <c r="AZ38" s="165"/>
      <c r="BA38" s="165"/>
      <c r="BB38" s="165"/>
      <c r="BC38" s="165"/>
      <c r="BD38" s="167"/>
    </row>
    <row r="39" spans="1:56" ht="15" hidden="1" customHeight="1" x14ac:dyDescent="0.25">
      <c r="A39" s="2192"/>
      <c r="B39" s="2195"/>
      <c r="C39" s="2021"/>
      <c r="D39" s="2021"/>
      <c r="E39" s="2021"/>
      <c r="F39" s="2189"/>
      <c r="G39" s="2021"/>
      <c r="H39" s="2176"/>
      <c r="I39" s="2021"/>
      <c r="J39" s="2021"/>
      <c r="K39" s="2033"/>
      <c r="L39" s="2179"/>
      <c r="M39" s="2175"/>
      <c r="N39" s="2173"/>
      <c r="O39" s="2173"/>
      <c r="P39" s="2175"/>
      <c r="Q39" s="2021"/>
      <c r="R39" s="2021"/>
      <c r="S39" s="2021"/>
      <c r="T39" s="2021"/>
      <c r="U39" s="2021"/>
      <c r="V39" s="2033"/>
      <c r="W39" s="2021"/>
      <c r="X39" s="2189"/>
      <c r="Y39" s="2033"/>
      <c r="Z39" s="2033"/>
      <c r="AA39" s="2021"/>
      <c r="AB39" s="2021"/>
      <c r="AC39" s="2187"/>
      <c r="AD39" s="2021"/>
      <c r="AE39" s="2182"/>
      <c r="AF39" s="2182"/>
      <c r="AG39" s="2182"/>
      <c r="AH39" s="2185"/>
      <c r="AI39" s="179"/>
      <c r="AJ39" s="107"/>
      <c r="AK39" s="107"/>
      <c r="AL39" s="180"/>
      <c r="AM39" s="179"/>
      <c r="AN39" s="181"/>
      <c r="AO39" s="181"/>
      <c r="AP39" s="181"/>
      <c r="AQ39" s="181"/>
      <c r="AR39" s="182"/>
      <c r="AS39" s="49"/>
      <c r="AT39" s="165"/>
      <c r="AU39" s="165"/>
      <c r="AV39" s="165"/>
      <c r="AW39" s="165"/>
      <c r="AX39" s="165"/>
      <c r="AY39" s="165"/>
      <c r="AZ39" s="165"/>
      <c r="BA39" s="165"/>
      <c r="BB39" s="165"/>
      <c r="BC39" s="165"/>
      <c r="BD39" s="167"/>
    </row>
    <row r="40" spans="1:56" ht="15" hidden="1" customHeight="1" x14ac:dyDescent="0.25">
      <c r="A40" s="2192"/>
      <c r="B40" s="2195"/>
      <c r="C40" s="2021"/>
      <c r="D40" s="2021"/>
      <c r="E40" s="2021"/>
      <c r="F40" s="2189"/>
      <c r="G40" s="2021"/>
      <c r="H40" s="2176"/>
      <c r="I40" s="2021"/>
      <c r="J40" s="2021"/>
      <c r="K40" s="2033"/>
      <c r="L40" s="2179"/>
      <c r="M40" s="2175"/>
      <c r="N40" s="2173"/>
      <c r="O40" s="2173"/>
      <c r="P40" s="2175"/>
      <c r="Q40" s="2021"/>
      <c r="R40" s="2021"/>
      <c r="S40" s="2021"/>
      <c r="T40" s="2021"/>
      <c r="U40" s="2021"/>
      <c r="V40" s="2033"/>
      <c r="W40" s="2021"/>
      <c r="X40" s="2189"/>
      <c r="Y40" s="2033"/>
      <c r="Z40" s="2033"/>
      <c r="AA40" s="2021"/>
      <c r="AB40" s="2021"/>
      <c r="AC40" s="2187"/>
      <c r="AD40" s="2021"/>
      <c r="AE40" s="2182"/>
      <c r="AF40" s="2182"/>
      <c r="AG40" s="2182"/>
      <c r="AH40" s="2185"/>
      <c r="AI40" s="179"/>
      <c r="AJ40" s="107"/>
      <c r="AK40" s="107"/>
      <c r="AL40" s="180"/>
      <c r="AM40" s="179"/>
      <c r="AN40" s="181"/>
      <c r="AO40" s="181"/>
      <c r="AP40" s="181"/>
      <c r="AQ40" s="181"/>
      <c r="AR40" s="182"/>
      <c r="AS40" s="49"/>
      <c r="AT40" s="165"/>
      <c r="AU40" s="165"/>
      <c r="AV40" s="165"/>
      <c r="AW40" s="165"/>
      <c r="AX40" s="165"/>
      <c r="AY40" s="165"/>
      <c r="AZ40" s="165"/>
      <c r="BA40" s="165"/>
      <c r="BB40" s="165"/>
      <c r="BC40" s="165"/>
      <c r="BD40" s="167"/>
    </row>
    <row r="41" spans="1:56" ht="15" hidden="1" customHeight="1" x14ac:dyDescent="0.25">
      <c r="A41" s="2192"/>
      <c r="B41" s="2195"/>
      <c r="C41" s="2021"/>
      <c r="D41" s="2021"/>
      <c r="E41" s="2021"/>
      <c r="F41" s="2189"/>
      <c r="G41" s="2021"/>
      <c r="H41" s="2176"/>
      <c r="I41" s="2021"/>
      <c r="J41" s="2021"/>
      <c r="K41" s="2033"/>
      <c r="L41" s="2179"/>
      <c r="M41" s="2175"/>
      <c r="N41" s="2173"/>
      <c r="O41" s="2173"/>
      <c r="P41" s="2175"/>
      <c r="Q41" s="2021"/>
      <c r="R41" s="2021"/>
      <c r="S41" s="2021"/>
      <c r="T41" s="2021"/>
      <c r="U41" s="2021"/>
      <c r="V41" s="2033"/>
      <c r="W41" s="2021"/>
      <c r="X41" s="2189"/>
      <c r="Y41" s="2033"/>
      <c r="Z41" s="2033"/>
      <c r="AA41" s="2021"/>
      <c r="AB41" s="2021"/>
      <c r="AC41" s="2187"/>
      <c r="AD41" s="2021"/>
      <c r="AE41" s="2182"/>
      <c r="AF41" s="2182"/>
      <c r="AG41" s="2182"/>
      <c r="AH41" s="2185"/>
      <c r="AI41" s="179"/>
      <c r="AJ41" s="107"/>
      <c r="AK41" s="107"/>
      <c r="AL41" s="180"/>
      <c r="AM41" s="179"/>
      <c r="AN41" s="181"/>
      <c r="AO41" s="181"/>
      <c r="AP41" s="181"/>
      <c r="AQ41" s="181"/>
      <c r="AR41" s="182"/>
      <c r="AS41" s="49"/>
      <c r="AT41" s="165"/>
      <c r="AU41" s="165"/>
      <c r="AV41" s="165"/>
      <c r="AW41" s="165"/>
      <c r="AX41" s="165"/>
      <c r="AY41" s="165"/>
      <c r="AZ41" s="165"/>
      <c r="BA41" s="165"/>
      <c r="BB41" s="165"/>
      <c r="BC41" s="165"/>
      <c r="BD41" s="167"/>
    </row>
    <row r="42" spans="1:56" ht="15" hidden="1" customHeight="1" x14ac:dyDescent="0.25">
      <c r="A42" s="2192"/>
      <c r="B42" s="2195"/>
      <c r="C42" s="2021"/>
      <c r="D42" s="2021"/>
      <c r="E42" s="2021"/>
      <c r="F42" s="2189"/>
      <c r="G42" s="2021"/>
      <c r="H42" s="2176"/>
      <c r="I42" s="2021"/>
      <c r="J42" s="2021"/>
      <c r="K42" s="2033"/>
      <c r="L42" s="2179"/>
      <c r="M42" s="2175"/>
      <c r="N42" s="2173"/>
      <c r="O42" s="2173"/>
      <c r="P42" s="2175"/>
      <c r="Q42" s="2021"/>
      <c r="R42" s="2021"/>
      <c r="S42" s="2021"/>
      <c r="T42" s="2021"/>
      <c r="U42" s="2021"/>
      <c r="V42" s="2033"/>
      <c r="W42" s="2021"/>
      <c r="X42" s="2189"/>
      <c r="Y42" s="2033"/>
      <c r="Z42" s="2033"/>
      <c r="AA42" s="2021"/>
      <c r="AB42" s="2021"/>
      <c r="AC42" s="2187"/>
      <c r="AD42" s="2021"/>
      <c r="AE42" s="2182"/>
      <c r="AF42" s="2182"/>
      <c r="AG42" s="2182"/>
      <c r="AH42" s="2185"/>
      <c r="AI42" s="179"/>
      <c r="AJ42" s="107"/>
      <c r="AK42" s="107"/>
      <c r="AL42" s="180"/>
      <c r="AM42" s="179"/>
      <c r="AN42" s="181"/>
      <c r="AO42" s="181"/>
      <c r="AP42" s="181"/>
      <c r="AQ42" s="181"/>
      <c r="AR42" s="182"/>
      <c r="AS42" s="49"/>
      <c r="AT42" s="165"/>
      <c r="AU42" s="165"/>
      <c r="AV42" s="165"/>
      <c r="AW42" s="165"/>
      <c r="AX42" s="165"/>
      <c r="AY42" s="165"/>
      <c r="AZ42" s="165"/>
      <c r="BA42" s="165"/>
      <c r="BB42" s="165"/>
      <c r="BC42" s="165"/>
      <c r="BD42" s="167"/>
    </row>
    <row r="43" spans="1:56" ht="15" hidden="1" customHeight="1" x14ac:dyDescent="0.25">
      <c r="A43" s="2192"/>
      <c r="B43" s="2195"/>
      <c r="C43" s="2021"/>
      <c r="D43" s="2021"/>
      <c r="E43" s="2021"/>
      <c r="F43" s="2189"/>
      <c r="G43" s="2021"/>
      <c r="H43" s="2176"/>
      <c r="I43" s="2021"/>
      <c r="J43" s="2021"/>
      <c r="K43" s="2033"/>
      <c r="L43" s="2179"/>
      <c r="M43" s="2175"/>
      <c r="N43" s="2173"/>
      <c r="O43" s="2173"/>
      <c r="P43" s="2175"/>
      <c r="Q43" s="2021"/>
      <c r="R43" s="2021"/>
      <c r="S43" s="2021"/>
      <c r="T43" s="2021"/>
      <c r="U43" s="2021"/>
      <c r="V43" s="2033"/>
      <c r="W43" s="2021"/>
      <c r="X43" s="2189"/>
      <c r="Y43" s="2033"/>
      <c r="Z43" s="2033"/>
      <c r="AA43" s="2021"/>
      <c r="AB43" s="2021"/>
      <c r="AC43" s="2187"/>
      <c r="AD43" s="2021"/>
      <c r="AE43" s="2182"/>
      <c r="AF43" s="2182"/>
      <c r="AG43" s="2182"/>
      <c r="AH43" s="2185"/>
      <c r="AI43" s="179"/>
      <c r="AJ43" s="107"/>
      <c r="AK43" s="107"/>
      <c r="AL43" s="180"/>
      <c r="AM43" s="179"/>
      <c r="AN43" s="181"/>
      <c r="AO43" s="181"/>
      <c r="AP43" s="181"/>
      <c r="AQ43" s="181"/>
      <c r="AR43" s="182"/>
      <c r="AS43" s="49"/>
      <c r="AT43" s="165"/>
      <c r="AU43" s="165"/>
      <c r="AV43" s="165"/>
      <c r="AW43" s="165"/>
      <c r="AX43" s="165"/>
      <c r="AY43" s="165"/>
      <c r="AZ43" s="165"/>
      <c r="BA43" s="165"/>
      <c r="BB43" s="165"/>
      <c r="BC43" s="165"/>
      <c r="BD43" s="167"/>
    </row>
    <row r="44" spans="1:56" ht="15" hidden="1" customHeight="1" x14ac:dyDescent="0.25">
      <c r="A44" s="2192"/>
      <c r="B44" s="2195"/>
      <c r="C44" s="2021"/>
      <c r="D44" s="2021"/>
      <c r="E44" s="2021"/>
      <c r="F44" s="2189"/>
      <c r="G44" s="2021"/>
      <c r="H44" s="2176"/>
      <c r="I44" s="2021"/>
      <c r="J44" s="2021"/>
      <c r="K44" s="2033"/>
      <c r="L44" s="2179"/>
      <c r="M44" s="2175"/>
      <c r="N44" s="2173"/>
      <c r="O44" s="2173"/>
      <c r="P44" s="2175"/>
      <c r="Q44" s="2021"/>
      <c r="R44" s="2021"/>
      <c r="S44" s="2021"/>
      <c r="T44" s="2021"/>
      <c r="U44" s="2021"/>
      <c r="V44" s="2033"/>
      <c r="W44" s="2021"/>
      <c r="X44" s="2189"/>
      <c r="Y44" s="2033"/>
      <c r="Z44" s="2033"/>
      <c r="AA44" s="2021"/>
      <c r="AB44" s="2021"/>
      <c r="AC44" s="2187"/>
      <c r="AD44" s="2021"/>
      <c r="AE44" s="2182"/>
      <c r="AF44" s="2182"/>
      <c r="AG44" s="2182"/>
      <c r="AH44" s="2185"/>
      <c r="AI44" s="179"/>
      <c r="AJ44" s="107"/>
      <c r="AK44" s="107"/>
      <c r="AL44" s="180"/>
      <c r="AM44" s="179"/>
      <c r="AN44" s="181"/>
      <c r="AO44" s="181"/>
      <c r="AP44" s="181"/>
      <c r="AQ44" s="181"/>
      <c r="AR44" s="182"/>
      <c r="AS44" s="49"/>
      <c r="AT44" s="165"/>
      <c r="AU44" s="165"/>
      <c r="AV44" s="165"/>
      <c r="AW44" s="165"/>
      <c r="AX44" s="165"/>
      <c r="AY44" s="165"/>
      <c r="AZ44" s="165"/>
      <c r="BA44" s="165"/>
      <c r="BB44" s="165"/>
      <c r="BC44" s="165"/>
      <c r="BD44" s="167"/>
    </row>
    <row r="45" spans="1:56" ht="15" hidden="1" customHeight="1" x14ac:dyDescent="0.25">
      <c r="A45" s="2192"/>
      <c r="B45" s="2195"/>
      <c r="C45" s="2021"/>
      <c r="D45" s="2021"/>
      <c r="E45" s="2021"/>
      <c r="F45" s="2189"/>
      <c r="G45" s="2021"/>
      <c r="H45" s="2176"/>
      <c r="I45" s="2021"/>
      <c r="J45" s="2021"/>
      <c r="K45" s="2033"/>
      <c r="L45" s="2179"/>
      <c r="M45" s="2175"/>
      <c r="N45" s="2173"/>
      <c r="O45" s="2173"/>
      <c r="P45" s="2175"/>
      <c r="Q45" s="2021"/>
      <c r="R45" s="2021"/>
      <c r="S45" s="2021"/>
      <c r="T45" s="2021"/>
      <c r="U45" s="2021"/>
      <c r="V45" s="2033"/>
      <c r="W45" s="2021"/>
      <c r="X45" s="2189"/>
      <c r="Y45" s="2033"/>
      <c r="Z45" s="2033"/>
      <c r="AA45" s="2021"/>
      <c r="AB45" s="2021"/>
      <c r="AC45" s="2187"/>
      <c r="AD45" s="2021"/>
      <c r="AE45" s="2182"/>
      <c r="AF45" s="2182"/>
      <c r="AG45" s="2182"/>
      <c r="AH45" s="2185"/>
      <c r="AI45" s="179"/>
      <c r="AJ45" s="107"/>
      <c r="AK45" s="107"/>
      <c r="AL45" s="180"/>
      <c r="AM45" s="179"/>
      <c r="AN45" s="181"/>
      <c r="AO45" s="181"/>
      <c r="AP45" s="181"/>
      <c r="AQ45" s="181"/>
      <c r="AR45" s="182"/>
      <c r="AS45" s="49"/>
      <c r="AT45" s="165"/>
      <c r="AU45" s="165"/>
      <c r="AV45" s="165"/>
      <c r="AW45" s="165"/>
      <c r="AX45" s="165"/>
      <c r="AY45" s="165"/>
      <c r="AZ45" s="165"/>
      <c r="BA45" s="165"/>
      <c r="BB45" s="165"/>
      <c r="BC45" s="165"/>
      <c r="BD45" s="167"/>
    </row>
    <row r="46" spans="1:56" ht="15" hidden="1" customHeight="1" x14ac:dyDescent="0.25">
      <c r="A46" s="2192"/>
      <c r="B46" s="2195"/>
      <c r="C46" s="2021"/>
      <c r="D46" s="2021"/>
      <c r="E46" s="2021"/>
      <c r="F46" s="2189"/>
      <c r="G46" s="2021"/>
      <c r="H46" s="2176"/>
      <c r="I46" s="2021"/>
      <c r="J46" s="2021"/>
      <c r="K46" s="2033"/>
      <c r="L46" s="2179"/>
      <c r="M46" s="2175"/>
      <c r="N46" s="2173"/>
      <c r="O46" s="2173"/>
      <c r="P46" s="2175"/>
      <c r="Q46" s="2021"/>
      <c r="R46" s="2021"/>
      <c r="S46" s="2021"/>
      <c r="T46" s="2021"/>
      <c r="U46" s="2021"/>
      <c r="V46" s="2033"/>
      <c r="W46" s="2021"/>
      <c r="X46" s="2189"/>
      <c r="Y46" s="2033"/>
      <c r="Z46" s="2033"/>
      <c r="AA46" s="2021"/>
      <c r="AB46" s="2021"/>
      <c r="AC46" s="2187"/>
      <c r="AD46" s="2021"/>
      <c r="AE46" s="2182"/>
      <c r="AF46" s="2182"/>
      <c r="AG46" s="2182"/>
      <c r="AH46" s="2185"/>
      <c r="AI46" s="179"/>
      <c r="AJ46" s="107"/>
      <c r="AK46" s="107"/>
      <c r="AL46" s="180"/>
      <c r="AM46" s="179"/>
      <c r="AN46" s="181"/>
      <c r="AO46" s="181"/>
      <c r="AP46" s="181"/>
      <c r="AQ46" s="181"/>
      <c r="AR46" s="182"/>
      <c r="AS46" s="49"/>
      <c r="AT46" s="165"/>
      <c r="AU46" s="165"/>
      <c r="AV46" s="165"/>
      <c r="AW46" s="165"/>
      <c r="AX46" s="165"/>
      <c r="AY46" s="165"/>
      <c r="AZ46" s="165"/>
      <c r="BA46" s="165"/>
      <c r="BB46" s="165"/>
      <c r="BC46" s="165"/>
      <c r="BD46" s="167"/>
    </row>
    <row r="47" spans="1:56" ht="15" hidden="1" customHeight="1" x14ac:dyDescent="0.25">
      <c r="A47" s="2192"/>
      <c r="B47" s="2195"/>
      <c r="C47" s="2021"/>
      <c r="D47" s="2021"/>
      <c r="E47" s="2021"/>
      <c r="F47" s="2189"/>
      <c r="G47" s="2021"/>
      <c r="H47" s="2176"/>
      <c r="I47" s="2021"/>
      <c r="J47" s="2021"/>
      <c r="K47" s="2033"/>
      <c r="L47" s="2179"/>
      <c r="M47" s="2175"/>
      <c r="N47" s="2173"/>
      <c r="O47" s="2173"/>
      <c r="P47" s="2175"/>
      <c r="Q47" s="2021"/>
      <c r="R47" s="2021"/>
      <c r="S47" s="2021"/>
      <c r="T47" s="2021"/>
      <c r="U47" s="2021"/>
      <c r="V47" s="2033"/>
      <c r="W47" s="2021"/>
      <c r="X47" s="2189"/>
      <c r="Y47" s="2033"/>
      <c r="Z47" s="2033"/>
      <c r="AA47" s="2021"/>
      <c r="AB47" s="2021"/>
      <c r="AC47" s="2187"/>
      <c r="AD47" s="2021"/>
      <c r="AE47" s="2182"/>
      <c r="AF47" s="2182"/>
      <c r="AG47" s="2182"/>
      <c r="AH47" s="2185"/>
      <c r="AI47" s="179"/>
      <c r="AJ47" s="107"/>
      <c r="AK47" s="107"/>
      <c r="AL47" s="180"/>
      <c r="AM47" s="179"/>
      <c r="AN47" s="181"/>
      <c r="AO47" s="181"/>
      <c r="AP47" s="181"/>
      <c r="AQ47" s="181"/>
      <c r="AR47" s="182"/>
      <c r="AS47" s="49"/>
      <c r="AT47" s="165"/>
      <c r="AU47" s="165"/>
      <c r="AV47" s="165"/>
      <c r="AW47" s="165"/>
      <c r="AX47" s="165"/>
      <c r="AY47" s="165"/>
      <c r="AZ47" s="165"/>
      <c r="BA47" s="165"/>
      <c r="BB47" s="165"/>
      <c r="BC47" s="165"/>
      <c r="BD47" s="167"/>
    </row>
    <row r="48" spans="1:56" ht="15" hidden="1" customHeight="1" x14ac:dyDescent="0.25">
      <c r="A48" s="2192"/>
      <c r="B48" s="2195"/>
      <c r="C48" s="2021"/>
      <c r="D48" s="2021"/>
      <c r="E48" s="2021"/>
      <c r="F48" s="2189"/>
      <c r="G48" s="2021"/>
      <c r="H48" s="2176"/>
      <c r="I48" s="2021"/>
      <c r="J48" s="2021"/>
      <c r="K48" s="2033"/>
      <c r="L48" s="2179"/>
      <c r="M48" s="2175"/>
      <c r="N48" s="2173"/>
      <c r="O48" s="2173"/>
      <c r="P48" s="2175"/>
      <c r="Q48" s="2021"/>
      <c r="R48" s="2021"/>
      <c r="S48" s="2021"/>
      <c r="T48" s="2021"/>
      <c r="U48" s="2021"/>
      <c r="V48" s="2033"/>
      <c r="W48" s="2021"/>
      <c r="X48" s="2189"/>
      <c r="Y48" s="2033"/>
      <c r="Z48" s="2033"/>
      <c r="AA48" s="2021"/>
      <c r="AB48" s="2021"/>
      <c r="AC48" s="2187"/>
      <c r="AD48" s="2021"/>
      <c r="AE48" s="2182"/>
      <c r="AF48" s="2182"/>
      <c r="AG48" s="2182"/>
      <c r="AH48" s="2185"/>
      <c r="AI48" s="179"/>
      <c r="AJ48" s="107"/>
      <c r="AK48" s="107"/>
      <c r="AL48" s="180"/>
      <c r="AM48" s="179"/>
      <c r="AN48" s="181"/>
      <c r="AO48" s="181"/>
      <c r="AP48" s="181"/>
      <c r="AQ48" s="181"/>
      <c r="AR48" s="182"/>
      <c r="AS48" s="49"/>
      <c r="AT48" s="165"/>
      <c r="AU48" s="165"/>
      <c r="AV48" s="165"/>
      <c r="AW48" s="165"/>
      <c r="AX48" s="165"/>
      <c r="AY48" s="165"/>
      <c r="AZ48" s="165"/>
      <c r="BA48" s="165"/>
      <c r="BB48" s="165"/>
      <c r="BC48" s="165"/>
      <c r="BD48" s="167"/>
    </row>
    <row r="49" spans="1:56" ht="15" hidden="1" customHeight="1" x14ac:dyDescent="0.25">
      <c r="A49" s="2192"/>
      <c r="B49" s="2195"/>
      <c r="C49" s="2021"/>
      <c r="D49" s="2021"/>
      <c r="E49" s="2021"/>
      <c r="F49" s="2189"/>
      <c r="G49" s="2021"/>
      <c r="H49" s="2176"/>
      <c r="I49" s="2021"/>
      <c r="J49" s="2021"/>
      <c r="K49" s="2033"/>
      <c r="L49" s="2179"/>
      <c r="M49" s="2175"/>
      <c r="N49" s="2173"/>
      <c r="O49" s="2173"/>
      <c r="P49" s="2175"/>
      <c r="Q49" s="2021"/>
      <c r="R49" s="2021"/>
      <c r="S49" s="2021"/>
      <c r="T49" s="2021"/>
      <c r="U49" s="2021"/>
      <c r="V49" s="2033"/>
      <c r="W49" s="2021"/>
      <c r="X49" s="2189"/>
      <c r="Y49" s="2033"/>
      <c r="Z49" s="2033"/>
      <c r="AA49" s="2021"/>
      <c r="AB49" s="2021"/>
      <c r="AC49" s="2187"/>
      <c r="AD49" s="2021"/>
      <c r="AE49" s="2182"/>
      <c r="AF49" s="2182"/>
      <c r="AG49" s="2182"/>
      <c r="AH49" s="2185"/>
      <c r="AI49" s="179"/>
      <c r="AJ49" s="107"/>
      <c r="AK49" s="107"/>
      <c r="AL49" s="180"/>
      <c r="AM49" s="179"/>
      <c r="AN49" s="181"/>
      <c r="AO49" s="181"/>
      <c r="AP49" s="181"/>
      <c r="AQ49" s="181"/>
      <c r="AR49" s="182"/>
      <c r="AS49" s="49"/>
      <c r="AT49" s="165"/>
      <c r="AU49" s="165"/>
      <c r="AV49" s="165"/>
      <c r="AW49" s="165"/>
      <c r="AX49" s="165"/>
      <c r="AY49" s="165"/>
      <c r="AZ49" s="165"/>
      <c r="BA49" s="165"/>
      <c r="BB49" s="165"/>
      <c r="BC49" s="165"/>
      <c r="BD49" s="167"/>
    </row>
    <row r="50" spans="1:56" ht="15" hidden="1" customHeight="1" x14ac:dyDescent="0.25">
      <c r="A50" s="2192"/>
      <c r="B50" s="2195"/>
      <c r="C50" s="2021"/>
      <c r="D50" s="2021"/>
      <c r="E50" s="2021"/>
      <c r="F50" s="2189"/>
      <c r="G50" s="2021"/>
      <c r="H50" s="2176"/>
      <c r="I50" s="2021"/>
      <c r="J50" s="2021"/>
      <c r="K50" s="2033"/>
      <c r="L50" s="2179"/>
      <c r="M50" s="2175"/>
      <c r="N50" s="2173"/>
      <c r="O50" s="2173"/>
      <c r="P50" s="2175"/>
      <c r="Q50" s="2021"/>
      <c r="R50" s="2021"/>
      <c r="S50" s="2021"/>
      <c r="T50" s="2021"/>
      <c r="U50" s="2021"/>
      <c r="V50" s="2033"/>
      <c r="W50" s="2021"/>
      <c r="X50" s="2189"/>
      <c r="Y50" s="2033"/>
      <c r="Z50" s="2033"/>
      <c r="AA50" s="2021"/>
      <c r="AB50" s="2021"/>
      <c r="AC50" s="2187"/>
      <c r="AD50" s="2021"/>
      <c r="AE50" s="2182"/>
      <c r="AF50" s="2182"/>
      <c r="AG50" s="2182"/>
      <c r="AH50" s="2185"/>
      <c r="AI50" s="179"/>
      <c r="AJ50" s="107"/>
      <c r="AK50" s="107"/>
      <c r="AL50" s="180"/>
      <c r="AM50" s="179"/>
      <c r="AN50" s="181"/>
      <c r="AO50" s="181"/>
      <c r="AP50" s="181"/>
      <c r="AQ50" s="181"/>
      <c r="AR50" s="182"/>
      <c r="AS50" s="49"/>
      <c r="AT50" s="165"/>
      <c r="AU50" s="165"/>
      <c r="AV50" s="165"/>
      <c r="AW50" s="165"/>
      <c r="AX50" s="165"/>
      <c r="AY50" s="165"/>
      <c r="AZ50" s="165"/>
      <c r="BA50" s="165"/>
      <c r="BB50" s="165"/>
      <c r="BC50" s="165"/>
      <c r="BD50" s="167"/>
    </row>
    <row r="51" spans="1:56" ht="15" hidden="1" customHeight="1" x14ac:dyDescent="0.25">
      <c r="A51" s="2192"/>
      <c r="B51" s="2195"/>
      <c r="C51" s="2021"/>
      <c r="D51" s="2021"/>
      <c r="E51" s="2021"/>
      <c r="F51" s="2189"/>
      <c r="G51" s="2021"/>
      <c r="H51" s="2176"/>
      <c r="I51" s="2021"/>
      <c r="J51" s="2021"/>
      <c r="K51" s="2033"/>
      <c r="L51" s="2179"/>
      <c r="M51" s="2175"/>
      <c r="N51" s="2173"/>
      <c r="O51" s="2173"/>
      <c r="P51" s="2175"/>
      <c r="Q51" s="2021"/>
      <c r="R51" s="2021"/>
      <c r="S51" s="2021"/>
      <c r="T51" s="2021"/>
      <c r="U51" s="2021"/>
      <c r="V51" s="2033"/>
      <c r="W51" s="2021"/>
      <c r="X51" s="2189"/>
      <c r="Y51" s="2033"/>
      <c r="Z51" s="2033"/>
      <c r="AA51" s="2021"/>
      <c r="AB51" s="2021"/>
      <c r="AC51" s="2187"/>
      <c r="AD51" s="2021"/>
      <c r="AE51" s="2182"/>
      <c r="AF51" s="2182"/>
      <c r="AG51" s="2182"/>
      <c r="AH51" s="2185"/>
      <c r="AI51" s="179"/>
      <c r="AJ51" s="107"/>
      <c r="AK51" s="107"/>
      <c r="AL51" s="180"/>
      <c r="AM51" s="179"/>
      <c r="AN51" s="181"/>
      <c r="AO51" s="181"/>
      <c r="AP51" s="181"/>
      <c r="AQ51" s="181"/>
      <c r="AR51" s="182"/>
      <c r="AS51" s="49"/>
      <c r="AT51" s="165"/>
      <c r="AU51" s="165"/>
      <c r="AV51" s="165"/>
      <c r="AW51" s="165"/>
      <c r="AX51" s="165"/>
      <c r="AY51" s="165"/>
      <c r="AZ51" s="165"/>
      <c r="BA51" s="165"/>
      <c r="BB51" s="165"/>
      <c r="BC51" s="165"/>
      <c r="BD51" s="167"/>
    </row>
    <row r="52" spans="1:56" x14ac:dyDescent="0.25">
      <c r="A52" s="2192"/>
      <c r="B52" s="2195"/>
      <c r="C52" s="2021"/>
      <c r="D52" s="2021"/>
      <c r="E52" s="2021"/>
      <c r="F52" s="2189"/>
      <c r="G52" s="2021"/>
      <c r="H52" s="2176"/>
      <c r="I52" s="2021"/>
      <c r="J52" s="2021"/>
      <c r="K52" s="2033"/>
      <c r="L52" s="2179"/>
      <c r="M52" s="2175"/>
      <c r="N52" s="2173"/>
      <c r="O52" s="2173"/>
      <c r="P52" s="2175"/>
      <c r="Q52" s="2021"/>
      <c r="R52" s="2021"/>
      <c r="S52" s="2021"/>
      <c r="T52" s="2021"/>
      <c r="U52" s="2021"/>
      <c r="V52" s="2033"/>
      <c r="W52" s="2021"/>
      <c r="X52" s="2189"/>
      <c r="Y52" s="2033"/>
      <c r="Z52" s="2033"/>
      <c r="AA52" s="2021"/>
      <c r="AB52" s="2021"/>
      <c r="AC52" s="2187"/>
      <c r="AD52" s="2021"/>
      <c r="AE52" s="2182"/>
      <c r="AF52" s="2182"/>
      <c r="AG52" s="2182"/>
      <c r="AH52" s="2185"/>
      <c r="AI52" s="179"/>
      <c r="AJ52" s="107"/>
      <c r="AK52" s="107"/>
      <c r="AL52" s="180"/>
      <c r="AM52" s="179"/>
      <c r="AN52" s="181"/>
      <c r="AO52" s="181"/>
      <c r="AP52" s="181"/>
      <c r="AQ52" s="181"/>
      <c r="AR52" s="182"/>
      <c r="AS52" s="49"/>
      <c r="AT52" s="165"/>
      <c r="AU52" s="165"/>
      <c r="AV52" s="165"/>
      <c r="AW52" s="165"/>
      <c r="AX52" s="165"/>
      <c r="AY52" s="165"/>
      <c r="AZ52" s="165"/>
      <c r="BA52" s="165"/>
      <c r="BB52" s="165"/>
      <c r="BC52" s="165"/>
      <c r="BD52" s="167"/>
    </row>
    <row r="53" spans="1:56" x14ac:dyDescent="0.25">
      <c r="A53" s="2192"/>
      <c r="B53" s="2195"/>
      <c r="C53" s="2021"/>
      <c r="D53" s="2021"/>
      <c r="E53" s="2021"/>
      <c r="F53" s="2189"/>
      <c r="G53" s="2021"/>
      <c r="H53" s="2176"/>
      <c r="I53" s="2021"/>
      <c r="J53" s="2021"/>
      <c r="K53" s="2033"/>
      <c r="L53" s="2179"/>
      <c r="M53" s="2175"/>
      <c r="N53" s="2173"/>
      <c r="O53" s="2173"/>
      <c r="P53" s="2175"/>
      <c r="Q53" s="2021"/>
      <c r="R53" s="2021"/>
      <c r="S53" s="2021"/>
      <c r="T53" s="2021"/>
      <c r="U53" s="1986"/>
      <c r="V53" s="1997"/>
      <c r="W53" s="1986"/>
      <c r="X53" s="2190"/>
      <c r="Y53" s="1997"/>
      <c r="Z53" s="1997"/>
      <c r="AA53" s="1986"/>
      <c r="AB53" s="1986"/>
      <c r="AC53" s="2003"/>
      <c r="AD53" s="1986"/>
      <c r="AE53" s="2183"/>
      <c r="AF53" s="2183"/>
      <c r="AG53" s="2183"/>
      <c r="AH53" s="2186"/>
      <c r="AI53" s="179"/>
      <c r="AJ53" s="107"/>
      <c r="AK53" s="107"/>
      <c r="AL53" s="180"/>
      <c r="AM53" s="179"/>
      <c r="AN53" s="181"/>
      <c r="AO53" s="181"/>
      <c r="AP53" s="181"/>
      <c r="AQ53" s="181"/>
      <c r="AR53" s="182"/>
      <c r="AS53" s="49"/>
      <c r="AT53" s="165"/>
      <c r="AU53" s="165"/>
      <c r="AV53" s="165"/>
      <c r="AW53" s="165"/>
      <c r="AX53" s="165"/>
      <c r="AY53" s="165"/>
      <c r="AZ53" s="165"/>
      <c r="BA53" s="165"/>
      <c r="BB53" s="165"/>
      <c r="BC53" s="165"/>
      <c r="BD53" s="167"/>
    </row>
    <row r="54" spans="1:56" ht="25.5" x14ac:dyDescent="0.25">
      <c r="A54" s="2192"/>
      <c r="B54" s="2195"/>
      <c r="C54" s="2021"/>
      <c r="D54" s="2021"/>
      <c r="E54" s="2021"/>
      <c r="F54" s="2189"/>
      <c r="G54" s="2021"/>
      <c r="H54" s="2176"/>
      <c r="I54" s="2021"/>
      <c r="J54" s="2021"/>
      <c r="K54" s="2033"/>
      <c r="L54" s="2179"/>
      <c r="M54" s="2175"/>
      <c r="N54" s="2173"/>
      <c r="O54" s="2173"/>
      <c r="P54" s="2175"/>
      <c r="Q54" s="2021"/>
      <c r="R54" s="2021"/>
      <c r="S54" s="2021"/>
      <c r="T54" s="2021"/>
      <c r="U54" s="37" t="s">
        <v>1227</v>
      </c>
      <c r="V54" s="45">
        <v>41116</v>
      </c>
      <c r="W54" s="37"/>
      <c r="X54" s="379" t="s">
        <v>1243</v>
      </c>
      <c r="Y54" s="45">
        <v>41117</v>
      </c>
      <c r="Z54" s="45">
        <v>41301</v>
      </c>
      <c r="AA54" s="37"/>
      <c r="AB54" s="37"/>
      <c r="AC54" s="37"/>
      <c r="AD54" s="37"/>
      <c r="AE54" s="377">
        <f t="shared" si="0"/>
        <v>0</v>
      </c>
      <c r="AF54" s="339"/>
      <c r="AG54" s="339"/>
      <c r="AH54" s="378">
        <f t="shared" si="1"/>
        <v>0</v>
      </c>
      <c r="AI54" s="179"/>
      <c r="AJ54" s="107"/>
      <c r="AK54" s="107"/>
      <c r="AL54" s="180"/>
      <c r="AM54" s="179"/>
      <c r="AN54" s="181"/>
      <c r="AO54" s="181"/>
      <c r="AP54" s="181"/>
      <c r="AQ54" s="181"/>
      <c r="AR54" s="182"/>
      <c r="AS54" s="49"/>
      <c r="AT54" s="165"/>
      <c r="AU54" s="165"/>
      <c r="AV54" s="165"/>
      <c r="AW54" s="165"/>
      <c r="AX54" s="165"/>
      <c r="AY54" s="165"/>
      <c r="AZ54" s="165"/>
      <c r="BA54" s="165"/>
      <c r="BB54" s="165"/>
      <c r="BC54" s="165"/>
      <c r="BD54" s="167"/>
    </row>
    <row r="55" spans="1:56" ht="63.75" x14ac:dyDescent="0.25">
      <c r="A55" s="2192"/>
      <c r="B55" s="2195"/>
      <c r="C55" s="2021"/>
      <c r="D55" s="2021"/>
      <c r="E55" s="2021"/>
      <c r="F55" s="2189"/>
      <c r="G55" s="2021"/>
      <c r="H55" s="2176"/>
      <c r="I55" s="2021"/>
      <c r="J55" s="2021"/>
      <c r="K55" s="2033"/>
      <c r="L55" s="2179"/>
      <c r="M55" s="2175"/>
      <c r="N55" s="2173"/>
      <c r="O55" s="2173"/>
      <c r="P55" s="2175"/>
      <c r="Q55" s="2021"/>
      <c r="R55" s="2021"/>
      <c r="S55" s="2021"/>
      <c r="T55" s="2021"/>
      <c r="U55" s="37" t="s">
        <v>1228</v>
      </c>
      <c r="V55" s="45">
        <v>41298</v>
      </c>
      <c r="W55" s="46">
        <v>10978</v>
      </c>
      <c r="X55" s="379" t="s">
        <v>1244</v>
      </c>
      <c r="Y55" s="45">
        <v>41301</v>
      </c>
      <c r="Z55" s="45">
        <v>41481</v>
      </c>
      <c r="AA55" s="70" t="s">
        <v>1245</v>
      </c>
      <c r="AB55" s="37"/>
      <c r="AC55" s="37">
        <f>251142.19+20034.55</f>
        <v>271176.74</v>
      </c>
      <c r="AD55" s="37"/>
      <c r="AE55" s="377">
        <f t="shared" si="0"/>
        <v>271176.74</v>
      </c>
      <c r="AF55" s="339">
        <v>160000</v>
      </c>
      <c r="AG55" s="339"/>
      <c r="AH55" s="378">
        <f t="shared" si="1"/>
        <v>160000</v>
      </c>
      <c r="AI55" s="179"/>
      <c r="AJ55" s="107"/>
      <c r="AK55" s="107"/>
      <c r="AL55" s="180"/>
      <c r="AM55" s="179"/>
      <c r="AN55" s="181"/>
      <c r="AO55" s="181"/>
      <c r="AP55" s="181"/>
      <c r="AQ55" s="181"/>
      <c r="AR55" s="182"/>
      <c r="AS55" s="49"/>
      <c r="AT55" s="165"/>
      <c r="AU55" s="165"/>
      <c r="AV55" s="165"/>
      <c r="AW55" s="165"/>
      <c r="AX55" s="165"/>
      <c r="AY55" s="165"/>
      <c r="AZ55" s="165"/>
      <c r="BA55" s="165"/>
      <c r="BB55" s="165"/>
      <c r="BC55" s="165"/>
      <c r="BD55" s="167"/>
    </row>
    <row r="56" spans="1:56" ht="63.75" x14ac:dyDescent="0.25">
      <c r="A56" s="2192"/>
      <c r="B56" s="2195"/>
      <c r="C56" s="2021"/>
      <c r="D56" s="2021"/>
      <c r="E56" s="2021"/>
      <c r="F56" s="2189"/>
      <c r="G56" s="2021"/>
      <c r="H56" s="2176"/>
      <c r="I56" s="2021"/>
      <c r="J56" s="2021"/>
      <c r="K56" s="2033"/>
      <c r="L56" s="2179"/>
      <c r="M56" s="2175"/>
      <c r="N56" s="2173"/>
      <c r="O56" s="2173"/>
      <c r="P56" s="2175"/>
      <c r="Q56" s="2021"/>
      <c r="R56" s="2021"/>
      <c r="S56" s="2021"/>
      <c r="T56" s="2021"/>
      <c r="U56" s="37" t="s">
        <v>1246</v>
      </c>
      <c r="V56" s="45">
        <v>41480</v>
      </c>
      <c r="W56" s="46">
        <v>11099</v>
      </c>
      <c r="X56" s="379" t="s">
        <v>1247</v>
      </c>
      <c r="Y56" s="45">
        <v>41846</v>
      </c>
      <c r="Z56" s="45">
        <v>41664</v>
      </c>
      <c r="AA56" s="37" t="s">
        <v>1248</v>
      </c>
      <c r="AB56" s="37"/>
      <c r="AC56" s="48">
        <f>243520.74+136446.18</f>
        <v>379966.92</v>
      </c>
      <c r="AD56" s="37"/>
      <c r="AE56" s="377">
        <f t="shared" si="0"/>
        <v>379966.92</v>
      </c>
      <c r="AF56" s="339">
        <v>243520.74</v>
      </c>
      <c r="AG56" s="339"/>
      <c r="AH56" s="378">
        <f t="shared" si="1"/>
        <v>243520.74</v>
      </c>
      <c r="AI56" s="179"/>
      <c r="AJ56" s="107"/>
      <c r="AK56" s="107"/>
      <c r="AL56" s="180"/>
      <c r="AM56" s="179"/>
      <c r="AN56" s="181"/>
      <c r="AO56" s="181"/>
      <c r="AP56" s="181"/>
      <c r="AQ56" s="181"/>
      <c r="AR56" s="182"/>
      <c r="AS56" s="49"/>
      <c r="AT56" s="165"/>
      <c r="AU56" s="165"/>
      <c r="AV56" s="165"/>
      <c r="AW56" s="165"/>
      <c r="AX56" s="165"/>
      <c r="AY56" s="165"/>
      <c r="AZ56" s="165"/>
      <c r="BA56" s="165"/>
      <c r="BB56" s="165"/>
      <c r="BC56" s="165"/>
      <c r="BD56" s="167"/>
    </row>
    <row r="57" spans="1:56" x14ac:dyDescent="0.25">
      <c r="A57" s="2192"/>
      <c r="B57" s="2195"/>
      <c r="C57" s="2021"/>
      <c r="D57" s="2021"/>
      <c r="E57" s="2021"/>
      <c r="F57" s="2189"/>
      <c r="G57" s="2021"/>
      <c r="H57" s="2176"/>
      <c r="I57" s="2021"/>
      <c r="J57" s="2021"/>
      <c r="K57" s="2033"/>
      <c r="L57" s="2179"/>
      <c r="M57" s="2175"/>
      <c r="N57" s="2173"/>
      <c r="O57" s="2173"/>
      <c r="P57" s="2175"/>
      <c r="Q57" s="2021"/>
      <c r="R57" s="2021"/>
      <c r="S57" s="2021"/>
      <c r="T57" s="2021"/>
      <c r="U57" s="37" t="s">
        <v>1249</v>
      </c>
      <c r="V57" s="45">
        <v>41666</v>
      </c>
      <c r="W57" s="46">
        <v>11231</v>
      </c>
      <c r="X57" s="379" t="s">
        <v>914</v>
      </c>
      <c r="Y57" s="45">
        <v>41666</v>
      </c>
      <c r="Z57" s="45">
        <v>41756</v>
      </c>
      <c r="AA57" s="37"/>
      <c r="AB57" s="37"/>
      <c r="AC57" s="37"/>
      <c r="AD57" s="37"/>
      <c r="AE57" s="377">
        <f t="shared" si="0"/>
        <v>0</v>
      </c>
      <c r="AF57" s="339"/>
      <c r="AG57" s="339"/>
      <c r="AH57" s="378">
        <f t="shared" si="1"/>
        <v>0</v>
      </c>
      <c r="AI57" s="179"/>
      <c r="AJ57" s="107"/>
      <c r="AK57" s="107"/>
      <c r="AL57" s="180"/>
      <c r="AM57" s="179"/>
      <c r="AN57" s="181"/>
      <c r="AO57" s="181"/>
      <c r="AP57" s="181"/>
      <c r="AQ57" s="181"/>
      <c r="AR57" s="182"/>
      <c r="AS57" s="49"/>
      <c r="AT57" s="165"/>
      <c r="AU57" s="165"/>
      <c r="AV57" s="165"/>
      <c r="AW57" s="165"/>
      <c r="AX57" s="165"/>
      <c r="AY57" s="165"/>
      <c r="AZ57" s="165"/>
      <c r="BA57" s="165"/>
      <c r="BB57" s="165"/>
      <c r="BC57" s="165"/>
      <c r="BD57" s="167"/>
    </row>
    <row r="58" spans="1:56" ht="63.75" x14ac:dyDescent="0.25">
      <c r="A58" s="2192"/>
      <c r="B58" s="2195"/>
      <c r="C58" s="2021"/>
      <c r="D58" s="2021"/>
      <c r="E58" s="2021"/>
      <c r="F58" s="2189"/>
      <c r="G58" s="2021"/>
      <c r="H58" s="2176"/>
      <c r="I58" s="2021"/>
      <c r="J58" s="2021"/>
      <c r="K58" s="2033"/>
      <c r="L58" s="2179"/>
      <c r="M58" s="2175"/>
      <c r="N58" s="2173"/>
      <c r="O58" s="2173"/>
      <c r="P58" s="2175"/>
      <c r="Q58" s="2021"/>
      <c r="R58" s="2021"/>
      <c r="S58" s="2021"/>
      <c r="T58" s="2021"/>
      <c r="U58" s="37" t="s">
        <v>1250</v>
      </c>
      <c r="V58" s="45">
        <v>41674</v>
      </c>
      <c r="W58" s="46">
        <v>11237</v>
      </c>
      <c r="X58" s="379" t="s">
        <v>1251</v>
      </c>
      <c r="Y58" s="45"/>
      <c r="Z58" s="37"/>
      <c r="AA58" s="37"/>
      <c r="AB58" s="37"/>
      <c r="AC58" s="37">
        <v>616121.64</v>
      </c>
      <c r="AD58" s="37"/>
      <c r="AE58" s="377">
        <f t="shared" si="0"/>
        <v>616121.64</v>
      </c>
      <c r="AF58" s="339">
        <v>0</v>
      </c>
      <c r="AG58" s="339"/>
      <c r="AH58" s="378">
        <f t="shared" si="1"/>
        <v>0</v>
      </c>
      <c r="AI58" s="179"/>
      <c r="AJ58" s="107"/>
      <c r="AK58" s="107"/>
      <c r="AL58" s="180"/>
      <c r="AM58" s="179"/>
      <c r="AN58" s="181"/>
      <c r="AO58" s="181"/>
      <c r="AP58" s="181"/>
      <c r="AQ58" s="181"/>
      <c r="AR58" s="182"/>
      <c r="AS58" s="49"/>
      <c r="AT58" s="165"/>
      <c r="AU58" s="165"/>
      <c r="AV58" s="165"/>
      <c r="AW58" s="165"/>
      <c r="AX58" s="165"/>
      <c r="AY58" s="165"/>
      <c r="AZ58" s="165"/>
      <c r="BA58" s="165"/>
      <c r="BB58" s="165"/>
      <c r="BC58" s="165"/>
      <c r="BD58" s="167"/>
    </row>
    <row r="59" spans="1:56" x14ac:dyDescent="0.25">
      <c r="A59" s="2192"/>
      <c r="B59" s="2195"/>
      <c r="C59" s="2021"/>
      <c r="D59" s="2021"/>
      <c r="E59" s="2021"/>
      <c r="F59" s="2189"/>
      <c r="G59" s="2021"/>
      <c r="H59" s="2176"/>
      <c r="I59" s="2021"/>
      <c r="J59" s="2021"/>
      <c r="K59" s="2033"/>
      <c r="L59" s="2179"/>
      <c r="M59" s="2175"/>
      <c r="N59" s="2173"/>
      <c r="O59" s="2173"/>
      <c r="P59" s="2175"/>
      <c r="Q59" s="2021"/>
      <c r="R59" s="2021"/>
      <c r="S59" s="2021"/>
      <c r="T59" s="2021"/>
      <c r="U59" s="37" t="s">
        <v>1252</v>
      </c>
      <c r="V59" s="45">
        <v>41754</v>
      </c>
      <c r="W59" s="46">
        <v>11294</v>
      </c>
      <c r="X59" s="379" t="s">
        <v>914</v>
      </c>
      <c r="Y59" s="45">
        <v>41754</v>
      </c>
      <c r="Z59" s="45">
        <v>41843</v>
      </c>
      <c r="AA59" s="37"/>
      <c r="AB59" s="37"/>
      <c r="AC59" s="37"/>
      <c r="AD59" s="37"/>
      <c r="AE59" s="377">
        <f t="shared" si="0"/>
        <v>0</v>
      </c>
      <c r="AF59" s="339"/>
      <c r="AG59" s="339"/>
      <c r="AH59" s="378">
        <f t="shared" si="1"/>
        <v>0</v>
      </c>
      <c r="AI59" s="179"/>
      <c r="AJ59" s="107"/>
      <c r="AK59" s="107"/>
      <c r="AL59" s="180"/>
      <c r="AM59" s="179"/>
      <c r="AN59" s="181"/>
      <c r="AO59" s="181"/>
      <c r="AP59" s="181"/>
      <c r="AQ59" s="181"/>
      <c r="AR59" s="182"/>
      <c r="AS59" s="49"/>
      <c r="AT59" s="165"/>
      <c r="AU59" s="165"/>
      <c r="AV59" s="165"/>
      <c r="AW59" s="165"/>
      <c r="AX59" s="165"/>
      <c r="AY59" s="165"/>
      <c r="AZ59" s="165"/>
      <c r="BA59" s="165"/>
      <c r="BB59" s="165"/>
      <c r="BC59" s="165"/>
      <c r="BD59" s="167"/>
    </row>
    <row r="60" spans="1:56" x14ac:dyDescent="0.25">
      <c r="A60" s="2192"/>
      <c r="B60" s="2195"/>
      <c r="C60" s="2021"/>
      <c r="D60" s="2021"/>
      <c r="E60" s="2021"/>
      <c r="F60" s="2189"/>
      <c r="G60" s="2021"/>
      <c r="H60" s="2176"/>
      <c r="I60" s="2021"/>
      <c r="J60" s="2021"/>
      <c r="K60" s="2033"/>
      <c r="L60" s="2179"/>
      <c r="M60" s="2175"/>
      <c r="N60" s="2173"/>
      <c r="O60" s="2173"/>
      <c r="P60" s="2175"/>
      <c r="Q60" s="2021"/>
      <c r="R60" s="2021"/>
      <c r="S60" s="2021"/>
      <c r="T60" s="2021"/>
      <c r="U60" s="37" t="s">
        <v>1253</v>
      </c>
      <c r="V60" s="45">
        <v>41845</v>
      </c>
      <c r="W60" s="46">
        <v>11372</v>
      </c>
      <c r="X60" s="379" t="s">
        <v>1254</v>
      </c>
      <c r="Y60" s="45">
        <v>41845</v>
      </c>
      <c r="Z60" s="45">
        <v>41998</v>
      </c>
      <c r="AA60" s="37"/>
      <c r="AB60" s="37"/>
      <c r="AC60" s="37"/>
      <c r="AD60" s="37"/>
      <c r="AE60" s="377"/>
      <c r="AF60" s="339"/>
      <c r="AG60" s="339"/>
      <c r="AH60" s="378"/>
      <c r="AI60" s="179"/>
      <c r="AJ60" s="107"/>
      <c r="AK60" s="107"/>
      <c r="AL60" s="180"/>
      <c r="AM60" s="179"/>
      <c r="AN60" s="181"/>
      <c r="AO60" s="181"/>
      <c r="AP60" s="181"/>
      <c r="AQ60" s="181"/>
      <c r="AR60" s="182"/>
      <c r="AS60" s="49"/>
      <c r="AT60" s="165"/>
      <c r="AU60" s="165"/>
      <c r="AV60" s="165"/>
      <c r="AW60" s="165"/>
      <c r="AX60" s="165"/>
      <c r="AY60" s="165"/>
      <c r="AZ60" s="165"/>
      <c r="BA60" s="165"/>
      <c r="BB60" s="165"/>
      <c r="BC60" s="165"/>
      <c r="BD60" s="167"/>
    </row>
    <row r="61" spans="1:56" ht="281.25" customHeight="1" x14ac:dyDescent="0.25">
      <c r="A61" s="2192"/>
      <c r="B61" s="2195"/>
      <c r="C61" s="2021"/>
      <c r="D61" s="2021"/>
      <c r="E61" s="2021"/>
      <c r="F61" s="2189"/>
      <c r="G61" s="2021"/>
      <c r="H61" s="2176"/>
      <c r="I61" s="2021"/>
      <c r="J61" s="2021"/>
      <c r="K61" s="2033"/>
      <c r="L61" s="2179"/>
      <c r="M61" s="2175"/>
      <c r="N61" s="2173"/>
      <c r="O61" s="2173"/>
      <c r="P61" s="2175"/>
      <c r="Q61" s="2021"/>
      <c r="R61" s="2021"/>
      <c r="S61" s="2021"/>
      <c r="T61" s="2021"/>
      <c r="U61" s="37" t="s">
        <v>1255</v>
      </c>
      <c r="V61" s="45">
        <v>41953</v>
      </c>
      <c r="W61" s="46">
        <v>11433</v>
      </c>
      <c r="X61" s="379" t="s">
        <v>1256</v>
      </c>
      <c r="Y61" s="45"/>
      <c r="Z61" s="45"/>
      <c r="AA61" s="37"/>
      <c r="AB61" s="37"/>
      <c r="AC61" s="37"/>
      <c r="AD61" s="37"/>
      <c r="AE61" s="377"/>
      <c r="AF61" s="339"/>
      <c r="AG61" s="339"/>
      <c r="AH61" s="378"/>
      <c r="AI61" s="179"/>
      <c r="AJ61" s="107"/>
      <c r="AK61" s="107"/>
      <c r="AL61" s="180"/>
      <c r="AM61" s="179"/>
      <c r="AN61" s="181"/>
      <c r="AO61" s="181"/>
      <c r="AP61" s="181"/>
      <c r="AQ61" s="181"/>
      <c r="AR61" s="182"/>
      <c r="AS61" s="49"/>
      <c r="AT61" s="165"/>
      <c r="AU61" s="165"/>
      <c r="AV61" s="165"/>
      <c r="AW61" s="165"/>
      <c r="AX61" s="165"/>
      <c r="AY61" s="165"/>
      <c r="AZ61" s="165"/>
      <c r="BA61" s="165"/>
      <c r="BB61" s="165"/>
      <c r="BC61" s="165"/>
      <c r="BD61" s="167"/>
    </row>
    <row r="62" spans="1:56" ht="38.25" x14ac:dyDescent="0.25">
      <c r="A62" s="2192"/>
      <c r="B62" s="2195"/>
      <c r="C62" s="2021"/>
      <c r="D62" s="2021"/>
      <c r="E62" s="2021"/>
      <c r="F62" s="2189"/>
      <c r="G62" s="2021"/>
      <c r="H62" s="2176"/>
      <c r="I62" s="2021"/>
      <c r="J62" s="2021"/>
      <c r="K62" s="2033"/>
      <c r="L62" s="2179"/>
      <c r="M62" s="2175"/>
      <c r="N62" s="2173"/>
      <c r="O62" s="2173"/>
      <c r="P62" s="2175"/>
      <c r="Q62" s="2021"/>
      <c r="R62" s="2021"/>
      <c r="S62" s="2021"/>
      <c r="T62" s="2021"/>
      <c r="U62" s="37" t="s">
        <v>1257</v>
      </c>
      <c r="V62" s="45">
        <v>41673</v>
      </c>
      <c r="W62" s="46">
        <v>11251</v>
      </c>
      <c r="X62" s="379" t="s">
        <v>1258</v>
      </c>
      <c r="Y62" s="37"/>
      <c r="Z62" s="37"/>
      <c r="AA62" s="37" t="s">
        <v>1259</v>
      </c>
      <c r="AB62" s="37"/>
      <c r="AC62" s="37">
        <f>10017.47+19364.57</f>
        <v>29382.04</v>
      </c>
      <c r="AE62" s="377">
        <f t="shared" si="0"/>
        <v>29382.04</v>
      </c>
      <c r="AF62" s="339">
        <v>0</v>
      </c>
      <c r="AG62" s="339"/>
      <c r="AH62" s="378">
        <f t="shared" si="1"/>
        <v>0</v>
      </c>
      <c r="AI62" s="179"/>
      <c r="AJ62" s="107"/>
      <c r="AK62" s="107"/>
      <c r="AL62" s="180"/>
      <c r="AM62" s="179"/>
      <c r="AN62" s="181"/>
      <c r="AO62" s="181"/>
      <c r="AP62" s="181"/>
      <c r="AQ62" s="181"/>
      <c r="AR62" s="182"/>
      <c r="AS62" s="49"/>
      <c r="AT62" s="165"/>
      <c r="AU62" s="165"/>
      <c r="AV62" s="165"/>
      <c r="AW62" s="165"/>
      <c r="AX62" s="165"/>
      <c r="AY62" s="165"/>
      <c r="AZ62" s="165"/>
      <c r="BA62" s="165"/>
      <c r="BB62" s="165"/>
      <c r="BC62" s="165"/>
      <c r="BD62" s="167"/>
    </row>
    <row r="63" spans="1:56" ht="33.75" customHeight="1" x14ac:dyDescent="0.25">
      <c r="A63" s="2193"/>
      <c r="B63" s="2196"/>
      <c r="C63" s="1986"/>
      <c r="D63" s="1986"/>
      <c r="E63" s="1986"/>
      <c r="F63" s="2190"/>
      <c r="G63" s="1986"/>
      <c r="H63" s="1992"/>
      <c r="I63" s="1986"/>
      <c r="J63" s="1986"/>
      <c r="K63" s="1997"/>
      <c r="L63" s="2166"/>
      <c r="M63" s="2164"/>
      <c r="N63" s="2174"/>
      <c r="O63" s="2174"/>
      <c r="P63" s="2164"/>
      <c r="Q63" s="1986"/>
      <c r="R63" s="1986"/>
      <c r="S63" s="1986"/>
      <c r="T63" s="1986"/>
      <c r="U63" s="37" t="s">
        <v>1260</v>
      </c>
      <c r="V63" s="45">
        <v>41842</v>
      </c>
      <c r="W63" s="46">
        <v>11356</v>
      </c>
      <c r="X63" s="379" t="s">
        <v>1261</v>
      </c>
      <c r="Y63" s="45">
        <v>41843</v>
      </c>
      <c r="Z63" s="45">
        <v>41996</v>
      </c>
      <c r="AA63" s="37"/>
      <c r="AB63" s="37"/>
      <c r="AC63" s="37"/>
      <c r="AD63" s="37"/>
      <c r="AE63" s="377">
        <f t="shared" si="0"/>
        <v>0</v>
      </c>
      <c r="AF63" s="339">
        <v>0</v>
      </c>
      <c r="AG63" s="339"/>
      <c r="AH63" s="378">
        <f t="shared" si="1"/>
        <v>0</v>
      </c>
      <c r="AI63" s="179"/>
      <c r="AJ63" s="107"/>
      <c r="AK63" s="107"/>
      <c r="AL63" s="180"/>
      <c r="AM63" s="179"/>
      <c r="AN63" s="181"/>
      <c r="AO63" s="181"/>
      <c r="AP63" s="181"/>
      <c r="AQ63" s="181"/>
      <c r="AR63" s="182"/>
      <c r="AS63" s="49"/>
      <c r="AT63" s="165"/>
      <c r="AU63" s="165"/>
      <c r="AV63" s="165"/>
      <c r="AW63" s="165"/>
      <c r="AX63" s="165"/>
      <c r="AY63" s="165"/>
      <c r="AZ63" s="165"/>
      <c r="BA63" s="165"/>
      <c r="BB63" s="165"/>
      <c r="BC63" s="165"/>
      <c r="BD63" s="167"/>
    </row>
    <row r="64" spans="1:56" ht="93" customHeight="1" x14ac:dyDescent="0.25">
      <c r="A64" s="2191">
        <v>3</v>
      </c>
      <c r="B64" s="2194" t="s">
        <v>1262</v>
      </c>
      <c r="C64" s="1985" t="s">
        <v>1263</v>
      </c>
      <c r="D64" s="1985" t="s">
        <v>1233</v>
      </c>
      <c r="E64" s="1985" t="s">
        <v>1234</v>
      </c>
      <c r="F64" s="2188" t="s">
        <v>1264</v>
      </c>
      <c r="G64" s="1994">
        <v>10757</v>
      </c>
      <c r="H64" s="1991" t="s">
        <v>967</v>
      </c>
      <c r="I64" s="1985" t="s">
        <v>1265</v>
      </c>
      <c r="J64" s="1985" t="s">
        <v>1266</v>
      </c>
      <c r="K64" s="1996">
        <v>41297</v>
      </c>
      <c r="L64" s="2165">
        <v>730455.81</v>
      </c>
      <c r="M64" s="2177">
        <v>10979</v>
      </c>
      <c r="N64" s="2172">
        <v>41376</v>
      </c>
      <c r="O64" s="2172">
        <v>41225</v>
      </c>
      <c r="P64" s="2163">
        <v>8</v>
      </c>
      <c r="Q64" s="1985"/>
      <c r="R64" s="1985"/>
      <c r="S64" s="1985"/>
      <c r="T64" s="1985" t="s">
        <v>649</v>
      </c>
      <c r="U64" s="37" t="s">
        <v>1257</v>
      </c>
      <c r="V64" s="45">
        <v>41570</v>
      </c>
      <c r="W64" s="46">
        <v>11172</v>
      </c>
      <c r="X64" s="379" t="s">
        <v>1267</v>
      </c>
      <c r="Y64" s="45">
        <v>41570</v>
      </c>
      <c r="Z64" s="45">
        <v>41639</v>
      </c>
      <c r="AA64" s="37" t="s">
        <v>1268</v>
      </c>
      <c r="AB64" s="37"/>
      <c r="AC64" s="37">
        <f>77048.53+53319.18</f>
        <v>130367.70999999999</v>
      </c>
      <c r="AD64" s="37"/>
      <c r="AE64" s="377">
        <f t="shared" si="0"/>
        <v>860823.52</v>
      </c>
      <c r="AF64" s="339">
        <v>846414.61</v>
      </c>
      <c r="AG64" s="339">
        <v>14408.35</v>
      </c>
      <c r="AH64" s="378">
        <f t="shared" si="1"/>
        <v>860822.96</v>
      </c>
      <c r="AI64" s="179"/>
      <c r="AJ64" s="107"/>
      <c r="AK64" s="107"/>
      <c r="AL64" s="180"/>
      <c r="AM64" s="179"/>
      <c r="AN64" s="181"/>
      <c r="AO64" s="181"/>
      <c r="AP64" s="181"/>
      <c r="AQ64" s="181"/>
      <c r="AR64" s="182"/>
      <c r="AS64" s="49"/>
      <c r="AT64" s="165"/>
      <c r="AU64" s="165"/>
      <c r="AV64" s="165"/>
      <c r="AW64" s="165"/>
      <c r="AX64" s="165"/>
      <c r="AY64" s="165"/>
      <c r="AZ64" s="165"/>
      <c r="BA64" s="165"/>
      <c r="BB64" s="165"/>
      <c r="BC64" s="165"/>
      <c r="BD64" s="167"/>
    </row>
    <row r="65" spans="1:56" x14ac:dyDescent="0.25">
      <c r="A65" s="2192"/>
      <c r="B65" s="2195"/>
      <c r="C65" s="2021"/>
      <c r="D65" s="2021"/>
      <c r="E65" s="2021"/>
      <c r="F65" s="2189"/>
      <c r="G65" s="2197"/>
      <c r="H65" s="2176"/>
      <c r="I65" s="2021"/>
      <c r="J65" s="2021"/>
      <c r="K65" s="2033"/>
      <c r="L65" s="2179"/>
      <c r="M65" s="2180"/>
      <c r="N65" s="2173"/>
      <c r="O65" s="2173"/>
      <c r="P65" s="2175"/>
      <c r="Q65" s="2021"/>
      <c r="R65" s="2021"/>
      <c r="S65" s="2021"/>
      <c r="T65" s="2021"/>
      <c r="U65" s="37" t="s">
        <v>1226</v>
      </c>
      <c r="V65" s="45">
        <v>41625</v>
      </c>
      <c r="W65" s="46">
        <v>11205</v>
      </c>
      <c r="X65" s="379" t="s">
        <v>1269</v>
      </c>
      <c r="Y65" s="45">
        <v>41625</v>
      </c>
      <c r="Z65" s="45">
        <v>41670</v>
      </c>
      <c r="AA65" s="37"/>
      <c r="AB65" s="37"/>
      <c r="AC65" s="37"/>
      <c r="AD65" s="37"/>
      <c r="AE65" s="377">
        <f t="shared" si="0"/>
        <v>0</v>
      </c>
      <c r="AF65" s="339"/>
      <c r="AG65" s="339"/>
      <c r="AH65" s="378">
        <f t="shared" si="1"/>
        <v>0</v>
      </c>
      <c r="AI65" s="179"/>
      <c r="AJ65" s="107"/>
      <c r="AK65" s="107"/>
      <c r="AL65" s="180"/>
      <c r="AM65" s="179"/>
      <c r="AN65" s="181"/>
      <c r="AO65" s="181"/>
      <c r="AP65" s="181"/>
      <c r="AQ65" s="181"/>
      <c r="AR65" s="182"/>
      <c r="AS65" s="49"/>
      <c r="AT65" s="165"/>
      <c r="AU65" s="165"/>
      <c r="AV65" s="165"/>
      <c r="AW65" s="165"/>
      <c r="AX65" s="165"/>
      <c r="AY65" s="165"/>
      <c r="AZ65" s="165"/>
      <c r="BA65" s="165"/>
      <c r="BB65" s="165"/>
      <c r="BC65" s="165"/>
      <c r="BD65" s="167"/>
    </row>
    <row r="66" spans="1:56" x14ac:dyDescent="0.25">
      <c r="A66" s="2192"/>
      <c r="B66" s="2195"/>
      <c r="C66" s="2021"/>
      <c r="D66" s="2021"/>
      <c r="E66" s="2021"/>
      <c r="F66" s="2189"/>
      <c r="G66" s="2197"/>
      <c r="H66" s="2176"/>
      <c r="I66" s="2021"/>
      <c r="J66" s="2021"/>
      <c r="K66" s="2033"/>
      <c r="L66" s="2179"/>
      <c r="M66" s="2180"/>
      <c r="N66" s="2173"/>
      <c r="O66" s="2173"/>
      <c r="P66" s="2175"/>
      <c r="Q66" s="2021"/>
      <c r="R66" s="2021"/>
      <c r="S66" s="2021"/>
      <c r="T66" s="2021"/>
      <c r="U66" s="37" t="s">
        <v>1227</v>
      </c>
      <c r="V66" s="45">
        <v>41669</v>
      </c>
      <c r="W66" s="46">
        <v>11236</v>
      </c>
      <c r="X66" s="379" t="s">
        <v>1269</v>
      </c>
      <c r="Y66" s="45">
        <v>41669</v>
      </c>
      <c r="Z66" s="45">
        <v>41700</v>
      </c>
      <c r="AA66" s="37"/>
      <c r="AB66" s="37"/>
      <c r="AC66" s="37"/>
      <c r="AD66" s="37"/>
      <c r="AE66" s="377">
        <f t="shared" si="0"/>
        <v>0</v>
      </c>
      <c r="AF66" s="339"/>
      <c r="AG66" s="339"/>
      <c r="AH66" s="378">
        <f t="shared" si="1"/>
        <v>0</v>
      </c>
      <c r="AI66" s="179"/>
      <c r="AJ66" s="107"/>
      <c r="AK66" s="107"/>
      <c r="AL66" s="180"/>
      <c r="AM66" s="179"/>
      <c r="AN66" s="181"/>
      <c r="AO66" s="181"/>
      <c r="AP66" s="181"/>
      <c r="AQ66" s="181"/>
      <c r="AR66" s="182"/>
      <c r="AS66" s="49"/>
      <c r="AT66" s="165"/>
      <c r="AU66" s="165"/>
      <c r="AV66" s="165"/>
      <c r="AW66" s="165"/>
      <c r="AX66" s="165"/>
      <c r="AY66" s="165"/>
      <c r="AZ66" s="165"/>
      <c r="BA66" s="165"/>
      <c r="BB66" s="165"/>
      <c r="BC66" s="165"/>
      <c r="BD66" s="167"/>
    </row>
    <row r="67" spans="1:56" ht="25.5" x14ac:dyDescent="0.25">
      <c r="A67" s="2192"/>
      <c r="B67" s="2195"/>
      <c r="C67" s="2021"/>
      <c r="D67" s="2021"/>
      <c r="E67" s="2021"/>
      <c r="F67" s="2189"/>
      <c r="G67" s="2197"/>
      <c r="H67" s="2176"/>
      <c r="I67" s="2021"/>
      <c r="J67" s="2021"/>
      <c r="K67" s="2033"/>
      <c r="L67" s="2179"/>
      <c r="M67" s="2180"/>
      <c r="N67" s="2173"/>
      <c r="O67" s="2173"/>
      <c r="P67" s="2175"/>
      <c r="Q67" s="2021"/>
      <c r="R67" s="2021"/>
      <c r="S67" s="2021"/>
      <c r="T67" s="2021"/>
      <c r="U67" s="37" t="s">
        <v>1224</v>
      </c>
      <c r="V67" s="45">
        <v>41673</v>
      </c>
      <c r="W67" s="46">
        <v>11251</v>
      </c>
      <c r="X67" s="379" t="s">
        <v>1270</v>
      </c>
      <c r="Y67" s="45"/>
      <c r="Z67" s="45"/>
      <c r="AA67" s="37"/>
      <c r="AB67" s="37"/>
      <c r="AC67" s="37"/>
      <c r="AD67" s="37"/>
      <c r="AE67" s="377">
        <f t="shared" si="0"/>
        <v>0</v>
      </c>
      <c r="AF67" s="339"/>
      <c r="AG67" s="339"/>
      <c r="AH67" s="378">
        <f t="shared" si="1"/>
        <v>0</v>
      </c>
      <c r="AI67" s="179"/>
      <c r="AJ67" s="107"/>
      <c r="AK67" s="107"/>
      <c r="AL67" s="180"/>
      <c r="AM67" s="179"/>
      <c r="AN67" s="181"/>
      <c r="AO67" s="181"/>
      <c r="AP67" s="181"/>
      <c r="AQ67" s="385"/>
      <c r="AR67" s="386"/>
      <c r="AS67" s="49"/>
      <c r="AT67" s="165"/>
      <c r="AU67" s="165"/>
      <c r="AV67" s="165"/>
      <c r="AW67" s="165"/>
      <c r="AX67" s="165"/>
      <c r="AY67" s="165"/>
      <c r="AZ67" s="165"/>
      <c r="BA67" s="165"/>
      <c r="BB67" s="165"/>
      <c r="BC67" s="165"/>
      <c r="BD67" s="167"/>
    </row>
    <row r="68" spans="1:56" x14ac:dyDescent="0.25">
      <c r="A68" s="2193"/>
      <c r="B68" s="2196"/>
      <c r="C68" s="1986"/>
      <c r="D68" s="1986"/>
      <c r="E68" s="1986"/>
      <c r="F68" s="2189"/>
      <c r="G68" s="1995"/>
      <c r="H68" s="1992"/>
      <c r="I68" s="1986"/>
      <c r="J68" s="1986"/>
      <c r="K68" s="1997"/>
      <c r="L68" s="2166"/>
      <c r="M68" s="2178"/>
      <c r="N68" s="2174"/>
      <c r="O68" s="2174"/>
      <c r="P68" s="2164"/>
      <c r="Q68" s="1986"/>
      <c r="R68" s="1986"/>
      <c r="S68" s="1986"/>
      <c r="T68" s="1986"/>
      <c r="U68" s="37" t="s">
        <v>1226</v>
      </c>
      <c r="V68" s="45">
        <v>41698</v>
      </c>
      <c r="W68" s="46">
        <v>11257</v>
      </c>
      <c r="X68" s="379" t="s">
        <v>1271</v>
      </c>
      <c r="Y68" s="45">
        <v>41698</v>
      </c>
      <c r="Z68" s="45">
        <v>41726</v>
      </c>
      <c r="AA68" s="37"/>
      <c r="AB68" s="37"/>
      <c r="AC68" s="37"/>
      <c r="AD68" s="37"/>
      <c r="AE68" s="377">
        <f t="shared" si="0"/>
        <v>0</v>
      </c>
      <c r="AF68" s="339"/>
      <c r="AG68" s="339"/>
      <c r="AH68" s="378">
        <f t="shared" si="1"/>
        <v>0</v>
      </c>
      <c r="AI68" s="179"/>
      <c r="AJ68" s="107"/>
      <c r="AK68" s="107"/>
      <c r="AL68" s="180"/>
      <c r="AM68" s="179"/>
      <c r="AN68" s="181"/>
      <c r="AO68" s="181"/>
      <c r="AP68" s="181"/>
      <c r="AQ68" s="385"/>
      <c r="AR68" s="386"/>
      <c r="AS68" s="49"/>
      <c r="AT68" s="165"/>
      <c r="AU68" s="165"/>
      <c r="AV68" s="165"/>
      <c r="AW68" s="165"/>
      <c r="AX68" s="165"/>
      <c r="AY68" s="165"/>
      <c r="AZ68" s="165"/>
      <c r="BA68" s="165"/>
      <c r="BB68" s="165"/>
      <c r="BC68" s="165"/>
      <c r="BD68" s="167"/>
    </row>
    <row r="69" spans="1:56" ht="24.95" customHeight="1" x14ac:dyDescent="0.25">
      <c r="A69" s="2084">
        <v>4</v>
      </c>
      <c r="B69" s="2167"/>
      <c r="C69" s="1967" t="s">
        <v>967</v>
      </c>
      <c r="D69" s="1967" t="s">
        <v>1272</v>
      </c>
      <c r="E69" s="1967"/>
      <c r="F69" s="2171" t="s">
        <v>1273</v>
      </c>
      <c r="G69" s="1972"/>
      <c r="H69" s="1991" t="s">
        <v>975</v>
      </c>
      <c r="I69" s="1985" t="s">
        <v>1274</v>
      </c>
      <c r="J69" s="1985" t="s">
        <v>232</v>
      </c>
      <c r="K69" s="1996">
        <v>41395</v>
      </c>
      <c r="L69" s="2165">
        <v>29440</v>
      </c>
      <c r="M69" s="2177"/>
      <c r="N69" s="2172">
        <v>41395</v>
      </c>
      <c r="O69" s="2172">
        <v>41641</v>
      </c>
      <c r="P69" s="2163">
        <v>1</v>
      </c>
      <c r="Q69" s="1985"/>
      <c r="R69" s="1985"/>
      <c r="S69" s="1985"/>
      <c r="T69" s="2163" t="s">
        <v>208</v>
      </c>
      <c r="U69" s="59" t="s">
        <v>1224</v>
      </c>
      <c r="V69" s="57">
        <v>41635</v>
      </c>
      <c r="W69" s="77"/>
      <c r="X69" s="387" t="s">
        <v>1275</v>
      </c>
      <c r="Y69" s="45">
        <v>41635</v>
      </c>
      <c r="Z69" s="45">
        <v>42000</v>
      </c>
      <c r="AA69" s="37"/>
      <c r="AB69" s="37"/>
      <c r="AC69" s="37"/>
      <c r="AD69" s="37"/>
      <c r="AE69" s="377">
        <f t="shared" si="0"/>
        <v>29440</v>
      </c>
      <c r="AF69" s="339"/>
      <c r="AG69" s="339">
        <f>10*3680</f>
        <v>36800</v>
      </c>
      <c r="AH69" s="378">
        <f t="shared" si="1"/>
        <v>36800</v>
      </c>
      <c r="AI69" s="179"/>
      <c r="AJ69" s="107"/>
      <c r="AK69" s="107"/>
      <c r="AL69" s="180"/>
      <c r="AM69" s="179"/>
      <c r="AN69" s="181"/>
      <c r="AO69" s="181"/>
      <c r="AP69" s="181"/>
      <c r="AQ69" s="385"/>
      <c r="AR69" s="386"/>
      <c r="AS69" s="49"/>
      <c r="AT69" s="165"/>
      <c r="AU69" s="165"/>
      <c r="AV69" s="165"/>
      <c r="AW69" s="165"/>
      <c r="AX69" s="165"/>
      <c r="AY69" s="165"/>
      <c r="AZ69" s="165"/>
      <c r="BA69" s="165"/>
      <c r="BB69" s="165"/>
      <c r="BC69" s="165"/>
      <c r="BD69" s="167"/>
    </row>
    <row r="70" spans="1:56" ht="25.5" x14ac:dyDescent="0.25">
      <c r="A70" s="2084"/>
      <c r="B70" s="2167"/>
      <c r="C70" s="1967"/>
      <c r="D70" s="1967"/>
      <c r="E70" s="1967"/>
      <c r="F70" s="2171"/>
      <c r="G70" s="1972"/>
      <c r="H70" s="1992"/>
      <c r="I70" s="1986"/>
      <c r="J70" s="1986"/>
      <c r="K70" s="1997"/>
      <c r="L70" s="2166"/>
      <c r="M70" s="2178"/>
      <c r="N70" s="2174"/>
      <c r="O70" s="2174"/>
      <c r="P70" s="2164"/>
      <c r="Q70" s="1986"/>
      <c r="R70" s="1986"/>
      <c r="S70" s="1986"/>
      <c r="T70" s="2164"/>
      <c r="U70" s="59" t="s">
        <v>1224</v>
      </c>
      <c r="V70" s="57">
        <v>41673</v>
      </c>
      <c r="W70" s="77">
        <v>11251</v>
      </c>
      <c r="X70" s="387" t="s">
        <v>1276</v>
      </c>
      <c r="Y70" s="37"/>
      <c r="Z70" s="37"/>
      <c r="AA70" s="37"/>
      <c r="AB70" s="37"/>
      <c r="AC70" s="37"/>
      <c r="AD70" s="37"/>
      <c r="AE70" s="377">
        <f t="shared" si="0"/>
        <v>0</v>
      </c>
      <c r="AF70" s="339"/>
      <c r="AG70" s="339"/>
      <c r="AH70" s="378">
        <f t="shared" si="1"/>
        <v>0</v>
      </c>
      <c r="AI70" s="179"/>
      <c r="AJ70" s="107"/>
      <c r="AK70" s="107"/>
      <c r="AL70" s="180"/>
      <c r="AM70" s="179"/>
      <c r="AN70" s="181"/>
      <c r="AO70" s="181"/>
      <c r="AP70" s="181"/>
      <c r="AQ70" s="385"/>
      <c r="AR70" s="386"/>
      <c r="AS70" s="49"/>
      <c r="AT70" s="165"/>
      <c r="AU70" s="165"/>
      <c r="AV70" s="165"/>
      <c r="AW70" s="165"/>
      <c r="AX70" s="165"/>
      <c r="AY70" s="165"/>
      <c r="AZ70" s="165"/>
      <c r="BA70" s="165"/>
      <c r="BB70" s="165"/>
      <c r="BC70" s="165"/>
      <c r="BD70" s="167"/>
    </row>
    <row r="71" spans="1:56" ht="132.75" customHeight="1" x14ac:dyDescent="0.25">
      <c r="A71" s="2084">
        <v>5</v>
      </c>
      <c r="B71" s="2080" t="s">
        <v>1277</v>
      </c>
      <c r="C71" s="1967" t="s">
        <v>1277</v>
      </c>
      <c r="D71" s="1967" t="s">
        <v>1278</v>
      </c>
      <c r="E71" s="1967"/>
      <c r="F71" s="2171" t="s">
        <v>1279</v>
      </c>
      <c r="G71" s="1972">
        <v>11101</v>
      </c>
      <c r="H71" s="1991" t="s">
        <v>1280</v>
      </c>
      <c r="I71" s="1985" t="s">
        <v>1281</v>
      </c>
      <c r="J71" s="1985" t="s">
        <v>1282</v>
      </c>
      <c r="K71" s="1996">
        <v>41486</v>
      </c>
      <c r="L71" s="2165">
        <v>70000</v>
      </c>
      <c r="M71" s="1994">
        <v>11103</v>
      </c>
      <c r="N71" s="1996">
        <v>41486</v>
      </c>
      <c r="O71" s="1996">
        <v>41851</v>
      </c>
      <c r="P71" s="2163">
        <v>8</v>
      </c>
      <c r="Q71" s="1985"/>
      <c r="R71" s="1985"/>
      <c r="S71" s="1985"/>
      <c r="T71" s="1985" t="s">
        <v>649</v>
      </c>
      <c r="U71" s="37" t="s">
        <v>1257</v>
      </c>
      <c r="V71" s="45">
        <v>41796</v>
      </c>
      <c r="W71" s="46">
        <v>11326</v>
      </c>
      <c r="X71" s="379" t="s">
        <v>1283</v>
      </c>
      <c r="Y71" s="45"/>
      <c r="Z71" s="37"/>
      <c r="AA71" s="37" t="s">
        <v>1284</v>
      </c>
      <c r="AB71" s="37"/>
      <c r="AC71" s="48">
        <v>17500</v>
      </c>
      <c r="AD71" s="37"/>
      <c r="AE71" s="377">
        <f t="shared" si="0"/>
        <v>87500</v>
      </c>
      <c r="AF71" s="339">
        <v>52500</v>
      </c>
      <c r="AG71" s="339">
        <v>35000</v>
      </c>
      <c r="AH71" s="378">
        <f t="shared" si="1"/>
        <v>87500</v>
      </c>
      <c r="AI71" s="179"/>
      <c r="AJ71" s="107"/>
      <c r="AK71" s="107"/>
      <c r="AL71" s="180"/>
      <c r="AM71" s="179" t="s">
        <v>644</v>
      </c>
      <c r="AN71" s="181" t="s">
        <v>1285</v>
      </c>
      <c r="AO71" s="388"/>
      <c r="AP71" s="219"/>
      <c r="AQ71" s="388">
        <v>11101</v>
      </c>
      <c r="AR71" s="386">
        <v>41486</v>
      </c>
      <c r="AS71" s="49"/>
      <c r="AT71" s="165"/>
      <c r="AU71" s="165"/>
      <c r="AV71" s="165"/>
      <c r="AW71" s="165"/>
      <c r="AX71" s="165"/>
      <c r="AY71" s="165"/>
      <c r="AZ71" s="165"/>
      <c r="BA71" s="165"/>
      <c r="BB71" s="165"/>
      <c r="BC71" s="165"/>
      <c r="BD71" s="167"/>
    </row>
    <row r="72" spans="1:56" ht="25.5" x14ac:dyDescent="0.25">
      <c r="A72" s="2084"/>
      <c r="B72" s="2080"/>
      <c r="C72" s="1967"/>
      <c r="D72" s="1967"/>
      <c r="E72" s="1967"/>
      <c r="F72" s="2171"/>
      <c r="G72" s="1972"/>
      <c r="H72" s="1992"/>
      <c r="I72" s="1986"/>
      <c r="J72" s="1986"/>
      <c r="K72" s="1997"/>
      <c r="L72" s="2166"/>
      <c r="M72" s="1995"/>
      <c r="N72" s="1997"/>
      <c r="O72" s="1997"/>
      <c r="P72" s="2164"/>
      <c r="Q72" s="1986"/>
      <c r="R72" s="1986"/>
      <c r="S72" s="1986"/>
      <c r="T72" s="1986"/>
      <c r="U72" s="37" t="s">
        <v>1257</v>
      </c>
      <c r="V72" s="45">
        <v>41673</v>
      </c>
      <c r="W72" s="46">
        <v>11251</v>
      </c>
      <c r="X72" s="379" t="s">
        <v>1276</v>
      </c>
      <c r="Y72" s="37"/>
      <c r="Z72" s="37"/>
      <c r="AA72" s="37"/>
      <c r="AB72" s="37"/>
      <c r="AC72" s="37"/>
      <c r="AD72" s="37"/>
      <c r="AE72" s="377">
        <f t="shared" si="0"/>
        <v>0</v>
      </c>
      <c r="AF72" s="339"/>
      <c r="AG72" s="339"/>
      <c r="AH72" s="378">
        <f t="shared" si="1"/>
        <v>0</v>
      </c>
      <c r="AI72" s="179"/>
      <c r="AJ72" s="107"/>
      <c r="AK72" s="107"/>
      <c r="AL72" s="180"/>
      <c r="AM72" s="179"/>
      <c r="AN72" s="181"/>
      <c r="AO72" s="181"/>
      <c r="AP72" s="219"/>
      <c r="AQ72" s="385"/>
      <c r="AR72" s="386"/>
      <c r="AS72" s="49"/>
      <c r="AT72" s="165"/>
      <c r="AU72" s="165"/>
      <c r="AV72" s="165"/>
      <c r="AW72" s="165"/>
      <c r="AX72" s="165"/>
      <c r="AY72" s="165"/>
      <c r="AZ72" s="165"/>
      <c r="BA72" s="165"/>
      <c r="BB72" s="165"/>
      <c r="BC72" s="165"/>
      <c r="BD72" s="167"/>
    </row>
    <row r="73" spans="1:56" ht="60.75" customHeight="1" x14ac:dyDescent="0.25">
      <c r="A73" s="274">
        <v>6</v>
      </c>
      <c r="B73" s="49" t="s">
        <v>1286</v>
      </c>
      <c r="C73" s="37" t="s">
        <v>1059</v>
      </c>
      <c r="D73" s="37" t="s">
        <v>1287</v>
      </c>
      <c r="E73" s="37" t="s">
        <v>1234</v>
      </c>
      <c r="F73" s="379" t="s">
        <v>1288</v>
      </c>
      <c r="G73" s="46">
        <v>11103</v>
      </c>
      <c r="H73" s="54" t="s">
        <v>1289</v>
      </c>
      <c r="I73" s="37" t="s">
        <v>1265</v>
      </c>
      <c r="J73" s="37" t="s">
        <v>1266</v>
      </c>
      <c r="K73" s="45">
        <v>41607</v>
      </c>
      <c r="L73" s="48">
        <f>2333547.51+1282606.14</f>
        <v>3616153.6499999994</v>
      </c>
      <c r="M73" s="46">
        <v>11190</v>
      </c>
      <c r="N73" s="45">
        <v>41607</v>
      </c>
      <c r="O73" s="45">
        <v>42153</v>
      </c>
      <c r="P73" s="37" t="s">
        <v>1239</v>
      </c>
      <c r="Q73" s="37"/>
      <c r="R73" s="37"/>
      <c r="S73" s="37"/>
      <c r="T73" s="37" t="s">
        <v>649</v>
      </c>
      <c r="U73" s="37" t="s">
        <v>1224</v>
      </c>
      <c r="V73" s="45">
        <v>41673</v>
      </c>
      <c r="W73" s="46">
        <v>11251</v>
      </c>
      <c r="X73" s="379" t="s">
        <v>1276</v>
      </c>
      <c r="Y73" s="37"/>
      <c r="Z73" s="37"/>
      <c r="AA73" s="37"/>
      <c r="AB73" s="37"/>
      <c r="AC73" s="37"/>
      <c r="AD73" s="37"/>
      <c r="AE73" s="377">
        <f t="shared" si="0"/>
        <v>3616153.6499999994</v>
      </c>
      <c r="AF73" s="339">
        <v>0</v>
      </c>
      <c r="AG73" s="339">
        <f>2347955.86-14408.35</f>
        <v>2333547.5099999998</v>
      </c>
      <c r="AH73" s="378">
        <f t="shared" si="1"/>
        <v>2333547.5099999998</v>
      </c>
      <c r="AI73" s="179"/>
      <c r="AJ73" s="107"/>
      <c r="AK73" s="107"/>
      <c r="AL73" s="180"/>
      <c r="AM73" s="179"/>
      <c r="AN73" s="181"/>
      <c r="AO73" s="181"/>
      <c r="AP73" s="219"/>
      <c r="AQ73" s="385"/>
      <c r="AR73" s="386"/>
      <c r="AS73" s="49"/>
      <c r="AT73" s="165"/>
      <c r="AU73" s="165"/>
      <c r="AV73" s="165"/>
      <c r="AW73" s="165"/>
      <c r="AX73" s="165"/>
      <c r="AY73" s="165"/>
      <c r="AZ73" s="165"/>
      <c r="BA73" s="165"/>
      <c r="BB73" s="165"/>
      <c r="BC73" s="165"/>
      <c r="BD73" s="167"/>
    </row>
    <row r="74" spans="1:56" ht="48" customHeight="1" x14ac:dyDescent="0.25">
      <c r="A74" s="274">
        <v>7</v>
      </c>
      <c r="B74" s="49" t="s">
        <v>1277</v>
      </c>
      <c r="C74" s="37" t="s">
        <v>1277</v>
      </c>
      <c r="D74" s="37" t="s">
        <v>690</v>
      </c>
      <c r="E74" s="37"/>
      <c r="F74" s="379" t="s">
        <v>1290</v>
      </c>
      <c r="G74" s="37"/>
      <c r="H74" s="54" t="s">
        <v>1291</v>
      </c>
      <c r="I74" s="37" t="s">
        <v>1292</v>
      </c>
      <c r="J74" s="37" t="s">
        <v>854</v>
      </c>
      <c r="K74" s="45">
        <v>41537</v>
      </c>
      <c r="L74" s="48">
        <v>5000</v>
      </c>
      <c r="M74" s="46">
        <v>11144</v>
      </c>
      <c r="N74" s="45">
        <v>41537</v>
      </c>
      <c r="O74" s="45">
        <v>41902</v>
      </c>
      <c r="P74" s="37">
        <v>1</v>
      </c>
      <c r="Q74" s="37"/>
      <c r="R74" s="37"/>
      <c r="S74" s="37"/>
      <c r="T74" s="37" t="s">
        <v>208</v>
      </c>
      <c r="U74" s="37" t="s">
        <v>1257</v>
      </c>
      <c r="V74" s="45">
        <v>41902</v>
      </c>
      <c r="W74" s="46">
        <v>11403</v>
      </c>
      <c r="X74" s="37" t="s">
        <v>1293</v>
      </c>
      <c r="Y74" s="37"/>
      <c r="Z74" s="37"/>
      <c r="AA74" s="37"/>
      <c r="AB74" s="37"/>
      <c r="AC74" s="37"/>
      <c r="AD74" s="37"/>
      <c r="AE74" s="377">
        <f t="shared" si="0"/>
        <v>5000</v>
      </c>
      <c r="AF74" s="339">
        <f>196.79+55.5+122.92</f>
        <v>375.21</v>
      </c>
      <c r="AG74" s="339">
        <f>55.5+154.23+111+116.48+70.96+66.05+61.05+50.52</f>
        <v>685.79</v>
      </c>
      <c r="AH74" s="378">
        <f t="shared" si="1"/>
        <v>1061</v>
      </c>
      <c r="AI74" s="179"/>
      <c r="AJ74" s="107"/>
      <c r="AK74" s="107"/>
      <c r="AL74" s="180"/>
      <c r="AM74" s="179" t="s">
        <v>690</v>
      </c>
      <c r="AN74" s="181" t="s">
        <v>1294</v>
      </c>
      <c r="AO74" s="181"/>
      <c r="AP74" s="219"/>
      <c r="AQ74" s="385"/>
      <c r="AR74" s="386"/>
      <c r="AS74" s="49"/>
      <c r="AT74" s="165"/>
      <c r="AU74" s="165"/>
      <c r="AV74" s="165"/>
      <c r="AW74" s="165"/>
      <c r="AX74" s="165"/>
      <c r="AY74" s="165"/>
      <c r="AZ74" s="165"/>
      <c r="BA74" s="165"/>
      <c r="BB74" s="165"/>
      <c r="BC74" s="165"/>
      <c r="BD74" s="167"/>
    </row>
    <row r="75" spans="1:56" ht="61.5" customHeight="1" x14ac:dyDescent="0.25">
      <c r="A75" s="274">
        <v>8</v>
      </c>
      <c r="B75" s="49" t="s">
        <v>336</v>
      </c>
      <c r="C75" s="37" t="s">
        <v>1295</v>
      </c>
      <c r="D75" s="37" t="s">
        <v>1272</v>
      </c>
      <c r="E75" s="37" t="s">
        <v>473</v>
      </c>
      <c r="F75" s="379" t="s">
        <v>1296</v>
      </c>
      <c r="G75" s="46">
        <v>11187</v>
      </c>
      <c r="H75" s="54" t="s">
        <v>675</v>
      </c>
      <c r="I75" s="37" t="s">
        <v>1297</v>
      </c>
      <c r="J75" s="37" t="s">
        <v>343</v>
      </c>
      <c r="K75" s="45">
        <v>41722</v>
      </c>
      <c r="L75" s="48">
        <v>28310</v>
      </c>
      <c r="M75" s="46">
        <v>11272</v>
      </c>
      <c r="N75" s="45">
        <v>41722</v>
      </c>
      <c r="O75" s="45">
        <v>42004</v>
      </c>
      <c r="P75" s="37">
        <v>1</v>
      </c>
      <c r="Q75" s="37"/>
      <c r="R75" s="37"/>
      <c r="S75" s="37"/>
      <c r="T75" s="37" t="s">
        <v>208</v>
      </c>
      <c r="U75" s="37"/>
      <c r="V75" s="37"/>
      <c r="W75" s="37"/>
      <c r="X75" s="37"/>
      <c r="Y75" s="37"/>
      <c r="Z75" s="37"/>
      <c r="AA75" s="37"/>
      <c r="AB75" s="37"/>
      <c r="AC75" s="37"/>
      <c r="AD75" s="37"/>
      <c r="AE75" s="377">
        <f t="shared" si="0"/>
        <v>28310</v>
      </c>
      <c r="AF75" s="339">
        <v>0</v>
      </c>
      <c r="AG75" s="339">
        <v>0</v>
      </c>
      <c r="AH75" s="378">
        <f t="shared" si="1"/>
        <v>0</v>
      </c>
      <c r="AI75" s="179"/>
      <c r="AJ75" s="107"/>
      <c r="AK75" s="107"/>
      <c r="AL75" s="180"/>
      <c r="AM75" s="179"/>
      <c r="AN75" s="181"/>
      <c r="AO75" s="181"/>
      <c r="AP75" s="219"/>
      <c r="AQ75" s="385"/>
      <c r="AR75" s="386"/>
      <c r="AS75" s="49"/>
      <c r="AT75" s="165"/>
      <c r="AU75" s="165"/>
      <c r="AV75" s="165"/>
      <c r="AW75" s="165"/>
      <c r="AX75" s="165"/>
      <c r="AY75" s="165"/>
      <c r="AZ75" s="165"/>
      <c r="BA75" s="165"/>
      <c r="BB75" s="165"/>
      <c r="BC75" s="165"/>
      <c r="BD75" s="167"/>
    </row>
    <row r="76" spans="1:56" ht="61.5" customHeight="1" thickBot="1" x14ac:dyDescent="0.3">
      <c r="A76" s="279">
        <v>9</v>
      </c>
      <c r="B76" s="280" t="s">
        <v>1298</v>
      </c>
      <c r="C76" s="152" t="s">
        <v>1277</v>
      </c>
      <c r="D76" s="152" t="s">
        <v>644</v>
      </c>
      <c r="E76" s="152"/>
      <c r="F76" s="389" t="s">
        <v>1299</v>
      </c>
      <c r="G76" s="156">
        <v>11404</v>
      </c>
      <c r="H76" s="158" t="s">
        <v>683</v>
      </c>
      <c r="I76" s="152" t="s">
        <v>1237</v>
      </c>
      <c r="J76" s="152" t="s">
        <v>1238</v>
      </c>
      <c r="K76" s="154">
        <v>41907</v>
      </c>
      <c r="L76" s="155">
        <v>219306.47</v>
      </c>
      <c r="M76" s="156">
        <v>11408</v>
      </c>
      <c r="N76" s="154">
        <v>41907</v>
      </c>
      <c r="O76" s="154">
        <v>41998</v>
      </c>
      <c r="P76" s="152">
        <v>1</v>
      </c>
      <c r="Q76" s="152"/>
      <c r="R76" s="152"/>
      <c r="S76" s="152"/>
      <c r="T76" s="152" t="s">
        <v>208</v>
      </c>
      <c r="U76" s="152"/>
      <c r="V76" s="152"/>
      <c r="W76" s="152"/>
      <c r="X76" s="152"/>
      <c r="Y76" s="152"/>
      <c r="Z76" s="152"/>
      <c r="AA76" s="152"/>
      <c r="AB76" s="152"/>
      <c r="AC76" s="152"/>
      <c r="AD76" s="152"/>
      <c r="AE76" s="390"/>
      <c r="AF76" s="391"/>
      <c r="AG76" s="391"/>
      <c r="AH76" s="392"/>
      <c r="AI76" s="284"/>
      <c r="AJ76" s="285"/>
      <c r="AK76" s="285"/>
      <c r="AL76" s="286"/>
      <c r="AM76" s="284" t="s">
        <v>644</v>
      </c>
      <c r="AN76" s="287" t="s">
        <v>1300</v>
      </c>
      <c r="AO76" s="393"/>
      <c r="AP76" s="393"/>
      <c r="AQ76" s="394">
        <v>11404</v>
      </c>
      <c r="AR76" s="395">
        <v>41913</v>
      </c>
      <c r="AS76" s="280"/>
      <c r="AT76" s="281"/>
      <c r="AU76" s="281"/>
      <c r="AV76" s="281"/>
      <c r="AW76" s="281"/>
      <c r="AX76" s="281"/>
      <c r="AY76" s="281"/>
      <c r="AZ76" s="281"/>
      <c r="BA76" s="281"/>
      <c r="BB76" s="281"/>
      <c r="BC76" s="281"/>
      <c r="BD76" s="289"/>
    </row>
    <row r="77" spans="1:56" ht="15.75" thickBot="1" x14ac:dyDescent="0.3">
      <c r="A77" s="2168" t="s">
        <v>601</v>
      </c>
      <c r="B77" s="2169"/>
      <c r="C77" s="2169"/>
      <c r="D77" s="2169"/>
      <c r="E77" s="2169"/>
      <c r="F77" s="2169"/>
      <c r="G77" s="2169"/>
      <c r="H77" s="2169"/>
      <c r="I77" s="2169"/>
      <c r="J77" s="2169"/>
      <c r="K77" s="2170"/>
      <c r="L77" s="295">
        <f>SUM(L25:L75)</f>
        <v>7516369.0199999996</v>
      </c>
      <c r="M77" s="296"/>
      <c r="N77" s="296"/>
      <c r="O77" s="296"/>
      <c r="P77" s="296"/>
      <c r="Q77" s="296"/>
      <c r="R77" s="296"/>
      <c r="S77" s="296"/>
      <c r="T77" s="296"/>
      <c r="U77" s="296"/>
      <c r="V77" s="296"/>
      <c r="W77" s="296"/>
      <c r="X77" s="296"/>
      <c r="Y77" s="296"/>
      <c r="Z77" s="296"/>
      <c r="AA77" s="296"/>
      <c r="AB77" s="296"/>
      <c r="AC77" s="297">
        <f t="shared" ref="AC77:AH77" si="2">SUM(AC25:AC75)</f>
        <v>1570086.1400000001</v>
      </c>
      <c r="AD77" s="297">
        <f t="shared" si="2"/>
        <v>0</v>
      </c>
      <c r="AE77" s="297">
        <f t="shared" si="2"/>
        <v>9086455.1600000001</v>
      </c>
      <c r="AF77" s="297">
        <f t="shared" si="2"/>
        <v>3544584.56</v>
      </c>
      <c r="AG77" s="297">
        <f t="shared" si="2"/>
        <v>3058064.8899999997</v>
      </c>
      <c r="AH77" s="396">
        <f t="shared" si="2"/>
        <v>6602649.4500000002</v>
      </c>
      <c r="AI77" s="397"/>
      <c r="AJ77" s="297"/>
      <c r="AK77" s="297"/>
      <c r="AL77" s="398"/>
      <c r="AM77" s="397"/>
      <c r="AN77" s="399"/>
      <c r="AO77" s="399"/>
      <c r="AP77" s="400"/>
      <c r="AQ77" s="401"/>
      <c r="AR77" s="402"/>
      <c r="AS77" s="403"/>
      <c r="AT77" s="300"/>
      <c r="AU77" s="300"/>
      <c r="AV77" s="300"/>
      <c r="AW77" s="300"/>
      <c r="AX77" s="300"/>
      <c r="AY77" s="300"/>
      <c r="AZ77" s="300"/>
      <c r="BA77" s="300"/>
      <c r="BB77" s="300"/>
      <c r="BC77" s="300"/>
      <c r="BD77" s="301"/>
    </row>
    <row r="78" spans="1:56" x14ac:dyDescent="0.25">
      <c r="A78" s="240"/>
      <c r="B78" s="240"/>
      <c r="C78" s="240"/>
      <c r="D78" s="240"/>
      <c r="E78" s="240"/>
      <c r="F78" s="240"/>
    </row>
    <row r="79" spans="1:56" x14ac:dyDescent="0.25">
      <c r="A79" s="240"/>
      <c r="B79" s="240"/>
      <c r="C79" s="240"/>
      <c r="D79" s="240"/>
    </row>
    <row r="80" spans="1:56" x14ac:dyDescent="0.25">
      <c r="A80" s="240" t="s">
        <v>1301</v>
      </c>
      <c r="B80" s="240"/>
      <c r="C80" s="240"/>
      <c r="D80" s="240"/>
      <c r="E80" s="240"/>
      <c r="F80" s="240"/>
    </row>
    <row r="81" spans="1:33" x14ac:dyDescent="0.25">
      <c r="A81" s="240" t="s">
        <v>1302</v>
      </c>
      <c r="B81" s="240"/>
      <c r="C81" s="240"/>
      <c r="D81" s="240"/>
    </row>
    <row r="86" spans="1:33" x14ac:dyDescent="0.25">
      <c r="AG86" s="239">
        <v>3058064.89</v>
      </c>
    </row>
    <row r="87" spans="1:33" x14ac:dyDescent="0.25">
      <c r="AG87" s="239">
        <v>11850</v>
      </c>
    </row>
    <row r="88" spans="1:33" x14ac:dyDescent="0.25">
      <c r="AG88" s="239">
        <v>3978</v>
      </c>
    </row>
  </sheetData>
  <mergeCells count="150">
    <mergeCell ref="A9:BD9"/>
    <mergeCell ref="A11:BD11"/>
    <mergeCell ref="A13:AS13"/>
    <mergeCell ref="A14:J14"/>
    <mergeCell ref="A15:E15"/>
    <mergeCell ref="A17:AS17"/>
    <mergeCell ref="A18:AS18"/>
    <mergeCell ref="A19:C19"/>
    <mergeCell ref="A21:BD21"/>
    <mergeCell ref="A22:A25"/>
    <mergeCell ref="B22:G23"/>
    <mergeCell ref="H22:AH22"/>
    <mergeCell ref="AI22:AL22"/>
    <mergeCell ref="AM22:AR22"/>
    <mergeCell ref="AS22:BD22"/>
    <mergeCell ref="H23:T23"/>
    <mergeCell ref="U23:AD23"/>
    <mergeCell ref="BB23:BD23"/>
    <mergeCell ref="AN23:AN24"/>
    <mergeCell ref="AO23:AO24"/>
    <mergeCell ref="AP23:AP24"/>
    <mergeCell ref="AQ23:AQ24"/>
    <mergeCell ref="AR23:AR24"/>
    <mergeCell ref="AS23:AS24"/>
    <mergeCell ref="AE23:AH23"/>
    <mergeCell ref="AI23:AI24"/>
    <mergeCell ref="AJ23:AJ24"/>
    <mergeCell ref="AK23:AK24"/>
    <mergeCell ref="AL23:AL24"/>
    <mergeCell ref="AM23:AM24"/>
    <mergeCell ref="AX23:AY23"/>
    <mergeCell ref="AZ23:AZ24"/>
    <mergeCell ref="BA23:BA24"/>
    <mergeCell ref="AT23:AT24"/>
    <mergeCell ref="AU23:AW23"/>
    <mergeCell ref="S26:S30"/>
    <mergeCell ref="T26:T30"/>
    <mergeCell ref="N26:N30"/>
    <mergeCell ref="O26:O30"/>
    <mergeCell ref="P26:P30"/>
    <mergeCell ref="Q26:Q30"/>
    <mergeCell ref="R26:R30"/>
    <mergeCell ref="M26:M30"/>
    <mergeCell ref="G26:G30"/>
    <mergeCell ref="H26:H30"/>
    <mergeCell ref="I26:I30"/>
    <mergeCell ref="A26:A30"/>
    <mergeCell ref="B26:B30"/>
    <mergeCell ref="K31:K63"/>
    <mergeCell ref="C26:C30"/>
    <mergeCell ref="D26:D30"/>
    <mergeCell ref="E26:E30"/>
    <mergeCell ref="F26:F30"/>
    <mergeCell ref="J26:J30"/>
    <mergeCell ref="K26:K30"/>
    <mergeCell ref="L26:L30"/>
    <mergeCell ref="A64:A68"/>
    <mergeCell ref="B64:B68"/>
    <mergeCell ref="C64:C68"/>
    <mergeCell ref="D64:D68"/>
    <mergeCell ref="E64:E68"/>
    <mergeCell ref="F64:F68"/>
    <mergeCell ref="G64:G68"/>
    <mergeCell ref="I31:I63"/>
    <mergeCell ref="J31:J63"/>
    <mergeCell ref="A31:A63"/>
    <mergeCell ref="B31:B63"/>
    <mergeCell ref="C31:C63"/>
    <mergeCell ref="D31:D63"/>
    <mergeCell ref="E31:E63"/>
    <mergeCell ref="F31:F63"/>
    <mergeCell ref="G31:G63"/>
    <mergeCell ref="H31:H63"/>
    <mergeCell ref="J64:J68"/>
    <mergeCell ref="K64:K68"/>
    <mergeCell ref="L64:L68"/>
    <mergeCell ref="M64:M68"/>
    <mergeCell ref="N64:N68"/>
    <mergeCell ref="AG32:AG53"/>
    <mergeCell ref="AH32:AH53"/>
    <mergeCell ref="AB32:AB53"/>
    <mergeCell ref="AC32:AC53"/>
    <mergeCell ref="AD32:AD53"/>
    <mergeCell ref="AE32:AE53"/>
    <mergeCell ref="AF32:AF53"/>
    <mergeCell ref="L31:L63"/>
    <mergeCell ref="M31:M63"/>
    <mergeCell ref="N31:N63"/>
    <mergeCell ref="AA32:AA53"/>
    <mergeCell ref="U32:U53"/>
    <mergeCell ref="V32:V53"/>
    <mergeCell ref="W32:W53"/>
    <mergeCell ref="X32:X53"/>
    <mergeCell ref="Y32:Y53"/>
    <mergeCell ref="Z32:Z53"/>
    <mergeCell ref="O31:O63"/>
    <mergeCell ref="P31:P63"/>
    <mergeCell ref="Q31:Q63"/>
    <mergeCell ref="R31:R63"/>
    <mergeCell ref="S31:S63"/>
    <mergeCell ref="T31:T63"/>
    <mergeCell ref="D69:D70"/>
    <mergeCell ref="E69:E70"/>
    <mergeCell ref="F69:F70"/>
    <mergeCell ref="O64:O68"/>
    <mergeCell ref="P64:P68"/>
    <mergeCell ref="Q64:Q68"/>
    <mergeCell ref="R64:R68"/>
    <mergeCell ref="S64:S68"/>
    <mergeCell ref="S69:S70"/>
    <mergeCell ref="H64:H68"/>
    <mergeCell ref="T69:T70"/>
    <mergeCell ref="N69:N70"/>
    <mergeCell ref="O69:O70"/>
    <mergeCell ref="P69:P70"/>
    <mergeCell ref="Q69:Q70"/>
    <mergeCell ref="R69:R70"/>
    <mergeCell ref="T64:T68"/>
    <mergeCell ref="I64:I68"/>
    <mergeCell ref="M69:M70"/>
    <mergeCell ref="G69:G70"/>
    <mergeCell ref="H69:H70"/>
    <mergeCell ref="I69:I70"/>
    <mergeCell ref="J69:J70"/>
    <mergeCell ref="K69:K70"/>
    <mergeCell ref="L69:L70"/>
    <mergeCell ref="A69:A70"/>
    <mergeCell ref="B69:B70"/>
    <mergeCell ref="C69:C70"/>
    <mergeCell ref="A77:K77"/>
    <mergeCell ref="O71:O72"/>
    <mergeCell ref="A71:A72"/>
    <mergeCell ref="B71:B72"/>
    <mergeCell ref="C71:C72"/>
    <mergeCell ref="D71:D72"/>
    <mergeCell ref="E71:E72"/>
    <mergeCell ref="F71:F72"/>
    <mergeCell ref="G71:G72"/>
    <mergeCell ref="H71:H72"/>
    <mergeCell ref="P71:P72"/>
    <mergeCell ref="Q71:Q72"/>
    <mergeCell ref="R71:R72"/>
    <mergeCell ref="S71:S72"/>
    <mergeCell ref="T71:T72"/>
    <mergeCell ref="I71:I72"/>
    <mergeCell ref="J71:J72"/>
    <mergeCell ref="K71:K72"/>
    <mergeCell ref="L71:L72"/>
    <mergeCell ref="M71:M72"/>
    <mergeCell ref="N71:N72"/>
  </mergeCells>
  <pageMargins left="0.511811024" right="0.511811024" top="0.78740157499999996" bottom="0.78740157499999996" header="0.31496062000000002" footer="0.31496062000000002"/>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05"/>
  <sheetViews>
    <sheetView workbookViewId="0">
      <selection sqref="A1:XFD11"/>
    </sheetView>
  </sheetViews>
  <sheetFormatPr defaultRowHeight="15" x14ac:dyDescent="0.25"/>
  <cols>
    <col min="1" max="1" width="4.28515625" style="420" bestFit="1" customWidth="1"/>
    <col min="2" max="2" width="14.7109375" style="420" bestFit="1" customWidth="1"/>
    <col min="3" max="3" width="10.7109375" style="427" customWidth="1"/>
    <col min="4" max="4" width="12.7109375" style="420" customWidth="1"/>
    <col min="5" max="5" width="14.42578125" style="420" customWidth="1"/>
    <col min="6" max="6" width="34.28515625" style="420" customWidth="1"/>
    <col min="7" max="7" width="11.42578125" style="420" customWidth="1"/>
    <col min="8" max="8" width="9.140625" style="420"/>
    <col min="9" max="9" width="26.5703125" style="420" customWidth="1"/>
    <col min="10" max="10" width="15.5703125" style="420" customWidth="1"/>
    <col min="11" max="11" width="10.7109375" style="420" bestFit="1" customWidth="1"/>
    <col min="12" max="12" width="11.28515625" style="420" customWidth="1"/>
    <col min="13" max="13" width="12.28515625" style="420" customWidth="1"/>
    <col min="14" max="15" width="10.7109375" style="420" bestFit="1" customWidth="1"/>
    <col min="16" max="17" width="10.42578125" style="420" customWidth="1"/>
    <col min="18" max="18" width="10.28515625" style="420" customWidth="1"/>
    <col min="19" max="19" width="14.42578125" style="420" customWidth="1"/>
    <col min="20" max="20" width="14" style="420" customWidth="1"/>
    <col min="21" max="21" width="11.28515625" style="420" customWidth="1"/>
    <col min="22" max="22" width="10.140625" style="420" bestFit="1" customWidth="1"/>
    <col min="23" max="23" width="14.7109375" style="420" customWidth="1"/>
    <col min="24" max="24" width="109.85546875" style="420" bestFit="1" customWidth="1"/>
    <col min="25" max="25" width="10.7109375" style="575" bestFit="1" customWidth="1"/>
    <col min="26" max="26" width="10.7109375" style="420" bestFit="1" customWidth="1"/>
    <col min="27" max="27" width="11.5703125" style="420" bestFit="1" customWidth="1"/>
    <col min="28" max="28" width="11.140625" style="420" customWidth="1"/>
    <col min="29" max="29" width="12.5703125" style="420" customWidth="1"/>
    <col min="30" max="30" width="12.42578125" style="420" bestFit="1" customWidth="1"/>
    <col min="31" max="31" width="12.28515625" style="420" customWidth="1"/>
    <col min="32" max="32" width="10.7109375" style="420" customWidth="1"/>
    <col min="33" max="33" width="12" style="428" customWidth="1"/>
    <col min="34" max="34" width="12.42578125" style="420" customWidth="1"/>
    <col min="35" max="35" width="9.140625" style="420"/>
    <col min="36" max="36" width="9.5703125" style="420" bestFit="1" customWidth="1"/>
    <col min="37" max="37" width="33" style="420" customWidth="1"/>
    <col min="38" max="38" width="13.5703125" style="420" customWidth="1"/>
    <col min="39" max="39" width="16.28515625" style="420" customWidth="1"/>
    <col min="40" max="40" width="17.28515625" style="420" customWidth="1"/>
    <col min="41" max="41" width="16.28515625" style="420" customWidth="1"/>
    <col min="42" max="42" width="10.140625" style="420" bestFit="1" customWidth="1"/>
    <col min="43" max="43" width="15.5703125" style="420" customWidth="1"/>
    <col min="44" max="44" width="10.140625" style="420" bestFit="1" customWidth="1"/>
    <col min="45" max="45" width="10.5703125" style="420" customWidth="1"/>
    <col min="46" max="46" width="13.7109375" style="420" customWidth="1"/>
    <col min="47" max="47" width="10.7109375" style="420" bestFit="1" customWidth="1"/>
    <col min="48" max="48" width="10.140625" style="420" bestFit="1" customWidth="1"/>
    <col min="49" max="50" width="9.140625" style="420"/>
    <col min="51" max="51" width="10.140625" style="420" bestFit="1" customWidth="1"/>
    <col min="52" max="52" width="12.7109375" style="420" customWidth="1"/>
    <col min="53" max="53" width="14.140625" style="420" customWidth="1"/>
    <col min="54" max="55" width="10.140625" style="420" bestFit="1" customWidth="1"/>
    <col min="56" max="56" width="28.140625" style="420"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x14ac:dyDescent="0.25">
      <c r="A12"/>
      <c r="B12"/>
      <c r="C12"/>
      <c r="D12"/>
      <c r="E12"/>
      <c r="F12"/>
      <c r="G12"/>
      <c r="H12"/>
      <c r="I12"/>
      <c r="J12"/>
      <c r="K12"/>
      <c r="L12" s="367"/>
      <c r="M12"/>
      <c r="N12"/>
      <c r="O12"/>
      <c r="P12"/>
      <c r="Q12"/>
      <c r="R12"/>
      <c r="S12"/>
      <c r="T12"/>
      <c r="U12"/>
      <c r="V12"/>
      <c r="W12"/>
      <c r="X12"/>
      <c r="Y12" s="1221"/>
      <c r="Z12"/>
      <c r="AA12"/>
      <c r="AB12"/>
      <c r="AC12"/>
      <c r="AD12"/>
      <c r="AE12" s="221"/>
      <c r="AF12"/>
      <c r="AG12"/>
      <c r="AH12"/>
      <c r="AI12"/>
      <c r="AJ12"/>
      <c r="AK12"/>
      <c r="AL12"/>
      <c r="AM12"/>
      <c r="AN12"/>
      <c r="AO12"/>
      <c r="AP12"/>
      <c r="AQ12"/>
      <c r="AR12"/>
      <c r="AS12"/>
      <c r="AT12"/>
      <c r="AU12"/>
      <c r="AV12"/>
      <c r="AW12"/>
      <c r="AX12"/>
      <c r="AY12"/>
      <c r="AZ12"/>
      <c r="BA12"/>
      <c r="BB12"/>
      <c r="BC12"/>
      <c r="BD12"/>
    </row>
    <row r="13" spans="1:56" s="1444" customFormat="1" ht="15.75" x14ac:dyDescent="0.25">
      <c r="A13" s="2316" t="s">
        <v>1</v>
      </c>
      <c r="B13" s="2316"/>
      <c r="C13" s="2316"/>
      <c r="D13" s="2316"/>
      <c r="E13" s="2316"/>
      <c r="F13" s="2316"/>
      <c r="G13" s="2316"/>
      <c r="H13" s="2316"/>
      <c r="I13" s="2316"/>
      <c r="J13" s="2316"/>
      <c r="K13" s="2316"/>
      <c r="L13" s="2316"/>
      <c r="M13" s="2316"/>
      <c r="N13" s="2316"/>
      <c r="O13" s="2316"/>
      <c r="P13" s="2316"/>
      <c r="Q13" s="2316"/>
      <c r="R13" s="2316"/>
      <c r="S13" s="2316"/>
      <c r="T13" s="2316"/>
      <c r="U13" s="2316"/>
      <c r="V13" s="2316"/>
      <c r="W13" s="2316"/>
      <c r="X13" s="2316"/>
      <c r="Y13" s="2316"/>
      <c r="Z13" s="2316"/>
      <c r="AA13" s="2316"/>
      <c r="AB13" s="2316"/>
      <c r="AC13" s="2316"/>
      <c r="AD13" s="2316"/>
      <c r="AE13" s="2316"/>
      <c r="AF13" s="2316"/>
      <c r="AG13" s="2316"/>
      <c r="AH13" s="2316"/>
      <c r="AI13" s="2316"/>
      <c r="AJ13" s="2316"/>
      <c r="AK13" s="2316"/>
      <c r="AL13" s="2316"/>
      <c r="AM13" s="2316"/>
      <c r="AN13" s="2316"/>
      <c r="AO13" s="2316"/>
      <c r="AP13" s="2316"/>
      <c r="AQ13" s="2316"/>
      <c r="AR13" s="2316"/>
      <c r="AS13" s="2316"/>
      <c r="AT13" s="1443"/>
      <c r="AU13" s="1443"/>
      <c r="AV13" s="1443"/>
      <c r="AW13" s="1443"/>
      <c r="AX13" s="1443"/>
      <c r="AY13" s="1443"/>
      <c r="AZ13" s="1443"/>
      <c r="BA13" s="1443"/>
      <c r="BB13" s="1443"/>
      <c r="BC13" s="1443"/>
      <c r="BD13" s="1443"/>
    </row>
    <row r="14" spans="1:56" s="1444" customFormat="1" ht="15.75" x14ac:dyDescent="0.25">
      <c r="A14" s="2316" t="s">
        <v>2</v>
      </c>
      <c r="B14" s="2316"/>
      <c r="C14" s="2316"/>
      <c r="D14" s="2316"/>
      <c r="E14" s="2316"/>
      <c r="F14" s="2316"/>
      <c r="G14" s="2316"/>
      <c r="H14" s="2316"/>
      <c r="I14" s="2316"/>
      <c r="J14" s="2316"/>
      <c r="K14" s="1445"/>
      <c r="L14" s="1446"/>
      <c r="M14" s="1447"/>
      <c r="N14" s="1445"/>
      <c r="O14" s="1445"/>
      <c r="P14" s="1448"/>
      <c r="Q14" s="1445"/>
      <c r="R14" s="1445"/>
      <c r="S14" s="1445"/>
      <c r="T14" s="1445"/>
      <c r="U14" s="1448"/>
      <c r="V14" s="1445"/>
      <c r="W14" s="1448"/>
      <c r="X14" s="1445"/>
      <c r="Y14" s="1445"/>
      <c r="Z14" s="1445"/>
      <c r="AA14" s="1445"/>
      <c r="AB14" s="1445"/>
      <c r="AC14" s="1446"/>
      <c r="AD14" s="1445"/>
      <c r="AE14" s="1446"/>
      <c r="AF14" s="1446"/>
      <c r="AG14" s="1446"/>
      <c r="AH14" s="1446"/>
      <c r="AI14" s="1449"/>
      <c r="AJ14" s="1449"/>
      <c r="AK14" s="1445"/>
      <c r="AL14" s="1445"/>
      <c r="AM14" s="1448"/>
      <c r="AN14" s="1445"/>
      <c r="AO14" s="1445"/>
      <c r="AP14" s="1445"/>
      <c r="AQ14" s="1445"/>
      <c r="AR14" s="1445"/>
      <c r="AS14" s="1445"/>
      <c r="AT14" s="1443"/>
      <c r="AU14" s="1443"/>
      <c r="AV14" s="1443"/>
      <c r="AW14" s="1443"/>
      <c r="AX14" s="1443"/>
      <c r="AY14" s="1443"/>
      <c r="AZ14" s="1443"/>
      <c r="BA14" s="1443"/>
      <c r="BB14" s="1443"/>
      <c r="BC14" s="1443"/>
      <c r="BD14" s="1443"/>
    </row>
    <row r="15" spans="1:56" s="1444" customFormat="1" ht="15.75" x14ac:dyDescent="0.25">
      <c r="A15" s="2316" t="s">
        <v>3</v>
      </c>
      <c r="B15" s="2316"/>
      <c r="C15" s="2316"/>
      <c r="D15" s="2316"/>
      <c r="E15" s="2316"/>
      <c r="F15" s="1445"/>
      <c r="G15" s="1450"/>
      <c r="H15" s="1448"/>
      <c r="I15" s="1445"/>
      <c r="J15" s="1451"/>
      <c r="K15" s="1445"/>
      <c r="L15" s="1446"/>
      <c r="M15" s="1447"/>
      <c r="N15" s="1445"/>
      <c r="O15" s="1445"/>
      <c r="P15" s="1448"/>
      <c r="Q15" s="1445"/>
      <c r="R15" s="1445"/>
      <c r="S15" s="1445"/>
      <c r="T15" s="1445"/>
      <c r="U15" s="1448"/>
      <c r="V15" s="1445"/>
      <c r="W15" s="1448"/>
      <c r="X15" s="1445"/>
      <c r="Y15" s="1445"/>
      <c r="Z15" s="1445"/>
      <c r="AA15" s="1445"/>
      <c r="AB15" s="1445"/>
      <c r="AC15" s="1446"/>
      <c r="AD15" s="1445"/>
      <c r="AE15" s="1446"/>
      <c r="AF15" s="1446"/>
      <c r="AG15" s="1446"/>
      <c r="AH15" s="1446"/>
      <c r="AI15" s="1449"/>
      <c r="AJ15" s="1449"/>
      <c r="AK15" s="1445"/>
      <c r="AL15" s="1445"/>
      <c r="AM15" s="1448"/>
      <c r="AN15" s="1445"/>
      <c r="AO15" s="1445"/>
      <c r="AP15" s="1445"/>
      <c r="AQ15" s="1445"/>
      <c r="AR15" s="1445"/>
      <c r="AS15" s="1445"/>
      <c r="AT15" s="1443"/>
      <c r="AU15" s="1443"/>
      <c r="AV15" s="1443"/>
      <c r="AW15" s="1443"/>
      <c r="AX15" s="1443"/>
      <c r="AY15" s="1443"/>
      <c r="AZ15" s="1443"/>
      <c r="BA15" s="1443"/>
      <c r="BB15" s="1443"/>
      <c r="BC15" s="1443"/>
      <c r="BD15" s="1443"/>
    </row>
    <row r="16" spans="1:56" s="1444" customFormat="1" ht="15.75" x14ac:dyDescent="0.25">
      <c r="A16" s="1447"/>
      <c r="B16" s="1452"/>
      <c r="C16" s="1448"/>
      <c r="D16" s="1445"/>
      <c r="E16" s="1443"/>
      <c r="F16" s="1445"/>
      <c r="G16" s="1450"/>
      <c r="H16" s="1448"/>
      <c r="I16" s="1445"/>
      <c r="J16" s="1447"/>
      <c r="K16" s="1448"/>
      <c r="L16" s="1453"/>
      <c r="M16" s="1447"/>
      <c r="N16" s="1448"/>
      <c r="O16" s="1448"/>
      <c r="P16" s="1448"/>
      <c r="Q16" s="1448"/>
      <c r="R16" s="1448"/>
      <c r="S16" s="1448"/>
      <c r="T16" s="1448"/>
      <c r="U16" s="1448"/>
      <c r="V16" s="1448"/>
      <c r="W16" s="1448"/>
      <c r="X16" s="1448"/>
      <c r="Y16" s="1448"/>
      <c r="Z16" s="1448"/>
      <c r="AA16" s="1448"/>
      <c r="AB16" s="1448"/>
      <c r="AC16" s="1453"/>
      <c r="AD16" s="1448"/>
      <c r="AE16" s="1453"/>
      <c r="AF16" s="1453"/>
      <c r="AG16" s="1453"/>
      <c r="AH16" s="1453"/>
      <c r="AI16" s="1454"/>
      <c r="AJ16" s="1454"/>
      <c r="AK16" s="1448"/>
      <c r="AL16" s="1448"/>
      <c r="AM16" s="1448"/>
      <c r="AN16" s="1448"/>
      <c r="AO16" s="1448"/>
      <c r="AP16" s="1448"/>
      <c r="AQ16" s="1448"/>
      <c r="AR16" s="1448"/>
      <c r="AS16" s="1448"/>
      <c r="AT16" s="1443"/>
      <c r="AU16" s="1443"/>
      <c r="AV16" s="1443"/>
      <c r="AW16" s="1443"/>
      <c r="AX16" s="1443"/>
      <c r="AY16" s="1443"/>
      <c r="AZ16" s="1443"/>
      <c r="BA16" s="1443"/>
      <c r="BB16" s="1443"/>
      <c r="BC16" s="1443"/>
      <c r="BD16" s="1443"/>
    </row>
    <row r="17" spans="1:56" s="1444" customFormat="1" ht="15.75" x14ac:dyDescent="0.25">
      <c r="A17" s="2316" t="s">
        <v>7556</v>
      </c>
      <c r="B17" s="2316"/>
      <c r="C17" s="2316"/>
      <c r="D17" s="2316"/>
      <c r="E17" s="2316"/>
      <c r="F17" s="2316"/>
      <c r="G17" s="2316"/>
      <c r="H17" s="2316"/>
      <c r="I17" s="2316"/>
      <c r="J17" s="2316"/>
      <c r="K17" s="2316"/>
      <c r="L17" s="2316"/>
      <c r="M17" s="2316"/>
      <c r="N17" s="2316"/>
      <c r="O17" s="2316"/>
      <c r="P17" s="2316"/>
      <c r="Q17" s="2316"/>
      <c r="R17" s="2316"/>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316"/>
      <c r="AS17" s="2316"/>
      <c r="AT17" s="1443"/>
      <c r="AU17" s="1443"/>
      <c r="AV17" s="1443"/>
      <c r="AW17" s="1443"/>
      <c r="AX17" s="1443"/>
      <c r="AY17" s="1443"/>
      <c r="AZ17" s="1443"/>
      <c r="BA17" s="1443"/>
      <c r="BB17" s="1443"/>
      <c r="BC17" s="1443"/>
      <c r="BD17" s="1443"/>
    </row>
    <row r="18" spans="1:56" s="1444" customFormat="1" ht="15.75" x14ac:dyDescent="0.25">
      <c r="A18" s="2316" t="s">
        <v>7557</v>
      </c>
      <c r="B18" s="2316"/>
      <c r="C18" s="2316"/>
      <c r="D18" s="2316"/>
      <c r="E18" s="2316"/>
      <c r="F18" s="2316"/>
      <c r="G18" s="2316"/>
      <c r="H18" s="2316"/>
      <c r="I18" s="2316"/>
      <c r="J18" s="2316"/>
      <c r="K18" s="2316"/>
      <c r="L18" s="2316"/>
      <c r="M18" s="2316"/>
      <c r="N18" s="2316"/>
      <c r="O18" s="2316"/>
      <c r="P18" s="2316"/>
      <c r="Q18" s="2316"/>
      <c r="R18" s="2316"/>
      <c r="S18" s="2316"/>
      <c r="T18" s="2316"/>
      <c r="U18" s="2316"/>
      <c r="V18" s="2316"/>
      <c r="W18" s="2316"/>
      <c r="X18" s="2316"/>
      <c r="Y18" s="2316"/>
      <c r="Z18" s="2316"/>
      <c r="AA18" s="2316"/>
      <c r="AB18" s="2316"/>
      <c r="AC18" s="2316"/>
      <c r="AD18" s="2316"/>
      <c r="AE18" s="2316"/>
      <c r="AF18" s="2316"/>
      <c r="AG18" s="2316"/>
      <c r="AH18" s="2316"/>
      <c r="AI18" s="2316"/>
      <c r="AJ18" s="2316"/>
      <c r="AK18" s="2316"/>
      <c r="AL18" s="2316"/>
      <c r="AM18" s="2316"/>
      <c r="AN18" s="2316"/>
      <c r="AO18" s="2316"/>
      <c r="AP18" s="2316"/>
      <c r="AQ18" s="2316"/>
      <c r="AR18" s="2316"/>
      <c r="AS18" s="2316"/>
      <c r="AT18" s="1443"/>
      <c r="AU18" s="1443"/>
      <c r="AV18" s="1443"/>
      <c r="AW18" s="1443"/>
      <c r="AX18" s="1443"/>
      <c r="AY18" s="1443"/>
      <c r="AZ18" s="1443"/>
      <c r="BA18" s="1443"/>
      <c r="BB18" s="1443"/>
      <c r="BC18" s="1443"/>
      <c r="BD18" s="1443"/>
    </row>
    <row r="19" spans="1:56" s="221" customFormat="1" x14ac:dyDescent="0.25">
      <c r="A19" s="2317"/>
      <c r="B19" s="2317"/>
      <c r="C19" s="2317"/>
      <c r="D19" s="2317"/>
      <c r="E19" s="2317"/>
      <c r="F19" s="2317"/>
      <c r="G19" s="2317"/>
      <c r="H19" s="2317"/>
      <c r="I19" s="1433"/>
      <c r="J19" s="1436"/>
      <c r="K19" s="1434"/>
      <c r="L19" s="1437"/>
      <c r="M19" s="1436"/>
      <c r="N19" s="1434"/>
      <c r="O19" s="1434"/>
      <c r="P19" s="1434"/>
      <c r="Q19" s="1434"/>
      <c r="R19" s="1434"/>
      <c r="S19" s="1434"/>
      <c r="T19" s="1434"/>
      <c r="U19" s="1434"/>
      <c r="V19" s="1434"/>
      <c r="W19" s="1434"/>
      <c r="X19" s="1434"/>
      <c r="Y19" s="1434"/>
      <c r="Z19" s="1434"/>
      <c r="AA19" s="1434"/>
      <c r="AB19" s="1434"/>
      <c r="AC19" s="1437"/>
      <c r="AD19" s="1434"/>
      <c r="AE19" s="1437"/>
      <c r="AF19" s="1437"/>
      <c r="AG19" s="1437"/>
      <c r="AH19" s="1437"/>
      <c r="AI19" s="1438"/>
      <c r="AJ19" s="1438"/>
      <c r="AK19" s="1434"/>
      <c r="AL19" s="1434"/>
      <c r="AM19" s="1434"/>
      <c r="AN19" s="1434"/>
      <c r="AO19" s="1434"/>
      <c r="AP19" s="1434"/>
      <c r="AQ19" s="1434"/>
      <c r="AR19" s="1434"/>
      <c r="AS19" s="1435"/>
      <c r="AT19" s="1435"/>
      <c r="AU19" s="1435"/>
      <c r="AV19" s="1435"/>
      <c r="AW19" s="1435"/>
      <c r="AX19" s="1435"/>
      <c r="AY19" s="1435"/>
      <c r="AZ19" s="1435"/>
      <c r="BA19" s="1435"/>
      <c r="BB19" s="1435"/>
      <c r="BC19" s="1435"/>
      <c r="BD19" s="1435"/>
    </row>
    <row r="20" spans="1:56" s="221" customFormat="1" ht="15.75" thickBot="1" x14ac:dyDescent="0.3">
      <c r="A20" s="1439"/>
      <c r="B20" s="1440"/>
      <c r="C20" s="1441"/>
      <c r="D20" s="1439"/>
      <c r="E20" s="1439"/>
      <c r="F20" s="1439"/>
      <c r="G20" s="1439"/>
      <c r="H20" s="1439"/>
      <c r="I20" s="1439"/>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42"/>
      <c r="AH20" s="143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439"/>
      <c r="BD20" s="1439"/>
    </row>
    <row r="21" spans="1:56" x14ac:dyDescent="0.25">
      <c r="A21" s="2318" t="s">
        <v>5</v>
      </c>
      <c r="B21" s="2068" t="s">
        <v>6</v>
      </c>
      <c r="C21" s="2049"/>
      <c r="D21" s="2049"/>
      <c r="E21" s="2049"/>
      <c r="F21" s="2049"/>
      <c r="G21" s="2049"/>
      <c r="H21" s="2049" t="s">
        <v>7</v>
      </c>
      <c r="I21" s="2049"/>
      <c r="J21" s="2049"/>
      <c r="K21" s="2049"/>
      <c r="L21" s="2049"/>
      <c r="M21" s="2049"/>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t="s">
        <v>8</v>
      </c>
      <c r="AJ21" s="2049"/>
      <c r="AK21" s="2049"/>
      <c r="AL21" s="2049"/>
      <c r="AM21" s="2049" t="s">
        <v>9</v>
      </c>
      <c r="AN21" s="2049"/>
      <c r="AO21" s="2049"/>
      <c r="AP21" s="2049"/>
      <c r="AQ21" s="2049"/>
      <c r="AR21" s="2049"/>
      <c r="AS21" s="2049" t="s">
        <v>10</v>
      </c>
      <c r="AT21" s="2049"/>
      <c r="AU21" s="2049"/>
      <c r="AV21" s="2049"/>
      <c r="AW21" s="2049"/>
      <c r="AX21" s="2049"/>
      <c r="AY21" s="2049"/>
      <c r="AZ21" s="2049"/>
      <c r="BA21" s="2049"/>
      <c r="BB21" s="2049"/>
      <c r="BC21" s="2049"/>
      <c r="BD21" s="2051"/>
    </row>
    <row r="22" spans="1:56" x14ac:dyDescent="0.25">
      <c r="A22" s="2319"/>
      <c r="B22" s="2069"/>
      <c r="C22" s="2050"/>
      <c r="D22" s="2050"/>
      <c r="E22" s="2050"/>
      <c r="F22" s="2050"/>
      <c r="G22" s="2050"/>
      <c r="H22" s="2050" t="s">
        <v>11</v>
      </c>
      <c r="I22" s="2050"/>
      <c r="J22" s="2050"/>
      <c r="K22" s="2050"/>
      <c r="L22" s="2050"/>
      <c r="M22" s="2050"/>
      <c r="N22" s="2050"/>
      <c r="O22" s="2050"/>
      <c r="P22" s="2050"/>
      <c r="Q22" s="2050"/>
      <c r="R22" s="2050"/>
      <c r="S22" s="2050"/>
      <c r="T22" s="2050"/>
      <c r="U22" s="2050" t="s">
        <v>12</v>
      </c>
      <c r="V22" s="2050"/>
      <c r="W22" s="2050"/>
      <c r="X22" s="2050"/>
      <c r="Y22" s="2050"/>
      <c r="Z22" s="2050"/>
      <c r="AA22" s="2050"/>
      <c r="AB22" s="2050"/>
      <c r="AC22" s="2050"/>
      <c r="AD22" s="2050"/>
      <c r="AE22" s="2050" t="s">
        <v>13</v>
      </c>
      <c r="AF22" s="2050"/>
      <c r="AG22" s="2050"/>
      <c r="AH22" s="2050"/>
      <c r="AI22" s="2315" t="s">
        <v>14</v>
      </c>
      <c r="AJ22" s="2315" t="s">
        <v>15</v>
      </c>
      <c r="AK22" s="2050" t="s">
        <v>16</v>
      </c>
      <c r="AL22" s="2050" t="s">
        <v>581</v>
      </c>
      <c r="AM22" s="2050" t="s">
        <v>18</v>
      </c>
      <c r="AN22" s="2050" t="s">
        <v>19</v>
      </c>
      <c r="AO22" s="2050" t="s">
        <v>20</v>
      </c>
      <c r="AP22" s="2050" t="s">
        <v>21</v>
      </c>
      <c r="AQ22" s="2050" t="s">
        <v>22</v>
      </c>
      <c r="AR22" s="2050" t="s">
        <v>21</v>
      </c>
      <c r="AS22" s="2050" t="s">
        <v>23</v>
      </c>
      <c r="AT22" s="2050" t="s">
        <v>24</v>
      </c>
      <c r="AU22" s="2050" t="s">
        <v>25</v>
      </c>
      <c r="AV22" s="2050"/>
      <c r="AW22" s="2050"/>
      <c r="AX22" s="2050" t="s">
        <v>26</v>
      </c>
      <c r="AY22" s="2050"/>
      <c r="AZ22" s="2050" t="s">
        <v>27</v>
      </c>
      <c r="BA22" s="2050" t="s">
        <v>28</v>
      </c>
      <c r="BB22" s="2050" t="s">
        <v>29</v>
      </c>
      <c r="BC22" s="2050"/>
      <c r="BD22" s="2052"/>
    </row>
    <row r="23" spans="1:56" ht="51" x14ac:dyDescent="0.25">
      <c r="A23" s="2319"/>
      <c r="B23" s="1025" t="s">
        <v>30</v>
      </c>
      <c r="C23" s="1026" t="s">
        <v>31</v>
      </c>
      <c r="D23" s="1026" t="s">
        <v>32</v>
      </c>
      <c r="E23" s="1026" t="s">
        <v>23</v>
      </c>
      <c r="F23" s="1026" t="s">
        <v>33</v>
      </c>
      <c r="G23" s="1170" t="s">
        <v>34</v>
      </c>
      <c r="H23" s="311" t="s">
        <v>35</v>
      </c>
      <c r="I23" s="1026" t="s">
        <v>36</v>
      </c>
      <c r="J23" s="1026" t="s">
        <v>37</v>
      </c>
      <c r="K23" s="1026" t="s">
        <v>38</v>
      </c>
      <c r="L23" s="1470" t="s">
        <v>39</v>
      </c>
      <c r="M23" s="1026" t="s">
        <v>40</v>
      </c>
      <c r="N23" s="1026" t="s">
        <v>41</v>
      </c>
      <c r="O23" s="1026" t="s">
        <v>42</v>
      </c>
      <c r="P23" s="1026" t="s">
        <v>43</v>
      </c>
      <c r="Q23" s="1026" t="s">
        <v>44</v>
      </c>
      <c r="R23" s="1026" t="s">
        <v>45</v>
      </c>
      <c r="S23" s="1026" t="s">
        <v>46</v>
      </c>
      <c r="T23" s="1026" t="s">
        <v>47</v>
      </c>
      <c r="U23" s="1026" t="s">
        <v>48</v>
      </c>
      <c r="V23" s="1026" t="s">
        <v>38</v>
      </c>
      <c r="W23" s="1026" t="s">
        <v>40</v>
      </c>
      <c r="X23" s="1026" t="s">
        <v>49</v>
      </c>
      <c r="Y23" s="1026" t="s">
        <v>41</v>
      </c>
      <c r="Z23" s="1026" t="s">
        <v>42</v>
      </c>
      <c r="AA23" s="1026" t="s">
        <v>50</v>
      </c>
      <c r="AB23" s="1026" t="s">
        <v>51</v>
      </c>
      <c r="AC23" s="1470" t="s">
        <v>52</v>
      </c>
      <c r="AD23" s="1026" t="s">
        <v>53</v>
      </c>
      <c r="AE23" s="1470" t="s">
        <v>54</v>
      </c>
      <c r="AF23" s="1470" t="s">
        <v>55</v>
      </c>
      <c r="AG23" s="1470" t="s">
        <v>56</v>
      </c>
      <c r="AH23" s="1470" t="s">
        <v>57</v>
      </c>
      <c r="AI23" s="2315"/>
      <c r="AJ23" s="2315"/>
      <c r="AK23" s="2050"/>
      <c r="AL23" s="2050"/>
      <c r="AM23" s="2050"/>
      <c r="AN23" s="2050"/>
      <c r="AO23" s="2050"/>
      <c r="AP23" s="2050"/>
      <c r="AQ23" s="2050"/>
      <c r="AR23" s="2050"/>
      <c r="AS23" s="2050"/>
      <c r="AT23" s="2050"/>
      <c r="AU23" s="1026" t="s">
        <v>58</v>
      </c>
      <c r="AV23" s="1026" t="s">
        <v>59</v>
      </c>
      <c r="AW23" s="1026" t="s">
        <v>60</v>
      </c>
      <c r="AX23" s="1026" t="s">
        <v>61</v>
      </c>
      <c r="AY23" s="1026" t="s">
        <v>62</v>
      </c>
      <c r="AZ23" s="2050"/>
      <c r="BA23" s="2050"/>
      <c r="BB23" s="1026" t="s">
        <v>58</v>
      </c>
      <c r="BC23" s="1026" t="s">
        <v>63</v>
      </c>
      <c r="BD23" s="1027" t="s">
        <v>64</v>
      </c>
    </row>
    <row r="24" spans="1:56" ht="26.25" thickBot="1" x14ac:dyDescent="0.3">
      <c r="A24" s="2320"/>
      <c r="B24" s="16" t="s">
        <v>65</v>
      </c>
      <c r="C24" s="11" t="s">
        <v>66</v>
      </c>
      <c r="D24" s="12" t="s">
        <v>67</v>
      </c>
      <c r="E24" s="11" t="s">
        <v>68</v>
      </c>
      <c r="F24" s="11" t="s">
        <v>69</v>
      </c>
      <c r="G24" s="693" t="s">
        <v>70</v>
      </c>
      <c r="H24" s="12" t="s">
        <v>71</v>
      </c>
      <c r="I24" s="11" t="s">
        <v>72</v>
      </c>
      <c r="J24" s="11" t="s">
        <v>73</v>
      </c>
      <c r="K24" s="11" t="s">
        <v>74</v>
      </c>
      <c r="L24" s="1498" t="s">
        <v>75</v>
      </c>
      <c r="M24" s="11" t="s">
        <v>76</v>
      </c>
      <c r="N24" s="11" t="s">
        <v>77</v>
      </c>
      <c r="O24" s="11" t="s">
        <v>78</v>
      </c>
      <c r="P24" s="11" t="s">
        <v>79</v>
      </c>
      <c r="Q24" s="11" t="s">
        <v>80</v>
      </c>
      <c r="R24" s="11" t="s">
        <v>81</v>
      </c>
      <c r="S24" s="11" t="s">
        <v>82</v>
      </c>
      <c r="T24" s="11" t="s">
        <v>83</v>
      </c>
      <c r="U24" s="11" t="s">
        <v>84</v>
      </c>
      <c r="V24" s="11" t="s">
        <v>85</v>
      </c>
      <c r="W24" s="11" t="s">
        <v>86</v>
      </c>
      <c r="X24" s="11" t="s">
        <v>87</v>
      </c>
      <c r="Y24" s="11" t="s">
        <v>88</v>
      </c>
      <c r="Z24" s="11" t="s">
        <v>89</v>
      </c>
      <c r="AA24" s="11" t="s">
        <v>90</v>
      </c>
      <c r="AB24" s="11" t="s">
        <v>91</v>
      </c>
      <c r="AC24" s="1498" t="s">
        <v>92</v>
      </c>
      <c r="AD24" s="11" t="s">
        <v>93</v>
      </c>
      <c r="AE24" s="1498" t="s">
        <v>94</v>
      </c>
      <c r="AF24" s="1498" t="s">
        <v>95</v>
      </c>
      <c r="AG24" s="1498" t="s">
        <v>96</v>
      </c>
      <c r="AH24" s="1498" t="s">
        <v>97</v>
      </c>
      <c r="AI24" s="1499" t="s">
        <v>98</v>
      </c>
      <c r="AJ24" s="1499" t="s">
        <v>99</v>
      </c>
      <c r="AK24" s="11" t="s">
        <v>100</v>
      </c>
      <c r="AL24" s="11" t="s">
        <v>101</v>
      </c>
      <c r="AM24" s="11" t="s">
        <v>102</v>
      </c>
      <c r="AN24" s="11" t="s">
        <v>103</v>
      </c>
      <c r="AO24" s="11" t="s">
        <v>104</v>
      </c>
      <c r="AP24" s="11" t="s">
        <v>105</v>
      </c>
      <c r="AQ24" s="11" t="s">
        <v>106</v>
      </c>
      <c r="AR24" s="11" t="s">
        <v>107</v>
      </c>
      <c r="AS24" s="11" t="s">
        <v>108</v>
      </c>
      <c r="AT24" s="11" t="s">
        <v>109</v>
      </c>
      <c r="AU24" s="11" t="s">
        <v>110</v>
      </c>
      <c r="AV24" s="11" t="s">
        <v>111</v>
      </c>
      <c r="AW24" s="11" t="s">
        <v>112</v>
      </c>
      <c r="AX24" s="11" t="s">
        <v>113</v>
      </c>
      <c r="AY24" s="11" t="s">
        <v>114</v>
      </c>
      <c r="AZ24" s="11" t="s">
        <v>115</v>
      </c>
      <c r="BA24" s="11" t="s">
        <v>116</v>
      </c>
      <c r="BB24" s="11" t="s">
        <v>117</v>
      </c>
      <c r="BC24" s="11" t="s">
        <v>118</v>
      </c>
      <c r="BD24" s="13" t="s">
        <v>119</v>
      </c>
    </row>
    <row r="25" spans="1:56" ht="108.75" customHeight="1" x14ac:dyDescent="0.25">
      <c r="A25" s="2291">
        <v>1</v>
      </c>
      <c r="B25" s="2224">
        <v>131940008</v>
      </c>
      <c r="C25" s="2321"/>
      <c r="D25" s="2234" t="s">
        <v>690</v>
      </c>
      <c r="E25" s="2323"/>
      <c r="F25" s="2325" t="s">
        <v>1303</v>
      </c>
      <c r="G25" s="2164" t="s">
        <v>677</v>
      </c>
      <c r="H25" s="2164" t="s">
        <v>1304</v>
      </c>
      <c r="I25" s="2232" t="s">
        <v>1305</v>
      </c>
      <c r="J25" s="2164" t="s">
        <v>1306</v>
      </c>
      <c r="K25" s="2246">
        <v>41271</v>
      </c>
      <c r="L25" s="2283">
        <v>2901</v>
      </c>
      <c r="M25" s="1995">
        <v>10982</v>
      </c>
      <c r="N25" s="2236" t="s">
        <v>1307</v>
      </c>
      <c r="O25" s="1997">
        <v>41364</v>
      </c>
      <c r="P25" s="2236" t="s">
        <v>1308</v>
      </c>
      <c r="Q25" s="1986"/>
      <c r="R25" s="1986"/>
      <c r="S25" s="1986"/>
      <c r="T25" s="2236" t="s">
        <v>1309</v>
      </c>
      <c r="U25" s="1388" t="s">
        <v>867</v>
      </c>
      <c r="V25" s="1392">
        <v>41360</v>
      </c>
      <c r="W25" s="1069">
        <v>11020</v>
      </c>
      <c r="X25" s="717" t="s">
        <v>1310</v>
      </c>
      <c r="Y25" s="1392">
        <v>41365</v>
      </c>
      <c r="Z25" s="1392">
        <v>41730</v>
      </c>
      <c r="AA25" s="1481">
        <v>12.823600000000001</v>
      </c>
      <c r="AB25" s="1482"/>
      <c r="AC25" s="256">
        <v>13092</v>
      </c>
      <c r="AD25" s="1039"/>
      <c r="AE25" s="2290">
        <f>L25-AD25+AC25-AD26+AC26</f>
        <v>29840.16</v>
      </c>
      <c r="AF25" s="2290">
        <v>12720</v>
      </c>
      <c r="AG25" s="2290">
        <v>13658.37</v>
      </c>
      <c r="AH25" s="2290">
        <f>AF25+AG25</f>
        <v>26378.370000000003</v>
      </c>
      <c r="AI25" s="1111"/>
      <c r="AJ25" s="1111"/>
      <c r="AK25" s="647"/>
      <c r="AL25" s="647"/>
      <c r="AM25" s="1986" t="s">
        <v>1311</v>
      </c>
      <c r="AN25" s="1986" t="s">
        <v>1312</v>
      </c>
      <c r="AO25" s="1995">
        <v>10973</v>
      </c>
      <c r="AP25" s="1997">
        <v>41296</v>
      </c>
      <c r="AQ25" s="1995">
        <v>10974</v>
      </c>
      <c r="AR25" s="1997">
        <v>41297</v>
      </c>
      <c r="AS25" s="1039"/>
      <c r="AT25" s="1039"/>
      <c r="AU25" s="1039"/>
      <c r="AV25" s="1039"/>
      <c r="AW25" s="1039"/>
      <c r="AX25" s="1039"/>
      <c r="AY25" s="1039"/>
      <c r="AZ25" s="1039"/>
      <c r="BA25" s="1039"/>
      <c r="BB25" s="1039"/>
      <c r="BC25" s="1039"/>
      <c r="BD25" s="1039"/>
    </row>
    <row r="26" spans="1:56" x14ac:dyDescent="0.25">
      <c r="A26" s="2286"/>
      <c r="B26" s="2309"/>
      <c r="C26" s="2322"/>
      <c r="D26" s="2308"/>
      <c r="E26" s="2324"/>
      <c r="F26" s="2310"/>
      <c r="G26" s="2024"/>
      <c r="H26" s="2024"/>
      <c r="I26" s="2326"/>
      <c r="J26" s="2024"/>
      <c r="K26" s="2298"/>
      <c r="L26" s="2296"/>
      <c r="M26" s="1972"/>
      <c r="N26" s="2298"/>
      <c r="O26" s="1973"/>
      <c r="P26" s="2298"/>
      <c r="Q26" s="1967"/>
      <c r="R26" s="1967"/>
      <c r="S26" s="1967"/>
      <c r="T26" s="2298"/>
      <c r="U26" s="1030" t="s">
        <v>871</v>
      </c>
      <c r="V26" s="1059">
        <v>41729</v>
      </c>
      <c r="W26" s="1030">
        <v>11279</v>
      </c>
      <c r="X26" s="518" t="s">
        <v>1313</v>
      </c>
      <c r="Y26" s="1059">
        <v>41729</v>
      </c>
      <c r="Z26" s="1059">
        <v>42094</v>
      </c>
      <c r="AA26" s="1360">
        <v>5.7680999999999996</v>
      </c>
      <c r="AB26" s="1030"/>
      <c r="AC26" s="1361">
        <v>13847.16</v>
      </c>
      <c r="AD26" s="1030"/>
      <c r="AE26" s="2283"/>
      <c r="AF26" s="2283"/>
      <c r="AG26" s="2283"/>
      <c r="AH26" s="2283"/>
      <c r="AI26" s="339"/>
      <c r="AJ26" s="339"/>
      <c r="AK26" s="107"/>
      <c r="AL26" s="107"/>
      <c r="AM26" s="1967"/>
      <c r="AN26" s="1967"/>
      <c r="AO26" s="1972"/>
      <c r="AP26" s="1973"/>
      <c r="AQ26" s="1972"/>
      <c r="AR26" s="1973"/>
      <c r="AS26" s="1030"/>
      <c r="AT26" s="1030"/>
      <c r="AU26" s="1030"/>
      <c r="AV26" s="1030"/>
      <c r="AW26" s="1030"/>
      <c r="AX26" s="1030"/>
      <c r="AY26" s="1030"/>
      <c r="AZ26" s="1030"/>
      <c r="BA26" s="1030"/>
      <c r="BB26" s="1030"/>
      <c r="BC26" s="1030"/>
      <c r="BD26" s="1030"/>
    </row>
    <row r="27" spans="1:56" x14ac:dyDescent="0.25">
      <c r="A27" s="2285">
        <v>2</v>
      </c>
      <c r="B27" s="2222" t="s">
        <v>1314</v>
      </c>
      <c r="C27" s="1985" t="s">
        <v>1067</v>
      </c>
      <c r="D27" s="2233" t="s">
        <v>1315</v>
      </c>
      <c r="E27" s="1985" t="s">
        <v>168</v>
      </c>
      <c r="F27" s="2233" t="s">
        <v>1316</v>
      </c>
      <c r="G27" s="2177">
        <v>10730</v>
      </c>
      <c r="H27" s="1991" t="s">
        <v>1317</v>
      </c>
      <c r="I27" s="2233" t="s">
        <v>1318</v>
      </c>
      <c r="J27" s="1985" t="s">
        <v>1319</v>
      </c>
      <c r="K27" s="1996">
        <v>41297</v>
      </c>
      <c r="L27" s="2282">
        <v>562156.06999999995</v>
      </c>
      <c r="M27" s="1994">
        <v>10984</v>
      </c>
      <c r="N27" s="1996">
        <v>41297</v>
      </c>
      <c r="O27" s="1996">
        <v>41537</v>
      </c>
      <c r="P27" s="1985" t="s">
        <v>1320</v>
      </c>
      <c r="Q27" s="1996"/>
      <c r="R27" s="1996"/>
      <c r="S27" s="1985"/>
      <c r="T27" s="1985" t="s">
        <v>1321</v>
      </c>
      <c r="U27" s="1030" t="s">
        <v>867</v>
      </c>
      <c r="V27" s="1054">
        <v>41496</v>
      </c>
      <c r="W27" s="1053">
        <v>11138</v>
      </c>
      <c r="X27" s="1060" t="s">
        <v>1322</v>
      </c>
      <c r="Y27" s="1059">
        <v>41536</v>
      </c>
      <c r="Z27" s="1054">
        <v>41775</v>
      </c>
      <c r="AA27" s="1060"/>
      <c r="AB27" s="1060"/>
      <c r="AC27" s="278"/>
      <c r="AD27" s="1030"/>
      <c r="AE27" s="2282">
        <f>L27-AD27+AC27-AD28+AC28-AD29+AC29-AD30+AC30</f>
        <v>642155.47999999986</v>
      </c>
      <c r="AF27" s="2282">
        <v>463869.47</v>
      </c>
      <c r="AG27" s="2282">
        <v>178286.01</v>
      </c>
      <c r="AH27" s="2282">
        <f>AF27+AG27</f>
        <v>642155.48</v>
      </c>
      <c r="AI27" s="2279"/>
      <c r="AJ27" s="2279"/>
      <c r="AK27" s="2279"/>
      <c r="AL27" s="2279"/>
      <c r="AM27" s="2279"/>
      <c r="AN27" s="2279"/>
      <c r="AO27" s="2279"/>
      <c r="AP27" s="2279"/>
      <c r="AQ27" s="2279"/>
      <c r="AR27" s="1985"/>
      <c r="AS27" s="1985" t="s">
        <v>1323</v>
      </c>
      <c r="AT27" s="1985" t="s">
        <v>1324</v>
      </c>
      <c r="AU27" s="1054">
        <v>41414</v>
      </c>
      <c r="AV27" s="1175">
        <v>41594</v>
      </c>
      <c r="AW27" s="1985"/>
      <c r="AX27" s="1985"/>
      <c r="AY27" s="1996">
        <v>41414</v>
      </c>
      <c r="AZ27" s="1985" t="s">
        <v>1325</v>
      </c>
      <c r="BA27" s="1985"/>
      <c r="BB27" s="1030"/>
      <c r="BC27" s="1030"/>
      <c r="BD27" s="1030"/>
    </row>
    <row r="28" spans="1:56" x14ac:dyDescent="0.25">
      <c r="A28" s="2291"/>
      <c r="B28" s="2223"/>
      <c r="C28" s="2021"/>
      <c r="D28" s="2252"/>
      <c r="E28" s="2021"/>
      <c r="F28" s="2252"/>
      <c r="G28" s="2180"/>
      <c r="H28" s="2176"/>
      <c r="I28" s="2252"/>
      <c r="J28" s="2021"/>
      <c r="K28" s="2033"/>
      <c r="L28" s="2290"/>
      <c r="M28" s="2197"/>
      <c r="N28" s="2033"/>
      <c r="O28" s="2033"/>
      <c r="P28" s="2021"/>
      <c r="Q28" s="2033"/>
      <c r="R28" s="2033"/>
      <c r="S28" s="2021"/>
      <c r="T28" s="2021"/>
      <c r="U28" s="1030" t="s">
        <v>871</v>
      </c>
      <c r="V28" s="1054">
        <v>41592</v>
      </c>
      <c r="W28" s="1053">
        <v>11194</v>
      </c>
      <c r="X28" s="1060" t="s">
        <v>1326</v>
      </c>
      <c r="Y28" s="1059">
        <v>41775</v>
      </c>
      <c r="Z28" s="1059">
        <v>41954</v>
      </c>
      <c r="AA28" s="1060"/>
      <c r="AB28" s="1060"/>
      <c r="AC28" s="278"/>
      <c r="AD28" s="1030"/>
      <c r="AE28" s="2290"/>
      <c r="AF28" s="2290"/>
      <c r="AG28" s="2290"/>
      <c r="AH28" s="2290"/>
      <c r="AI28" s="2280"/>
      <c r="AJ28" s="2280"/>
      <c r="AK28" s="2280"/>
      <c r="AL28" s="2280"/>
      <c r="AM28" s="2280"/>
      <c r="AN28" s="2280"/>
      <c r="AO28" s="2280"/>
      <c r="AP28" s="2280"/>
      <c r="AQ28" s="2280"/>
      <c r="AR28" s="2021"/>
      <c r="AS28" s="2021"/>
      <c r="AT28" s="2021"/>
      <c r="AU28" s="1054">
        <v>41593</v>
      </c>
      <c r="AV28" s="1054">
        <v>41772</v>
      </c>
      <c r="AW28" s="2021"/>
      <c r="AX28" s="2021"/>
      <c r="AY28" s="2033"/>
      <c r="AZ28" s="2021"/>
      <c r="BA28" s="2021"/>
      <c r="BB28" s="1030"/>
      <c r="BC28" s="1030"/>
      <c r="BD28" s="1030"/>
    </row>
    <row r="29" spans="1:56" ht="25.5" x14ac:dyDescent="0.25">
      <c r="A29" s="2291"/>
      <c r="B29" s="2223"/>
      <c r="C29" s="2021"/>
      <c r="D29" s="2252"/>
      <c r="E29" s="2021"/>
      <c r="F29" s="2252"/>
      <c r="G29" s="2180"/>
      <c r="H29" s="2176"/>
      <c r="I29" s="2252"/>
      <c r="J29" s="2021"/>
      <c r="K29" s="2033"/>
      <c r="L29" s="2290"/>
      <c r="M29" s="2197"/>
      <c r="N29" s="2033"/>
      <c r="O29" s="2033"/>
      <c r="P29" s="2021"/>
      <c r="Q29" s="2033"/>
      <c r="R29" s="2033"/>
      <c r="S29" s="2021"/>
      <c r="T29" s="2021"/>
      <c r="U29" s="1030" t="s">
        <v>874</v>
      </c>
      <c r="V29" s="1054">
        <v>41683</v>
      </c>
      <c r="W29" s="1053">
        <v>11248</v>
      </c>
      <c r="X29" s="1060" t="s">
        <v>1327</v>
      </c>
      <c r="Y29" s="1059"/>
      <c r="Z29" s="1059"/>
      <c r="AA29" s="1060">
        <f>AC29/L27*100</f>
        <v>7.1800007424984313</v>
      </c>
      <c r="AB29" s="1060"/>
      <c r="AC29" s="278">
        <v>40362.81</v>
      </c>
      <c r="AD29" s="1030"/>
      <c r="AE29" s="2290"/>
      <c r="AF29" s="2290"/>
      <c r="AG29" s="2290"/>
      <c r="AH29" s="2290"/>
      <c r="AI29" s="2280"/>
      <c r="AJ29" s="2280"/>
      <c r="AK29" s="2280"/>
      <c r="AL29" s="2280"/>
      <c r="AM29" s="2280"/>
      <c r="AN29" s="2280"/>
      <c r="AO29" s="2280"/>
      <c r="AP29" s="2280"/>
      <c r="AQ29" s="2280"/>
      <c r="AR29" s="2021"/>
      <c r="AS29" s="2021"/>
      <c r="AT29" s="2021"/>
      <c r="AU29" s="1054"/>
      <c r="AV29" s="1054"/>
      <c r="AW29" s="2021"/>
      <c r="AX29" s="2021"/>
      <c r="AY29" s="2033"/>
      <c r="AZ29" s="2021"/>
      <c r="BA29" s="2021"/>
      <c r="BB29" s="1030"/>
      <c r="BC29" s="1030"/>
      <c r="BD29" s="1030"/>
    </row>
    <row r="30" spans="1:56" x14ac:dyDescent="0.25">
      <c r="A30" s="2286"/>
      <c r="B30" s="2224"/>
      <c r="C30" s="1986"/>
      <c r="D30" s="2234"/>
      <c r="E30" s="1986"/>
      <c r="F30" s="2234"/>
      <c r="G30" s="2178"/>
      <c r="H30" s="1992"/>
      <c r="I30" s="2234"/>
      <c r="J30" s="1986"/>
      <c r="K30" s="1997"/>
      <c r="L30" s="2283"/>
      <c r="M30" s="1995"/>
      <c r="N30" s="1997"/>
      <c r="O30" s="1997"/>
      <c r="P30" s="1986"/>
      <c r="Q30" s="1997"/>
      <c r="R30" s="1997"/>
      <c r="S30" s="1986"/>
      <c r="T30" s="1986"/>
      <c r="U30" s="1030" t="s">
        <v>876</v>
      </c>
      <c r="V30" s="1054">
        <v>41689</v>
      </c>
      <c r="W30" s="1053">
        <v>11250</v>
      </c>
      <c r="X30" s="1060" t="s">
        <v>1328</v>
      </c>
      <c r="Y30" s="1059"/>
      <c r="Z30" s="1059"/>
      <c r="AA30" s="1060">
        <f>AC30/L27*100</f>
        <v>7.0508177560014609</v>
      </c>
      <c r="AB30" s="1060"/>
      <c r="AC30" s="278">
        <v>39636.6</v>
      </c>
      <c r="AD30" s="1030"/>
      <c r="AE30" s="2283"/>
      <c r="AF30" s="2283"/>
      <c r="AG30" s="2283"/>
      <c r="AH30" s="2283"/>
      <c r="AI30" s="2281"/>
      <c r="AJ30" s="2281"/>
      <c r="AK30" s="2281"/>
      <c r="AL30" s="2281"/>
      <c r="AM30" s="2281"/>
      <c r="AN30" s="2281"/>
      <c r="AO30" s="2281"/>
      <c r="AP30" s="2281"/>
      <c r="AQ30" s="2281"/>
      <c r="AR30" s="1986"/>
      <c r="AS30" s="1986"/>
      <c r="AT30" s="1986"/>
      <c r="AU30" s="1054"/>
      <c r="AV30" s="1054"/>
      <c r="AW30" s="1986"/>
      <c r="AX30" s="1986"/>
      <c r="AY30" s="1997"/>
      <c r="AZ30" s="1986"/>
      <c r="BA30" s="1986"/>
      <c r="BB30" s="1030"/>
      <c r="BC30" s="1030"/>
      <c r="BD30" s="1030"/>
    </row>
    <row r="31" spans="1:56" ht="165.75" x14ac:dyDescent="0.25">
      <c r="A31" s="1492">
        <v>3</v>
      </c>
      <c r="B31" s="1483" t="s">
        <v>1329</v>
      </c>
      <c r="C31" s="1030" t="s">
        <v>1330</v>
      </c>
      <c r="D31" s="518" t="s">
        <v>1331</v>
      </c>
      <c r="E31" s="1060" t="s">
        <v>1332</v>
      </c>
      <c r="F31" s="518" t="s">
        <v>1333</v>
      </c>
      <c r="G31" s="1178">
        <v>10994</v>
      </c>
      <c r="H31" s="1060" t="s">
        <v>1334</v>
      </c>
      <c r="I31" s="518" t="s">
        <v>1335</v>
      </c>
      <c r="J31" s="1030" t="s">
        <v>759</v>
      </c>
      <c r="K31" s="1030" t="s">
        <v>1336</v>
      </c>
      <c r="L31" s="278">
        <v>4297968</v>
      </c>
      <c r="M31" s="1053">
        <v>11021</v>
      </c>
      <c r="N31" s="1030" t="s">
        <v>1336</v>
      </c>
      <c r="O31" s="1054">
        <v>41722</v>
      </c>
      <c r="P31" s="1030" t="s">
        <v>1320</v>
      </c>
      <c r="Q31" s="1030"/>
      <c r="R31" s="1030"/>
      <c r="S31" s="1030"/>
      <c r="T31" s="1030" t="s">
        <v>685</v>
      </c>
      <c r="U31" s="1030" t="s">
        <v>867</v>
      </c>
      <c r="V31" s="1030" t="s">
        <v>1337</v>
      </c>
      <c r="W31" s="1053">
        <v>11273</v>
      </c>
      <c r="X31" s="518" t="s">
        <v>1338</v>
      </c>
      <c r="Y31" s="1030" t="s">
        <v>1339</v>
      </c>
      <c r="Z31" s="1030" t="s">
        <v>1340</v>
      </c>
      <c r="AA31" s="1030">
        <f>AC31/L31*100</f>
        <v>48.999899487385669</v>
      </c>
      <c r="AB31" s="1030"/>
      <c r="AC31" s="278">
        <v>2106000</v>
      </c>
      <c r="AD31" s="1030"/>
      <c r="AE31" s="613">
        <f t="shared" ref="AE31:AE43" si="0">L31-AD31+AC31</f>
        <v>6403968</v>
      </c>
      <c r="AF31" s="278">
        <v>2369188.5299999998</v>
      </c>
      <c r="AG31" s="1364">
        <v>1932172.93</v>
      </c>
      <c r="AH31" s="613">
        <f>AF31+AG31</f>
        <v>4301361.46</v>
      </c>
      <c r="AI31" s="339"/>
      <c r="AJ31" s="339"/>
      <c r="AK31" s="107"/>
      <c r="AL31" s="107"/>
      <c r="AM31" s="1092"/>
      <c r="AN31" s="107"/>
      <c r="AO31" s="107"/>
      <c r="AP31" s="107"/>
      <c r="AQ31" s="107"/>
      <c r="AR31" s="107"/>
      <c r="AS31" s="1030"/>
      <c r="AT31" s="1030"/>
      <c r="AU31" s="1030"/>
      <c r="AV31" s="1030"/>
      <c r="AW31" s="1030"/>
      <c r="AX31" s="1030"/>
      <c r="AY31" s="1030"/>
      <c r="AZ31" s="1030"/>
      <c r="BA31" s="1030"/>
      <c r="BB31" s="1030"/>
      <c r="BC31" s="1030"/>
      <c r="BD31" s="1030"/>
    </row>
    <row r="32" spans="1:56" ht="38.25" x14ac:dyDescent="0.25">
      <c r="A32" s="1492">
        <v>4</v>
      </c>
      <c r="B32" s="1483">
        <v>130370047</v>
      </c>
      <c r="C32" s="1030" t="s">
        <v>1019</v>
      </c>
      <c r="D32" s="518" t="s">
        <v>690</v>
      </c>
      <c r="E32" s="1060" t="s">
        <v>168</v>
      </c>
      <c r="F32" s="1365" t="s">
        <v>1341</v>
      </c>
      <c r="G32" s="1049" t="s">
        <v>677</v>
      </c>
      <c r="H32" s="1031" t="s">
        <v>344</v>
      </c>
      <c r="I32" s="518" t="s">
        <v>1342</v>
      </c>
      <c r="J32" s="1060" t="s">
        <v>1343</v>
      </c>
      <c r="K32" s="1054">
        <v>41365</v>
      </c>
      <c r="L32" s="278">
        <v>11400</v>
      </c>
      <c r="M32" s="1053">
        <v>11024</v>
      </c>
      <c r="N32" s="1054">
        <v>41365</v>
      </c>
      <c r="O32" s="1054">
        <v>41730</v>
      </c>
      <c r="P32" s="1030" t="s">
        <v>1308</v>
      </c>
      <c r="Q32" s="1030"/>
      <c r="R32" s="1030"/>
      <c r="S32" s="1030"/>
      <c r="T32" s="1030" t="s">
        <v>696</v>
      </c>
      <c r="U32" s="1030" t="s">
        <v>867</v>
      </c>
      <c r="V32" s="1054">
        <v>41730</v>
      </c>
      <c r="W32" s="1053">
        <v>11282</v>
      </c>
      <c r="X32" s="518" t="s">
        <v>1344</v>
      </c>
      <c r="Y32" s="1030" t="s">
        <v>732</v>
      </c>
      <c r="Z32" s="1030" t="s">
        <v>733</v>
      </c>
      <c r="AA32" s="1366">
        <v>6.4314999999999998</v>
      </c>
      <c r="AB32" s="1030"/>
      <c r="AC32" s="1361">
        <v>12233.16</v>
      </c>
      <c r="AD32" s="1030"/>
      <c r="AE32" s="613">
        <f t="shared" si="0"/>
        <v>23633.16</v>
      </c>
      <c r="AF32" s="278">
        <v>8550</v>
      </c>
      <c r="AG32" s="1364">
        <v>12024.87</v>
      </c>
      <c r="AH32" s="613">
        <f>AF32+AG32</f>
        <v>20574.870000000003</v>
      </c>
      <c r="AI32" s="339"/>
      <c r="AJ32" s="339"/>
      <c r="AK32" s="107"/>
      <c r="AL32" s="107"/>
      <c r="AM32" s="1030" t="s">
        <v>1311</v>
      </c>
      <c r="AN32" s="1030" t="s">
        <v>1312</v>
      </c>
      <c r="AO32" s="1053">
        <v>11011</v>
      </c>
      <c r="AP32" s="1054">
        <v>41353</v>
      </c>
      <c r="AQ32" s="1053">
        <v>11019</v>
      </c>
      <c r="AR32" s="1054">
        <v>41367</v>
      </c>
      <c r="AS32" s="1030"/>
      <c r="AT32" s="1030"/>
      <c r="AU32" s="1030"/>
      <c r="AV32" s="1030"/>
      <c r="AW32" s="1030"/>
      <c r="AX32" s="1030"/>
      <c r="AY32" s="1030"/>
      <c r="AZ32" s="1030"/>
      <c r="BA32" s="1030"/>
      <c r="BB32" s="1030"/>
      <c r="BC32" s="1030"/>
      <c r="BD32" s="1030"/>
    </row>
    <row r="33" spans="1:56" ht="38.25" x14ac:dyDescent="0.25">
      <c r="A33" s="1492">
        <v>5</v>
      </c>
      <c r="B33" s="1483">
        <v>130490059</v>
      </c>
      <c r="C33" s="1030"/>
      <c r="D33" s="518" t="s">
        <v>690</v>
      </c>
      <c r="E33" s="1060"/>
      <c r="F33" s="1365" t="s">
        <v>1345</v>
      </c>
      <c r="G33" s="1049" t="s">
        <v>677</v>
      </c>
      <c r="H33" s="1031" t="s">
        <v>1346</v>
      </c>
      <c r="I33" s="518" t="s">
        <v>1347</v>
      </c>
      <c r="J33" s="1060" t="s">
        <v>1348</v>
      </c>
      <c r="K33" s="1054">
        <v>41365</v>
      </c>
      <c r="L33" s="278">
        <v>13200</v>
      </c>
      <c r="M33" s="1053">
        <v>11024</v>
      </c>
      <c r="N33" s="1054">
        <v>41365</v>
      </c>
      <c r="O33" s="1054">
        <v>41730</v>
      </c>
      <c r="P33" s="1030" t="s">
        <v>1308</v>
      </c>
      <c r="Q33" s="1030"/>
      <c r="R33" s="1030"/>
      <c r="S33" s="1030"/>
      <c r="T33" s="1030" t="s">
        <v>696</v>
      </c>
      <c r="U33" s="1030" t="s">
        <v>1349</v>
      </c>
      <c r="V33" s="1054">
        <v>41730</v>
      </c>
      <c r="W33" s="1053">
        <v>11282</v>
      </c>
      <c r="X33" s="518" t="s">
        <v>1344</v>
      </c>
      <c r="Y33" s="1054">
        <v>41730</v>
      </c>
      <c r="Z33" s="1030" t="s">
        <v>733</v>
      </c>
      <c r="AA33" s="1030">
        <v>7.3090900000000003</v>
      </c>
      <c r="AB33" s="1030"/>
      <c r="AC33" s="1361">
        <v>14164.8</v>
      </c>
      <c r="AD33" s="1030"/>
      <c r="AE33" s="613">
        <f t="shared" si="0"/>
        <v>27364.799999999999</v>
      </c>
      <c r="AF33" s="278">
        <v>9900</v>
      </c>
      <c r="AG33" s="278">
        <v>13923.6</v>
      </c>
      <c r="AH33" s="613">
        <f>AF33+AG33</f>
        <v>23823.599999999999</v>
      </c>
      <c r="AI33" s="339"/>
      <c r="AJ33" s="339"/>
      <c r="AK33" s="107"/>
      <c r="AL33" s="107"/>
      <c r="AM33" s="1030" t="s">
        <v>1311</v>
      </c>
      <c r="AN33" s="1030" t="s">
        <v>1312</v>
      </c>
      <c r="AO33" s="1053">
        <v>11011</v>
      </c>
      <c r="AP33" s="1054">
        <v>41353</v>
      </c>
      <c r="AQ33" s="1053">
        <v>11020</v>
      </c>
      <c r="AR33" s="1054">
        <v>41368</v>
      </c>
      <c r="AS33" s="1030"/>
      <c r="AT33" s="1030"/>
      <c r="AU33" s="1030"/>
      <c r="AV33" s="1030"/>
      <c r="AW33" s="1030"/>
      <c r="AX33" s="1030"/>
      <c r="AY33" s="1030"/>
      <c r="AZ33" s="1030"/>
      <c r="BA33" s="1030"/>
      <c r="BB33" s="1030"/>
      <c r="BC33" s="1030"/>
      <c r="BD33" s="1030"/>
    </row>
    <row r="34" spans="1:56" s="419" customFormat="1" ht="63.75" x14ac:dyDescent="0.25">
      <c r="A34" s="1492">
        <v>6</v>
      </c>
      <c r="B34" s="1483">
        <v>130490046</v>
      </c>
      <c r="C34" s="1030" t="s">
        <v>1006</v>
      </c>
      <c r="D34" s="518" t="s">
        <v>690</v>
      </c>
      <c r="E34" s="1060"/>
      <c r="F34" s="1365" t="s">
        <v>1350</v>
      </c>
      <c r="G34" s="1049" t="s">
        <v>677</v>
      </c>
      <c r="H34" s="1031" t="s">
        <v>1351</v>
      </c>
      <c r="I34" s="518" t="s">
        <v>1352</v>
      </c>
      <c r="J34" s="1060" t="s">
        <v>1353</v>
      </c>
      <c r="K34" s="1054">
        <v>41365</v>
      </c>
      <c r="L34" s="278">
        <v>10200</v>
      </c>
      <c r="M34" s="1053">
        <v>11024</v>
      </c>
      <c r="N34" s="1054">
        <v>41365</v>
      </c>
      <c r="O34" s="1054">
        <v>41730</v>
      </c>
      <c r="P34" s="1060" t="s">
        <v>1354</v>
      </c>
      <c r="Q34" s="1030"/>
      <c r="R34" s="1030"/>
      <c r="S34" s="1030"/>
      <c r="T34" s="1060" t="s">
        <v>1309</v>
      </c>
      <c r="U34" s="1030" t="s">
        <v>1355</v>
      </c>
      <c r="V34" s="1054">
        <v>41698</v>
      </c>
      <c r="W34" s="1053">
        <v>11255</v>
      </c>
      <c r="X34" s="518" t="s">
        <v>1356</v>
      </c>
      <c r="Y34" s="1030"/>
      <c r="Z34" s="1030"/>
      <c r="AA34" s="1030"/>
      <c r="AB34" s="1030"/>
      <c r="AC34" s="278"/>
      <c r="AD34" s="1030"/>
      <c r="AE34" s="613">
        <f t="shared" si="0"/>
        <v>10200</v>
      </c>
      <c r="AF34" s="278">
        <v>7650</v>
      </c>
      <c r="AG34" s="278">
        <v>1700</v>
      </c>
      <c r="AH34" s="613">
        <f>SUM(AF34:AG34)</f>
        <v>9350</v>
      </c>
      <c r="AI34" s="1367"/>
      <c r="AJ34" s="339"/>
      <c r="AK34" s="107"/>
      <c r="AL34" s="107"/>
      <c r="AM34" s="1030" t="s">
        <v>1311</v>
      </c>
      <c r="AN34" s="1030" t="s">
        <v>1312</v>
      </c>
      <c r="AO34" s="1053">
        <v>11011</v>
      </c>
      <c r="AP34" s="1054">
        <v>41353</v>
      </c>
      <c r="AQ34" s="1053">
        <v>11020</v>
      </c>
      <c r="AR34" s="1054">
        <v>41368</v>
      </c>
      <c r="AS34" s="1030"/>
      <c r="AT34" s="1030"/>
      <c r="AU34" s="1030"/>
      <c r="AV34" s="1030"/>
      <c r="AW34" s="1030"/>
      <c r="AX34" s="1030"/>
      <c r="AY34" s="1030"/>
      <c r="AZ34" s="1030"/>
      <c r="BA34" s="1030"/>
      <c r="BB34" s="1030"/>
      <c r="BC34" s="1030"/>
      <c r="BD34" s="1030"/>
    </row>
    <row r="35" spans="1:56" ht="22.5" customHeight="1" x14ac:dyDescent="0.25">
      <c r="A35" s="1492">
        <v>7</v>
      </c>
      <c r="B35" s="2222">
        <v>123530009</v>
      </c>
      <c r="C35" s="1985" t="s">
        <v>1357</v>
      </c>
      <c r="D35" s="2233" t="s">
        <v>935</v>
      </c>
      <c r="E35" s="1985" t="s">
        <v>1358</v>
      </c>
      <c r="F35" s="518" t="s">
        <v>1359</v>
      </c>
      <c r="G35" s="2177">
        <v>10969</v>
      </c>
      <c r="H35" s="1031" t="s">
        <v>1360</v>
      </c>
      <c r="I35" s="518" t="s">
        <v>1361</v>
      </c>
      <c r="J35" s="1060" t="s">
        <v>1362</v>
      </c>
      <c r="K35" s="1030" t="s">
        <v>1363</v>
      </c>
      <c r="L35" s="278">
        <v>17616</v>
      </c>
      <c r="M35" s="1053">
        <v>11036</v>
      </c>
      <c r="N35" s="1054">
        <v>41374</v>
      </c>
      <c r="O35" s="1054">
        <v>41739</v>
      </c>
      <c r="P35" s="1030" t="s">
        <v>1320</v>
      </c>
      <c r="Q35" s="1030"/>
      <c r="R35" s="1030"/>
      <c r="S35" s="1030"/>
      <c r="T35" s="1030" t="s">
        <v>696</v>
      </c>
      <c r="U35" s="1357" t="s">
        <v>867</v>
      </c>
      <c r="V35" s="1054">
        <v>41738</v>
      </c>
      <c r="W35" s="1053">
        <v>11288</v>
      </c>
      <c r="X35" s="1060" t="s">
        <v>1364</v>
      </c>
      <c r="Y35" s="1054">
        <v>41739</v>
      </c>
      <c r="Z35" s="1054">
        <v>42104</v>
      </c>
      <c r="AA35" s="1030"/>
      <c r="AB35" s="1030"/>
      <c r="AC35" s="266">
        <v>17616</v>
      </c>
      <c r="AD35" s="1030"/>
      <c r="AE35" s="613">
        <f t="shared" si="0"/>
        <v>35232</v>
      </c>
      <c r="AF35" s="278">
        <v>11744</v>
      </c>
      <c r="AG35" s="278">
        <v>17616</v>
      </c>
      <c r="AH35" s="613">
        <f>SUM(AF35:AG35)</f>
        <v>29360</v>
      </c>
      <c r="AI35" s="339"/>
      <c r="AJ35" s="339"/>
      <c r="AK35" s="107"/>
      <c r="AL35" s="107"/>
      <c r="AM35" s="1092"/>
      <c r="AN35" s="107"/>
      <c r="AO35" s="107"/>
      <c r="AP35" s="107"/>
      <c r="AQ35" s="107"/>
      <c r="AR35" s="107"/>
      <c r="AS35" s="1030"/>
      <c r="AT35" s="1030"/>
      <c r="AU35" s="1030"/>
      <c r="AV35" s="1030"/>
      <c r="AW35" s="1030"/>
      <c r="AX35" s="1030"/>
      <c r="AY35" s="1030"/>
      <c r="AZ35" s="1030"/>
      <c r="BA35" s="1030"/>
      <c r="BB35" s="1030"/>
      <c r="BC35" s="1030"/>
      <c r="BD35" s="1030"/>
    </row>
    <row r="36" spans="1:56" ht="38.25" x14ac:dyDescent="0.25">
      <c r="A36" s="1492">
        <v>8</v>
      </c>
      <c r="B36" s="2223"/>
      <c r="C36" s="2021"/>
      <c r="D36" s="2252"/>
      <c r="E36" s="2021"/>
      <c r="F36" s="518" t="s">
        <v>1365</v>
      </c>
      <c r="G36" s="2180"/>
      <c r="H36" s="1031" t="s">
        <v>1366</v>
      </c>
      <c r="I36" s="518" t="s">
        <v>1367</v>
      </c>
      <c r="J36" s="1060" t="s">
        <v>1368</v>
      </c>
      <c r="K36" s="1054">
        <v>41373</v>
      </c>
      <c r="L36" s="278">
        <v>17376</v>
      </c>
      <c r="M36" s="1053">
        <v>11036</v>
      </c>
      <c r="N36" s="1054">
        <v>41374</v>
      </c>
      <c r="O36" s="1054">
        <v>41739</v>
      </c>
      <c r="P36" s="1030" t="s">
        <v>1320</v>
      </c>
      <c r="Q36" s="1060"/>
      <c r="R36" s="1030"/>
      <c r="S36" s="1030"/>
      <c r="T36" s="1030" t="s">
        <v>696</v>
      </c>
      <c r="U36" s="1357" t="s">
        <v>1349</v>
      </c>
      <c r="V36" s="1054">
        <v>41738</v>
      </c>
      <c r="W36" s="1053">
        <v>11288</v>
      </c>
      <c r="X36" s="1060" t="s">
        <v>1364</v>
      </c>
      <c r="Y36" s="1054">
        <v>41739</v>
      </c>
      <c r="Z36" s="1054">
        <v>42104</v>
      </c>
      <c r="AA36" s="1030"/>
      <c r="AB36" s="1030"/>
      <c r="AC36" s="266">
        <v>17376</v>
      </c>
      <c r="AD36" s="1030"/>
      <c r="AE36" s="613">
        <f t="shared" si="0"/>
        <v>34752</v>
      </c>
      <c r="AF36" s="278">
        <v>12211.47</v>
      </c>
      <c r="AG36" s="278">
        <v>17376</v>
      </c>
      <c r="AH36" s="613">
        <f>SUM(AF36:AG36)</f>
        <v>29587.47</v>
      </c>
      <c r="AI36" s="339"/>
      <c r="AJ36" s="339"/>
      <c r="AK36" s="107"/>
      <c r="AL36" s="107"/>
      <c r="AM36" s="1092"/>
      <c r="AN36" s="107"/>
      <c r="AO36" s="107"/>
      <c r="AP36" s="107"/>
      <c r="AQ36" s="107"/>
      <c r="AR36" s="107"/>
      <c r="AS36" s="1030"/>
      <c r="AT36" s="1030"/>
      <c r="AU36" s="1030"/>
      <c r="AV36" s="1030"/>
      <c r="AW36" s="1030"/>
      <c r="AX36" s="1030"/>
      <c r="AY36" s="1030"/>
      <c r="AZ36" s="1030"/>
      <c r="BA36" s="1030"/>
      <c r="BB36" s="1030"/>
      <c r="BC36" s="1030"/>
      <c r="BD36" s="1030"/>
    </row>
    <row r="37" spans="1:56" ht="38.25" x14ac:dyDescent="0.25">
      <c r="A37" s="1492">
        <v>9</v>
      </c>
      <c r="B37" s="2223"/>
      <c r="C37" s="2021"/>
      <c r="D37" s="2252"/>
      <c r="E37" s="2021"/>
      <c r="F37" s="518" t="s">
        <v>1369</v>
      </c>
      <c r="G37" s="2180"/>
      <c r="H37" s="1031" t="s">
        <v>1370</v>
      </c>
      <c r="I37" s="518" t="s">
        <v>1371</v>
      </c>
      <c r="J37" s="1060" t="s">
        <v>1372</v>
      </c>
      <c r="K37" s="1054">
        <v>41373</v>
      </c>
      <c r="L37" s="278">
        <v>15360</v>
      </c>
      <c r="M37" s="1053">
        <v>11036</v>
      </c>
      <c r="N37" s="1054">
        <v>41374</v>
      </c>
      <c r="O37" s="1054">
        <v>41739</v>
      </c>
      <c r="P37" s="1030" t="s">
        <v>1320</v>
      </c>
      <c r="Q37" s="1060"/>
      <c r="R37" s="1030"/>
      <c r="S37" s="1030"/>
      <c r="T37" s="1030" t="s">
        <v>696</v>
      </c>
      <c r="U37" s="1357" t="s">
        <v>1349</v>
      </c>
      <c r="V37" s="1054">
        <v>41738</v>
      </c>
      <c r="W37" s="1053">
        <v>11288</v>
      </c>
      <c r="X37" s="1060" t="s">
        <v>1364</v>
      </c>
      <c r="Y37" s="1054">
        <v>41739</v>
      </c>
      <c r="Z37" s="1054">
        <v>42104</v>
      </c>
      <c r="AA37" s="1030"/>
      <c r="AB37" s="1030"/>
      <c r="AC37" s="266">
        <v>15360</v>
      </c>
      <c r="AD37" s="1030"/>
      <c r="AE37" s="613">
        <f t="shared" si="0"/>
        <v>30720</v>
      </c>
      <c r="AF37" s="278">
        <v>10880</v>
      </c>
      <c r="AG37" s="278">
        <v>15360</v>
      </c>
      <c r="AH37" s="613">
        <f t="shared" ref="AH37:AH49" si="1">AF37+AG37</f>
        <v>26240</v>
      </c>
      <c r="AI37" s="339"/>
      <c r="AJ37" s="339"/>
      <c r="AK37" s="107"/>
      <c r="AL37" s="107"/>
      <c r="AM37" s="1092"/>
      <c r="AN37" s="107"/>
      <c r="AO37" s="107"/>
      <c r="AP37" s="107"/>
      <c r="AQ37" s="107"/>
      <c r="AR37" s="107"/>
      <c r="AS37" s="1030"/>
      <c r="AT37" s="1030"/>
      <c r="AU37" s="1030"/>
      <c r="AV37" s="1030"/>
      <c r="AW37" s="1030"/>
      <c r="AX37" s="1030"/>
      <c r="AY37" s="1030"/>
      <c r="AZ37" s="1030"/>
      <c r="BA37" s="1030"/>
      <c r="BB37" s="1030"/>
      <c r="BC37" s="1030"/>
      <c r="BD37" s="1030"/>
    </row>
    <row r="38" spans="1:56" ht="38.25" x14ac:dyDescent="0.25">
      <c r="A38" s="1492">
        <v>10</v>
      </c>
      <c r="B38" s="2223"/>
      <c r="C38" s="2021"/>
      <c r="D38" s="2252"/>
      <c r="E38" s="2021"/>
      <c r="F38" s="518" t="s">
        <v>1373</v>
      </c>
      <c r="G38" s="2180"/>
      <c r="H38" s="1031" t="s">
        <v>1374</v>
      </c>
      <c r="I38" s="518" t="s">
        <v>1375</v>
      </c>
      <c r="J38" s="1060" t="s">
        <v>1376</v>
      </c>
      <c r="K38" s="1054">
        <v>41373</v>
      </c>
      <c r="L38" s="278">
        <v>18000</v>
      </c>
      <c r="M38" s="1053">
        <v>11036</v>
      </c>
      <c r="N38" s="1054">
        <v>41374</v>
      </c>
      <c r="O38" s="1054">
        <v>41739</v>
      </c>
      <c r="P38" s="1030" t="s">
        <v>1320</v>
      </c>
      <c r="Q38" s="1030"/>
      <c r="R38" s="1030"/>
      <c r="S38" s="1030"/>
      <c r="T38" s="1030" t="s">
        <v>696</v>
      </c>
      <c r="U38" s="1357" t="s">
        <v>1349</v>
      </c>
      <c r="V38" s="1054">
        <v>41738</v>
      </c>
      <c r="W38" s="1053">
        <v>11291</v>
      </c>
      <c r="X38" s="1060" t="s">
        <v>1364</v>
      </c>
      <c r="Y38" s="1054">
        <v>41739</v>
      </c>
      <c r="Z38" s="1054">
        <v>42104</v>
      </c>
      <c r="AA38" s="1030"/>
      <c r="AB38" s="1030"/>
      <c r="AC38" s="266">
        <v>18000</v>
      </c>
      <c r="AD38" s="1030"/>
      <c r="AE38" s="613">
        <f t="shared" si="0"/>
        <v>36000</v>
      </c>
      <c r="AF38" s="278">
        <v>12750</v>
      </c>
      <c r="AG38" s="278">
        <v>18000</v>
      </c>
      <c r="AH38" s="613">
        <f t="shared" si="1"/>
        <v>30750</v>
      </c>
      <c r="AI38" s="339"/>
      <c r="AJ38" s="339"/>
      <c r="AK38" s="107"/>
      <c r="AL38" s="107"/>
      <c r="AM38" s="1092"/>
      <c r="AN38" s="107"/>
      <c r="AO38" s="107"/>
      <c r="AP38" s="107"/>
      <c r="AQ38" s="107"/>
      <c r="AR38" s="107"/>
      <c r="AS38" s="1030"/>
      <c r="AT38" s="1030"/>
      <c r="AU38" s="1030"/>
      <c r="AV38" s="1030"/>
      <c r="AW38" s="1030"/>
      <c r="AX38" s="1030"/>
      <c r="AY38" s="1030"/>
      <c r="AZ38" s="1030"/>
      <c r="BA38" s="1030"/>
      <c r="BB38" s="1030"/>
      <c r="BC38" s="1030"/>
      <c r="BD38" s="1030"/>
    </row>
    <row r="39" spans="1:56" ht="38.25" x14ac:dyDescent="0.25">
      <c r="A39" s="1492">
        <v>11</v>
      </c>
      <c r="B39" s="2223"/>
      <c r="C39" s="2021"/>
      <c r="D39" s="2252"/>
      <c r="E39" s="2021"/>
      <c r="F39" s="518" t="s">
        <v>1377</v>
      </c>
      <c r="G39" s="2180"/>
      <c r="H39" s="1031" t="s">
        <v>1378</v>
      </c>
      <c r="I39" s="518" t="s">
        <v>1379</v>
      </c>
      <c r="J39" s="1060" t="s">
        <v>1380</v>
      </c>
      <c r="K39" s="1054">
        <v>41373</v>
      </c>
      <c r="L39" s="278">
        <v>17280</v>
      </c>
      <c r="M39" s="1053">
        <v>11036</v>
      </c>
      <c r="N39" s="1054">
        <v>41374</v>
      </c>
      <c r="O39" s="1054">
        <v>41739</v>
      </c>
      <c r="P39" s="1030" t="s">
        <v>1320</v>
      </c>
      <c r="Q39" s="1030"/>
      <c r="R39" s="1030"/>
      <c r="S39" s="1030"/>
      <c r="T39" s="1030" t="s">
        <v>696</v>
      </c>
      <c r="U39" s="1357" t="s">
        <v>1349</v>
      </c>
      <c r="V39" s="1054">
        <v>41738</v>
      </c>
      <c r="W39" s="1053">
        <v>11288</v>
      </c>
      <c r="X39" s="1060" t="s">
        <v>1364</v>
      </c>
      <c r="Y39" s="1054">
        <v>41739</v>
      </c>
      <c r="Z39" s="1054">
        <v>42104</v>
      </c>
      <c r="AA39" s="1030"/>
      <c r="AB39" s="1030"/>
      <c r="AC39" s="266">
        <v>17280</v>
      </c>
      <c r="AD39" s="1030"/>
      <c r="AE39" s="613">
        <f t="shared" si="0"/>
        <v>34560</v>
      </c>
      <c r="AF39" s="278">
        <v>12240</v>
      </c>
      <c r="AG39" s="278">
        <v>17280</v>
      </c>
      <c r="AH39" s="613">
        <f t="shared" si="1"/>
        <v>29520</v>
      </c>
      <c r="AI39" s="339"/>
      <c r="AJ39" s="339"/>
      <c r="AK39" s="107"/>
      <c r="AL39" s="107"/>
      <c r="AM39" s="1092"/>
      <c r="AN39" s="107"/>
      <c r="AO39" s="107"/>
      <c r="AP39" s="107"/>
      <c r="AQ39" s="107"/>
      <c r="AR39" s="107"/>
      <c r="AS39" s="1030"/>
      <c r="AT39" s="1030"/>
      <c r="AU39" s="1030"/>
      <c r="AV39" s="1030"/>
      <c r="AW39" s="1030"/>
      <c r="AX39" s="1030"/>
      <c r="AY39" s="1030"/>
      <c r="AZ39" s="1030"/>
      <c r="BA39" s="1030"/>
      <c r="BB39" s="1030"/>
      <c r="BC39" s="1030"/>
      <c r="BD39" s="1030"/>
    </row>
    <row r="40" spans="1:56" s="419" customFormat="1" ht="76.5" x14ac:dyDescent="0.25">
      <c r="A40" s="1492">
        <v>12</v>
      </c>
      <c r="B40" s="2223"/>
      <c r="C40" s="2021"/>
      <c r="D40" s="2252"/>
      <c r="E40" s="2021"/>
      <c r="F40" s="518" t="s">
        <v>1381</v>
      </c>
      <c r="G40" s="2180"/>
      <c r="H40" s="1066" t="s">
        <v>1382</v>
      </c>
      <c r="I40" s="343" t="s">
        <v>1383</v>
      </c>
      <c r="J40" s="343" t="s">
        <v>1384</v>
      </c>
      <c r="K40" s="590">
        <v>41373</v>
      </c>
      <c r="L40" s="1368">
        <v>19680</v>
      </c>
      <c r="M40" s="595">
        <v>11036</v>
      </c>
      <c r="N40" s="590">
        <v>41374</v>
      </c>
      <c r="O40" s="590">
        <v>41739</v>
      </c>
      <c r="P40" s="343" t="s">
        <v>1320</v>
      </c>
      <c r="Q40" s="343"/>
      <c r="R40" s="343"/>
      <c r="S40" s="343"/>
      <c r="T40" s="343" t="s">
        <v>696</v>
      </c>
      <c r="U40" s="1357" t="s">
        <v>1355</v>
      </c>
      <c r="V40" s="1054">
        <v>41738</v>
      </c>
      <c r="W40" s="1053">
        <v>11289</v>
      </c>
      <c r="X40" s="1060" t="s">
        <v>1385</v>
      </c>
      <c r="Y40" s="1054"/>
      <c r="Z40" s="1054"/>
      <c r="AA40" s="1030"/>
      <c r="AB40" s="1030"/>
      <c r="AC40" s="266"/>
      <c r="AD40" s="1030"/>
      <c r="AE40" s="613">
        <f>L40-AD40+AC40</f>
        <v>19680</v>
      </c>
      <c r="AF40" s="278">
        <v>13940</v>
      </c>
      <c r="AG40" s="278">
        <v>5357.36</v>
      </c>
      <c r="AH40" s="613">
        <f t="shared" si="1"/>
        <v>19297.36</v>
      </c>
      <c r="AI40" s="339"/>
      <c r="AJ40" s="339"/>
      <c r="AK40" s="107"/>
      <c r="AL40" s="107"/>
      <c r="AM40" s="1092"/>
      <c r="AN40" s="107"/>
      <c r="AO40" s="107"/>
      <c r="AP40" s="107"/>
      <c r="AQ40" s="107"/>
      <c r="AR40" s="107"/>
      <c r="AS40" s="1030"/>
      <c r="AT40" s="1030"/>
      <c r="AU40" s="1030"/>
      <c r="AV40" s="1030"/>
      <c r="AW40" s="1030"/>
      <c r="AX40" s="1030"/>
      <c r="AY40" s="1030"/>
      <c r="AZ40" s="1030"/>
      <c r="BA40" s="1030"/>
      <c r="BB40" s="1030"/>
      <c r="BC40" s="1030"/>
      <c r="BD40" s="1030"/>
    </row>
    <row r="41" spans="1:56" ht="38.25" x14ac:dyDescent="0.25">
      <c r="A41" s="1492">
        <v>13</v>
      </c>
      <c r="B41" s="2223"/>
      <c r="C41" s="2021"/>
      <c r="D41" s="2252"/>
      <c r="E41" s="2021"/>
      <c r="F41" s="518" t="s">
        <v>1386</v>
      </c>
      <c r="G41" s="2180"/>
      <c r="H41" s="1031" t="s">
        <v>1387</v>
      </c>
      <c r="I41" s="518" t="s">
        <v>1388</v>
      </c>
      <c r="J41" s="1060" t="s">
        <v>1389</v>
      </c>
      <c r="K41" s="1054">
        <v>41373</v>
      </c>
      <c r="L41" s="278">
        <v>17640</v>
      </c>
      <c r="M41" s="1053">
        <v>11036</v>
      </c>
      <c r="N41" s="1054">
        <v>41374</v>
      </c>
      <c r="O41" s="1054">
        <v>41739</v>
      </c>
      <c r="P41" s="1030" t="s">
        <v>1320</v>
      </c>
      <c r="Q41" s="1030"/>
      <c r="R41" s="1030" t="s">
        <v>1390</v>
      </c>
      <c r="S41" s="1030"/>
      <c r="T41" s="1030" t="s">
        <v>696</v>
      </c>
      <c r="U41" s="1357" t="s">
        <v>1349</v>
      </c>
      <c r="V41" s="1054">
        <v>41738</v>
      </c>
      <c r="W41" s="1053">
        <v>11288</v>
      </c>
      <c r="X41" s="1060" t="s">
        <v>1364</v>
      </c>
      <c r="Y41" s="1054">
        <v>41739</v>
      </c>
      <c r="Z41" s="1054">
        <v>42104</v>
      </c>
      <c r="AA41" s="1030"/>
      <c r="AB41" s="1030"/>
      <c r="AC41" s="266">
        <v>17640</v>
      </c>
      <c r="AD41" s="1030"/>
      <c r="AE41" s="613">
        <f t="shared" si="0"/>
        <v>35280</v>
      </c>
      <c r="AF41" s="278">
        <v>12495</v>
      </c>
      <c r="AG41" s="278">
        <v>17640</v>
      </c>
      <c r="AH41" s="613">
        <f t="shared" si="1"/>
        <v>30135</v>
      </c>
      <c r="AI41" s="339"/>
      <c r="AJ41" s="339"/>
      <c r="AK41" s="107"/>
      <c r="AL41" s="107"/>
      <c r="AM41" s="1092"/>
      <c r="AN41" s="107"/>
      <c r="AO41" s="107"/>
      <c r="AP41" s="107"/>
      <c r="AQ41" s="107"/>
      <c r="AR41" s="107"/>
      <c r="AS41" s="1030"/>
      <c r="AT41" s="1030"/>
      <c r="AU41" s="1030"/>
      <c r="AV41" s="1030"/>
      <c r="AW41" s="1030"/>
      <c r="AX41" s="1030"/>
      <c r="AY41" s="1030"/>
      <c r="AZ41" s="1030"/>
      <c r="BA41" s="1030"/>
      <c r="BB41" s="1030"/>
      <c r="BC41" s="1030"/>
      <c r="BD41" s="1030"/>
    </row>
    <row r="42" spans="1:56" ht="38.25" x14ac:dyDescent="0.25">
      <c r="A42" s="1492">
        <v>14</v>
      </c>
      <c r="B42" s="2223"/>
      <c r="C42" s="2021"/>
      <c r="D42" s="2252"/>
      <c r="E42" s="2021"/>
      <c r="F42" s="518" t="s">
        <v>1391</v>
      </c>
      <c r="G42" s="2180"/>
      <c r="H42" s="1031" t="s">
        <v>1392</v>
      </c>
      <c r="I42" s="518" t="s">
        <v>1393</v>
      </c>
      <c r="J42" s="1060" t="s">
        <v>1394</v>
      </c>
      <c r="K42" s="1054">
        <v>41373</v>
      </c>
      <c r="L42" s="278">
        <v>38988</v>
      </c>
      <c r="M42" s="1053">
        <v>11037</v>
      </c>
      <c r="N42" s="1054">
        <v>41374</v>
      </c>
      <c r="O42" s="1054">
        <v>41739</v>
      </c>
      <c r="P42" s="1030" t="s">
        <v>1320</v>
      </c>
      <c r="Q42" s="1030"/>
      <c r="R42" s="1030"/>
      <c r="S42" s="1030"/>
      <c r="T42" s="1030" t="s">
        <v>696</v>
      </c>
      <c r="U42" s="1357" t="s">
        <v>1349</v>
      </c>
      <c r="V42" s="1054">
        <v>41738</v>
      </c>
      <c r="W42" s="1053">
        <v>11294</v>
      </c>
      <c r="X42" s="1060" t="s">
        <v>1364</v>
      </c>
      <c r="Y42" s="1054">
        <v>41739</v>
      </c>
      <c r="Z42" s="1054">
        <v>42104</v>
      </c>
      <c r="AA42" s="1030"/>
      <c r="AB42" s="1030"/>
      <c r="AC42" s="266">
        <v>38988</v>
      </c>
      <c r="AD42" s="1030"/>
      <c r="AE42" s="613">
        <f t="shared" si="0"/>
        <v>77976</v>
      </c>
      <c r="AF42" s="278">
        <v>27214.06</v>
      </c>
      <c r="AG42" s="278">
        <v>38988</v>
      </c>
      <c r="AH42" s="613">
        <f t="shared" si="1"/>
        <v>66202.06</v>
      </c>
      <c r="AI42" s="339"/>
      <c r="AJ42" s="339"/>
      <c r="AK42" s="107"/>
      <c r="AL42" s="107"/>
      <c r="AM42" s="1092"/>
      <c r="AN42" s="107"/>
      <c r="AO42" s="107"/>
      <c r="AP42" s="107"/>
      <c r="AQ42" s="107"/>
      <c r="AR42" s="107"/>
      <c r="AS42" s="1030"/>
      <c r="AT42" s="1030"/>
      <c r="AU42" s="1030"/>
      <c r="AV42" s="1030"/>
      <c r="AW42" s="1030"/>
      <c r="AX42" s="1030"/>
      <c r="AY42" s="1030"/>
      <c r="AZ42" s="1030"/>
      <c r="BA42" s="1030"/>
      <c r="BB42" s="1030"/>
      <c r="BC42" s="1030"/>
      <c r="BD42" s="1030"/>
    </row>
    <row r="43" spans="1:56" x14ac:dyDescent="0.25">
      <c r="A43" s="2285">
        <v>15</v>
      </c>
      <c r="B43" s="2223"/>
      <c r="C43" s="2021"/>
      <c r="D43" s="2252"/>
      <c r="E43" s="2021"/>
      <c r="F43" s="1985" t="s">
        <v>1395</v>
      </c>
      <c r="G43" s="2180"/>
      <c r="H43" s="1991" t="s">
        <v>1396</v>
      </c>
      <c r="I43" s="1985" t="s">
        <v>1397</v>
      </c>
      <c r="J43" s="1985" t="s">
        <v>1398</v>
      </c>
      <c r="K43" s="1996">
        <v>41380</v>
      </c>
      <c r="L43" s="2282">
        <v>39228</v>
      </c>
      <c r="M43" s="1994">
        <v>11036</v>
      </c>
      <c r="N43" s="1996">
        <v>41381</v>
      </c>
      <c r="O43" s="1996">
        <v>41745</v>
      </c>
      <c r="P43" s="1985" t="s">
        <v>1320</v>
      </c>
      <c r="Q43" s="1985"/>
      <c r="R43" s="1985"/>
      <c r="S43" s="1985"/>
      <c r="T43" s="1985" t="s">
        <v>696</v>
      </c>
      <c r="U43" s="1357" t="s">
        <v>1349</v>
      </c>
      <c r="V43" s="1054">
        <v>41744</v>
      </c>
      <c r="W43" s="1053">
        <v>11292</v>
      </c>
      <c r="X43" s="1060" t="s">
        <v>1364</v>
      </c>
      <c r="Y43" s="1054">
        <v>41745</v>
      </c>
      <c r="Z43" s="1054">
        <v>42110</v>
      </c>
      <c r="AA43" s="1030"/>
      <c r="AB43" s="1030"/>
      <c r="AC43" s="266">
        <v>39228</v>
      </c>
      <c r="AD43" s="1030"/>
      <c r="AE43" s="2282">
        <f t="shared" si="0"/>
        <v>78456</v>
      </c>
      <c r="AF43" s="2282">
        <v>26478.89</v>
      </c>
      <c r="AG43" s="2282">
        <v>35959</v>
      </c>
      <c r="AH43" s="2282">
        <f t="shared" si="1"/>
        <v>62437.89</v>
      </c>
      <c r="AI43" s="339"/>
      <c r="AJ43" s="339"/>
      <c r="AK43" s="107"/>
      <c r="AL43" s="107"/>
      <c r="AM43" s="1092"/>
      <c r="AN43" s="107"/>
      <c r="AO43" s="107"/>
      <c r="AP43" s="107"/>
      <c r="AQ43" s="107"/>
      <c r="AR43" s="107"/>
      <c r="AS43" s="1030"/>
      <c r="AT43" s="1030"/>
      <c r="AU43" s="1030"/>
      <c r="AV43" s="1030"/>
      <c r="AW43" s="1030"/>
      <c r="AX43" s="1030"/>
      <c r="AY43" s="1030"/>
      <c r="AZ43" s="1030"/>
      <c r="BA43" s="1030"/>
      <c r="BB43" s="1030"/>
      <c r="BC43" s="1030"/>
      <c r="BD43" s="1030"/>
    </row>
    <row r="44" spans="1:56" ht="63.75" x14ac:dyDescent="0.25">
      <c r="A44" s="2286"/>
      <c r="B44" s="2223"/>
      <c r="C44" s="2021"/>
      <c r="D44" s="2252"/>
      <c r="E44" s="2021"/>
      <c r="F44" s="1986"/>
      <c r="G44" s="2180"/>
      <c r="H44" s="1992"/>
      <c r="I44" s="1986"/>
      <c r="J44" s="1986"/>
      <c r="K44" s="1997"/>
      <c r="L44" s="2283"/>
      <c r="M44" s="1995"/>
      <c r="N44" s="1997"/>
      <c r="O44" s="1997"/>
      <c r="P44" s="1986"/>
      <c r="Q44" s="1986"/>
      <c r="R44" s="1986"/>
      <c r="S44" s="1986"/>
      <c r="T44" s="1986"/>
      <c r="U44" s="1357" t="s">
        <v>1355</v>
      </c>
      <c r="V44" s="1054">
        <v>41974</v>
      </c>
      <c r="W44" s="1053">
        <v>11451</v>
      </c>
      <c r="X44" s="1060" t="s">
        <v>1399</v>
      </c>
      <c r="Y44" s="1054"/>
      <c r="Z44" s="1054"/>
      <c r="AA44" s="1030"/>
      <c r="AB44" s="1030"/>
      <c r="AC44" s="266"/>
      <c r="AD44" s="1030"/>
      <c r="AE44" s="2283"/>
      <c r="AF44" s="2283"/>
      <c r="AG44" s="2283"/>
      <c r="AH44" s="2283"/>
      <c r="AI44" s="339"/>
      <c r="AJ44" s="339"/>
      <c r="AK44" s="107"/>
      <c r="AL44" s="107"/>
      <c r="AM44" s="1092"/>
      <c r="AN44" s="107"/>
      <c r="AO44" s="107"/>
      <c r="AP44" s="107"/>
      <c r="AQ44" s="107"/>
      <c r="AR44" s="107"/>
      <c r="AS44" s="1030"/>
      <c r="AT44" s="1030"/>
      <c r="AU44" s="1030"/>
      <c r="AV44" s="1030"/>
      <c r="AW44" s="1030"/>
      <c r="AX44" s="1030"/>
      <c r="AY44" s="1030"/>
      <c r="AZ44" s="1030"/>
      <c r="BA44" s="1030"/>
      <c r="BB44" s="1030"/>
      <c r="BC44" s="1030"/>
      <c r="BD44" s="1030"/>
    </row>
    <row r="45" spans="1:56" ht="25.5" x14ac:dyDescent="0.25">
      <c r="A45" s="1492">
        <v>16</v>
      </c>
      <c r="B45" s="2223"/>
      <c r="C45" s="2021"/>
      <c r="D45" s="2252"/>
      <c r="E45" s="2021"/>
      <c r="F45" s="518" t="s">
        <v>1395</v>
      </c>
      <c r="G45" s="2180"/>
      <c r="H45" s="1031" t="s">
        <v>1400</v>
      </c>
      <c r="I45" s="518" t="s">
        <v>1401</v>
      </c>
      <c r="J45" s="1060" t="s">
        <v>1402</v>
      </c>
      <c r="K45" s="1054">
        <v>41380</v>
      </c>
      <c r="L45" s="278">
        <v>39240</v>
      </c>
      <c r="M45" s="1053">
        <v>11036</v>
      </c>
      <c r="N45" s="1054">
        <v>41381</v>
      </c>
      <c r="O45" s="1054">
        <v>41745</v>
      </c>
      <c r="P45" s="1030" t="s">
        <v>1320</v>
      </c>
      <c r="Q45" s="1060"/>
      <c r="R45" s="1030"/>
      <c r="S45" s="1030"/>
      <c r="T45" s="1030" t="s">
        <v>696</v>
      </c>
      <c r="U45" s="1357" t="s">
        <v>1349</v>
      </c>
      <c r="V45" s="1054">
        <v>41744</v>
      </c>
      <c r="W45" s="1053">
        <v>11292</v>
      </c>
      <c r="X45" s="1060" t="s">
        <v>1364</v>
      </c>
      <c r="Y45" s="1054">
        <v>41745</v>
      </c>
      <c r="Z45" s="1054">
        <v>42110</v>
      </c>
      <c r="AA45" s="1030"/>
      <c r="AB45" s="1030"/>
      <c r="AC45" s="266">
        <v>39240</v>
      </c>
      <c r="AD45" s="1030"/>
      <c r="AE45" s="613">
        <f>L45-AD45+AC45</f>
        <v>78480</v>
      </c>
      <c r="AF45" s="278">
        <v>26814</v>
      </c>
      <c r="AG45" s="278">
        <v>39240</v>
      </c>
      <c r="AH45" s="613">
        <f t="shared" si="1"/>
        <v>66054</v>
      </c>
      <c r="AI45" s="339"/>
      <c r="AJ45" s="339"/>
      <c r="AK45" s="107"/>
      <c r="AL45" s="107"/>
      <c r="AM45" s="1092"/>
      <c r="AN45" s="107"/>
      <c r="AO45" s="107"/>
      <c r="AP45" s="107"/>
      <c r="AQ45" s="107"/>
      <c r="AR45" s="107"/>
      <c r="AS45" s="1030"/>
      <c r="AT45" s="1030"/>
      <c r="AU45" s="1030"/>
      <c r="AV45" s="1030"/>
      <c r="AW45" s="1030"/>
      <c r="AX45" s="1030"/>
      <c r="AY45" s="1030"/>
      <c r="AZ45" s="1030"/>
      <c r="BA45" s="1030"/>
      <c r="BB45" s="1030"/>
      <c r="BC45" s="1030"/>
      <c r="BD45" s="1030"/>
    </row>
    <row r="46" spans="1:56" ht="25.5" x14ac:dyDescent="0.25">
      <c r="A46" s="1492">
        <v>17</v>
      </c>
      <c r="B46" s="2223"/>
      <c r="C46" s="2021"/>
      <c r="D46" s="2252"/>
      <c r="E46" s="2021"/>
      <c r="F46" s="518" t="s">
        <v>1403</v>
      </c>
      <c r="G46" s="2180"/>
      <c r="H46" s="1031" t="s">
        <v>1404</v>
      </c>
      <c r="I46" s="518" t="s">
        <v>1405</v>
      </c>
      <c r="J46" s="1060" t="s">
        <v>1406</v>
      </c>
      <c r="K46" s="1054">
        <v>41388</v>
      </c>
      <c r="L46" s="278">
        <v>56400</v>
      </c>
      <c r="M46" s="1053">
        <v>11036</v>
      </c>
      <c r="N46" s="1054">
        <v>41388</v>
      </c>
      <c r="O46" s="1054">
        <v>41753</v>
      </c>
      <c r="P46" s="1030" t="s">
        <v>1320</v>
      </c>
      <c r="Q46" s="1060"/>
      <c r="R46" s="1030"/>
      <c r="S46" s="1030"/>
      <c r="T46" s="1030" t="s">
        <v>685</v>
      </c>
      <c r="U46" s="1357" t="s">
        <v>1349</v>
      </c>
      <c r="V46" s="1054">
        <v>41752</v>
      </c>
      <c r="W46" s="1053">
        <v>11294</v>
      </c>
      <c r="X46" s="1060" t="s">
        <v>1364</v>
      </c>
      <c r="Y46" s="1054">
        <v>41753</v>
      </c>
      <c r="Z46" s="1054">
        <v>42118</v>
      </c>
      <c r="AA46" s="1030"/>
      <c r="AB46" s="1030"/>
      <c r="AC46" s="266">
        <v>56400</v>
      </c>
      <c r="AD46" s="1030"/>
      <c r="AE46" s="613">
        <f>L46-AD46+AC46</f>
        <v>112800</v>
      </c>
      <c r="AF46" s="278">
        <v>7050</v>
      </c>
      <c r="AG46" s="278">
        <v>8460</v>
      </c>
      <c r="AH46" s="613">
        <f t="shared" si="1"/>
        <v>15510</v>
      </c>
      <c r="AI46" s="339"/>
      <c r="AJ46" s="339"/>
      <c r="AK46" s="107"/>
      <c r="AL46" s="107"/>
      <c r="AM46" s="1092"/>
      <c r="AN46" s="107"/>
      <c r="AO46" s="107"/>
      <c r="AP46" s="107"/>
      <c r="AQ46" s="107"/>
      <c r="AR46" s="107"/>
      <c r="AS46" s="1030"/>
      <c r="AT46" s="1030"/>
      <c r="AU46" s="1030"/>
      <c r="AV46" s="1030"/>
      <c r="AW46" s="1030"/>
      <c r="AX46" s="1030"/>
      <c r="AY46" s="1030"/>
      <c r="AZ46" s="1030"/>
      <c r="BA46" s="1030"/>
      <c r="BB46" s="1030"/>
      <c r="BC46" s="1030"/>
      <c r="BD46" s="1030"/>
    </row>
    <row r="47" spans="1:56" ht="25.5" x14ac:dyDescent="0.25">
      <c r="A47" s="1492">
        <v>18</v>
      </c>
      <c r="B47" s="2224"/>
      <c r="C47" s="1986"/>
      <c r="D47" s="2234"/>
      <c r="E47" s="1986"/>
      <c r="F47" s="518" t="s">
        <v>1407</v>
      </c>
      <c r="G47" s="2178"/>
      <c r="H47" s="1031" t="s">
        <v>1408</v>
      </c>
      <c r="I47" s="518" t="s">
        <v>1409</v>
      </c>
      <c r="J47" s="1060" t="s">
        <v>1410</v>
      </c>
      <c r="K47" s="1054">
        <v>41393</v>
      </c>
      <c r="L47" s="278">
        <v>19800</v>
      </c>
      <c r="M47" s="1053">
        <v>11043</v>
      </c>
      <c r="N47" s="1054">
        <v>41393</v>
      </c>
      <c r="O47" s="1054">
        <v>41758</v>
      </c>
      <c r="P47" s="1030" t="s">
        <v>1320</v>
      </c>
      <c r="Q47" s="1060"/>
      <c r="R47" s="1030"/>
      <c r="S47" s="1030"/>
      <c r="T47" s="1030" t="s">
        <v>696</v>
      </c>
      <c r="U47" s="1357" t="s">
        <v>1349</v>
      </c>
      <c r="V47" s="1054">
        <v>41757</v>
      </c>
      <c r="W47" s="1053">
        <v>11297</v>
      </c>
      <c r="X47" s="1060" t="s">
        <v>1364</v>
      </c>
      <c r="Y47" s="1054">
        <v>41758</v>
      </c>
      <c r="Z47" s="1054">
        <v>42123</v>
      </c>
      <c r="AA47" s="1030"/>
      <c r="AB47" s="1030"/>
      <c r="AC47" s="266">
        <v>19800</v>
      </c>
      <c r="AD47" s="1030"/>
      <c r="AE47" s="613">
        <f>L47-AD47+AC47</f>
        <v>39600</v>
      </c>
      <c r="AF47" s="278">
        <v>12650</v>
      </c>
      <c r="AG47" s="278">
        <v>19800</v>
      </c>
      <c r="AH47" s="613">
        <f t="shared" si="1"/>
        <v>32450</v>
      </c>
      <c r="AI47" s="339"/>
      <c r="AJ47" s="339"/>
      <c r="AK47" s="107"/>
      <c r="AL47" s="107"/>
      <c r="AM47" s="1092"/>
      <c r="AN47" s="107"/>
      <c r="AO47" s="107"/>
      <c r="AP47" s="107"/>
      <c r="AQ47" s="107"/>
      <c r="AR47" s="107"/>
      <c r="AS47" s="1030"/>
      <c r="AT47" s="1030"/>
      <c r="AU47" s="1030"/>
      <c r="AV47" s="1030"/>
      <c r="AW47" s="1030"/>
      <c r="AX47" s="1030"/>
      <c r="AY47" s="1030"/>
      <c r="AZ47" s="1030"/>
      <c r="BA47" s="1030"/>
      <c r="BB47" s="1030"/>
      <c r="BC47" s="1030"/>
      <c r="BD47" s="1030"/>
    </row>
    <row r="48" spans="1:56" ht="63.75" x14ac:dyDescent="0.25">
      <c r="A48" s="1492">
        <v>19</v>
      </c>
      <c r="B48" s="1483">
        <v>130370064</v>
      </c>
      <c r="C48" s="1030" t="s">
        <v>1031</v>
      </c>
      <c r="D48" s="518" t="s">
        <v>690</v>
      </c>
      <c r="E48" s="1060"/>
      <c r="F48" s="1365" t="s">
        <v>1411</v>
      </c>
      <c r="G48" s="1178" t="s">
        <v>677</v>
      </c>
      <c r="H48" s="1031" t="s">
        <v>1412</v>
      </c>
      <c r="I48" s="518" t="s">
        <v>1413</v>
      </c>
      <c r="J48" s="1060" t="s">
        <v>1414</v>
      </c>
      <c r="K48" s="1054">
        <v>41393</v>
      </c>
      <c r="L48" s="278">
        <v>13200</v>
      </c>
      <c r="M48" s="1053">
        <v>11040</v>
      </c>
      <c r="N48" s="1054">
        <v>41395</v>
      </c>
      <c r="O48" s="1054">
        <v>41760</v>
      </c>
      <c r="P48" s="1030" t="s">
        <v>1308</v>
      </c>
      <c r="Q48" s="1060"/>
      <c r="R48" s="1030"/>
      <c r="S48" s="1030"/>
      <c r="T48" s="1030" t="s">
        <v>696</v>
      </c>
      <c r="U48" s="1357" t="s">
        <v>867</v>
      </c>
      <c r="V48" s="1054">
        <v>41759</v>
      </c>
      <c r="W48" s="1053">
        <v>11300</v>
      </c>
      <c r="X48" s="1060" t="s">
        <v>1415</v>
      </c>
      <c r="Y48" s="1059">
        <v>41760</v>
      </c>
      <c r="Z48" s="1054">
        <v>42125</v>
      </c>
      <c r="AA48" s="1030">
        <v>7.9835799999999999</v>
      </c>
      <c r="AB48" s="1030"/>
      <c r="AC48" s="1361">
        <v>14253.84</v>
      </c>
      <c r="AD48" s="1030"/>
      <c r="AE48" s="613">
        <f>L48-AD48+AC48</f>
        <v>27453.84</v>
      </c>
      <c r="AF48" s="278">
        <v>8800</v>
      </c>
      <c r="AG48" s="278">
        <v>13902.56</v>
      </c>
      <c r="AH48" s="613">
        <f t="shared" si="1"/>
        <v>22702.559999999998</v>
      </c>
      <c r="AI48" s="339"/>
      <c r="AJ48" s="339"/>
      <c r="AK48" s="107"/>
      <c r="AL48" s="107"/>
      <c r="AM48" s="1092" t="s">
        <v>1311</v>
      </c>
      <c r="AN48" s="1030" t="s">
        <v>1312</v>
      </c>
      <c r="AO48" s="1053">
        <v>11033</v>
      </c>
      <c r="AP48" s="1054">
        <v>41387</v>
      </c>
      <c r="AQ48" s="1053">
        <v>11038</v>
      </c>
      <c r="AR48" s="1054">
        <v>41394</v>
      </c>
      <c r="AS48" s="1030"/>
      <c r="AT48" s="1030"/>
      <c r="AU48" s="1030"/>
      <c r="AV48" s="1030"/>
      <c r="AW48" s="1030"/>
      <c r="AX48" s="1030"/>
      <c r="AY48" s="1030"/>
      <c r="AZ48" s="1030"/>
      <c r="BA48" s="1030"/>
      <c r="BB48" s="1030"/>
      <c r="BC48" s="1030"/>
      <c r="BD48" s="1030"/>
    </row>
    <row r="49" spans="1:56" ht="51" x14ac:dyDescent="0.25">
      <c r="A49" s="2285">
        <v>20</v>
      </c>
      <c r="B49" s="2309">
        <v>130950209</v>
      </c>
      <c r="C49" s="1985"/>
      <c r="D49" s="2308" t="s">
        <v>690</v>
      </c>
      <c r="E49" s="1985"/>
      <c r="F49" s="2310" t="s">
        <v>1416</v>
      </c>
      <c r="G49" s="2177" t="s">
        <v>677</v>
      </c>
      <c r="H49" s="1978" t="s">
        <v>1417</v>
      </c>
      <c r="I49" s="2308" t="s">
        <v>1418</v>
      </c>
      <c r="J49" s="1967" t="s">
        <v>1419</v>
      </c>
      <c r="K49" s="1973">
        <v>41394</v>
      </c>
      <c r="L49" s="2296">
        <v>8040</v>
      </c>
      <c r="M49" s="1972">
        <v>11040</v>
      </c>
      <c r="N49" s="1973">
        <v>41395</v>
      </c>
      <c r="O49" s="1973">
        <v>41760</v>
      </c>
      <c r="P49" s="2314" t="s">
        <v>1420</v>
      </c>
      <c r="Q49" s="1985"/>
      <c r="R49" s="1985"/>
      <c r="S49" s="1985"/>
      <c r="T49" s="1967" t="s">
        <v>696</v>
      </c>
      <c r="U49" s="1357" t="s">
        <v>867</v>
      </c>
      <c r="V49" s="1054">
        <v>41759</v>
      </c>
      <c r="W49" s="1030">
        <v>11305</v>
      </c>
      <c r="X49" s="1060" t="s">
        <v>1421</v>
      </c>
      <c r="Y49" s="1059">
        <v>41760</v>
      </c>
      <c r="Z49" s="1054">
        <v>41852</v>
      </c>
      <c r="AA49" s="1030">
        <v>7.9835799999999999</v>
      </c>
      <c r="AB49" s="1030"/>
      <c r="AC49" s="1361">
        <v>2170.4699999999998</v>
      </c>
      <c r="AD49" s="1030"/>
      <c r="AE49" s="2282">
        <f>L49-AD49+AC49-AD50+AC50</f>
        <v>22210.47</v>
      </c>
      <c r="AF49" s="2282">
        <v>5360</v>
      </c>
      <c r="AG49" s="2282">
        <v>10403.49</v>
      </c>
      <c r="AH49" s="2282">
        <f t="shared" si="1"/>
        <v>15763.49</v>
      </c>
      <c r="AI49" s="339"/>
      <c r="AJ49" s="339"/>
      <c r="AK49" s="107"/>
      <c r="AL49" s="107"/>
      <c r="AM49" s="2135" t="s">
        <v>1311</v>
      </c>
      <c r="AN49" s="1967" t="s">
        <v>1312</v>
      </c>
      <c r="AO49" s="1972">
        <v>11033</v>
      </c>
      <c r="AP49" s="1973">
        <v>41387</v>
      </c>
      <c r="AQ49" s="1972">
        <v>11038</v>
      </c>
      <c r="AR49" s="1973">
        <v>41394</v>
      </c>
      <c r="AS49" s="1030"/>
      <c r="AT49" s="1030"/>
      <c r="AU49" s="1030"/>
      <c r="AV49" s="1030"/>
      <c r="AW49" s="1030"/>
      <c r="AX49" s="1030"/>
      <c r="AY49" s="1030"/>
      <c r="AZ49" s="1030"/>
      <c r="BA49" s="1030"/>
      <c r="BB49" s="1030"/>
      <c r="BC49" s="1030"/>
      <c r="BD49" s="1030"/>
    </row>
    <row r="50" spans="1:56" ht="38.25" x14ac:dyDescent="0.25">
      <c r="A50" s="2286"/>
      <c r="B50" s="2309"/>
      <c r="C50" s="1986"/>
      <c r="D50" s="2308"/>
      <c r="E50" s="1986"/>
      <c r="F50" s="2310"/>
      <c r="G50" s="2178"/>
      <c r="H50" s="1978"/>
      <c r="I50" s="2308"/>
      <c r="J50" s="1967"/>
      <c r="K50" s="1973"/>
      <c r="L50" s="2296"/>
      <c r="M50" s="1972"/>
      <c r="N50" s="1973"/>
      <c r="O50" s="1973"/>
      <c r="P50" s="2314"/>
      <c r="Q50" s="1986"/>
      <c r="R50" s="1986"/>
      <c r="S50" s="1986"/>
      <c r="T50" s="1967"/>
      <c r="U50" s="1357" t="s">
        <v>871</v>
      </c>
      <c r="V50" s="1054">
        <v>41789</v>
      </c>
      <c r="W50" s="1030">
        <v>11320</v>
      </c>
      <c r="X50" s="1060" t="s">
        <v>1422</v>
      </c>
      <c r="Y50" s="1059">
        <v>41791</v>
      </c>
      <c r="Z50" s="1362">
        <v>42156</v>
      </c>
      <c r="AA50" s="1030">
        <v>38.218910000000001</v>
      </c>
      <c r="AB50" s="1030"/>
      <c r="AC50" s="1361">
        <v>12000</v>
      </c>
      <c r="AD50" s="1030"/>
      <c r="AE50" s="2283"/>
      <c r="AF50" s="2283"/>
      <c r="AG50" s="2283"/>
      <c r="AH50" s="2283"/>
      <c r="AI50" s="339"/>
      <c r="AJ50" s="339"/>
      <c r="AK50" s="107"/>
      <c r="AL50" s="107"/>
      <c r="AM50" s="2135"/>
      <c r="AN50" s="1967"/>
      <c r="AO50" s="1972"/>
      <c r="AP50" s="1973"/>
      <c r="AQ50" s="1972"/>
      <c r="AR50" s="1973"/>
      <c r="AS50" s="1030"/>
      <c r="AT50" s="1030"/>
      <c r="AU50" s="1030"/>
      <c r="AV50" s="1030"/>
      <c r="AW50" s="1030"/>
      <c r="AX50" s="1030"/>
      <c r="AY50" s="1030"/>
      <c r="AZ50" s="1030"/>
      <c r="BA50" s="1030"/>
      <c r="BB50" s="1030"/>
      <c r="BC50" s="1030"/>
      <c r="BD50" s="1030"/>
    </row>
    <row r="51" spans="1:56" ht="63.75" x14ac:dyDescent="0.25">
      <c r="A51" s="1492">
        <v>21</v>
      </c>
      <c r="B51" s="1483">
        <v>131120111</v>
      </c>
      <c r="C51" s="1030" t="s">
        <v>1046</v>
      </c>
      <c r="D51" s="518" t="s">
        <v>690</v>
      </c>
      <c r="E51" s="1060"/>
      <c r="F51" s="1365" t="s">
        <v>1423</v>
      </c>
      <c r="G51" s="1178" t="s">
        <v>677</v>
      </c>
      <c r="H51" s="1031" t="s">
        <v>1424</v>
      </c>
      <c r="I51" s="518" t="s">
        <v>1425</v>
      </c>
      <c r="J51" s="1060" t="s">
        <v>1426</v>
      </c>
      <c r="K51" s="1054">
        <v>41414</v>
      </c>
      <c r="L51" s="278">
        <v>132000</v>
      </c>
      <c r="M51" s="1053">
        <v>11057</v>
      </c>
      <c r="N51" s="1054">
        <v>41414</v>
      </c>
      <c r="O51" s="1054">
        <v>41779</v>
      </c>
      <c r="P51" s="1030" t="s">
        <v>1320</v>
      </c>
      <c r="Q51" s="1060"/>
      <c r="R51" s="1030"/>
      <c r="S51" s="1030"/>
      <c r="T51" s="1030" t="s">
        <v>685</v>
      </c>
      <c r="U51" s="1357" t="s">
        <v>867</v>
      </c>
      <c r="V51" s="1054">
        <v>41778</v>
      </c>
      <c r="W51" s="1030">
        <v>11311</v>
      </c>
      <c r="X51" s="1060" t="s">
        <v>1427</v>
      </c>
      <c r="Y51" s="1054">
        <v>41779</v>
      </c>
      <c r="Z51" s="1054">
        <v>42144</v>
      </c>
      <c r="AA51" s="1060">
        <v>7.9837199999999999</v>
      </c>
      <c r="AB51" s="1030"/>
      <c r="AC51" s="1361">
        <v>142538.51999999999</v>
      </c>
      <c r="AD51" s="1030"/>
      <c r="AE51" s="613">
        <f>L51-AD51+AC51</f>
        <v>274538.52</v>
      </c>
      <c r="AF51" s="278">
        <v>81400.039999999994</v>
      </c>
      <c r="AG51" s="278">
        <v>138498.71</v>
      </c>
      <c r="AH51" s="613">
        <f>AF51+AG51</f>
        <v>219898.75</v>
      </c>
      <c r="AI51" s="339"/>
      <c r="AJ51" s="339"/>
      <c r="AK51" s="107"/>
      <c r="AL51" s="107"/>
      <c r="AM51" s="1092" t="s">
        <v>1311</v>
      </c>
      <c r="AN51" s="1030" t="s">
        <v>1428</v>
      </c>
      <c r="AO51" s="1053">
        <v>11044</v>
      </c>
      <c r="AP51" s="1054">
        <v>41403</v>
      </c>
      <c r="AQ51" s="1053">
        <v>11050</v>
      </c>
      <c r="AR51" s="1054">
        <v>41411</v>
      </c>
      <c r="AS51" s="1030"/>
      <c r="AT51" s="1030"/>
      <c r="AU51" s="1030"/>
      <c r="AV51" s="1030"/>
      <c r="AW51" s="1030"/>
      <c r="AX51" s="1030"/>
      <c r="AY51" s="1030"/>
      <c r="AZ51" s="1030"/>
      <c r="BA51" s="1030"/>
      <c r="BB51" s="1030"/>
      <c r="BC51" s="1030"/>
      <c r="BD51" s="1030"/>
    </row>
    <row r="52" spans="1:56" x14ac:dyDescent="0.25">
      <c r="A52" s="2285">
        <v>22</v>
      </c>
      <c r="B52" s="2311" t="s">
        <v>1429</v>
      </c>
      <c r="C52" s="1985" t="s">
        <v>1430</v>
      </c>
      <c r="D52" s="2233" t="s">
        <v>1431</v>
      </c>
      <c r="E52" s="1985" t="s">
        <v>168</v>
      </c>
      <c r="F52" s="2233" t="s">
        <v>1432</v>
      </c>
      <c r="G52" s="2177">
        <v>11014</v>
      </c>
      <c r="H52" s="1991" t="s">
        <v>1433</v>
      </c>
      <c r="I52" s="2233" t="s">
        <v>1434</v>
      </c>
      <c r="J52" s="1985" t="s">
        <v>1435</v>
      </c>
      <c r="K52" s="1996">
        <v>41423</v>
      </c>
      <c r="L52" s="2282">
        <v>238033.31</v>
      </c>
      <c r="M52" s="1994">
        <v>11059</v>
      </c>
      <c r="N52" s="1996">
        <v>41423</v>
      </c>
      <c r="O52" s="1996">
        <v>41513</v>
      </c>
      <c r="P52" s="1985" t="s">
        <v>1436</v>
      </c>
      <c r="Q52" s="2163" t="s">
        <v>1437</v>
      </c>
      <c r="R52" s="2282">
        <v>202940.18</v>
      </c>
      <c r="S52" s="1370"/>
      <c r="T52" s="1985" t="s">
        <v>1438</v>
      </c>
      <c r="U52" s="1030" t="s">
        <v>1349</v>
      </c>
      <c r="V52" s="1054">
        <v>41511</v>
      </c>
      <c r="W52" s="1053">
        <v>11157</v>
      </c>
      <c r="X52" s="1060" t="s">
        <v>7541</v>
      </c>
      <c r="Y52" s="1030" t="s">
        <v>1439</v>
      </c>
      <c r="Z52" s="1054" t="s">
        <v>1440</v>
      </c>
      <c r="AA52" s="1030"/>
      <c r="AB52" s="1030"/>
      <c r="AC52" s="266"/>
      <c r="AD52" s="1030"/>
      <c r="AE52" s="2282">
        <f>L52-AD52+AC52-AD53+AC53-AD54+AC54-AD55+AC55-AD56+AC56-AD57+AC57-AD58+AC58-AD59+AC59-AD60+AC60-AD61+AC61-AD62+AC62-AD63+AC63</f>
        <v>236761.03</v>
      </c>
      <c r="AF52" s="2282">
        <v>47786.98</v>
      </c>
      <c r="AG52" s="2282">
        <v>129549.71</v>
      </c>
      <c r="AH52" s="2282">
        <f>AF52+AG52</f>
        <v>177336.69</v>
      </c>
      <c r="AI52" s="339"/>
      <c r="AJ52" s="339"/>
      <c r="AK52" s="107"/>
      <c r="AL52" s="107"/>
      <c r="AM52" s="1092"/>
      <c r="AN52" s="107"/>
      <c r="AO52" s="107"/>
      <c r="AP52" s="107"/>
      <c r="AQ52" s="107"/>
      <c r="AR52" s="107"/>
      <c r="AS52" s="1985" t="s">
        <v>1441</v>
      </c>
      <c r="AT52" s="1985" t="s">
        <v>1324</v>
      </c>
      <c r="AU52" s="1054">
        <v>41513</v>
      </c>
      <c r="AV52" s="1054">
        <v>41602</v>
      </c>
      <c r="AW52" s="1030"/>
      <c r="AX52" s="1030"/>
      <c r="AY52" s="1996">
        <v>41527</v>
      </c>
      <c r="AZ52" s="1030"/>
      <c r="BA52" s="1030"/>
      <c r="BB52" s="1030"/>
      <c r="BC52" s="1030"/>
      <c r="BD52" s="1030"/>
    </row>
    <row r="53" spans="1:56" x14ac:dyDescent="0.25">
      <c r="A53" s="2291"/>
      <c r="B53" s="2312"/>
      <c r="C53" s="2021"/>
      <c r="D53" s="2252"/>
      <c r="E53" s="2021"/>
      <c r="F53" s="2252"/>
      <c r="G53" s="2180"/>
      <c r="H53" s="2176"/>
      <c r="I53" s="2252"/>
      <c r="J53" s="2021"/>
      <c r="K53" s="2033"/>
      <c r="L53" s="2290"/>
      <c r="M53" s="2197"/>
      <c r="N53" s="2033"/>
      <c r="O53" s="2033"/>
      <c r="P53" s="2021"/>
      <c r="Q53" s="2175"/>
      <c r="R53" s="2290"/>
      <c r="S53" s="1370"/>
      <c r="T53" s="2021"/>
      <c r="U53" s="1030" t="s">
        <v>871</v>
      </c>
      <c r="V53" s="1054">
        <v>41516</v>
      </c>
      <c r="W53" s="1053">
        <v>11157</v>
      </c>
      <c r="X53" s="1060" t="s">
        <v>1442</v>
      </c>
      <c r="Y53" s="1030"/>
      <c r="Z53" s="1054"/>
      <c r="AA53" s="1030"/>
      <c r="AB53" s="1030">
        <f>AD53/L52*100</f>
        <v>0.53449662150225952</v>
      </c>
      <c r="AC53" s="266"/>
      <c r="AD53" s="278">
        <v>1272.28</v>
      </c>
      <c r="AE53" s="2290"/>
      <c r="AF53" s="2290"/>
      <c r="AG53" s="2290"/>
      <c r="AH53" s="2290"/>
      <c r="AI53" s="339"/>
      <c r="AJ53" s="339"/>
      <c r="AK53" s="107"/>
      <c r="AL53" s="107"/>
      <c r="AM53" s="1092"/>
      <c r="AN53" s="107"/>
      <c r="AO53" s="107"/>
      <c r="AP53" s="107"/>
      <c r="AQ53" s="107"/>
      <c r="AR53" s="107"/>
      <c r="AS53" s="2021"/>
      <c r="AT53" s="2021"/>
      <c r="AU53" s="1054"/>
      <c r="AV53" s="1054"/>
      <c r="AW53" s="1030"/>
      <c r="AX53" s="1030"/>
      <c r="AY53" s="2033"/>
      <c r="AZ53" s="1030"/>
      <c r="BA53" s="1030"/>
      <c r="BB53" s="1030"/>
      <c r="BC53" s="1030"/>
      <c r="BD53" s="1030"/>
    </row>
    <row r="54" spans="1:56" x14ac:dyDescent="0.25">
      <c r="A54" s="2291"/>
      <c r="B54" s="2312"/>
      <c r="C54" s="2021"/>
      <c r="D54" s="2252"/>
      <c r="E54" s="2021"/>
      <c r="F54" s="2252"/>
      <c r="G54" s="2180"/>
      <c r="H54" s="2176"/>
      <c r="I54" s="2252"/>
      <c r="J54" s="2021"/>
      <c r="K54" s="2033"/>
      <c r="L54" s="2290"/>
      <c r="M54" s="2197"/>
      <c r="N54" s="2033"/>
      <c r="O54" s="2033"/>
      <c r="P54" s="2021"/>
      <c r="Q54" s="2175"/>
      <c r="R54" s="2290"/>
      <c r="S54" s="1370"/>
      <c r="T54" s="2021"/>
      <c r="U54" s="1030" t="s">
        <v>874</v>
      </c>
      <c r="V54" s="1054">
        <v>41555</v>
      </c>
      <c r="W54" s="1053">
        <v>11157</v>
      </c>
      <c r="X54" s="1060" t="s">
        <v>7541</v>
      </c>
      <c r="Y54" s="1054">
        <v>41557</v>
      </c>
      <c r="Z54" s="1054">
        <v>41588</v>
      </c>
      <c r="AA54" s="1030"/>
      <c r="AB54" s="1030"/>
      <c r="AC54" s="266"/>
      <c r="AD54" s="1030"/>
      <c r="AE54" s="2290"/>
      <c r="AF54" s="2290"/>
      <c r="AG54" s="2290"/>
      <c r="AH54" s="2290"/>
      <c r="AI54" s="339"/>
      <c r="AJ54" s="339"/>
      <c r="AK54" s="107"/>
      <c r="AL54" s="107"/>
      <c r="AM54" s="1092"/>
      <c r="AN54" s="107"/>
      <c r="AO54" s="107"/>
      <c r="AP54" s="107"/>
      <c r="AQ54" s="107"/>
      <c r="AR54" s="107"/>
      <c r="AS54" s="2021"/>
      <c r="AT54" s="2021"/>
      <c r="AU54" s="1054"/>
      <c r="AV54" s="1054"/>
      <c r="AW54" s="1030"/>
      <c r="AX54" s="1030"/>
      <c r="AY54" s="2033"/>
      <c r="AZ54" s="1030"/>
      <c r="BA54" s="1030"/>
      <c r="BB54" s="1030"/>
      <c r="BC54" s="1030"/>
      <c r="BD54" s="1030"/>
    </row>
    <row r="55" spans="1:56" x14ac:dyDescent="0.25">
      <c r="A55" s="2291"/>
      <c r="B55" s="2312"/>
      <c r="C55" s="2021"/>
      <c r="D55" s="2252"/>
      <c r="E55" s="2021"/>
      <c r="F55" s="2252"/>
      <c r="G55" s="2180"/>
      <c r="H55" s="2176"/>
      <c r="I55" s="2252"/>
      <c r="J55" s="2021"/>
      <c r="K55" s="2033"/>
      <c r="L55" s="2290"/>
      <c r="M55" s="2197"/>
      <c r="N55" s="2033"/>
      <c r="O55" s="2033"/>
      <c r="P55" s="2021"/>
      <c r="Q55" s="2175"/>
      <c r="R55" s="2290"/>
      <c r="S55" s="1370"/>
      <c r="T55" s="2021"/>
      <c r="U55" s="1030" t="s">
        <v>876</v>
      </c>
      <c r="V55" s="1054">
        <v>41602</v>
      </c>
      <c r="W55" s="1053">
        <v>11185</v>
      </c>
      <c r="X55" s="1060" t="s">
        <v>7541</v>
      </c>
      <c r="Y55" s="1054">
        <v>41602</v>
      </c>
      <c r="Z55" s="1054">
        <v>41691</v>
      </c>
      <c r="AA55" s="1030"/>
      <c r="AB55" s="1030"/>
      <c r="AC55" s="266"/>
      <c r="AD55" s="1030"/>
      <c r="AE55" s="2290"/>
      <c r="AF55" s="2290"/>
      <c r="AG55" s="2290"/>
      <c r="AH55" s="2290"/>
      <c r="AI55" s="339"/>
      <c r="AJ55" s="339"/>
      <c r="AK55" s="107"/>
      <c r="AL55" s="107"/>
      <c r="AM55" s="1092"/>
      <c r="AN55" s="107"/>
      <c r="AO55" s="107"/>
      <c r="AP55" s="107"/>
      <c r="AQ55" s="107"/>
      <c r="AR55" s="107"/>
      <c r="AS55" s="2021"/>
      <c r="AT55" s="2021"/>
      <c r="AU55" s="1054">
        <v>41591</v>
      </c>
      <c r="AV55" s="1054">
        <v>41621</v>
      </c>
      <c r="AW55" s="1030"/>
      <c r="AX55" s="1030"/>
      <c r="AY55" s="2033"/>
      <c r="AZ55" s="1030"/>
      <c r="BA55" s="1030"/>
      <c r="BB55" s="1030"/>
      <c r="BC55" s="1030"/>
      <c r="BD55" s="1030"/>
    </row>
    <row r="56" spans="1:56" x14ac:dyDescent="0.25">
      <c r="A56" s="2291"/>
      <c r="B56" s="2312"/>
      <c r="C56" s="2021"/>
      <c r="D56" s="2252"/>
      <c r="E56" s="2021"/>
      <c r="F56" s="2252"/>
      <c r="G56" s="2180"/>
      <c r="H56" s="2176"/>
      <c r="I56" s="2252"/>
      <c r="J56" s="2021"/>
      <c r="K56" s="2033"/>
      <c r="L56" s="2290"/>
      <c r="M56" s="2197"/>
      <c r="N56" s="2033"/>
      <c r="O56" s="2033"/>
      <c r="P56" s="2021"/>
      <c r="Q56" s="2175"/>
      <c r="R56" s="2290"/>
      <c r="S56" s="1370"/>
      <c r="T56" s="2021"/>
      <c r="U56" s="1030" t="s">
        <v>879</v>
      </c>
      <c r="V56" s="1054">
        <v>41617</v>
      </c>
      <c r="W56" s="1053">
        <v>11202</v>
      </c>
      <c r="X56" s="1060" t="s">
        <v>7541</v>
      </c>
      <c r="Y56" s="1996">
        <v>41602</v>
      </c>
      <c r="Z56" s="1996">
        <v>41691</v>
      </c>
      <c r="AA56" s="1030"/>
      <c r="AB56" s="1030"/>
      <c r="AC56" s="266"/>
      <c r="AD56" s="1030"/>
      <c r="AE56" s="2290"/>
      <c r="AF56" s="2290"/>
      <c r="AG56" s="2290"/>
      <c r="AH56" s="2290"/>
      <c r="AI56" s="339"/>
      <c r="AJ56" s="339"/>
      <c r="AK56" s="107"/>
      <c r="AL56" s="107"/>
      <c r="AM56" s="1092"/>
      <c r="AN56" s="107"/>
      <c r="AO56" s="107"/>
      <c r="AP56" s="107"/>
      <c r="AQ56" s="107"/>
      <c r="AR56" s="107"/>
      <c r="AS56" s="2021"/>
      <c r="AT56" s="2021"/>
      <c r="AU56" s="1369">
        <v>41618</v>
      </c>
      <c r="AV56" s="1054">
        <v>41647</v>
      </c>
      <c r="AW56" s="1030"/>
      <c r="AX56" s="1030"/>
      <c r="AY56" s="2033"/>
      <c r="AZ56" s="1030"/>
      <c r="BA56" s="1030"/>
      <c r="BB56" s="1030"/>
      <c r="BC56" s="1030"/>
      <c r="BD56" s="1030"/>
    </row>
    <row r="57" spans="1:56" x14ac:dyDescent="0.25">
      <c r="A57" s="2291"/>
      <c r="B57" s="2312"/>
      <c r="C57" s="2021"/>
      <c r="D57" s="2252"/>
      <c r="E57" s="2021"/>
      <c r="F57" s="2252"/>
      <c r="G57" s="2180"/>
      <c r="H57" s="2176"/>
      <c r="I57" s="2252"/>
      <c r="J57" s="2021"/>
      <c r="K57" s="2033"/>
      <c r="L57" s="2290"/>
      <c r="M57" s="2197"/>
      <c r="N57" s="2033"/>
      <c r="O57" s="2033"/>
      <c r="P57" s="2021"/>
      <c r="Q57" s="2175"/>
      <c r="R57" s="2290"/>
      <c r="S57" s="1370"/>
      <c r="T57" s="2021"/>
      <c r="U57" s="1030" t="s">
        <v>882</v>
      </c>
      <c r="V57" s="1054">
        <v>41646</v>
      </c>
      <c r="W57" s="1053">
        <v>11229</v>
      </c>
      <c r="X57" s="1060" t="s">
        <v>7541</v>
      </c>
      <c r="Y57" s="1997"/>
      <c r="Z57" s="1997"/>
      <c r="AA57" s="1030"/>
      <c r="AB57" s="1030"/>
      <c r="AC57" s="266"/>
      <c r="AD57" s="1030"/>
      <c r="AE57" s="2290"/>
      <c r="AF57" s="2290"/>
      <c r="AG57" s="2290"/>
      <c r="AH57" s="2290"/>
      <c r="AI57" s="339"/>
      <c r="AJ57" s="339"/>
      <c r="AK57" s="107"/>
      <c r="AL57" s="107"/>
      <c r="AM57" s="1092"/>
      <c r="AN57" s="107"/>
      <c r="AO57" s="107"/>
      <c r="AP57" s="107"/>
      <c r="AQ57" s="107"/>
      <c r="AR57" s="107"/>
      <c r="AS57" s="2021"/>
      <c r="AT57" s="2021"/>
      <c r="AU57" s="1369">
        <v>41647</v>
      </c>
      <c r="AV57" s="1054">
        <v>41676</v>
      </c>
      <c r="AW57" s="1030"/>
      <c r="AX57" s="1030"/>
      <c r="AY57" s="2033"/>
      <c r="AZ57" s="1030"/>
      <c r="BA57" s="1030"/>
      <c r="BB57" s="1030"/>
      <c r="BC57" s="1030"/>
      <c r="BD57" s="1030"/>
    </row>
    <row r="58" spans="1:56" x14ac:dyDescent="0.25">
      <c r="A58" s="2291"/>
      <c r="B58" s="2312"/>
      <c r="C58" s="2021"/>
      <c r="D58" s="2252"/>
      <c r="E58" s="2021"/>
      <c r="F58" s="2252"/>
      <c r="G58" s="2180"/>
      <c r="H58" s="2176"/>
      <c r="I58" s="2252"/>
      <c r="J58" s="2021"/>
      <c r="K58" s="2033"/>
      <c r="L58" s="2290"/>
      <c r="M58" s="2197"/>
      <c r="N58" s="2033"/>
      <c r="O58" s="2033"/>
      <c r="P58" s="2021"/>
      <c r="Q58" s="2175"/>
      <c r="R58" s="2290"/>
      <c r="S58" s="1370"/>
      <c r="T58" s="2021"/>
      <c r="U58" s="1030" t="s">
        <v>1443</v>
      </c>
      <c r="V58" s="1054">
        <v>41676</v>
      </c>
      <c r="W58" s="1053">
        <v>11249</v>
      </c>
      <c r="X58" s="1060" t="s">
        <v>7541</v>
      </c>
      <c r="Y58" s="1996">
        <v>41691</v>
      </c>
      <c r="Z58" s="1996">
        <v>41780</v>
      </c>
      <c r="AA58" s="1030"/>
      <c r="AB58" s="1030"/>
      <c r="AC58" s="266"/>
      <c r="AD58" s="1030"/>
      <c r="AE58" s="2290"/>
      <c r="AF58" s="2290"/>
      <c r="AG58" s="2290"/>
      <c r="AH58" s="2290"/>
      <c r="AI58" s="339"/>
      <c r="AJ58" s="339"/>
      <c r="AK58" s="107"/>
      <c r="AL58" s="107"/>
      <c r="AM58" s="1092"/>
      <c r="AN58" s="107"/>
      <c r="AO58" s="107"/>
      <c r="AP58" s="107"/>
      <c r="AQ58" s="107"/>
      <c r="AR58" s="107"/>
      <c r="AS58" s="2021"/>
      <c r="AT58" s="2021"/>
      <c r="AU58" s="1054">
        <v>41676</v>
      </c>
      <c r="AV58" s="1054">
        <v>41705</v>
      </c>
      <c r="AW58" s="1030"/>
      <c r="AX58" s="1030"/>
      <c r="AY58" s="2033"/>
      <c r="AZ58" s="1030"/>
      <c r="BA58" s="1030"/>
      <c r="BB58" s="1030"/>
      <c r="BC58" s="1030"/>
      <c r="BD58" s="1030"/>
    </row>
    <row r="59" spans="1:56" x14ac:dyDescent="0.25">
      <c r="A59" s="2291"/>
      <c r="B59" s="2312"/>
      <c r="C59" s="2021"/>
      <c r="D59" s="2252"/>
      <c r="E59" s="2021"/>
      <c r="F59" s="2252"/>
      <c r="G59" s="2180"/>
      <c r="H59" s="2176"/>
      <c r="I59" s="2252"/>
      <c r="J59" s="2021"/>
      <c r="K59" s="2033"/>
      <c r="L59" s="2290"/>
      <c r="M59" s="2197"/>
      <c r="N59" s="2033"/>
      <c r="O59" s="2033"/>
      <c r="P59" s="2021"/>
      <c r="Q59" s="2175"/>
      <c r="R59" s="2290"/>
      <c r="S59" s="1370"/>
      <c r="T59" s="2021"/>
      <c r="U59" s="1030" t="s">
        <v>1444</v>
      </c>
      <c r="V59" s="1054">
        <v>41705</v>
      </c>
      <c r="W59" s="1053">
        <v>11286</v>
      </c>
      <c r="X59" s="1060" t="s">
        <v>1445</v>
      </c>
      <c r="Y59" s="2033"/>
      <c r="Z59" s="2033"/>
      <c r="AA59" s="1030"/>
      <c r="AB59" s="1030"/>
      <c r="AC59" s="266"/>
      <c r="AD59" s="1030"/>
      <c r="AE59" s="2290"/>
      <c r="AF59" s="2290"/>
      <c r="AG59" s="2290"/>
      <c r="AH59" s="2290"/>
      <c r="AI59" s="339"/>
      <c r="AJ59" s="339"/>
      <c r="AK59" s="107"/>
      <c r="AL59" s="107"/>
      <c r="AM59" s="1092"/>
      <c r="AN59" s="107"/>
      <c r="AO59" s="107"/>
      <c r="AP59" s="107"/>
      <c r="AQ59" s="107"/>
      <c r="AR59" s="107"/>
      <c r="AS59" s="2021"/>
      <c r="AT59" s="2021"/>
      <c r="AU59" s="1054">
        <v>41705</v>
      </c>
      <c r="AV59" s="1054">
        <v>41734</v>
      </c>
      <c r="AW59" s="1030"/>
      <c r="AX59" s="1030"/>
      <c r="AY59" s="2033"/>
      <c r="AZ59" s="1030"/>
      <c r="BA59" s="1030"/>
      <c r="BB59" s="1030"/>
      <c r="BC59" s="1030"/>
      <c r="BD59" s="1030"/>
    </row>
    <row r="60" spans="1:56" x14ac:dyDescent="0.25">
      <c r="A60" s="2291"/>
      <c r="B60" s="2312"/>
      <c r="C60" s="2021"/>
      <c r="D60" s="2252"/>
      <c r="E60" s="2021"/>
      <c r="F60" s="2252"/>
      <c r="G60" s="2180"/>
      <c r="H60" s="2176"/>
      <c r="I60" s="2252"/>
      <c r="J60" s="2021"/>
      <c r="K60" s="2033"/>
      <c r="L60" s="2290"/>
      <c r="M60" s="2197"/>
      <c r="N60" s="2033"/>
      <c r="O60" s="2033"/>
      <c r="P60" s="2021"/>
      <c r="Q60" s="2175"/>
      <c r="R60" s="2290"/>
      <c r="S60" s="1370"/>
      <c r="T60" s="2021"/>
      <c r="U60" s="1030" t="s">
        <v>1446</v>
      </c>
      <c r="V60" s="1054">
        <v>41731</v>
      </c>
      <c r="W60" s="1053">
        <v>11287</v>
      </c>
      <c r="X60" s="1060" t="s">
        <v>1445</v>
      </c>
      <c r="Y60" s="1997"/>
      <c r="Z60" s="1997"/>
      <c r="AA60" s="1030"/>
      <c r="AB60" s="1030"/>
      <c r="AC60" s="266"/>
      <c r="AD60" s="1030"/>
      <c r="AE60" s="2290"/>
      <c r="AF60" s="2290"/>
      <c r="AG60" s="2290"/>
      <c r="AH60" s="2290"/>
      <c r="AI60" s="339"/>
      <c r="AJ60" s="339"/>
      <c r="AK60" s="107"/>
      <c r="AL60" s="107"/>
      <c r="AM60" s="1092"/>
      <c r="AN60" s="107"/>
      <c r="AO60" s="107"/>
      <c r="AP60" s="107"/>
      <c r="AQ60" s="107"/>
      <c r="AR60" s="107"/>
      <c r="AS60" s="2021"/>
      <c r="AT60" s="2021"/>
      <c r="AU60" s="1054">
        <v>41734</v>
      </c>
      <c r="AV60" s="1054">
        <v>41763</v>
      </c>
      <c r="AW60" s="1030"/>
      <c r="AX60" s="1030"/>
      <c r="AY60" s="2033"/>
      <c r="AZ60" s="1030"/>
      <c r="BA60" s="1030"/>
      <c r="BB60" s="1030"/>
      <c r="BC60" s="1030"/>
      <c r="BD60" s="1030"/>
    </row>
    <row r="61" spans="1:56" x14ac:dyDescent="0.25">
      <c r="A61" s="2291"/>
      <c r="B61" s="2312"/>
      <c r="C61" s="2021"/>
      <c r="D61" s="2252"/>
      <c r="E61" s="2021"/>
      <c r="F61" s="2252"/>
      <c r="G61" s="2180"/>
      <c r="H61" s="2176"/>
      <c r="I61" s="2252"/>
      <c r="J61" s="2021"/>
      <c r="K61" s="2033"/>
      <c r="L61" s="2290"/>
      <c r="M61" s="2197"/>
      <c r="N61" s="2033"/>
      <c r="O61" s="2033"/>
      <c r="P61" s="2021"/>
      <c r="Q61" s="2175"/>
      <c r="R61" s="2290"/>
      <c r="S61" s="1370"/>
      <c r="T61" s="2021"/>
      <c r="U61" s="1030" t="s">
        <v>1447</v>
      </c>
      <c r="V61" s="1054">
        <v>41759</v>
      </c>
      <c r="W61" s="1053">
        <v>11306</v>
      </c>
      <c r="X61" s="1060" t="s">
        <v>1445</v>
      </c>
      <c r="Y61" s="1054">
        <v>41780</v>
      </c>
      <c r="Z61" s="1054">
        <v>41869</v>
      </c>
      <c r="AA61" s="1030"/>
      <c r="AB61" s="1030"/>
      <c r="AC61" s="266"/>
      <c r="AD61" s="1030"/>
      <c r="AE61" s="2290"/>
      <c r="AF61" s="2290"/>
      <c r="AG61" s="2290"/>
      <c r="AH61" s="2290"/>
      <c r="AI61" s="339"/>
      <c r="AJ61" s="339"/>
      <c r="AK61" s="107"/>
      <c r="AL61" s="107"/>
      <c r="AM61" s="1092"/>
      <c r="AN61" s="107"/>
      <c r="AO61" s="107"/>
      <c r="AP61" s="107"/>
      <c r="AQ61" s="107"/>
      <c r="AR61" s="107"/>
      <c r="AS61" s="2021"/>
      <c r="AT61" s="2021"/>
      <c r="AU61" s="1054">
        <v>41763</v>
      </c>
      <c r="AV61" s="1054">
        <v>41792</v>
      </c>
      <c r="AW61" s="1030"/>
      <c r="AX61" s="1030"/>
      <c r="AY61" s="2033"/>
      <c r="AZ61" s="1030"/>
      <c r="BA61" s="1030"/>
      <c r="BB61" s="1030"/>
      <c r="BC61" s="1030"/>
      <c r="BD61" s="1030"/>
    </row>
    <row r="62" spans="1:56" x14ac:dyDescent="0.25">
      <c r="A62" s="2291"/>
      <c r="B62" s="2312"/>
      <c r="C62" s="2021"/>
      <c r="D62" s="2252"/>
      <c r="E62" s="2021"/>
      <c r="F62" s="2252"/>
      <c r="G62" s="2180"/>
      <c r="H62" s="2176"/>
      <c r="I62" s="2252"/>
      <c r="J62" s="2021"/>
      <c r="K62" s="2033"/>
      <c r="L62" s="2290"/>
      <c r="M62" s="2197"/>
      <c r="N62" s="2033"/>
      <c r="O62" s="2033"/>
      <c r="P62" s="2021"/>
      <c r="Q62" s="2175"/>
      <c r="R62" s="2290"/>
      <c r="S62" s="1370"/>
      <c r="T62" s="2021"/>
      <c r="U62" s="1030" t="s">
        <v>1448</v>
      </c>
      <c r="V62" s="1054">
        <v>41792</v>
      </c>
      <c r="W62" s="1053">
        <v>11344</v>
      </c>
      <c r="X62" s="1060" t="s">
        <v>1445</v>
      </c>
      <c r="Y62" s="1054">
        <v>41869</v>
      </c>
      <c r="Z62" s="1054">
        <v>41959</v>
      </c>
      <c r="AA62" s="1030"/>
      <c r="AB62" s="1030"/>
      <c r="AC62" s="266"/>
      <c r="AD62" s="1030"/>
      <c r="AE62" s="2290"/>
      <c r="AF62" s="2290"/>
      <c r="AG62" s="2290"/>
      <c r="AH62" s="2290"/>
      <c r="AI62" s="339"/>
      <c r="AJ62" s="339"/>
      <c r="AK62" s="107"/>
      <c r="AL62" s="107"/>
      <c r="AM62" s="1092"/>
      <c r="AN62" s="107"/>
      <c r="AO62" s="107"/>
      <c r="AP62" s="107"/>
      <c r="AQ62" s="107"/>
      <c r="AR62" s="107"/>
      <c r="AS62" s="2021"/>
      <c r="AT62" s="2021"/>
      <c r="AU62" s="1054">
        <v>41792</v>
      </c>
      <c r="AV62" s="1054">
        <v>41822</v>
      </c>
      <c r="AW62" s="1030"/>
      <c r="AX62" s="1030"/>
      <c r="AY62" s="2033"/>
      <c r="AZ62" s="1030"/>
      <c r="BA62" s="1030"/>
      <c r="BB62" s="1030"/>
      <c r="BC62" s="1030"/>
      <c r="BD62" s="1030"/>
    </row>
    <row r="63" spans="1:56" x14ac:dyDescent="0.25">
      <c r="A63" s="2286"/>
      <c r="B63" s="2313"/>
      <c r="C63" s="1986"/>
      <c r="D63" s="2234"/>
      <c r="E63" s="1986"/>
      <c r="F63" s="2234"/>
      <c r="G63" s="2178"/>
      <c r="H63" s="1992"/>
      <c r="I63" s="2234"/>
      <c r="J63" s="1986"/>
      <c r="K63" s="1997"/>
      <c r="L63" s="2283"/>
      <c r="M63" s="1995"/>
      <c r="N63" s="1997"/>
      <c r="O63" s="1997"/>
      <c r="P63" s="1986"/>
      <c r="Q63" s="2164"/>
      <c r="R63" s="2283"/>
      <c r="S63" s="1370"/>
      <c r="T63" s="1986"/>
      <c r="U63" s="1030" t="s">
        <v>1449</v>
      </c>
      <c r="V63" s="1054">
        <v>41822</v>
      </c>
      <c r="W63" s="1053">
        <v>11356</v>
      </c>
      <c r="X63" s="1060" t="s">
        <v>1445</v>
      </c>
      <c r="Y63" s="1054">
        <v>41959</v>
      </c>
      <c r="Z63" s="1054">
        <v>41989</v>
      </c>
      <c r="AA63" s="1030"/>
      <c r="AB63" s="1030"/>
      <c r="AC63" s="266"/>
      <c r="AD63" s="1030"/>
      <c r="AE63" s="2283"/>
      <c r="AF63" s="2283"/>
      <c r="AG63" s="2283"/>
      <c r="AH63" s="2283"/>
      <c r="AI63" s="339"/>
      <c r="AJ63" s="339"/>
      <c r="AK63" s="107"/>
      <c r="AL63" s="107"/>
      <c r="AM63" s="1092"/>
      <c r="AN63" s="107"/>
      <c r="AO63" s="107"/>
      <c r="AP63" s="107"/>
      <c r="AQ63" s="107"/>
      <c r="AR63" s="107"/>
      <c r="AS63" s="1986"/>
      <c r="AT63" s="1986"/>
      <c r="AU63" s="1054">
        <v>41822</v>
      </c>
      <c r="AV63" s="1054">
        <v>41852</v>
      </c>
      <c r="AW63" s="1030"/>
      <c r="AX63" s="1030"/>
      <c r="AY63" s="1997"/>
      <c r="AZ63" s="1030"/>
      <c r="BA63" s="1030"/>
      <c r="BB63" s="1030"/>
      <c r="BC63" s="1030"/>
      <c r="BD63" s="1030"/>
    </row>
    <row r="64" spans="1:56" ht="38.25" x14ac:dyDescent="0.25">
      <c r="A64" s="2285">
        <v>23</v>
      </c>
      <c r="B64" s="2222" t="s">
        <v>1450</v>
      </c>
      <c r="C64" s="1985" t="s">
        <v>1451</v>
      </c>
      <c r="D64" s="2233" t="s">
        <v>1431</v>
      </c>
      <c r="E64" s="1985" t="s">
        <v>168</v>
      </c>
      <c r="F64" s="2233" t="s">
        <v>1452</v>
      </c>
      <c r="G64" s="2177">
        <v>11043</v>
      </c>
      <c r="H64" s="1991" t="s">
        <v>1453</v>
      </c>
      <c r="I64" s="2233" t="s">
        <v>1454</v>
      </c>
      <c r="J64" s="1985" t="s">
        <v>1455</v>
      </c>
      <c r="K64" s="1996">
        <v>41423</v>
      </c>
      <c r="L64" s="2282">
        <v>516819.21</v>
      </c>
      <c r="M64" s="1994">
        <v>11059</v>
      </c>
      <c r="N64" s="1996">
        <v>41423</v>
      </c>
      <c r="O64" s="1996">
        <v>41841</v>
      </c>
      <c r="P64" s="1985" t="s">
        <v>1320</v>
      </c>
      <c r="Q64" s="1985"/>
      <c r="R64" s="1985"/>
      <c r="S64" s="1985"/>
      <c r="T64" s="1985" t="s">
        <v>1438</v>
      </c>
      <c r="U64" s="1030" t="s">
        <v>1349</v>
      </c>
      <c r="V64" s="1054">
        <v>41542</v>
      </c>
      <c r="W64" s="1053">
        <v>11146</v>
      </c>
      <c r="X64" s="1060" t="s">
        <v>7542</v>
      </c>
      <c r="Y64" s="1030" t="s">
        <v>1456</v>
      </c>
      <c r="Z64" s="1054" t="s">
        <v>1337</v>
      </c>
      <c r="AA64" s="1030"/>
      <c r="AB64" s="1030"/>
      <c r="AC64" s="266"/>
      <c r="AD64" s="1030"/>
      <c r="AE64" s="2282">
        <f>L64-AD64+AC64-AD65+AC65-AD66+AC66</f>
        <v>524206.52</v>
      </c>
      <c r="AF64" s="2282">
        <v>386679.47</v>
      </c>
      <c r="AG64" s="2282">
        <v>137527.04000000001</v>
      </c>
      <c r="AH64" s="2282">
        <f>SUM(AF64:AG64)</f>
        <v>524206.51</v>
      </c>
      <c r="AI64" s="1985"/>
      <c r="AJ64" s="1985"/>
      <c r="AK64" s="1985"/>
      <c r="AL64" s="1985"/>
      <c r="AM64" s="1985"/>
      <c r="AN64" s="1985"/>
      <c r="AO64" s="1985"/>
      <c r="AP64" s="1985"/>
      <c r="AQ64" s="1985"/>
      <c r="AR64" s="1985"/>
      <c r="AS64" s="1985" t="s">
        <v>1323</v>
      </c>
      <c r="AT64" s="2163" t="s">
        <v>1457</v>
      </c>
      <c r="AU64" s="1369">
        <v>41545</v>
      </c>
      <c r="AV64" s="1054">
        <v>41664</v>
      </c>
      <c r="AW64" s="1985"/>
      <c r="AX64" s="1985"/>
      <c r="AY64" s="1985"/>
      <c r="AZ64" s="1985" t="s">
        <v>1458</v>
      </c>
      <c r="BA64" s="1985"/>
      <c r="BB64" s="1985"/>
      <c r="BC64" s="1985"/>
      <c r="BD64" s="1985"/>
    </row>
    <row r="65" spans="1:56" x14ac:dyDescent="0.25">
      <c r="A65" s="2291"/>
      <c r="B65" s="2223"/>
      <c r="C65" s="2021"/>
      <c r="D65" s="2252"/>
      <c r="E65" s="2021"/>
      <c r="F65" s="2252"/>
      <c r="G65" s="2180"/>
      <c r="H65" s="2176"/>
      <c r="I65" s="2252"/>
      <c r="J65" s="2021"/>
      <c r="K65" s="2033"/>
      <c r="L65" s="2290"/>
      <c r="M65" s="2197"/>
      <c r="N65" s="2033"/>
      <c r="O65" s="2033"/>
      <c r="P65" s="2021"/>
      <c r="Q65" s="2021"/>
      <c r="R65" s="2021"/>
      <c r="S65" s="2021"/>
      <c r="T65" s="2021"/>
      <c r="U65" s="1030" t="s">
        <v>871</v>
      </c>
      <c r="V65" s="1054">
        <v>41653</v>
      </c>
      <c r="W65" s="1053">
        <v>11229</v>
      </c>
      <c r="X65" s="1060" t="s">
        <v>1445</v>
      </c>
      <c r="Y65" s="1054">
        <v>41722</v>
      </c>
      <c r="Z65" s="1054">
        <v>41841</v>
      </c>
      <c r="AA65" s="1030"/>
      <c r="AB65" s="1030"/>
      <c r="AC65" s="266"/>
      <c r="AD65" s="1030"/>
      <c r="AE65" s="2290"/>
      <c r="AF65" s="2290"/>
      <c r="AG65" s="2290"/>
      <c r="AH65" s="2290"/>
      <c r="AI65" s="2021"/>
      <c r="AJ65" s="2021"/>
      <c r="AK65" s="2021"/>
      <c r="AL65" s="2021"/>
      <c r="AM65" s="2021"/>
      <c r="AN65" s="2021"/>
      <c r="AO65" s="2021"/>
      <c r="AP65" s="2021"/>
      <c r="AQ65" s="2021"/>
      <c r="AR65" s="2021"/>
      <c r="AS65" s="2021"/>
      <c r="AT65" s="2175"/>
      <c r="AU65" s="1369">
        <v>41664</v>
      </c>
      <c r="AV65" s="1054">
        <v>41783</v>
      </c>
      <c r="AW65" s="2021"/>
      <c r="AX65" s="2021"/>
      <c r="AY65" s="2021"/>
      <c r="AZ65" s="2021"/>
      <c r="BA65" s="2021"/>
      <c r="BB65" s="2021"/>
      <c r="BC65" s="2021"/>
      <c r="BD65" s="2021"/>
    </row>
    <row r="66" spans="1:56" x14ac:dyDescent="0.25">
      <c r="A66" s="2286"/>
      <c r="B66" s="2224"/>
      <c r="C66" s="1986"/>
      <c r="D66" s="2234"/>
      <c r="E66" s="1986"/>
      <c r="F66" s="2234"/>
      <c r="G66" s="2178"/>
      <c r="H66" s="1992"/>
      <c r="I66" s="2234"/>
      <c r="J66" s="1986"/>
      <c r="K66" s="1997"/>
      <c r="L66" s="2283"/>
      <c r="M66" s="1995"/>
      <c r="N66" s="1997"/>
      <c r="O66" s="1997"/>
      <c r="P66" s="1986"/>
      <c r="Q66" s="1986"/>
      <c r="R66" s="1986"/>
      <c r="S66" s="1986"/>
      <c r="T66" s="1986"/>
      <c r="U66" s="1030" t="s">
        <v>874</v>
      </c>
      <c r="V66" s="1054">
        <v>41737</v>
      </c>
      <c r="W66" s="1053">
        <v>11286</v>
      </c>
      <c r="X66" s="1060" t="s">
        <v>1442</v>
      </c>
      <c r="Y66" s="1054"/>
      <c r="Z66" s="1054"/>
      <c r="AA66" s="1030">
        <f>AC66/L64*100</f>
        <v>1.429379917979442</v>
      </c>
      <c r="AB66" s="1030"/>
      <c r="AC66" s="266">
        <v>7387.31</v>
      </c>
      <c r="AD66" s="1030"/>
      <c r="AE66" s="2283"/>
      <c r="AF66" s="2283"/>
      <c r="AG66" s="2283"/>
      <c r="AH66" s="2283"/>
      <c r="AI66" s="1986"/>
      <c r="AJ66" s="1986"/>
      <c r="AK66" s="1986"/>
      <c r="AL66" s="1986"/>
      <c r="AM66" s="1986"/>
      <c r="AN66" s="1986"/>
      <c r="AO66" s="1986"/>
      <c r="AP66" s="1986"/>
      <c r="AQ66" s="1986"/>
      <c r="AR66" s="1986"/>
      <c r="AS66" s="1986"/>
      <c r="AT66" s="2164"/>
      <c r="AU66" s="1369"/>
      <c r="AV66" s="1054"/>
      <c r="AW66" s="1986"/>
      <c r="AX66" s="1986"/>
      <c r="AY66" s="1986"/>
      <c r="AZ66" s="1986"/>
      <c r="BA66" s="1986"/>
      <c r="BB66" s="1986"/>
      <c r="BC66" s="1986"/>
      <c r="BD66" s="1986"/>
    </row>
    <row r="67" spans="1:56" x14ac:dyDescent="0.25">
      <c r="A67" s="2285">
        <v>24</v>
      </c>
      <c r="B67" s="2194" t="s">
        <v>1459</v>
      </c>
      <c r="C67" s="1985" t="s">
        <v>1056</v>
      </c>
      <c r="D67" s="1985" t="s">
        <v>1431</v>
      </c>
      <c r="E67" s="1985" t="s">
        <v>168</v>
      </c>
      <c r="F67" s="2233" t="s">
        <v>1460</v>
      </c>
      <c r="G67" s="2177">
        <v>11024</v>
      </c>
      <c r="H67" s="1991" t="s">
        <v>1461</v>
      </c>
      <c r="I67" s="2233" t="s">
        <v>1462</v>
      </c>
      <c r="J67" s="1985" t="s">
        <v>1463</v>
      </c>
      <c r="K67" s="1996">
        <v>41449</v>
      </c>
      <c r="L67" s="2282">
        <v>133994.72</v>
      </c>
      <c r="M67" s="1994">
        <v>11078</v>
      </c>
      <c r="N67" s="1996">
        <v>41449</v>
      </c>
      <c r="O67" s="1996">
        <v>41569</v>
      </c>
      <c r="P67" s="1985" t="s">
        <v>1320</v>
      </c>
      <c r="Q67" s="1996"/>
      <c r="R67" s="1996"/>
      <c r="S67" s="1996"/>
      <c r="T67" s="1985" t="s">
        <v>1438</v>
      </c>
      <c r="U67" s="114"/>
      <c r="V67" s="114"/>
      <c r="W67" s="75"/>
      <c r="X67" s="114"/>
      <c r="Y67" s="114"/>
      <c r="Z67" s="114"/>
      <c r="AA67" s="1059"/>
      <c r="AB67" s="1060"/>
      <c r="AC67" s="266"/>
      <c r="AD67" s="1060"/>
      <c r="AE67" s="2282">
        <f>L67-AD67+AC67-AD68+AC68-AD69+AC69-AD70+AC70-AD71+AC71-AD72+AC72-AD73+AC73-AD74+AC74-AD75+AC75-AD76+AC76</f>
        <v>167467.51</v>
      </c>
      <c r="AF67" s="2282">
        <v>44194.34</v>
      </c>
      <c r="AG67" s="2282">
        <v>105986.3</v>
      </c>
      <c r="AH67" s="2282">
        <f>AF67+AG67</f>
        <v>150180.64000000001</v>
      </c>
      <c r="AI67" s="339"/>
      <c r="AJ67" s="339"/>
      <c r="AK67" s="107"/>
      <c r="AL67" s="107"/>
      <c r="AM67" s="1092"/>
      <c r="AN67" s="107"/>
      <c r="AO67" s="107"/>
      <c r="AP67" s="107"/>
      <c r="AQ67" s="107"/>
      <c r="AR67" s="107"/>
      <c r="AS67" s="1985" t="s">
        <v>1441</v>
      </c>
      <c r="AT67" s="2163" t="s">
        <v>1457</v>
      </c>
      <c r="AU67" s="1362">
        <v>41535</v>
      </c>
      <c r="AV67" s="1054">
        <v>41595</v>
      </c>
      <c r="AW67" s="1054"/>
      <c r="AX67" s="1030"/>
      <c r="AY67" s="1996">
        <v>41535</v>
      </c>
      <c r="AZ67" s="1985" t="s">
        <v>1464</v>
      </c>
      <c r="BA67" s="1985" t="s">
        <v>1458</v>
      </c>
      <c r="BB67" s="1030"/>
      <c r="BC67" s="1030"/>
      <c r="BD67" s="1030"/>
    </row>
    <row r="68" spans="1:56" x14ac:dyDescent="0.25">
      <c r="A68" s="2291"/>
      <c r="B68" s="2195"/>
      <c r="C68" s="2021"/>
      <c r="D68" s="2021"/>
      <c r="E68" s="2021"/>
      <c r="F68" s="2252"/>
      <c r="G68" s="2180"/>
      <c r="H68" s="2176"/>
      <c r="I68" s="2252"/>
      <c r="J68" s="2021"/>
      <c r="K68" s="2033"/>
      <c r="L68" s="2290"/>
      <c r="M68" s="2197"/>
      <c r="N68" s="2033"/>
      <c r="O68" s="2033"/>
      <c r="P68" s="2021"/>
      <c r="Q68" s="2033"/>
      <c r="R68" s="2033"/>
      <c r="S68" s="2033"/>
      <c r="T68" s="2021"/>
      <c r="U68" s="1030" t="s">
        <v>867</v>
      </c>
      <c r="V68" s="1054">
        <v>41565</v>
      </c>
      <c r="W68" s="1053">
        <v>11163</v>
      </c>
      <c r="X68" s="1060" t="s">
        <v>1465</v>
      </c>
      <c r="Y68" s="1059">
        <v>41565</v>
      </c>
      <c r="Z68" s="1054">
        <v>41685</v>
      </c>
      <c r="AA68" s="1059"/>
      <c r="AB68" s="1060"/>
      <c r="AC68" s="266"/>
      <c r="AD68" s="1060"/>
      <c r="AE68" s="2290"/>
      <c r="AF68" s="2290"/>
      <c r="AG68" s="2290"/>
      <c r="AH68" s="2290"/>
      <c r="AI68" s="339"/>
      <c r="AJ68" s="339"/>
      <c r="AK68" s="107"/>
      <c r="AL68" s="107"/>
      <c r="AM68" s="1092"/>
      <c r="AN68" s="107"/>
      <c r="AO68" s="107"/>
      <c r="AP68" s="107"/>
      <c r="AQ68" s="107"/>
      <c r="AR68" s="107"/>
      <c r="AS68" s="2021"/>
      <c r="AT68" s="2175"/>
      <c r="AU68" s="1362">
        <v>41568</v>
      </c>
      <c r="AV68" s="1054">
        <v>41687</v>
      </c>
      <c r="AW68" s="1054"/>
      <c r="AX68" s="1030"/>
      <c r="AY68" s="2033"/>
      <c r="AZ68" s="2021"/>
      <c r="BA68" s="2021"/>
      <c r="BB68" s="1030"/>
      <c r="BC68" s="1030"/>
      <c r="BD68" s="1030"/>
    </row>
    <row r="69" spans="1:56" ht="25.5" x14ac:dyDescent="0.25">
      <c r="A69" s="2291"/>
      <c r="B69" s="2195"/>
      <c r="C69" s="2021"/>
      <c r="D69" s="2021"/>
      <c r="E69" s="2021"/>
      <c r="F69" s="2252"/>
      <c r="G69" s="2180"/>
      <c r="H69" s="2176"/>
      <c r="I69" s="2252"/>
      <c r="J69" s="2021"/>
      <c r="K69" s="2033"/>
      <c r="L69" s="2290"/>
      <c r="M69" s="2197"/>
      <c r="N69" s="2033"/>
      <c r="O69" s="2033"/>
      <c r="P69" s="2021"/>
      <c r="Q69" s="2033"/>
      <c r="R69" s="2033"/>
      <c r="S69" s="2033"/>
      <c r="T69" s="2021"/>
      <c r="U69" s="1030" t="s">
        <v>871</v>
      </c>
      <c r="V69" s="1054">
        <v>41592</v>
      </c>
      <c r="W69" s="1053">
        <v>11184</v>
      </c>
      <c r="X69" s="1060" t="s">
        <v>1466</v>
      </c>
      <c r="Y69" s="1060"/>
      <c r="Z69" s="1054"/>
      <c r="AA69" s="1371">
        <f>AC69/L67*100</f>
        <v>8.7423071595656907</v>
      </c>
      <c r="AB69" s="1060"/>
      <c r="AC69" s="266">
        <v>11714.23</v>
      </c>
      <c r="AD69" s="1060"/>
      <c r="AE69" s="2290"/>
      <c r="AF69" s="2290"/>
      <c r="AG69" s="2290"/>
      <c r="AH69" s="2290"/>
      <c r="AI69" s="339"/>
      <c r="AJ69" s="339"/>
      <c r="AK69" s="107"/>
      <c r="AL69" s="107"/>
      <c r="AM69" s="1092"/>
      <c r="AN69" s="107"/>
      <c r="AO69" s="107"/>
      <c r="AP69" s="107"/>
      <c r="AQ69" s="107"/>
      <c r="AR69" s="107"/>
      <c r="AS69" s="2021"/>
      <c r="AT69" s="2175"/>
      <c r="AU69" s="1362"/>
      <c r="AV69" s="1054"/>
      <c r="AW69" s="1030"/>
      <c r="AX69" s="1030"/>
      <c r="AY69" s="2033"/>
      <c r="AZ69" s="2021"/>
      <c r="BA69" s="2021"/>
      <c r="BB69" s="1030"/>
      <c r="BC69" s="1030"/>
      <c r="BD69" s="1030"/>
    </row>
    <row r="70" spans="1:56" x14ac:dyDescent="0.25">
      <c r="A70" s="2291"/>
      <c r="B70" s="2195"/>
      <c r="C70" s="2021"/>
      <c r="D70" s="2021"/>
      <c r="E70" s="2021"/>
      <c r="F70" s="2252"/>
      <c r="G70" s="2180"/>
      <c r="H70" s="2176"/>
      <c r="I70" s="2252"/>
      <c r="J70" s="2021"/>
      <c r="K70" s="2033"/>
      <c r="L70" s="2290"/>
      <c r="M70" s="2197"/>
      <c r="N70" s="2033"/>
      <c r="O70" s="2033"/>
      <c r="P70" s="2021"/>
      <c r="Q70" s="2033"/>
      <c r="R70" s="2033"/>
      <c r="S70" s="2033"/>
      <c r="T70" s="2021"/>
      <c r="U70" s="1030" t="s">
        <v>874</v>
      </c>
      <c r="V70" s="1054">
        <v>41652</v>
      </c>
      <c r="W70" s="1053">
        <v>11228</v>
      </c>
      <c r="X70" s="1060" t="s">
        <v>1467</v>
      </c>
      <c r="Y70" s="1059">
        <v>41686</v>
      </c>
      <c r="Z70" s="1054">
        <v>41806</v>
      </c>
      <c r="AA70" s="1059"/>
      <c r="AB70" s="1060"/>
      <c r="AC70" s="266"/>
      <c r="AD70" s="1060"/>
      <c r="AE70" s="2290"/>
      <c r="AF70" s="2290"/>
      <c r="AG70" s="2290"/>
      <c r="AH70" s="2290"/>
      <c r="AI70" s="339"/>
      <c r="AJ70" s="339"/>
      <c r="AK70" s="107"/>
      <c r="AL70" s="107"/>
      <c r="AM70" s="1092"/>
      <c r="AN70" s="107"/>
      <c r="AO70" s="107"/>
      <c r="AP70" s="107"/>
      <c r="AQ70" s="107"/>
      <c r="AR70" s="107"/>
      <c r="AS70" s="2021"/>
      <c r="AT70" s="2175"/>
      <c r="AU70" s="1362">
        <v>41653</v>
      </c>
      <c r="AV70" s="1054">
        <v>41712</v>
      </c>
      <c r="AW70" s="1030"/>
      <c r="AX70" s="1030"/>
      <c r="AY70" s="2033"/>
      <c r="AZ70" s="2021"/>
      <c r="BA70" s="2021"/>
      <c r="BB70" s="1030"/>
      <c r="BC70" s="1030"/>
      <c r="BD70" s="1030"/>
    </row>
    <row r="71" spans="1:56" x14ac:dyDescent="0.25">
      <c r="A71" s="2291"/>
      <c r="B71" s="2195"/>
      <c r="C71" s="2021"/>
      <c r="D71" s="2021"/>
      <c r="E71" s="2021"/>
      <c r="F71" s="2252"/>
      <c r="G71" s="2180"/>
      <c r="H71" s="2176"/>
      <c r="I71" s="2252"/>
      <c r="J71" s="2021"/>
      <c r="K71" s="2033"/>
      <c r="L71" s="2290"/>
      <c r="M71" s="2197"/>
      <c r="N71" s="2033"/>
      <c r="O71" s="2033"/>
      <c r="P71" s="2021"/>
      <c r="Q71" s="2033"/>
      <c r="R71" s="2033"/>
      <c r="S71" s="2033"/>
      <c r="T71" s="2021"/>
      <c r="U71" s="1030" t="s">
        <v>876</v>
      </c>
      <c r="V71" s="1054">
        <v>41711</v>
      </c>
      <c r="W71" s="1053">
        <v>11286</v>
      </c>
      <c r="X71" s="1060" t="s">
        <v>1468</v>
      </c>
      <c r="Y71" s="114"/>
      <c r="Z71" s="114"/>
      <c r="AA71" s="1059"/>
      <c r="AB71" s="1060"/>
      <c r="AC71" s="266"/>
      <c r="AD71" s="1060"/>
      <c r="AE71" s="2290"/>
      <c r="AF71" s="2290"/>
      <c r="AG71" s="2290"/>
      <c r="AH71" s="2290"/>
      <c r="AI71" s="339"/>
      <c r="AJ71" s="339"/>
      <c r="AK71" s="107"/>
      <c r="AL71" s="107"/>
      <c r="AM71" s="1092"/>
      <c r="AN71" s="107"/>
      <c r="AO71" s="107"/>
      <c r="AP71" s="107"/>
      <c r="AQ71" s="107"/>
      <c r="AR71" s="107"/>
      <c r="AS71" s="2021"/>
      <c r="AT71" s="2175"/>
      <c r="AU71" s="1362">
        <v>41712</v>
      </c>
      <c r="AV71" s="1054">
        <v>41771</v>
      </c>
      <c r="AW71" s="1030"/>
      <c r="AX71" s="1030"/>
      <c r="AY71" s="2033"/>
      <c r="AZ71" s="2021"/>
      <c r="BA71" s="2021"/>
      <c r="BB71" s="1030"/>
      <c r="BC71" s="1030"/>
      <c r="BD71" s="1030"/>
    </row>
    <row r="72" spans="1:56" x14ac:dyDescent="0.25">
      <c r="A72" s="2291"/>
      <c r="B72" s="2195"/>
      <c r="C72" s="2021"/>
      <c r="D72" s="2021"/>
      <c r="E72" s="2021"/>
      <c r="F72" s="2252"/>
      <c r="G72" s="2180"/>
      <c r="H72" s="2176"/>
      <c r="I72" s="2252"/>
      <c r="J72" s="2021"/>
      <c r="K72" s="2033"/>
      <c r="L72" s="2290"/>
      <c r="M72" s="2197"/>
      <c r="N72" s="2033"/>
      <c r="O72" s="2033"/>
      <c r="P72" s="2021"/>
      <c r="Q72" s="2033"/>
      <c r="R72" s="2033"/>
      <c r="S72" s="2033"/>
      <c r="T72" s="2021"/>
      <c r="U72" s="1030" t="s">
        <v>879</v>
      </c>
      <c r="V72" s="1054">
        <v>41771</v>
      </c>
      <c r="W72" s="1053">
        <v>11315</v>
      </c>
      <c r="X72" s="1060" t="s">
        <v>1468</v>
      </c>
      <c r="Y72" s="1372">
        <v>41806</v>
      </c>
      <c r="Z72" s="1054">
        <v>41926</v>
      </c>
      <c r="AA72" s="1059"/>
      <c r="AB72" s="1060"/>
      <c r="AC72" s="266"/>
      <c r="AD72" s="1060"/>
      <c r="AE72" s="2290"/>
      <c r="AF72" s="2290"/>
      <c r="AG72" s="2290"/>
      <c r="AH72" s="2290"/>
      <c r="AI72" s="339"/>
      <c r="AJ72" s="339"/>
      <c r="AK72" s="107"/>
      <c r="AL72" s="107"/>
      <c r="AM72" s="1092"/>
      <c r="AN72" s="107"/>
      <c r="AO72" s="107"/>
      <c r="AP72" s="107"/>
      <c r="AQ72" s="107"/>
      <c r="AR72" s="107"/>
      <c r="AS72" s="2021"/>
      <c r="AT72" s="2175"/>
      <c r="AU72" s="1362">
        <v>41771</v>
      </c>
      <c r="AV72" s="1054">
        <v>41831</v>
      </c>
      <c r="AW72" s="1030"/>
      <c r="AX72" s="1030"/>
      <c r="AY72" s="2033"/>
      <c r="AZ72" s="2021"/>
      <c r="BA72" s="2021"/>
      <c r="BB72" s="1030"/>
      <c r="BC72" s="1030"/>
      <c r="BD72" s="1030"/>
    </row>
    <row r="73" spans="1:56" x14ac:dyDescent="0.25">
      <c r="A73" s="2291"/>
      <c r="B73" s="2195"/>
      <c r="C73" s="2021"/>
      <c r="D73" s="2021"/>
      <c r="E73" s="2021"/>
      <c r="F73" s="2252"/>
      <c r="G73" s="2180"/>
      <c r="H73" s="2176"/>
      <c r="I73" s="2252"/>
      <c r="J73" s="2021"/>
      <c r="K73" s="2033"/>
      <c r="L73" s="2290"/>
      <c r="M73" s="2197"/>
      <c r="N73" s="2033"/>
      <c r="O73" s="2033"/>
      <c r="P73" s="2021"/>
      <c r="Q73" s="2033"/>
      <c r="R73" s="2033"/>
      <c r="S73" s="2033"/>
      <c r="T73" s="2021"/>
      <c r="U73" s="1030" t="s">
        <v>882</v>
      </c>
      <c r="V73" s="1054">
        <v>41830</v>
      </c>
      <c r="W73" s="1053">
        <v>11354</v>
      </c>
      <c r="X73" s="1060" t="s">
        <v>1468</v>
      </c>
      <c r="Y73" s="1372">
        <v>41806</v>
      </c>
      <c r="Z73" s="1054">
        <v>41926</v>
      </c>
      <c r="AA73" s="1059"/>
      <c r="AB73" s="1060"/>
      <c r="AC73" s="266"/>
      <c r="AD73" s="1060"/>
      <c r="AE73" s="2290"/>
      <c r="AF73" s="2290"/>
      <c r="AG73" s="2290"/>
      <c r="AH73" s="2290"/>
      <c r="AI73" s="339"/>
      <c r="AJ73" s="339"/>
      <c r="AK73" s="107"/>
      <c r="AL73" s="107"/>
      <c r="AM73" s="1092"/>
      <c r="AN73" s="107"/>
      <c r="AO73" s="107"/>
      <c r="AP73" s="107"/>
      <c r="AQ73" s="107"/>
      <c r="AR73" s="107"/>
      <c r="AS73" s="2021"/>
      <c r="AT73" s="2175"/>
      <c r="AU73" s="1362">
        <v>41831</v>
      </c>
      <c r="AV73" s="1054">
        <v>41891</v>
      </c>
      <c r="AW73" s="1030"/>
      <c r="AX73" s="1030"/>
      <c r="AY73" s="2033"/>
      <c r="AZ73" s="2021"/>
      <c r="BA73" s="2021"/>
      <c r="BB73" s="1030"/>
      <c r="BC73" s="1030"/>
      <c r="BD73" s="1030"/>
    </row>
    <row r="74" spans="1:56" x14ac:dyDescent="0.25">
      <c r="A74" s="2291"/>
      <c r="B74" s="2195"/>
      <c r="C74" s="2021"/>
      <c r="D74" s="2021"/>
      <c r="E74" s="2021"/>
      <c r="F74" s="2252"/>
      <c r="G74" s="2180"/>
      <c r="H74" s="2176"/>
      <c r="I74" s="2252"/>
      <c r="J74" s="2021"/>
      <c r="K74" s="2033"/>
      <c r="L74" s="2290"/>
      <c r="M74" s="2197"/>
      <c r="N74" s="2033"/>
      <c r="O74" s="2033"/>
      <c r="P74" s="2021"/>
      <c r="Q74" s="2033"/>
      <c r="R74" s="2033"/>
      <c r="S74" s="2033"/>
      <c r="T74" s="2021"/>
      <c r="U74" s="1030" t="s">
        <v>1443</v>
      </c>
      <c r="V74" s="1054">
        <v>41891</v>
      </c>
      <c r="W74" s="1053">
        <v>11402</v>
      </c>
      <c r="X74" s="1060" t="s">
        <v>1468</v>
      </c>
      <c r="Y74" s="1372"/>
      <c r="Z74" s="1054"/>
      <c r="AA74" s="1059"/>
      <c r="AB74" s="1060"/>
      <c r="AC74" s="266"/>
      <c r="AD74" s="1060"/>
      <c r="AE74" s="2290"/>
      <c r="AF74" s="2290"/>
      <c r="AG74" s="2290"/>
      <c r="AH74" s="2290"/>
      <c r="AI74" s="339"/>
      <c r="AJ74" s="339"/>
      <c r="AK74" s="107"/>
      <c r="AL74" s="107"/>
      <c r="AM74" s="1092"/>
      <c r="AN74" s="107"/>
      <c r="AO74" s="107"/>
      <c r="AP74" s="107"/>
      <c r="AQ74" s="107"/>
      <c r="AR74" s="107"/>
      <c r="AS74" s="2021"/>
      <c r="AT74" s="2175"/>
      <c r="AU74" s="1362">
        <v>41891</v>
      </c>
      <c r="AV74" s="1054">
        <f>AU74+30</f>
        <v>41921</v>
      </c>
      <c r="AW74" s="1030"/>
      <c r="AX74" s="1030"/>
      <c r="AY74" s="2033"/>
      <c r="AZ74" s="2021"/>
      <c r="BA74" s="2021"/>
      <c r="BB74" s="1030"/>
      <c r="BC74" s="1030"/>
      <c r="BD74" s="1030"/>
    </row>
    <row r="75" spans="1:56" ht="25.5" x14ac:dyDescent="0.25">
      <c r="A75" s="2291"/>
      <c r="B75" s="2195"/>
      <c r="C75" s="2021"/>
      <c r="D75" s="2021"/>
      <c r="E75" s="2021"/>
      <c r="F75" s="2252"/>
      <c r="G75" s="2180"/>
      <c r="H75" s="2176"/>
      <c r="I75" s="2252"/>
      <c r="J75" s="2021"/>
      <c r="K75" s="2033"/>
      <c r="L75" s="2290"/>
      <c r="M75" s="2197"/>
      <c r="N75" s="2033"/>
      <c r="O75" s="2033"/>
      <c r="P75" s="2021"/>
      <c r="Q75" s="2033"/>
      <c r="R75" s="2033"/>
      <c r="S75" s="2033"/>
      <c r="T75" s="2021"/>
      <c r="U75" s="1030" t="s">
        <v>1444</v>
      </c>
      <c r="V75" s="1054">
        <v>41921</v>
      </c>
      <c r="W75" s="1053">
        <v>11420</v>
      </c>
      <c r="X75" s="1060" t="s">
        <v>1469</v>
      </c>
      <c r="Y75" s="1372">
        <v>41926</v>
      </c>
      <c r="Z75" s="1054">
        <v>42046</v>
      </c>
      <c r="AA75" s="1373"/>
      <c r="AB75" s="343"/>
      <c r="AC75" s="266"/>
      <c r="AD75" s="1060"/>
      <c r="AE75" s="2290"/>
      <c r="AF75" s="2290"/>
      <c r="AG75" s="2290"/>
      <c r="AH75" s="2290"/>
      <c r="AI75" s="339"/>
      <c r="AJ75" s="339"/>
      <c r="AK75" s="107"/>
      <c r="AL75" s="107"/>
      <c r="AM75" s="1092"/>
      <c r="AN75" s="107"/>
      <c r="AO75" s="107"/>
      <c r="AP75" s="107"/>
      <c r="AQ75" s="107"/>
      <c r="AR75" s="107"/>
      <c r="AS75" s="2021"/>
      <c r="AT75" s="2175"/>
      <c r="AU75" s="1059">
        <v>41921</v>
      </c>
      <c r="AV75" s="1054">
        <v>41951</v>
      </c>
      <c r="AW75" s="1030"/>
      <c r="AX75" s="1030"/>
      <c r="AY75" s="2033"/>
      <c r="AZ75" s="2021"/>
      <c r="BA75" s="2021"/>
      <c r="BB75" s="1030"/>
      <c r="BC75" s="1030"/>
      <c r="BD75" s="1030"/>
    </row>
    <row r="76" spans="1:56" ht="25.5" x14ac:dyDescent="0.25">
      <c r="A76" s="2286"/>
      <c r="B76" s="2196"/>
      <c r="C76" s="1986"/>
      <c r="D76" s="1986"/>
      <c r="E76" s="1986"/>
      <c r="F76" s="2234"/>
      <c r="G76" s="2178"/>
      <c r="H76" s="1992"/>
      <c r="I76" s="2234"/>
      <c r="J76" s="1986"/>
      <c r="K76" s="1997"/>
      <c r="L76" s="2283"/>
      <c r="M76" s="1995"/>
      <c r="N76" s="1997"/>
      <c r="O76" s="1997"/>
      <c r="P76" s="1986"/>
      <c r="Q76" s="1997"/>
      <c r="R76" s="1997"/>
      <c r="S76" s="1997"/>
      <c r="T76" s="1986"/>
      <c r="U76" s="1030" t="s">
        <v>1446</v>
      </c>
      <c r="V76" s="1054">
        <v>41932</v>
      </c>
      <c r="W76" s="1053">
        <v>11421</v>
      </c>
      <c r="X76" s="1060" t="s">
        <v>1470</v>
      </c>
      <c r="Y76" s="1372"/>
      <c r="Z76" s="1054"/>
      <c r="AA76" s="1373">
        <f>AC76/L67*100</f>
        <v>16.238371183580966</v>
      </c>
      <c r="AB76" s="343"/>
      <c r="AC76" s="266">
        <v>21758.560000000001</v>
      </c>
      <c r="AD76" s="1060"/>
      <c r="AE76" s="2283"/>
      <c r="AF76" s="2283"/>
      <c r="AG76" s="2283"/>
      <c r="AH76" s="2283"/>
      <c r="AI76" s="339"/>
      <c r="AJ76" s="339"/>
      <c r="AK76" s="107"/>
      <c r="AL76" s="107"/>
      <c r="AM76" s="1092"/>
      <c r="AN76" s="107"/>
      <c r="AO76" s="107"/>
      <c r="AP76" s="107"/>
      <c r="AQ76" s="107"/>
      <c r="AR76" s="107"/>
      <c r="AS76" s="1986"/>
      <c r="AT76" s="2164"/>
      <c r="AU76" s="1059"/>
      <c r="AV76" s="1054"/>
      <c r="AW76" s="1030"/>
      <c r="AX76" s="1030"/>
      <c r="AY76" s="1997"/>
      <c r="AZ76" s="1986"/>
      <c r="BA76" s="1986"/>
      <c r="BB76" s="1030"/>
      <c r="BC76" s="1030"/>
      <c r="BD76" s="1030"/>
    </row>
    <row r="77" spans="1:56" x14ac:dyDescent="0.25">
      <c r="A77" s="2285">
        <v>25</v>
      </c>
      <c r="B77" s="2222">
        <v>130940015</v>
      </c>
      <c r="C77" s="1985" t="s">
        <v>1280</v>
      </c>
      <c r="D77" s="2233" t="s">
        <v>1331</v>
      </c>
      <c r="E77" s="1985" t="s">
        <v>1358</v>
      </c>
      <c r="F77" s="2233" t="s">
        <v>1471</v>
      </c>
      <c r="G77" s="2177">
        <v>11034</v>
      </c>
      <c r="H77" s="1991" t="s">
        <v>1472</v>
      </c>
      <c r="I77" s="2233" t="s">
        <v>1473</v>
      </c>
      <c r="J77" s="2235" t="s">
        <v>1474</v>
      </c>
      <c r="K77" s="1996">
        <v>41457</v>
      </c>
      <c r="L77" s="2282">
        <v>264000</v>
      </c>
      <c r="M77" s="1994">
        <v>11083</v>
      </c>
      <c r="N77" s="1996">
        <v>41457</v>
      </c>
      <c r="O77" s="1996">
        <v>41822</v>
      </c>
      <c r="P77" s="1985" t="s">
        <v>1320</v>
      </c>
      <c r="Q77" s="1985"/>
      <c r="R77" s="1985"/>
      <c r="S77" s="1985"/>
      <c r="T77" s="1985" t="s">
        <v>719</v>
      </c>
      <c r="U77" s="1030" t="s">
        <v>1349</v>
      </c>
      <c r="V77" s="1054">
        <v>41779</v>
      </c>
      <c r="W77" s="1053">
        <v>11316</v>
      </c>
      <c r="X77" s="1060" t="s">
        <v>1475</v>
      </c>
      <c r="Y77" s="1054">
        <v>41779</v>
      </c>
      <c r="Z77" s="1054">
        <v>41822</v>
      </c>
      <c r="AA77" s="1360">
        <f>AC77/L77*100</f>
        <v>25</v>
      </c>
      <c r="AB77" s="1060"/>
      <c r="AC77" s="266">
        <v>66000</v>
      </c>
      <c r="AD77" s="1030"/>
      <c r="AE77" s="2282">
        <f>L77-AD77+AC77-AD78+AC78</f>
        <v>660000</v>
      </c>
      <c r="AF77" s="2282">
        <v>123480</v>
      </c>
      <c r="AG77" s="2282">
        <v>317210.99</v>
      </c>
      <c r="AH77" s="2282">
        <f>AF77+AG77</f>
        <v>440690.99</v>
      </c>
      <c r="AI77" s="339"/>
      <c r="AJ77" s="339"/>
      <c r="AK77" s="107"/>
      <c r="AL77" s="107"/>
      <c r="AM77" s="1092"/>
      <c r="AN77" s="107"/>
      <c r="AO77" s="107"/>
      <c r="AP77" s="107"/>
      <c r="AQ77" s="107"/>
      <c r="AR77" s="107"/>
      <c r="AS77" s="1030"/>
      <c r="AT77" s="1030"/>
      <c r="AU77" s="1030"/>
      <c r="AV77" s="1030"/>
      <c r="AW77" s="1030"/>
      <c r="AX77" s="1030"/>
      <c r="AY77" s="1030"/>
      <c r="AZ77" s="1030"/>
      <c r="BA77" s="1030"/>
      <c r="BB77" s="1030"/>
      <c r="BC77" s="1030"/>
      <c r="BD77" s="1030"/>
    </row>
    <row r="78" spans="1:56" ht="25.5" x14ac:dyDescent="0.25">
      <c r="A78" s="2286"/>
      <c r="B78" s="2224"/>
      <c r="C78" s="1986"/>
      <c r="D78" s="2234"/>
      <c r="E78" s="1986"/>
      <c r="F78" s="2234"/>
      <c r="G78" s="2178"/>
      <c r="H78" s="1992"/>
      <c r="I78" s="2234"/>
      <c r="J78" s="2236"/>
      <c r="K78" s="1997"/>
      <c r="L78" s="2283"/>
      <c r="M78" s="1995"/>
      <c r="N78" s="1997"/>
      <c r="O78" s="1997"/>
      <c r="P78" s="1986"/>
      <c r="Q78" s="1986"/>
      <c r="R78" s="1986"/>
      <c r="S78" s="1986"/>
      <c r="T78" s="1986"/>
      <c r="U78" s="1030" t="s">
        <v>871</v>
      </c>
      <c r="V78" s="1054">
        <v>41821</v>
      </c>
      <c r="W78" s="1053">
        <v>11348</v>
      </c>
      <c r="X78" s="1060" t="s">
        <v>1476</v>
      </c>
      <c r="Y78" s="1054">
        <v>41822</v>
      </c>
      <c r="Z78" s="1054">
        <v>42187</v>
      </c>
      <c r="AA78" s="1374"/>
      <c r="AB78" s="1060"/>
      <c r="AC78" s="266">
        <v>330000</v>
      </c>
      <c r="AD78" s="1030"/>
      <c r="AE78" s="2283"/>
      <c r="AF78" s="2283"/>
      <c r="AG78" s="2283"/>
      <c r="AH78" s="2283"/>
      <c r="AI78" s="339"/>
      <c r="AJ78" s="339"/>
      <c r="AK78" s="107"/>
      <c r="AL78" s="107"/>
      <c r="AM78" s="1092"/>
      <c r="AN78" s="107"/>
      <c r="AO78" s="107"/>
      <c r="AP78" s="107"/>
      <c r="AQ78" s="107"/>
      <c r="AR78" s="107"/>
      <c r="AS78" s="1030"/>
      <c r="AT78" s="1030"/>
      <c r="AU78" s="1030"/>
      <c r="AV78" s="1030"/>
      <c r="AW78" s="1030"/>
      <c r="AX78" s="1030"/>
      <c r="AY78" s="1030"/>
      <c r="AZ78" s="1030"/>
      <c r="BA78" s="1030"/>
      <c r="BB78" s="1030"/>
      <c r="BC78" s="1030"/>
      <c r="BD78" s="1030"/>
    </row>
    <row r="79" spans="1:56" ht="25.5" x14ac:dyDescent="0.25">
      <c r="A79" s="2285">
        <v>26</v>
      </c>
      <c r="B79" s="2222" t="s">
        <v>1477</v>
      </c>
      <c r="C79" s="1985" t="s">
        <v>1478</v>
      </c>
      <c r="D79" s="2233" t="s">
        <v>1431</v>
      </c>
      <c r="E79" s="2163" t="s">
        <v>168</v>
      </c>
      <c r="F79" s="1985" t="s">
        <v>1479</v>
      </c>
      <c r="G79" s="2177">
        <v>11024</v>
      </c>
      <c r="H79" s="1991" t="s">
        <v>1480</v>
      </c>
      <c r="I79" s="2233" t="s">
        <v>1454</v>
      </c>
      <c r="J79" s="1985" t="s">
        <v>1455</v>
      </c>
      <c r="K79" s="1996">
        <v>41473</v>
      </c>
      <c r="L79" s="2282">
        <v>100009.60000000001</v>
      </c>
      <c r="M79" s="1994">
        <v>11097</v>
      </c>
      <c r="N79" s="1996">
        <v>41473</v>
      </c>
      <c r="O79" s="1996">
        <f>N79+120</f>
        <v>41593</v>
      </c>
      <c r="P79" s="1985" t="s">
        <v>1320</v>
      </c>
      <c r="Q79" s="1985"/>
      <c r="R79" s="1985"/>
      <c r="S79" s="1985"/>
      <c r="T79" s="1985" t="s">
        <v>1438</v>
      </c>
      <c r="U79" s="1030"/>
      <c r="V79" s="1054"/>
      <c r="W79" s="1053"/>
      <c r="X79" s="1060"/>
      <c r="Y79" s="1054"/>
      <c r="Z79" s="1054"/>
      <c r="AA79" s="1038"/>
      <c r="AB79" s="1038"/>
      <c r="AC79" s="266"/>
      <c r="AD79" s="1040"/>
      <c r="AE79" s="2282">
        <f>L79-AD79+AC79-AD80+AC80-AD81+AC81-AD82+AC82-AD83+AC83-AD84+AC84</f>
        <v>123315.51000000001</v>
      </c>
      <c r="AF79" s="2282">
        <v>85713.8</v>
      </c>
      <c r="AG79" s="2282">
        <v>37601.68</v>
      </c>
      <c r="AH79" s="2282">
        <f>AF79+AG79</f>
        <v>123315.48000000001</v>
      </c>
      <c r="AI79" s="339"/>
      <c r="AJ79" s="339"/>
      <c r="AK79" s="107"/>
      <c r="AL79" s="107"/>
      <c r="AM79" s="1092"/>
      <c r="AN79" s="107"/>
      <c r="AO79" s="107"/>
      <c r="AP79" s="107"/>
      <c r="AQ79" s="107"/>
      <c r="AR79" s="107"/>
      <c r="AS79" s="1030" t="s">
        <v>1441</v>
      </c>
      <c r="AT79" s="1030" t="s">
        <v>1457</v>
      </c>
      <c r="AU79" s="1054">
        <v>41487</v>
      </c>
      <c r="AV79" s="1054">
        <f>AU79+60</f>
        <v>41547</v>
      </c>
      <c r="AW79" s="1030"/>
      <c r="AX79" s="1030"/>
      <c r="AY79" s="1054">
        <v>41487</v>
      </c>
      <c r="AZ79" s="1985" t="s">
        <v>1458</v>
      </c>
      <c r="BA79" s="1030"/>
      <c r="BB79" s="1030"/>
      <c r="BC79" s="1030"/>
      <c r="BD79" s="1030"/>
    </row>
    <row r="80" spans="1:56" ht="25.5" x14ac:dyDescent="0.25">
      <c r="A80" s="2291"/>
      <c r="B80" s="2223"/>
      <c r="C80" s="2021"/>
      <c r="D80" s="2252"/>
      <c r="E80" s="2175"/>
      <c r="F80" s="2021"/>
      <c r="G80" s="2180"/>
      <c r="H80" s="2176"/>
      <c r="I80" s="2252"/>
      <c r="J80" s="2021"/>
      <c r="K80" s="2033"/>
      <c r="L80" s="2290"/>
      <c r="M80" s="2197"/>
      <c r="N80" s="2033"/>
      <c r="O80" s="2033"/>
      <c r="P80" s="2021"/>
      <c r="Q80" s="2021"/>
      <c r="R80" s="2021"/>
      <c r="S80" s="2021"/>
      <c r="T80" s="2021"/>
      <c r="U80" s="1030" t="s">
        <v>1349</v>
      </c>
      <c r="V80" s="1054">
        <v>41547</v>
      </c>
      <c r="W80" s="1053">
        <v>11153</v>
      </c>
      <c r="X80" s="1060" t="s">
        <v>7543</v>
      </c>
      <c r="Y80" s="114"/>
      <c r="Z80" s="1060"/>
      <c r="AA80" s="1060"/>
      <c r="AB80" s="1060"/>
      <c r="AC80" s="266"/>
      <c r="AD80" s="266"/>
      <c r="AE80" s="2290"/>
      <c r="AF80" s="2290"/>
      <c r="AG80" s="2290"/>
      <c r="AH80" s="2290"/>
      <c r="AI80" s="339"/>
      <c r="AJ80" s="339"/>
      <c r="AK80" s="107"/>
      <c r="AL80" s="107"/>
      <c r="AM80" s="1092"/>
      <c r="AN80" s="107"/>
      <c r="AO80" s="107"/>
      <c r="AP80" s="107"/>
      <c r="AQ80" s="107"/>
      <c r="AR80" s="107"/>
      <c r="AS80" s="1030"/>
      <c r="AT80" s="1030"/>
      <c r="AU80" s="1369">
        <v>41547</v>
      </c>
      <c r="AV80" s="1054">
        <v>41607</v>
      </c>
      <c r="AW80" s="1030"/>
      <c r="AX80" s="1030"/>
      <c r="AY80" s="1030"/>
      <c r="AZ80" s="2021"/>
      <c r="BA80" s="1030"/>
      <c r="BB80" s="1030"/>
      <c r="BC80" s="1030"/>
      <c r="BD80" s="1030"/>
    </row>
    <row r="81" spans="1:56" ht="25.5" x14ac:dyDescent="0.25">
      <c r="A81" s="2291"/>
      <c r="B81" s="2223"/>
      <c r="C81" s="2021"/>
      <c r="D81" s="2252"/>
      <c r="E81" s="2175"/>
      <c r="F81" s="2021"/>
      <c r="G81" s="2180"/>
      <c r="H81" s="2176"/>
      <c r="I81" s="2252"/>
      <c r="J81" s="2021"/>
      <c r="K81" s="2033"/>
      <c r="L81" s="2290"/>
      <c r="M81" s="2197"/>
      <c r="N81" s="2033"/>
      <c r="O81" s="2033"/>
      <c r="P81" s="2021"/>
      <c r="Q81" s="2021"/>
      <c r="R81" s="2021"/>
      <c r="S81" s="2021"/>
      <c r="T81" s="2021"/>
      <c r="U81" s="1030" t="s">
        <v>871</v>
      </c>
      <c r="V81" s="1054">
        <v>41591</v>
      </c>
      <c r="W81" s="1053">
        <v>11190</v>
      </c>
      <c r="X81" s="1060" t="s">
        <v>1481</v>
      </c>
      <c r="Y81" s="1059">
        <v>41592</v>
      </c>
      <c r="Z81" s="1054">
        <v>41651</v>
      </c>
      <c r="AA81" s="1060"/>
      <c r="AB81" s="1060"/>
      <c r="AC81" s="266"/>
      <c r="AD81" s="266"/>
      <c r="AE81" s="2290"/>
      <c r="AF81" s="2290"/>
      <c r="AG81" s="2290"/>
      <c r="AH81" s="2290"/>
      <c r="AI81" s="339"/>
      <c r="AJ81" s="339"/>
      <c r="AK81" s="107"/>
      <c r="AL81" s="107"/>
      <c r="AM81" s="1092"/>
      <c r="AN81" s="107"/>
      <c r="AO81" s="107"/>
      <c r="AP81" s="107"/>
      <c r="AQ81" s="107"/>
      <c r="AR81" s="107"/>
      <c r="AS81" s="1030"/>
      <c r="AT81" s="1030"/>
      <c r="AU81" s="1030"/>
      <c r="AV81" s="1030"/>
      <c r="AW81" s="1030"/>
      <c r="AX81" s="1054"/>
      <c r="AY81" s="1030"/>
      <c r="AZ81" s="2021"/>
      <c r="BA81" s="1030"/>
      <c r="BB81" s="1030"/>
      <c r="BC81" s="1030"/>
      <c r="BD81" s="1030"/>
    </row>
    <row r="82" spans="1:56" ht="25.5" x14ac:dyDescent="0.25">
      <c r="A82" s="2291"/>
      <c r="B82" s="2223"/>
      <c r="C82" s="2021"/>
      <c r="D82" s="2252"/>
      <c r="E82" s="2175"/>
      <c r="F82" s="2021"/>
      <c r="G82" s="2180"/>
      <c r="H82" s="2176"/>
      <c r="I82" s="2252"/>
      <c r="J82" s="2021"/>
      <c r="K82" s="2033"/>
      <c r="L82" s="2290"/>
      <c r="M82" s="2197"/>
      <c r="N82" s="2033"/>
      <c r="O82" s="2033"/>
      <c r="P82" s="2021"/>
      <c r="Q82" s="2021"/>
      <c r="R82" s="2021"/>
      <c r="S82" s="2021"/>
      <c r="T82" s="2021"/>
      <c r="U82" s="1357" t="s">
        <v>874</v>
      </c>
      <c r="V82" s="1054">
        <v>41649</v>
      </c>
      <c r="W82" s="1053">
        <v>11229</v>
      </c>
      <c r="X82" s="1060" t="s">
        <v>1482</v>
      </c>
      <c r="Y82" s="1059">
        <v>41651</v>
      </c>
      <c r="Z82" s="1054">
        <v>41710</v>
      </c>
      <c r="AA82" s="1060"/>
      <c r="AB82" s="1060"/>
      <c r="AC82" s="266"/>
      <c r="AD82" s="266"/>
      <c r="AE82" s="2290"/>
      <c r="AF82" s="2290"/>
      <c r="AG82" s="2290"/>
      <c r="AH82" s="2290"/>
      <c r="AI82" s="339"/>
      <c r="AJ82" s="339"/>
      <c r="AK82" s="107"/>
      <c r="AL82" s="107"/>
      <c r="AM82" s="1092"/>
      <c r="AN82" s="107"/>
      <c r="AO82" s="107"/>
      <c r="AP82" s="107"/>
      <c r="AQ82" s="107"/>
      <c r="AR82" s="107"/>
      <c r="AS82" s="1030"/>
      <c r="AT82" s="1030"/>
      <c r="AU82" s="1030"/>
      <c r="AV82" s="1030"/>
      <c r="AW82" s="1030"/>
      <c r="AX82" s="1030"/>
      <c r="AY82" s="1030"/>
      <c r="AZ82" s="2021"/>
      <c r="BA82" s="1030"/>
      <c r="BB82" s="1030"/>
      <c r="BC82" s="1030"/>
      <c r="BD82" s="1030"/>
    </row>
    <row r="83" spans="1:56" x14ac:dyDescent="0.25">
      <c r="A83" s="2291"/>
      <c r="B83" s="2223"/>
      <c r="C83" s="2021"/>
      <c r="D83" s="2252"/>
      <c r="E83" s="2175"/>
      <c r="F83" s="2021"/>
      <c r="G83" s="2180"/>
      <c r="H83" s="2176"/>
      <c r="I83" s="2252"/>
      <c r="J83" s="2021"/>
      <c r="K83" s="2033"/>
      <c r="L83" s="2290"/>
      <c r="M83" s="2197"/>
      <c r="N83" s="2033"/>
      <c r="O83" s="2033"/>
      <c r="P83" s="2021"/>
      <c r="Q83" s="2021"/>
      <c r="R83" s="2021"/>
      <c r="S83" s="2021"/>
      <c r="T83" s="2021"/>
      <c r="U83" s="1357" t="s">
        <v>876</v>
      </c>
      <c r="V83" s="1054">
        <v>41666</v>
      </c>
      <c r="W83" s="1053">
        <v>11231</v>
      </c>
      <c r="X83" s="1060" t="s">
        <v>1483</v>
      </c>
      <c r="Y83" s="1059"/>
      <c r="Z83" s="1054"/>
      <c r="AA83" s="1060">
        <f>AC83/L79*100</f>
        <v>23.303672847406649</v>
      </c>
      <c r="AB83" s="1060"/>
      <c r="AC83" s="266">
        <v>23305.91</v>
      </c>
      <c r="AD83" s="266"/>
      <c r="AE83" s="2290"/>
      <c r="AF83" s="2290"/>
      <c r="AG83" s="2290"/>
      <c r="AH83" s="2290"/>
      <c r="AI83" s="339"/>
      <c r="AJ83" s="339"/>
      <c r="AK83" s="107"/>
      <c r="AL83" s="107"/>
      <c r="AM83" s="1092"/>
      <c r="AN83" s="107"/>
      <c r="AO83" s="107"/>
      <c r="AP83" s="107"/>
      <c r="AQ83" s="107"/>
      <c r="AR83" s="107"/>
      <c r="AS83" s="1030"/>
      <c r="AT83" s="1030"/>
      <c r="AU83" s="1030"/>
      <c r="AV83" s="1030"/>
      <c r="AW83" s="1030"/>
      <c r="AX83" s="1030"/>
      <c r="AY83" s="1030"/>
      <c r="AZ83" s="2021"/>
      <c r="BA83" s="1030"/>
      <c r="BB83" s="1030"/>
      <c r="BC83" s="1030"/>
      <c r="BD83" s="1030"/>
    </row>
    <row r="84" spans="1:56" ht="25.5" x14ac:dyDescent="0.25">
      <c r="A84" s="2286"/>
      <c r="B84" s="2224"/>
      <c r="C84" s="1986"/>
      <c r="D84" s="2234"/>
      <c r="E84" s="2164"/>
      <c r="F84" s="1986"/>
      <c r="G84" s="2178"/>
      <c r="H84" s="1992"/>
      <c r="I84" s="2234"/>
      <c r="J84" s="1986"/>
      <c r="K84" s="1997"/>
      <c r="L84" s="2283"/>
      <c r="M84" s="1995"/>
      <c r="N84" s="1997"/>
      <c r="O84" s="1997"/>
      <c r="P84" s="1986"/>
      <c r="Q84" s="1986"/>
      <c r="R84" s="1986"/>
      <c r="S84" s="1986"/>
      <c r="T84" s="1986"/>
      <c r="U84" s="1357" t="s">
        <v>879</v>
      </c>
      <c r="V84" s="1054">
        <v>41710</v>
      </c>
      <c r="W84" s="1053">
        <v>11314</v>
      </c>
      <c r="X84" s="1060" t="s">
        <v>1484</v>
      </c>
      <c r="Y84" s="1059">
        <v>41710</v>
      </c>
      <c r="Z84" s="1054">
        <v>41769</v>
      </c>
      <c r="AA84" s="1060"/>
      <c r="AB84" s="1060"/>
      <c r="AC84" s="266"/>
      <c r="AD84" s="266"/>
      <c r="AE84" s="2283"/>
      <c r="AF84" s="2283"/>
      <c r="AG84" s="2283"/>
      <c r="AH84" s="2283"/>
      <c r="AI84" s="339"/>
      <c r="AJ84" s="339"/>
      <c r="AK84" s="107"/>
      <c r="AL84" s="107"/>
      <c r="AM84" s="1092"/>
      <c r="AN84" s="107"/>
      <c r="AO84" s="107"/>
      <c r="AP84" s="107"/>
      <c r="AQ84" s="107"/>
      <c r="AR84" s="107"/>
      <c r="AS84" s="1030"/>
      <c r="AT84" s="1030"/>
      <c r="AU84" s="1054"/>
      <c r="AV84" s="1054"/>
      <c r="AW84" s="1030"/>
      <c r="AX84" s="1030"/>
      <c r="AY84" s="1030"/>
      <c r="AZ84" s="1986"/>
      <c r="BA84" s="1030"/>
      <c r="BB84" s="1030"/>
      <c r="BC84" s="1030"/>
      <c r="BD84" s="1030"/>
    </row>
    <row r="85" spans="1:56" ht="15" customHeight="1" x14ac:dyDescent="0.25">
      <c r="A85" s="2285">
        <v>27</v>
      </c>
      <c r="B85" s="1989" t="s">
        <v>1485</v>
      </c>
      <c r="C85" s="1985" t="s">
        <v>1486</v>
      </c>
      <c r="D85" s="1985" t="s">
        <v>1431</v>
      </c>
      <c r="E85" s="1985" t="s">
        <v>168</v>
      </c>
      <c r="F85" s="1985" t="s">
        <v>1487</v>
      </c>
      <c r="G85" s="2177">
        <v>11043</v>
      </c>
      <c r="H85" s="1991" t="s">
        <v>1488</v>
      </c>
      <c r="I85" s="1985" t="s">
        <v>1489</v>
      </c>
      <c r="J85" s="1985" t="s">
        <v>1490</v>
      </c>
      <c r="K85" s="1996">
        <v>41491</v>
      </c>
      <c r="L85" s="2282">
        <v>1004701.04</v>
      </c>
      <c r="M85" s="1994">
        <v>11108</v>
      </c>
      <c r="N85" s="2172">
        <v>41491</v>
      </c>
      <c r="O85" s="2172">
        <v>41821</v>
      </c>
      <c r="P85" s="1985" t="s">
        <v>1320</v>
      </c>
      <c r="Q85" s="1996"/>
      <c r="R85" s="1985"/>
      <c r="S85" s="1985"/>
      <c r="T85" s="1985" t="s">
        <v>1438</v>
      </c>
      <c r="U85" s="1060"/>
      <c r="V85" s="1060"/>
      <c r="W85" s="1030"/>
      <c r="X85" s="1060"/>
      <c r="Y85" s="1060"/>
      <c r="Z85" s="1060"/>
      <c r="AA85" s="1030"/>
      <c r="AB85" s="1030"/>
      <c r="AC85" s="1375" t="s">
        <v>1491</v>
      </c>
      <c r="AD85" s="1030"/>
      <c r="AE85" s="2282">
        <v>1004701.04</v>
      </c>
      <c r="AF85" s="2282">
        <v>331026.86</v>
      </c>
      <c r="AG85" s="2282">
        <v>436388.7</v>
      </c>
      <c r="AH85" s="2282">
        <f>AF85+AG85</f>
        <v>767415.56</v>
      </c>
      <c r="AI85" s="339"/>
      <c r="AJ85" s="339"/>
      <c r="AK85" s="107"/>
      <c r="AL85" s="107"/>
      <c r="AM85" s="1092"/>
      <c r="AN85" s="107"/>
      <c r="AO85" s="107"/>
      <c r="AP85" s="107"/>
      <c r="AQ85" s="107"/>
      <c r="AR85" s="107"/>
      <c r="AS85" s="1985" t="s">
        <v>1323</v>
      </c>
      <c r="AT85" s="2163" t="s">
        <v>1457</v>
      </c>
      <c r="AU85" s="1059">
        <v>41519</v>
      </c>
      <c r="AV85" s="1059">
        <v>41789</v>
      </c>
      <c r="AW85" s="1030"/>
      <c r="AX85" s="1030"/>
      <c r="AY85" s="1996">
        <v>41519</v>
      </c>
      <c r="AZ85" s="1985" t="s">
        <v>1464</v>
      </c>
      <c r="BA85" s="1985" t="s">
        <v>1458</v>
      </c>
      <c r="BB85" s="1030"/>
      <c r="BC85" s="1030"/>
      <c r="BD85" s="1030"/>
    </row>
    <row r="86" spans="1:56" x14ac:dyDescent="0.25">
      <c r="A86" s="2291"/>
      <c r="B86" s="2301"/>
      <c r="C86" s="2021"/>
      <c r="D86" s="2021"/>
      <c r="E86" s="2021"/>
      <c r="F86" s="2021"/>
      <c r="G86" s="2180"/>
      <c r="H86" s="2176"/>
      <c r="I86" s="2021"/>
      <c r="J86" s="2021"/>
      <c r="K86" s="2033"/>
      <c r="L86" s="2290"/>
      <c r="M86" s="2197"/>
      <c r="N86" s="2173"/>
      <c r="O86" s="2173"/>
      <c r="P86" s="2021"/>
      <c r="Q86" s="2033"/>
      <c r="R86" s="2021"/>
      <c r="S86" s="2021"/>
      <c r="T86" s="2021"/>
      <c r="U86" s="1357" t="s">
        <v>867</v>
      </c>
      <c r="V86" s="1054">
        <v>41782</v>
      </c>
      <c r="W86" s="1053">
        <v>11318</v>
      </c>
      <c r="X86" s="1060" t="s">
        <v>1445</v>
      </c>
      <c r="Y86" s="1054">
        <v>41821</v>
      </c>
      <c r="Z86" s="1054">
        <v>41941</v>
      </c>
      <c r="AA86" s="1030"/>
      <c r="AB86" s="1030"/>
      <c r="AC86" s="266"/>
      <c r="AD86" s="1030"/>
      <c r="AE86" s="2290"/>
      <c r="AF86" s="2290"/>
      <c r="AG86" s="2290"/>
      <c r="AH86" s="2290"/>
      <c r="AI86" s="339"/>
      <c r="AJ86" s="339"/>
      <c r="AK86" s="107"/>
      <c r="AL86" s="107"/>
      <c r="AM86" s="1092"/>
      <c r="AN86" s="107"/>
      <c r="AO86" s="107"/>
      <c r="AP86" s="107"/>
      <c r="AQ86" s="107"/>
      <c r="AR86" s="107"/>
      <c r="AS86" s="2021"/>
      <c r="AT86" s="2175"/>
      <c r="AU86" s="1054">
        <v>41789</v>
      </c>
      <c r="AV86" s="1054">
        <v>41909</v>
      </c>
      <c r="AW86" s="1030"/>
      <c r="AX86" s="1030"/>
      <c r="AY86" s="2033"/>
      <c r="AZ86" s="2021"/>
      <c r="BA86" s="2021"/>
      <c r="BB86" s="1030"/>
      <c r="BC86" s="1030"/>
      <c r="BD86" s="1030"/>
    </row>
    <row r="87" spans="1:56" ht="51" x14ac:dyDescent="0.25">
      <c r="A87" s="2286"/>
      <c r="B87" s="1990"/>
      <c r="C87" s="1986"/>
      <c r="D87" s="1986"/>
      <c r="E87" s="1986"/>
      <c r="F87" s="1986"/>
      <c r="G87" s="2178"/>
      <c r="H87" s="1992"/>
      <c r="I87" s="1986"/>
      <c r="J87" s="1986"/>
      <c r="K87" s="1997"/>
      <c r="L87" s="2283"/>
      <c r="M87" s="1995"/>
      <c r="N87" s="2174"/>
      <c r="O87" s="2174"/>
      <c r="P87" s="1986"/>
      <c r="Q87" s="1997"/>
      <c r="R87" s="1986"/>
      <c r="S87" s="1986"/>
      <c r="T87" s="1986"/>
      <c r="U87" s="1357" t="s">
        <v>871</v>
      </c>
      <c r="V87" s="1054">
        <v>41908</v>
      </c>
      <c r="W87" s="1053">
        <v>11454</v>
      </c>
      <c r="X87" s="1060" t="s">
        <v>1492</v>
      </c>
      <c r="Y87" s="1054">
        <v>41941</v>
      </c>
      <c r="Z87" s="1054">
        <v>42061</v>
      </c>
      <c r="AA87" s="1030"/>
      <c r="AB87" s="1030"/>
      <c r="AC87" s="266"/>
      <c r="AD87" s="1030"/>
      <c r="AE87" s="2283"/>
      <c r="AF87" s="2283"/>
      <c r="AG87" s="2283"/>
      <c r="AH87" s="2283"/>
      <c r="AI87" s="339"/>
      <c r="AJ87" s="339"/>
      <c r="AK87" s="107"/>
      <c r="AL87" s="107"/>
      <c r="AM87" s="1092"/>
      <c r="AN87" s="107"/>
      <c r="AO87" s="107"/>
      <c r="AP87" s="107"/>
      <c r="AQ87" s="107"/>
      <c r="AR87" s="107"/>
      <c r="AS87" s="1986"/>
      <c r="AT87" s="2164"/>
      <c r="AU87" s="1054">
        <v>41909</v>
      </c>
      <c r="AV87" s="1054">
        <v>42029</v>
      </c>
      <c r="AW87" s="1030"/>
      <c r="AX87" s="1030"/>
      <c r="AY87" s="1997"/>
      <c r="AZ87" s="1986"/>
      <c r="BA87" s="1986"/>
      <c r="BB87" s="1030"/>
      <c r="BC87" s="1030"/>
      <c r="BD87" s="1030"/>
    </row>
    <row r="88" spans="1:56" ht="15" customHeight="1" x14ac:dyDescent="0.25">
      <c r="A88" s="2285">
        <v>28</v>
      </c>
      <c r="B88" s="2305" t="s">
        <v>1493</v>
      </c>
      <c r="C88" s="1985" t="s">
        <v>1280</v>
      </c>
      <c r="D88" s="1985" t="s">
        <v>1431</v>
      </c>
      <c r="E88" s="1985" t="s">
        <v>168</v>
      </c>
      <c r="F88" s="1985" t="s">
        <v>1494</v>
      </c>
      <c r="G88" s="2177">
        <v>11043</v>
      </c>
      <c r="H88" s="1991" t="s">
        <v>1495</v>
      </c>
      <c r="I88" s="1985" t="s">
        <v>1454</v>
      </c>
      <c r="J88" s="1985" t="s">
        <v>1455</v>
      </c>
      <c r="K88" s="1996">
        <v>41508</v>
      </c>
      <c r="L88" s="2282">
        <v>926280.18</v>
      </c>
      <c r="M88" s="1994">
        <v>11110</v>
      </c>
      <c r="N88" s="1996">
        <v>41514</v>
      </c>
      <c r="O88" s="1996">
        <v>41844</v>
      </c>
      <c r="P88" s="1985" t="s">
        <v>1320</v>
      </c>
      <c r="Q88" s="1996"/>
      <c r="R88" s="1985"/>
      <c r="S88" s="1985"/>
      <c r="T88" s="1985" t="s">
        <v>1438</v>
      </c>
      <c r="U88" s="1060"/>
      <c r="V88" s="1060"/>
      <c r="W88" s="1060"/>
      <c r="X88" s="1060"/>
      <c r="Y88" s="1060"/>
      <c r="Z88" s="1060"/>
      <c r="AA88" s="1030"/>
      <c r="AB88" s="1030"/>
      <c r="AC88" s="266"/>
      <c r="AD88" s="1030"/>
      <c r="AE88" s="2282">
        <f>L88-AD88+AC88-AD89+AC89-AD90+AC90-AD91+AC91-AD92+AC92</f>
        <v>1114890.4600000002</v>
      </c>
      <c r="AF88" s="2282">
        <v>58377.59</v>
      </c>
      <c r="AG88" s="2282">
        <v>828041.72</v>
      </c>
      <c r="AH88" s="2282">
        <f>AF88+AG88</f>
        <v>886419.30999999994</v>
      </c>
      <c r="AI88" s="339"/>
      <c r="AJ88" s="339"/>
      <c r="AK88" s="107"/>
      <c r="AL88" s="107"/>
      <c r="AM88" s="1092"/>
      <c r="AN88" s="107"/>
      <c r="AO88" s="107"/>
      <c r="AP88" s="107"/>
      <c r="AQ88" s="107"/>
      <c r="AR88" s="107"/>
      <c r="AS88" s="1985" t="s">
        <v>1323</v>
      </c>
      <c r="AT88" s="2163" t="s">
        <v>1457</v>
      </c>
      <c r="AU88" s="1059">
        <v>41514</v>
      </c>
      <c r="AV88" s="1059">
        <v>41784</v>
      </c>
      <c r="AW88" s="1030"/>
      <c r="AX88" s="1030"/>
      <c r="AY88" s="1996">
        <v>41514</v>
      </c>
      <c r="AZ88" s="1985" t="s">
        <v>1464</v>
      </c>
      <c r="BA88" s="1985" t="s">
        <v>1458</v>
      </c>
      <c r="BB88" s="1030"/>
      <c r="BC88" s="1030"/>
      <c r="BD88" s="1030"/>
    </row>
    <row r="89" spans="1:56" x14ac:dyDescent="0.25">
      <c r="A89" s="2291"/>
      <c r="B89" s="2306"/>
      <c r="C89" s="2021"/>
      <c r="D89" s="2021"/>
      <c r="E89" s="2021"/>
      <c r="F89" s="2021"/>
      <c r="G89" s="2180"/>
      <c r="H89" s="2176"/>
      <c r="I89" s="2021"/>
      <c r="J89" s="2021"/>
      <c r="K89" s="2033"/>
      <c r="L89" s="2290"/>
      <c r="M89" s="2197"/>
      <c r="N89" s="2033"/>
      <c r="O89" s="2033"/>
      <c r="P89" s="2021"/>
      <c r="Q89" s="2033"/>
      <c r="R89" s="2021"/>
      <c r="S89" s="2021"/>
      <c r="T89" s="2021"/>
      <c r="U89" s="1357" t="s">
        <v>867</v>
      </c>
      <c r="V89" s="1054">
        <v>41781</v>
      </c>
      <c r="W89" s="1053">
        <v>11315</v>
      </c>
      <c r="X89" s="1060" t="s">
        <v>1445</v>
      </c>
      <c r="Y89" s="1054">
        <v>41828</v>
      </c>
      <c r="Z89" s="1054">
        <v>41948</v>
      </c>
      <c r="AA89" s="1030"/>
      <c r="AB89" s="1030"/>
      <c r="AC89" s="266"/>
      <c r="AD89" s="1030"/>
      <c r="AE89" s="2290"/>
      <c r="AF89" s="2290"/>
      <c r="AG89" s="2290"/>
      <c r="AH89" s="2290"/>
      <c r="AI89" s="339"/>
      <c r="AJ89" s="339"/>
      <c r="AK89" s="107"/>
      <c r="AL89" s="107"/>
      <c r="AM89" s="1092"/>
      <c r="AN89" s="107"/>
      <c r="AO89" s="107"/>
      <c r="AP89" s="107"/>
      <c r="AQ89" s="107"/>
      <c r="AR89" s="107"/>
      <c r="AS89" s="2021"/>
      <c r="AT89" s="2175"/>
      <c r="AU89" s="1054">
        <v>41784</v>
      </c>
      <c r="AV89" s="1054">
        <v>41904</v>
      </c>
      <c r="AW89" s="1054"/>
      <c r="AX89" s="1030"/>
      <c r="AY89" s="2033"/>
      <c r="AZ89" s="2021"/>
      <c r="BA89" s="2021"/>
      <c r="BB89" s="1030"/>
      <c r="BC89" s="1030"/>
      <c r="BD89" s="1030"/>
    </row>
    <row r="90" spans="1:56" ht="38.25" x14ac:dyDescent="0.25">
      <c r="A90" s="2291"/>
      <c r="B90" s="2306"/>
      <c r="C90" s="2021"/>
      <c r="D90" s="2021"/>
      <c r="E90" s="2021"/>
      <c r="F90" s="2021"/>
      <c r="G90" s="2180"/>
      <c r="H90" s="2176"/>
      <c r="I90" s="2021"/>
      <c r="J90" s="2021"/>
      <c r="K90" s="2033"/>
      <c r="L90" s="2290"/>
      <c r="M90" s="2197"/>
      <c r="N90" s="2033"/>
      <c r="O90" s="2033"/>
      <c r="P90" s="2021"/>
      <c r="Q90" s="2033"/>
      <c r="R90" s="2021"/>
      <c r="S90" s="2021"/>
      <c r="T90" s="2021"/>
      <c r="U90" s="1357" t="s">
        <v>871</v>
      </c>
      <c r="V90" s="1054">
        <v>41904</v>
      </c>
      <c r="W90" s="1053">
        <v>11348</v>
      </c>
      <c r="X90" s="1060" t="s">
        <v>1496</v>
      </c>
      <c r="Y90" s="1054">
        <v>41948</v>
      </c>
      <c r="Z90" s="1054">
        <v>42008</v>
      </c>
      <c r="AA90" s="1030"/>
      <c r="AB90" s="1030"/>
      <c r="AC90" s="266"/>
      <c r="AD90" s="1030"/>
      <c r="AE90" s="2290"/>
      <c r="AF90" s="2290"/>
      <c r="AG90" s="2290"/>
      <c r="AH90" s="2290"/>
      <c r="AI90" s="339"/>
      <c r="AJ90" s="339"/>
      <c r="AK90" s="107"/>
      <c r="AL90" s="107"/>
      <c r="AM90" s="1092"/>
      <c r="AN90" s="107"/>
      <c r="AO90" s="107"/>
      <c r="AP90" s="107"/>
      <c r="AQ90" s="107"/>
      <c r="AR90" s="107"/>
      <c r="AS90" s="2021"/>
      <c r="AT90" s="2175"/>
      <c r="AU90" s="1054">
        <v>41904</v>
      </c>
      <c r="AV90" s="1054">
        <v>41964</v>
      </c>
      <c r="AW90" s="1054"/>
      <c r="AX90" s="1030"/>
      <c r="AY90" s="2033"/>
      <c r="AZ90" s="2021"/>
      <c r="BA90" s="2021"/>
      <c r="BB90" s="1030"/>
      <c r="BC90" s="1030"/>
      <c r="BD90" s="1030"/>
    </row>
    <row r="91" spans="1:56" ht="25.5" x14ac:dyDescent="0.25">
      <c r="A91" s="2291"/>
      <c r="B91" s="2306"/>
      <c r="C91" s="2021"/>
      <c r="D91" s="2021"/>
      <c r="E91" s="2021"/>
      <c r="F91" s="2021"/>
      <c r="G91" s="2180"/>
      <c r="H91" s="2176"/>
      <c r="I91" s="2021"/>
      <c r="J91" s="2021"/>
      <c r="K91" s="2033"/>
      <c r="L91" s="2290"/>
      <c r="M91" s="2197"/>
      <c r="N91" s="2033"/>
      <c r="O91" s="2033"/>
      <c r="P91" s="2021"/>
      <c r="Q91" s="2033"/>
      <c r="R91" s="2021"/>
      <c r="S91" s="2021"/>
      <c r="T91" s="2021"/>
      <c r="U91" s="1357" t="s">
        <v>874</v>
      </c>
      <c r="V91" s="1054">
        <v>41950</v>
      </c>
      <c r="W91" s="1053">
        <v>11440</v>
      </c>
      <c r="X91" s="1060" t="s">
        <v>1497</v>
      </c>
      <c r="Y91" s="1054"/>
      <c r="Z91" s="1054"/>
      <c r="AA91" s="1030">
        <f>AC91/L88*100</f>
        <v>11.87663218703438</v>
      </c>
      <c r="AB91" s="1030"/>
      <c r="AC91" s="266">
        <v>110010.89</v>
      </c>
      <c r="AD91" s="1030"/>
      <c r="AE91" s="2290"/>
      <c r="AF91" s="2290"/>
      <c r="AG91" s="2290"/>
      <c r="AH91" s="2290"/>
      <c r="AI91" s="339"/>
      <c r="AJ91" s="339"/>
      <c r="AK91" s="107"/>
      <c r="AL91" s="107"/>
      <c r="AM91" s="1092"/>
      <c r="AN91" s="107"/>
      <c r="AO91" s="107"/>
      <c r="AP91" s="107"/>
      <c r="AQ91" s="107"/>
      <c r="AR91" s="107"/>
      <c r="AS91" s="1986"/>
      <c r="AT91" s="2164"/>
      <c r="AU91" s="1054"/>
      <c r="AV91" s="1054"/>
      <c r="AW91" s="1054"/>
      <c r="AX91" s="1030"/>
      <c r="AY91" s="1997"/>
      <c r="AZ91" s="1986"/>
      <c r="BA91" s="1986"/>
      <c r="BB91" s="1030"/>
      <c r="BC91" s="1030"/>
      <c r="BD91" s="1030"/>
    </row>
    <row r="92" spans="1:56" ht="25.5" x14ac:dyDescent="0.25">
      <c r="A92" s="2286"/>
      <c r="B92" s="2307"/>
      <c r="C92" s="1986"/>
      <c r="D92" s="1986"/>
      <c r="E92" s="1986"/>
      <c r="F92" s="1986"/>
      <c r="G92" s="2178"/>
      <c r="H92" s="1992"/>
      <c r="I92" s="1986"/>
      <c r="J92" s="1986"/>
      <c r="K92" s="1997"/>
      <c r="L92" s="2283"/>
      <c r="M92" s="1995"/>
      <c r="N92" s="1997"/>
      <c r="O92" s="1997"/>
      <c r="P92" s="1986"/>
      <c r="Q92" s="1997"/>
      <c r="R92" s="1986"/>
      <c r="S92" s="1986"/>
      <c r="T92" s="1986"/>
      <c r="U92" s="1357" t="s">
        <v>876</v>
      </c>
      <c r="V92" s="1054">
        <v>41954</v>
      </c>
      <c r="W92" s="1053">
        <v>11440</v>
      </c>
      <c r="X92" s="1060" t="s">
        <v>1497</v>
      </c>
      <c r="Y92" s="1054"/>
      <c r="Z92" s="1054"/>
      <c r="AA92" s="1030">
        <f>AC92/L88*100</f>
        <v>20.250118058231578</v>
      </c>
      <c r="AB92" s="1030">
        <f>AD92/L88*100</f>
        <v>11.764630438276246</v>
      </c>
      <c r="AC92" s="266">
        <v>187572.83</v>
      </c>
      <c r="AD92" s="278">
        <v>108973.44</v>
      </c>
      <c r="AE92" s="2283"/>
      <c r="AF92" s="2283"/>
      <c r="AG92" s="2283"/>
      <c r="AH92" s="2283"/>
      <c r="AI92" s="339"/>
      <c r="AJ92" s="339"/>
      <c r="AK92" s="107"/>
      <c r="AL92" s="107"/>
      <c r="AM92" s="1092"/>
      <c r="AN92" s="107"/>
      <c r="AO92" s="107"/>
      <c r="AP92" s="107"/>
      <c r="AQ92" s="107"/>
      <c r="AR92" s="107"/>
      <c r="AS92" s="1039"/>
      <c r="AT92" s="1114"/>
      <c r="AU92" s="1054"/>
      <c r="AV92" s="1054"/>
      <c r="AW92" s="1054"/>
      <c r="AX92" s="1030"/>
      <c r="AY92" s="1048"/>
      <c r="AZ92" s="1039"/>
      <c r="BA92" s="1039"/>
      <c r="BB92" s="1030"/>
      <c r="BC92" s="1030"/>
      <c r="BD92" s="1030"/>
    </row>
    <row r="93" spans="1:56" ht="51" x14ac:dyDescent="0.25">
      <c r="A93" s="1492">
        <v>29</v>
      </c>
      <c r="B93" s="1483" t="s">
        <v>1451</v>
      </c>
      <c r="C93" s="1030" t="s">
        <v>1498</v>
      </c>
      <c r="D93" s="518" t="s">
        <v>1499</v>
      </c>
      <c r="E93" s="1060" t="s">
        <v>168</v>
      </c>
      <c r="F93" s="518" t="s">
        <v>1500</v>
      </c>
      <c r="G93" s="1178">
        <v>11094</v>
      </c>
      <c r="H93" s="1031" t="s">
        <v>1501</v>
      </c>
      <c r="I93" s="518" t="s">
        <v>1502</v>
      </c>
      <c r="J93" s="1060" t="s">
        <v>1503</v>
      </c>
      <c r="K93" s="1054">
        <v>41498</v>
      </c>
      <c r="L93" s="266">
        <v>43080</v>
      </c>
      <c r="M93" s="1053">
        <v>11112</v>
      </c>
      <c r="N93" s="1054">
        <v>41498</v>
      </c>
      <c r="O93" s="1054">
        <v>41867</v>
      </c>
      <c r="P93" s="1030" t="s">
        <v>1308</v>
      </c>
      <c r="Q93" s="1060"/>
      <c r="R93" s="1030"/>
      <c r="S93" s="1030"/>
      <c r="T93" s="1030" t="s">
        <v>685</v>
      </c>
      <c r="U93" s="1357"/>
      <c r="V93" s="1054"/>
      <c r="W93" s="1030"/>
      <c r="X93" s="1060"/>
      <c r="Y93" s="1054"/>
      <c r="Z93" s="1054"/>
      <c r="AA93" s="1030"/>
      <c r="AB93" s="1030"/>
      <c r="AC93" s="266"/>
      <c r="AD93" s="1030"/>
      <c r="AE93" s="613">
        <f>L93-AD93+AC93</f>
        <v>43080</v>
      </c>
      <c r="AF93" s="278">
        <v>16155</v>
      </c>
      <c r="AG93" s="278">
        <v>26565.99</v>
      </c>
      <c r="AH93" s="613">
        <f>AF93+AG93</f>
        <v>42720.990000000005</v>
      </c>
      <c r="AI93" s="339"/>
      <c r="AJ93" s="339"/>
      <c r="AK93" s="107"/>
      <c r="AL93" s="107"/>
      <c r="AM93" s="1092"/>
      <c r="AN93" s="107"/>
      <c r="AO93" s="107"/>
      <c r="AP93" s="107"/>
      <c r="AQ93" s="107"/>
      <c r="AR93" s="107"/>
      <c r="AS93" s="1060"/>
      <c r="AT93" s="95"/>
      <c r="AU93" s="1030"/>
      <c r="AV93" s="1054"/>
      <c r="AW93" s="1030"/>
      <c r="AX93" s="1030"/>
      <c r="AY93" s="1030"/>
      <c r="AZ93" s="1030"/>
      <c r="BA93" s="1030"/>
      <c r="BB93" s="1030"/>
      <c r="BC93" s="1030"/>
      <c r="BD93" s="1030"/>
    </row>
    <row r="94" spans="1:56" ht="25.5" x14ac:dyDescent="0.25">
      <c r="A94" s="2285">
        <v>30</v>
      </c>
      <c r="B94" s="2194" t="s">
        <v>1504</v>
      </c>
      <c r="C94" s="1985" t="s">
        <v>1451</v>
      </c>
      <c r="D94" s="1985" t="s">
        <v>1505</v>
      </c>
      <c r="E94" s="1985" t="s">
        <v>168</v>
      </c>
      <c r="F94" s="1985" t="s">
        <v>1506</v>
      </c>
      <c r="G94" s="2177" t="s">
        <v>1507</v>
      </c>
      <c r="H94" s="1991" t="s">
        <v>1508</v>
      </c>
      <c r="I94" s="1985" t="s">
        <v>1509</v>
      </c>
      <c r="J94" s="1985" t="s">
        <v>1510</v>
      </c>
      <c r="K94" s="1996">
        <v>41502</v>
      </c>
      <c r="L94" s="2282">
        <v>421880.16</v>
      </c>
      <c r="M94" s="1994">
        <v>11114</v>
      </c>
      <c r="N94" s="1996">
        <v>41502</v>
      </c>
      <c r="O94" s="1996">
        <v>41867</v>
      </c>
      <c r="P94" s="1985" t="s">
        <v>1308</v>
      </c>
      <c r="Q94" s="1985"/>
      <c r="R94" s="1985"/>
      <c r="S94" s="1985"/>
      <c r="T94" s="1985" t="s">
        <v>1511</v>
      </c>
      <c r="U94" s="1357" t="s">
        <v>867</v>
      </c>
      <c r="V94" s="1054">
        <v>41829</v>
      </c>
      <c r="W94" s="1053">
        <v>11347</v>
      </c>
      <c r="X94" s="1060" t="s">
        <v>1512</v>
      </c>
      <c r="Y94" s="1054"/>
      <c r="Z94" s="1054"/>
      <c r="AA94" s="1060">
        <f>AC94/L94*100</f>
        <v>8.6098692102515564</v>
      </c>
      <c r="AB94" s="1060"/>
      <c r="AC94" s="266">
        <v>36323.33</v>
      </c>
      <c r="AD94" s="1060"/>
      <c r="AE94" s="2302">
        <f>L94-AD94+AC94-AD95+AC95-AD96+AC96</f>
        <v>1073801.18</v>
      </c>
      <c r="AF94" s="2282">
        <v>140484.16</v>
      </c>
      <c r="AG94" s="2282">
        <v>499537.39</v>
      </c>
      <c r="AH94" s="2282">
        <f>AF94+AG94</f>
        <v>640021.55000000005</v>
      </c>
      <c r="AI94" s="339"/>
      <c r="AJ94" s="339"/>
      <c r="AK94" s="107"/>
      <c r="AL94" s="107"/>
      <c r="AM94" s="1092"/>
      <c r="AN94" s="107"/>
      <c r="AO94" s="107"/>
      <c r="AP94" s="107"/>
      <c r="AQ94" s="107"/>
      <c r="AR94" s="107"/>
      <c r="AS94" s="1030"/>
      <c r="AT94" s="1030"/>
      <c r="AU94" s="1030"/>
      <c r="AV94" s="1030"/>
      <c r="AW94" s="1030"/>
      <c r="AX94" s="1030"/>
      <c r="AY94" s="1030"/>
      <c r="AZ94" s="1030"/>
      <c r="BA94" s="1030"/>
      <c r="BB94" s="1030"/>
      <c r="BC94" s="1030"/>
      <c r="BD94" s="1030"/>
    </row>
    <row r="95" spans="1:56" x14ac:dyDescent="0.25">
      <c r="A95" s="2291"/>
      <c r="B95" s="2195"/>
      <c r="C95" s="2021"/>
      <c r="D95" s="2021"/>
      <c r="E95" s="2021"/>
      <c r="F95" s="2021"/>
      <c r="G95" s="2180"/>
      <c r="H95" s="2176"/>
      <c r="I95" s="2021"/>
      <c r="J95" s="2021"/>
      <c r="K95" s="2033"/>
      <c r="L95" s="2290"/>
      <c r="M95" s="2197"/>
      <c r="N95" s="2033"/>
      <c r="O95" s="2033"/>
      <c r="P95" s="2021"/>
      <c r="Q95" s="2021"/>
      <c r="R95" s="2021"/>
      <c r="S95" s="2021"/>
      <c r="T95" s="2021"/>
      <c r="U95" s="1357" t="s">
        <v>871</v>
      </c>
      <c r="V95" s="1054">
        <v>41864</v>
      </c>
      <c r="W95" s="1053">
        <v>11373</v>
      </c>
      <c r="X95" s="1060" t="s">
        <v>1513</v>
      </c>
      <c r="Y95" s="1054">
        <v>41867</v>
      </c>
      <c r="Z95" s="1054">
        <v>42232</v>
      </c>
      <c r="AA95" s="1060"/>
      <c r="AB95" s="1060"/>
      <c r="AC95" s="266">
        <v>524844</v>
      </c>
      <c r="AD95" s="1060"/>
      <c r="AE95" s="2303"/>
      <c r="AF95" s="2290"/>
      <c r="AG95" s="2290"/>
      <c r="AH95" s="2290"/>
      <c r="AI95" s="339"/>
      <c r="AJ95" s="339"/>
      <c r="AK95" s="107"/>
      <c r="AL95" s="107"/>
      <c r="AM95" s="1092"/>
      <c r="AN95" s="107"/>
      <c r="AO95" s="107"/>
      <c r="AP95" s="107"/>
      <c r="AQ95" s="107"/>
      <c r="AR95" s="107"/>
      <c r="AS95" s="1030"/>
      <c r="AT95" s="1030"/>
      <c r="AU95" s="1030"/>
      <c r="AV95" s="1030"/>
      <c r="AW95" s="1030"/>
      <c r="AX95" s="1030"/>
      <c r="AY95" s="1030"/>
      <c r="AZ95" s="1030"/>
      <c r="BA95" s="1030"/>
      <c r="BB95" s="1030"/>
      <c r="BC95" s="1030"/>
      <c r="BD95" s="1030"/>
    </row>
    <row r="96" spans="1:56" ht="51" x14ac:dyDescent="0.25">
      <c r="A96" s="2286"/>
      <c r="B96" s="2196"/>
      <c r="C96" s="1986"/>
      <c r="D96" s="1986"/>
      <c r="E96" s="1986"/>
      <c r="F96" s="1986"/>
      <c r="G96" s="2178"/>
      <c r="H96" s="1992"/>
      <c r="I96" s="1986"/>
      <c r="J96" s="1986"/>
      <c r="K96" s="1997"/>
      <c r="L96" s="2283"/>
      <c r="M96" s="1995"/>
      <c r="N96" s="1997"/>
      <c r="O96" s="1997"/>
      <c r="P96" s="1986"/>
      <c r="Q96" s="1986"/>
      <c r="R96" s="1986"/>
      <c r="S96" s="1986"/>
      <c r="T96" s="1986"/>
      <c r="U96" s="1357" t="s">
        <v>874</v>
      </c>
      <c r="V96" s="1054">
        <v>41977</v>
      </c>
      <c r="W96" s="1053">
        <v>11452</v>
      </c>
      <c r="X96" s="1060" t="s">
        <v>1514</v>
      </c>
      <c r="Y96" s="1054"/>
      <c r="Z96" s="1054"/>
      <c r="AA96" s="1060">
        <v>25</v>
      </c>
      <c r="AB96" s="1060"/>
      <c r="AC96" s="266">
        <v>90753.69</v>
      </c>
      <c r="AD96" s="1060"/>
      <c r="AE96" s="2304"/>
      <c r="AF96" s="2283"/>
      <c r="AG96" s="2283"/>
      <c r="AH96" s="2283"/>
      <c r="AI96" s="339"/>
      <c r="AJ96" s="339"/>
      <c r="AK96" s="107"/>
      <c r="AL96" s="107"/>
      <c r="AM96" s="1092"/>
      <c r="AN96" s="107"/>
      <c r="AO96" s="107"/>
      <c r="AP96" s="107"/>
      <c r="AQ96" s="107"/>
      <c r="AR96" s="107"/>
      <c r="AS96" s="1030"/>
      <c r="AT96" s="1030"/>
      <c r="AU96" s="1030"/>
      <c r="AV96" s="1030"/>
      <c r="AW96" s="1030"/>
      <c r="AX96" s="1030"/>
      <c r="AY96" s="1030"/>
      <c r="AZ96" s="1030"/>
      <c r="BA96" s="1030"/>
      <c r="BB96" s="1030"/>
      <c r="BC96" s="1030"/>
      <c r="BD96" s="1030"/>
    </row>
    <row r="97" spans="1:56" x14ac:dyDescent="0.25">
      <c r="A97" s="1492">
        <v>31</v>
      </c>
      <c r="B97" s="2222">
        <v>123530009</v>
      </c>
      <c r="C97" s="1985" t="s">
        <v>1357</v>
      </c>
      <c r="D97" s="2233" t="s">
        <v>935</v>
      </c>
      <c r="E97" s="1985" t="s">
        <v>1358</v>
      </c>
      <c r="F97" s="2233" t="s">
        <v>1515</v>
      </c>
      <c r="G97" s="2177">
        <v>10969</v>
      </c>
      <c r="H97" s="1031" t="s">
        <v>1516</v>
      </c>
      <c r="I97" s="518" t="s">
        <v>1517</v>
      </c>
      <c r="J97" s="1060" t="s">
        <v>1518</v>
      </c>
      <c r="K97" s="1054">
        <v>41507</v>
      </c>
      <c r="L97" s="278">
        <v>10728</v>
      </c>
      <c r="M97" s="1053">
        <v>11126</v>
      </c>
      <c r="N97" s="1054">
        <v>41507</v>
      </c>
      <c r="O97" s="1054">
        <v>41872</v>
      </c>
      <c r="P97" s="1030" t="s">
        <v>1308</v>
      </c>
      <c r="Q97" s="1060"/>
      <c r="R97" s="1030"/>
      <c r="S97" s="1030"/>
      <c r="T97" s="1030" t="s">
        <v>696</v>
      </c>
      <c r="U97" s="1357" t="s">
        <v>867</v>
      </c>
      <c r="V97" s="1054">
        <v>41871</v>
      </c>
      <c r="W97" s="1053">
        <v>11380</v>
      </c>
      <c r="X97" s="1060" t="s">
        <v>1513</v>
      </c>
      <c r="Y97" s="1054">
        <v>41872</v>
      </c>
      <c r="Z97" s="1054">
        <v>42237</v>
      </c>
      <c r="AA97" s="1030"/>
      <c r="AB97" s="1030"/>
      <c r="AC97" s="266">
        <v>10728</v>
      </c>
      <c r="AD97" s="1030"/>
      <c r="AE97" s="613">
        <f>L97-AD97+AC97</f>
        <v>21456</v>
      </c>
      <c r="AF97" s="278">
        <v>3874</v>
      </c>
      <c r="AG97" s="278">
        <v>10728</v>
      </c>
      <c r="AH97" s="613">
        <f>AF97+AG97</f>
        <v>14602</v>
      </c>
      <c r="AI97" s="339"/>
      <c r="AJ97" s="339"/>
      <c r="AK97" s="107"/>
      <c r="AL97" s="107"/>
      <c r="AM97" s="1092"/>
      <c r="AN97" s="107"/>
      <c r="AO97" s="107"/>
      <c r="AP97" s="107"/>
      <c r="AQ97" s="107"/>
      <c r="AR97" s="107"/>
      <c r="AS97" s="1030"/>
      <c r="AT97" s="1030"/>
      <c r="AU97" s="1030"/>
      <c r="AV97" s="1030"/>
      <c r="AW97" s="1030"/>
      <c r="AX97" s="1030"/>
      <c r="AY97" s="1030"/>
      <c r="AZ97" s="1030"/>
      <c r="BA97" s="1030"/>
      <c r="BB97" s="1030"/>
      <c r="BC97" s="1030"/>
      <c r="BD97" s="1030"/>
    </row>
    <row r="98" spans="1:56" x14ac:dyDescent="0.25">
      <c r="A98" s="1492">
        <v>32</v>
      </c>
      <c r="B98" s="2224"/>
      <c r="C98" s="1986"/>
      <c r="D98" s="2234"/>
      <c r="E98" s="1986"/>
      <c r="F98" s="2234"/>
      <c r="G98" s="2178"/>
      <c r="H98" s="1031" t="s">
        <v>1519</v>
      </c>
      <c r="I98" s="518" t="s">
        <v>1520</v>
      </c>
      <c r="J98" s="1060" t="s">
        <v>1521</v>
      </c>
      <c r="K98" s="1054">
        <v>41509</v>
      </c>
      <c r="L98" s="278">
        <v>10788</v>
      </c>
      <c r="M98" s="1053">
        <v>11126</v>
      </c>
      <c r="N98" s="1054">
        <v>41509</v>
      </c>
      <c r="O98" s="1054">
        <v>41874</v>
      </c>
      <c r="P98" s="1030" t="s">
        <v>1308</v>
      </c>
      <c r="Q98" s="1060"/>
      <c r="R98" s="1030"/>
      <c r="S98" s="1030"/>
      <c r="T98" s="1030" t="s">
        <v>696</v>
      </c>
      <c r="U98" s="1357" t="s">
        <v>867</v>
      </c>
      <c r="V98" s="1054">
        <v>41871</v>
      </c>
      <c r="W98" s="1053">
        <v>11380</v>
      </c>
      <c r="X98" s="1060" t="s">
        <v>1513</v>
      </c>
      <c r="Y98" s="1054">
        <v>41874</v>
      </c>
      <c r="Z98" s="1054">
        <v>42239</v>
      </c>
      <c r="AA98" s="1030"/>
      <c r="AB98" s="1030"/>
      <c r="AC98" s="266">
        <v>10788</v>
      </c>
      <c r="AD98" s="1030"/>
      <c r="AE98" s="613">
        <f>L98-AD98+AC98</f>
        <v>21576</v>
      </c>
      <c r="AF98" s="278">
        <v>3805.79</v>
      </c>
      <c r="AG98" s="278">
        <v>10728.06</v>
      </c>
      <c r="AH98" s="613">
        <f>AF98+AG98</f>
        <v>14533.849999999999</v>
      </c>
      <c r="AI98" s="339"/>
      <c r="AJ98" s="339"/>
      <c r="AK98" s="107"/>
      <c r="AL98" s="107"/>
      <c r="AM98" s="1092"/>
      <c r="AN98" s="107"/>
      <c r="AO98" s="107"/>
      <c r="AP98" s="107"/>
      <c r="AQ98" s="107"/>
      <c r="AR98" s="107"/>
      <c r="AS98" s="1030"/>
      <c r="AT98" s="1030"/>
      <c r="AU98" s="1030"/>
      <c r="AV98" s="1030"/>
      <c r="AW98" s="1030"/>
      <c r="AX98" s="1030"/>
      <c r="AY98" s="1030"/>
      <c r="AZ98" s="1030"/>
      <c r="BA98" s="1030"/>
      <c r="BB98" s="1030"/>
      <c r="BC98" s="1030"/>
      <c r="BD98" s="1030"/>
    </row>
    <row r="99" spans="1:56" ht="38.25" x14ac:dyDescent="0.25">
      <c r="A99" s="1492">
        <v>33</v>
      </c>
      <c r="B99" s="1483" t="s">
        <v>1522</v>
      </c>
      <c r="C99" s="1030" t="s">
        <v>1357</v>
      </c>
      <c r="D99" s="518" t="s">
        <v>690</v>
      </c>
      <c r="E99" s="1060" t="s">
        <v>168</v>
      </c>
      <c r="F99" s="1365" t="s">
        <v>1523</v>
      </c>
      <c r="G99" s="1178" t="s">
        <v>677</v>
      </c>
      <c r="H99" s="1031" t="s">
        <v>1524</v>
      </c>
      <c r="I99" s="518" t="s">
        <v>1525</v>
      </c>
      <c r="J99" s="1060" t="s">
        <v>1526</v>
      </c>
      <c r="K99" s="1054">
        <v>41519</v>
      </c>
      <c r="L99" s="266">
        <v>18000</v>
      </c>
      <c r="M99" s="1053">
        <v>11129</v>
      </c>
      <c r="N99" s="1054">
        <v>41519</v>
      </c>
      <c r="O99" s="1054">
        <v>41884</v>
      </c>
      <c r="P99" s="1030" t="s">
        <v>1308</v>
      </c>
      <c r="Q99" s="1060"/>
      <c r="R99" s="1030"/>
      <c r="S99" s="1030"/>
      <c r="T99" s="1030" t="s">
        <v>696</v>
      </c>
      <c r="U99" s="1357" t="s">
        <v>867</v>
      </c>
      <c r="V99" s="1054">
        <v>41883</v>
      </c>
      <c r="W99" s="1053">
        <v>11390</v>
      </c>
      <c r="X99" s="518" t="s">
        <v>1527</v>
      </c>
      <c r="Y99" s="1054">
        <v>41883</v>
      </c>
      <c r="Z99" s="1054">
        <v>42248</v>
      </c>
      <c r="AA99" s="1030">
        <v>4.8846600000000002</v>
      </c>
      <c r="AB99" s="1030"/>
      <c r="AC99" s="266">
        <v>18879.240000000002</v>
      </c>
      <c r="AD99" s="1030"/>
      <c r="AE99" s="613">
        <f>L99-AD99+AC99</f>
        <v>36879.240000000005</v>
      </c>
      <c r="AF99" s="278">
        <v>6000</v>
      </c>
      <c r="AG99" s="278">
        <v>18293.080000000002</v>
      </c>
      <c r="AH99" s="613">
        <f>AF99+AG99</f>
        <v>24293.08</v>
      </c>
      <c r="AI99" s="339"/>
      <c r="AJ99" s="339"/>
      <c r="AK99" s="107"/>
      <c r="AL99" s="107"/>
      <c r="AM99" s="1092" t="s">
        <v>1311</v>
      </c>
      <c r="AN99" s="1030" t="s">
        <v>1312</v>
      </c>
      <c r="AO99" s="1053">
        <v>11122</v>
      </c>
      <c r="AP99" s="1054">
        <v>41515</v>
      </c>
      <c r="AQ99" s="1053">
        <v>11125</v>
      </c>
      <c r="AR99" s="1054">
        <v>41520</v>
      </c>
      <c r="AS99" s="1030"/>
      <c r="AT99" s="1030"/>
      <c r="AU99" s="1030"/>
      <c r="AV99" s="1030"/>
      <c r="AW99" s="1030"/>
      <c r="AX99" s="1030"/>
      <c r="AY99" s="1030"/>
      <c r="AZ99" s="1030"/>
      <c r="BA99" s="1030"/>
      <c r="BB99" s="1030"/>
      <c r="BC99" s="1030"/>
      <c r="BD99" s="1030"/>
    </row>
    <row r="100" spans="1:56" ht="63.75" x14ac:dyDescent="0.25">
      <c r="A100" s="1492">
        <v>34</v>
      </c>
      <c r="B100" s="1483" t="s">
        <v>1528</v>
      </c>
      <c r="C100" s="1030" t="s">
        <v>1529</v>
      </c>
      <c r="D100" s="518" t="s">
        <v>615</v>
      </c>
      <c r="E100" s="1060" t="s">
        <v>1358</v>
      </c>
      <c r="F100" s="518" t="s">
        <v>1530</v>
      </c>
      <c r="G100" s="1178">
        <v>11129</v>
      </c>
      <c r="H100" s="1031" t="s">
        <v>1531</v>
      </c>
      <c r="I100" s="518" t="s">
        <v>1532</v>
      </c>
      <c r="J100" s="1060" t="s">
        <v>1533</v>
      </c>
      <c r="K100" s="1054">
        <v>41554</v>
      </c>
      <c r="L100" s="1177">
        <v>62150</v>
      </c>
      <c r="M100" s="1053">
        <v>11163</v>
      </c>
      <c r="N100" s="1054">
        <v>41554</v>
      </c>
      <c r="O100" s="1054">
        <v>41919</v>
      </c>
      <c r="P100" s="1030" t="s">
        <v>1534</v>
      </c>
      <c r="Q100" s="1060"/>
      <c r="R100" s="1030"/>
      <c r="S100" s="1030"/>
      <c r="T100" s="1030" t="s">
        <v>685</v>
      </c>
      <c r="U100" s="1357"/>
      <c r="V100" s="1054"/>
      <c r="W100" s="1030"/>
      <c r="X100" s="1060"/>
      <c r="Y100" s="1054"/>
      <c r="Z100" s="1054"/>
      <c r="AA100" s="1030"/>
      <c r="AB100" s="1030"/>
      <c r="AC100" s="266"/>
      <c r="AD100" s="1030"/>
      <c r="AE100" s="613">
        <f>L100-AD100+AC100</f>
        <v>62150</v>
      </c>
      <c r="AF100" s="278" t="s">
        <v>677</v>
      </c>
      <c r="AG100" s="278" t="s">
        <v>677</v>
      </c>
      <c r="AH100" s="613" t="s">
        <v>677</v>
      </c>
      <c r="AI100" s="339"/>
      <c r="AJ100" s="339"/>
      <c r="AK100" s="107"/>
      <c r="AL100" s="107"/>
      <c r="AM100" s="1092"/>
      <c r="AN100" s="107"/>
      <c r="AO100" s="107"/>
      <c r="AP100" s="107"/>
      <c r="AQ100" s="107"/>
      <c r="AR100" s="107"/>
      <c r="AS100" s="1030"/>
      <c r="AT100" s="1030"/>
      <c r="AU100" s="1030"/>
      <c r="AV100" s="1030"/>
      <c r="AW100" s="1030"/>
      <c r="AX100" s="1030"/>
      <c r="AY100" s="1030"/>
      <c r="AZ100" s="1030"/>
      <c r="BA100" s="1030"/>
      <c r="BB100" s="1030"/>
      <c r="BC100" s="1030"/>
      <c r="BD100" s="1030"/>
    </row>
    <row r="101" spans="1:56" x14ac:dyDescent="0.25">
      <c r="A101" s="2285">
        <v>35</v>
      </c>
      <c r="B101" s="2222">
        <v>11198</v>
      </c>
      <c r="C101" s="1985" t="s">
        <v>1357</v>
      </c>
      <c r="D101" s="2233" t="s">
        <v>152</v>
      </c>
      <c r="E101" s="2163" t="s">
        <v>1457</v>
      </c>
      <c r="F101" s="2233" t="s">
        <v>1535</v>
      </c>
      <c r="G101" s="2177">
        <v>11121</v>
      </c>
      <c r="H101" s="1991" t="s">
        <v>1536</v>
      </c>
      <c r="I101" s="2233" t="s">
        <v>1537</v>
      </c>
      <c r="J101" s="1985" t="s">
        <v>1538</v>
      </c>
      <c r="K101" s="1996">
        <v>41556</v>
      </c>
      <c r="L101" s="2282">
        <v>69156.800000000003</v>
      </c>
      <c r="M101" s="1994">
        <v>11155</v>
      </c>
      <c r="N101" s="2172">
        <v>41572</v>
      </c>
      <c r="O101" s="2172">
        <f>N101+60</f>
        <v>41632</v>
      </c>
      <c r="P101" s="1985" t="s">
        <v>1320</v>
      </c>
      <c r="Q101" s="1985"/>
      <c r="R101" s="1985"/>
      <c r="S101" s="1985"/>
      <c r="T101" s="1985" t="s">
        <v>1438</v>
      </c>
      <c r="U101" s="1357"/>
      <c r="V101" s="1054"/>
      <c r="W101" s="1030"/>
      <c r="X101" s="1060"/>
      <c r="Y101" s="1054"/>
      <c r="Z101" s="1054"/>
      <c r="AA101" s="1030"/>
      <c r="AB101" s="1030"/>
      <c r="AC101" s="266"/>
      <c r="AD101" s="1030"/>
      <c r="AE101" s="2282">
        <f>L101-AD101+AC101-AD102+AC102-AD103+AC103-AD104+AC104-AD105+AC105</f>
        <v>71207.850000000006</v>
      </c>
      <c r="AF101" s="2282">
        <v>15099</v>
      </c>
      <c r="AG101" s="2282">
        <v>56108.85</v>
      </c>
      <c r="AH101" s="2282">
        <f>AF101+AG101</f>
        <v>71207.850000000006</v>
      </c>
      <c r="AI101" s="339"/>
      <c r="AJ101" s="339"/>
      <c r="AK101" s="107"/>
      <c r="AL101" s="107"/>
      <c r="AM101" s="1092"/>
      <c r="AN101" s="107"/>
      <c r="AO101" s="107"/>
      <c r="AP101" s="107"/>
      <c r="AQ101" s="107"/>
      <c r="AR101" s="107"/>
      <c r="AS101" s="1985" t="s">
        <v>1539</v>
      </c>
      <c r="AT101" s="1985" t="s">
        <v>1457</v>
      </c>
      <c r="AU101" s="1059">
        <v>41572</v>
      </c>
      <c r="AV101" s="1059">
        <v>41633</v>
      </c>
      <c r="AW101" s="1030"/>
      <c r="AX101" s="1030"/>
      <c r="AY101" s="1996">
        <v>41572</v>
      </c>
      <c r="AZ101" s="1985" t="s">
        <v>1458</v>
      </c>
      <c r="BA101" s="1030"/>
      <c r="BB101" s="1030"/>
      <c r="BC101" s="1030"/>
      <c r="BD101" s="1030"/>
    </row>
    <row r="102" spans="1:56" x14ac:dyDescent="0.25">
      <c r="A102" s="2291"/>
      <c r="B102" s="2223"/>
      <c r="C102" s="2021"/>
      <c r="D102" s="2252"/>
      <c r="E102" s="2175"/>
      <c r="F102" s="2252"/>
      <c r="G102" s="2180"/>
      <c r="H102" s="2176"/>
      <c r="I102" s="2252"/>
      <c r="J102" s="2021"/>
      <c r="K102" s="2033"/>
      <c r="L102" s="2290"/>
      <c r="M102" s="2197"/>
      <c r="N102" s="2173"/>
      <c r="O102" s="2173"/>
      <c r="P102" s="2021"/>
      <c r="Q102" s="2021"/>
      <c r="R102" s="2021"/>
      <c r="S102" s="2021"/>
      <c r="T102" s="2021"/>
      <c r="U102" s="1357" t="s">
        <v>867</v>
      </c>
      <c r="V102" s="1054">
        <v>41628</v>
      </c>
      <c r="W102" s="1053">
        <v>11218</v>
      </c>
      <c r="X102" s="1060" t="s">
        <v>1540</v>
      </c>
      <c r="Y102" s="1054">
        <v>41632</v>
      </c>
      <c r="Z102" s="1054">
        <v>41694</v>
      </c>
      <c r="AA102" s="1030"/>
      <c r="AB102" s="1030"/>
      <c r="AC102" s="266"/>
      <c r="AD102" s="1030"/>
      <c r="AE102" s="2290"/>
      <c r="AF102" s="2290"/>
      <c r="AG102" s="2290"/>
      <c r="AH102" s="2290"/>
      <c r="AI102" s="339"/>
      <c r="AJ102" s="339"/>
      <c r="AK102" s="107"/>
      <c r="AL102" s="107"/>
      <c r="AM102" s="1092"/>
      <c r="AN102" s="107"/>
      <c r="AO102" s="107"/>
      <c r="AP102" s="107"/>
      <c r="AQ102" s="107"/>
      <c r="AR102" s="107"/>
      <c r="AS102" s="2021"/>
      <c r="AT102" s="2021"/>
      <c r="AU102" s="1054">
        <v>41632</v>
      </c>
      <c r="AV102" s="1054">
        <v>41694</v>
      </c>
      <c r="AW102" s="1030"/>
      <c r="AX102" s="1030"/>
      <c r="AY102" s="2033"/>
      <c r="AZ102" s="2021"/>
      <c r="BA102" s="1030"/>
      <c r="BB102" s="1030"/>
      <c r="BC102" s="1030"/>
      <c r="BD102" s="1030"/>
    </row>
    <row r="103" spans="1:56" x14ac:dyDescent="0.25">
      <c r="A103" s="2291"/>
      <c r="B103" s="2223"/>
      <c r="C103" s="2021"/>
      <c r="D103" s="2252"/>
      <c r="E103" s="2175"/>
      <c r="F103" s="2252"/>
      <c r="G103" s="2180"/>
      <c r="H103" s="2176"/>
      <c r="I103" s="2252"/>
      <c r="J103" s="2021"/>
      <c r="K103" s="2033"/>
      <c r="L103" s="2290"/>
      <c r="M103" s="2197"/>
      <c r="N103" s="2173"/>
      <c r="O103" s="2173"/>
      <c r="P103" s="2021"/>
      <c r="Q103" s="2021"/>
      <c r="R103" s="2021"/>
      <c r="S103" s="2021"/>
      <c r="T103" s="2021"/>
      <c r="U103" s="1357" t="s">
        <v>871</v>
      </c>
      <c r="V103" s="1054">
        <v>41691</v>
      </c>
      <c r="W103" s="1053">
        <v>11262</v>
      </c>
      <c r="X103" s="1060" t="s">
        <v>1540</v>
      </c>
      <c r="Y103" s="1054">
        <v>41693</v>
      </c>
      <c r="Z103" s="1054">
        <v>41752</v>
      </c>
      <c r="AA103" s="1030"/>
      <c r="AB103" s="1030"/>
      <c r="AC103" s="266"/>
      <c r="AD103" s="1030"/>
      <c r="AE103" s="2290"/>
      <c r="AF103" s="2290"/>
      <c r="AG103" s="2290"/>
      <c r="AH103" s="2290"/>
      <c r="AI103" s="339"/>
      <c r="AJ103" s="339"/>
      <c r="AK103" s="107"/>
      <c r="AL103" s="107"/>
      <c r="AM103" s="1092"/>
      <c r="AN103" s="107"/>
      <c r="AO103" s="107"/>
      <c r="AP103" s="107"/>
      <c r="AQ103" s="107"/>
      <c r="AR103" s="107"/>
      <c r="AS103" s="2021"/>
      <c r="AT103" s="2021"/>
      <c r="AU103" s="1054">
        <v>41693</v>
      </c>
      <c r="AV103" s="1054">
        <v>41752</v>
      </c>
      <c r="AW103" s="1030"/>
      <c r="AX103" s="1030"/>
      <c r="AY103" s="2033"/>
      <c r="AZ103" s="2021"/>
      <c r="BA103" s="1030"/>
      <c r="BB103" s="1030"/>
      <c r="BC103" s="1030"/>
      <c r="BD103" s="1030"/>
    </row>
    <row r="104" spans="1:56" x14ac:dyDescent="0.25">
      <c r="A104" s="2291"/>
      <c r="B104" s="2223"/>
      <c r="C104" s="2021"/>
      <c r="D104" s="2252"/>
      <c r="E104" s="2175"/>
      <c r="F104" s="2252"/>
      <c r="G104" s="2180"/>
      <c r="H104" s="2176"/>
      <c r="I104" s="2252"/>
      <c r="J104" s="2021"/>
      <c r="K104" s="2033"/>
      <c r="L104" s="2290"/>
      <c r="M104" s="2197"/>
      <c r="N104" s="2173"/>
      <c r="O104" s="2173"/>
      <c r="P104" s="2021"/>
      <c r="Q104" s="2021"/>
      <c r="R104" s="2021"/>
      <c r="S104" s="2021"/>
      <c r="T104" s="2021"/>
      <c r="U104" s="1357" t="s">
        <v>874</v>
      </c>
      <c r="V104" s="1054">
        <v>41733</v>
      </c>
      <c r="W104" s="1053">
        <v>11281</v>
      </c>
      <c r="X104" s="1060" t="s">
        <v>1483</v>
      </c>
      <c r="Y104" s="1054"/>
      <c r="Z104" s="1054"/>
      <c r="AA104" s="1030">
        <f>AC104/L101*100</f>
        <v>2.9657965666427599</v>
      </c>
      <c r="AB104" s="1030"/>
      <c r="AC104" s="266">
        <v>2051.0500000000002</v>
      </c>
      <c r="AD104" s="1030"/>
      <c r="AE104" s="2290"/>
      <c r="AF104" s="2290"/>
      <c r="AG104" s="2290"/>
      <c r="AH104" s="2290"/>
      <c r="AI104" s="339"/>
      <c r="AJ104" s="339"/>
      <c r="AK104" s="107"/>
      <c r="AL104" s="107"/>
      <c r="AM104" s="1092"/>
      <c r="AN104" s="107"/>
      <c r="AO104" s="107"/>
      <c r="AP104" s="107"/>
      <c r="AQ104" s="107"/>
      <c r="AR104" s="107"/>
      <c r="AS104" s="2021"/>
      <c r="AT104" s="2021"/>
      <c r="AU104" s="1060"/>
      <c r="AV104" s="1060"/>
      <c r="AW104" s="1030"/>
      <c r="AX104" s="1030"/>
      <c r="AY104" s="2033"/>
      <c r="AZ104" s="2021"/>
      <c r="BA104" s="1030"/>
      <c r="BB104" s="1030"/>
      <c r="BC104" s="1030"/>
      <c r="BD104" s="1030"/>
    </row>
    <row r="105" spans="1:56" x14ac:dyDescent="0.25">
      <c r="A105" s="2286"/>
      <c r="B105" s="2224"/>
      <c r="C105" s="1986"/>
      <c r="D105" s="2234"/>
      <c r="E105" s="2164"/>
      <c r="F105" s="2234"/>
      <c r="G105" s="2178"/>
      <c r="H105" s="1992"/>
      <c r="I105" s="2234"/>
      <c r="J105" s="1986"/>
      <c r="K105" s="1997"/>
      <c r="L105" s="2283"/>
      <c r="M105" s="1995"/>
      <c r="N105" s="2174"/>
      <c r="O105" s="2174"/>
      <c r="P105" s="1986"/>
      <c r="Q105" s="1986"/>
      <c r="R105" s="1986"/>
      <c r="S105" s="1986"/>
      <c r="T105" s="1986"/>
      <c r="U105" s="1357" t="s">
        <v>876</v>
      </c>
      <c r="V105" s="1054">
        <v>41752</v>
      </c>
      <c r="W105" s="1053">
        <v>11297</v>
      </c>
      <c r="X105" s="1060" t="s">
        <v>1540</v>
      </c>
      <c r="Y105" s="1054">
        <v>41752</v>
      </c>
      <c r="Z105" s="1054">
        <v>41812</v>
      </c>
      <c r="AA105" s="1030"/>
      <c r="AB105" s="1030"/>
      <c r="AC105" s="266"/>
      <c r="AD105" s="1030"/>
      <c r="AE105" s="2283"/>
      <c r="AF105" s="2283"/>
      <c r="AG105" s="2283"/>
      <c r="AH105" s="2283"/>
      <c r="AI105" s="339"/>
      <c r="AJ105" s="339"/>
      <c r="AK105" s="107"/>
      <c r="AL105" s="107"/>
      <c r="AM105" s="1092"/>
      <c r="AN105" s="107"/>
      <c r="AO105" s="107"/>
      <c r="AP105" s="107"/>
      <c r="AQ105" s="107"/>
      <c r="AR105" s="107"/>
      <c r="AS105" s="1986"/>
      <c r="AT105" s="1986"/>
      <c r="AU105" s="1054">
        <v>41752</v>
      </c>
      <c r="AV105" s="1054">
        <v>41812</v>
      </c>
      <c r="AW105" s="1030"/>
      <c r="AX105" s="1030"/>
      <c r="AY105" s="1997"/>
      <c r="AZ105" s="1986"/>
      <c r="BA105" s="1030"/>
      <c r="BB105" s="1030"/>
      <c r="BC105" s="1030"/>
      <c r="BD105" s="1030"/>
    </row>
    <row r="106" spans="1:56" x14ac:dyDescent="0.25">
      <c r="A106" s="2285">
        <v>36</v>
      </c>
      <c r="B106" s="2222">
        <v>11202</v>
      </c>
      <c r="C106" s="1985" t="s">
        <v>403</v>
      </c>
      <c r="D106" s="2233" t="s">
        <v>152</v>
      </c>
      <c r="E106" s="2163" t="s">
        <v>1457</v>
      </c>
      <c r="F106" s="2233" t="s">
        <v>1541</v>
      </c>
      <c r="G106" s="2177">
        <v>11121</v>
      </c>
      <c r="H106" s="1991" t="s">
        <v>1542</v>
      </c>
      <c r="I106" s="2233" t="s">
        <v>1537</v>
      </c>
      <c r="J106" s="1985" t="s">
        <v>1538</v>
      </c>
      <c r="K106" s="1996">
        <v>41556</v>
      </c>
      <c r="L106" s="2282">
        <v>50569.89</v>
      </c>
      <c r="M106" s="1994">
        <v>11155</v>
      </c>
      <c r="N106" s="2172">
        <v>41572</v>
      </c>
      <c r="O106" s="2172">
        <v>41632</v>
      </c>
      <c r="P106" s="1985" t="s">
        <v>1320</v>
      </c>
      <c r="Q106" s="1985"/>
      <c r="R106" s="1985"/>
      <c r="S106" s="1985"/>
      <c r="T106" s="1985" t="s">
        <v>1438</v>
      </c>
      <c r="U106" s="1357"/>
      <c r="V106" s="1054"/>
      <c r="W106" s="1053"/>
      <c r="X106" s="1060"/>
      <c r="Y106" s="1054"/>
      <c r="Z106" s="1054"/>
      <c r="AA106" s="1030"/>
      <c r="AB106" s="1030"/>
      <c r="AC106" s="266"/>
      <c r="AD106" s="1030"/>
      <c r="AE106" s="2282">
        <f>L106-AD106+AC106-AD107+AC107-AD108+AC108-AD109+AC109-AD110+AC110</f>
        <v>46626.45</v>
      </c>
      <c r="AF106" s="2282">
        <v>10872</v>
      </c>
      <c r="AG106" s="2282">
        <v>35754.449999999997</v>
      </c>
      <c r="AH106" s="2282">
        <f>AF106+AG106</f>
        <v>46626.45</v>
      </c>
      <c r="AI106" s="339"/>
      <c r="AJ106" s="339"/>
      <c r="AK106" s="107"/>
      <c r="AL106" s="107"/>
      <c r="AM106" s="1092"/>
      <c r="AN106" s="107"/>
      <c r="AO106" s="107"/>
      <c r="AP106" s="107"/>
      <c r="AQ106" s="107"/>
      <c r="AR106" s="107"/>
      <c r="AS106" s="1985" t="s">
        <v>1539</v>
      </c>
      <c r="AT106" s="1985" t="s">
        <v>1457</v>
      </c>
      <c r="AU106" s="1059">
        <v>41572</v>
      </c>
      <c r="AV106" s="1059">
        <v>41633</v>
      </c>
      <c r="AW106" s="1030"/>
      <c r="AX106" s="1030"/>
      <c r="AY106" s="1996">
        <v>41572</v>
      </c>
      <c r="AZ106" s="1985" t="s">
        <v>1458</v>
      </c>
      <c r="BA106" s="1030"/>
      <c r="BB106" s="1030"/>
      <c r="BC106" s="1030"/>
      <c r="BD106" s="1030"/>
    </row>
    <row r="107" spans="1:56" x14ac:dyDescent="0.25">
      <c r="A107" s="2291"/>
      <c r="B107" s="2223"/>
      <c r="C107" s="2021"/>
      <c r="D107" s="2252"/>
      <c r="E107" s="2175"/>
      <c r="F107" s="2252"/>
      <c r="G107" s="2180"/>
      <c r="H107" s="2176"/>
      <c r="I107" s="2252"/>
      <c r="J107" s="2021"/>
      <c r="K107" s="2033"/>
      <c r="L107" s="2290"/>
      <c r="M107" s="2197"/>
      <c r="N107" s="2173"/>
      <c r="O107" s="2173"/>
      <c r="P107" s="2021"/>
      <c r="Q107" s="2021"/>
      <c r="R107" s="2021"/>
      <c r="S107" s="2021"/>
      <c r="T107" s="2021"/>
      <c r="U107" s="1357" t="s">
        <v>867</v>
      </c>
      <c r="V107" s="1054">
        <v>41628</v>
      </c>
      <c r="W107" s="1053">
        <v>11218</v>
      </c>
      <c r="X107" s="1060" t="s">
        <v>1540</v>
      </c>
      <c r="Y107" s="1054">
        <v>41632</v>
      </c>
      <c r="Z107" s="1054">
        <v>41694</v>
      </c>
      <c r="AA107" s="1030"/>
      <c r="AB107" s="1030"/>
      <c r="AC107" s="266"/>
      <c r="AD107" s="1030"/>
      <c r="AE107" s="2290"/>
      <c r="AF107" s="2290"/>
      <c r="AG107" s="2290"/>
      <c r="AH107" s="2290"/>
      <c r="AI107" s="339"/>
      <c r="AJ107" s="339"/>
      <c r="AK107" s="107"/>
      <c r="AL107" s="107"/>
      <c r="AM107" s="1092"/>
      <c r="AN107" s="107"/>
      <c r="AO107" s="107"/>
      <c r="AP107" s="107"/>
      <c r="AQ107" s="107"/>
      <c r="AR107" s="107"/>
      <c r="AS107" s="2021"/>
      <c r="AT107" s="2021"/>
      <c r="AU107" s="1054">
        <v>41632</v>
      </c>
      <c r="AV107" s="1054">
        <v>41694</v>
      </c>
      <c r="AW107" s="1030"/>
      <c r="AX107" s="1030"/>
      <c r="AY107" s="2033"/>
      <c r="AZ107" s="2021"/>
      <c r="BA107" s="1030"/>
      <c r="BB107" s="1030"/>
      <c r="BC107" s="1030"/>
      <c r="BD107" s="1030"/>
    </row>
    <row r="108" spans="1:56" x14ac:dyDescent="0.25">
      <c r="A108" s="2291"/>
      <c r="B108" s="2223"/>
      <c r="C108" s="2021"/>
      <c r="D108" s="2252"/>
      <c r="E108" s="2175"/>
      <c r="F108" s="2252"/>
      <c r="G108" s="2180"/>
      <c r="H108" s="2176"/>
      <c r="I108" s="2252"/>
      <c r="J108" s="2021"/>
      <c r="K108" s="2033"/>
      <c r="L108" s="2290"/>
      <c r="M108" s="2197"/>
      <c r="N108" s="2173"/>
      <c r="O108" s="2173"/>
      <c r="P108" s="2021"/>
      <c r="Q108" s="2021"/>
      <c r="R108" s="2021"/>
      <c r="S108" s="2021"/>
      <c r="T108" s="2021"/>
      <c r="U108" s="1357" t="s">
        <v>871</v>
      </c>
      <c r="V108" s="1054">
        <v>41691</v>
      </c>
      <c r="W108" s="1053">
        <v>11262</v>
      </c>
      <c r="X108" s="1060" t="s">
        <v>1540</v>
      </c>
      <c r="Y108" s="1054">
        <v>41693</v>
      </c>
      <c r="Z108" s="1054">
        <v>41752</v>
      </c>
      <c r="AA108" s="1030"/>
      <c r="AB108" s="1030"/>
      <c r="AC108" s="266"/>
      <c r="AD108" s="1030"/>
      <c r="AE108" s="2290"/>
      <c r="AF108" s="2290"/>
      <c r="AG108" s="2290"/>
      <c r="AH108" s="2290"/>
      <c r="AI108" s="339"/>
      <c r="AJ108" s="339"/>
      <c r="AK108" s="107"/>
      <c r="AL108" s="107"/>
      <c r="AM108" s="1092"/>
      <c r="AN108" s="107"/>
      <c r="AO108" s="107"/>
      <c r="AP108" s="107"/>
      <c r="AQ108" s="107"/>
      <c r="AR108" s="107"/>
      <c r="AS108" s="2021"/>
      <c r="AT108" s="2021"/>
      <c r="AU108" s="1054">
        <v>41693</v>
      </c>
      <c r="AV108" s="1054">
        <v>41752</v>
      </c>
      <c r="AW108" s="1030"/>
      <c r="AX108" s="1030"/>
      <c r="AY108" s="2033"/>
      <c r="AZ108" s="2021"/>
      <c r="BA108" s="1030"/>
      <c r="BB108" s="1030"/>
      <c r="BC108" s="1030"/>
      <c r="BD108" s="1030"/>
    </row>
    <row r="109" spans="1:56" x14ac:dyDescent="0.25">
      <c r="A109" s="2291"/>
      <c r="B109" s="2223"/>
      <c r="C109" s="2021"/>
      <c r="D109" s="2252"/>
      <c r="E109" s="2175"/>
      <c r="F109" s="2252"/>
      <c r="G109" s="2180"/>
      <c r="H109" s="2176"/>
      <c r="I109" s="2252"/>
      <c r="J109" s="2021"/>
      <c r="K109" s="2033"/>
      <c r="L109" s="2290"/>
      <c r="M109" s="2197"/>
      <c r="N109" s="2173"/>
      <c r="O109" s="2173"/>
      <c r="P109" s="2021"/>
      <c r="Q109" s="2021"/>
      <c r="R109" s="2021"/>
      <c r="S109" s="2021"/>
      <c r="T109" s="2021"/>
      <c r="U109" s="1357" t="s">
        <v>874</v>
      </c>
      <c r="V109" s="1054">
        <v>41733</v>
      </c>
      <c r="W109" s="1053">
        <v>11281</v>
      </c>
      <c r="X109" s="1060" t="s">
        <v>1543</v>
      </c>
      <c r="Y109" s="1054"/>
      <c r="Z109" s="1054"/>
      <c r="AA109" s="1030"/>
      <c r="AB109" s="1030">
        <f>AD109/L106*100</f>
        <v>7.7979999561003597</v>
      </c>
      <c r="AC109" s="114"/>
      <c r="AD109" s="266">
        <v>3943.44</v>
      </c>
      <c r="AE109" s="2290"/>
      <c r="AF109" s="2290"/>
      <c r="AG109" s="2290"/>
      <c r="AH109" s="2290"/>
      <c r="AI109" s="339"/>
      <c r="AJ109" s="339"/>
      <c r="AK109" s="107"/>
      <c r="AL109" s="107"/>
      <c r="AM109" s="1092"/>
      <c r="AN109" s="107"/>
      <c r="AO109" s="107"/>
      <c r="AP109" s="107"/>
      <c r="AQ109" s="107"/>
      <c r="AR109" s="107"/>
      <c r="AS109" s="2021"/>
      <c r="AT109" s="2021"/>
      <c r="AU109" s="1060"/>
      <c r="AV109" s="1060"/>
      <c r="AW109" s="1054"/>
      <c r="AX109" s="1030"/>
      <c r="AY109" s="2033"/>
      <c r="AZ109" s="2021"/>
      <c r="BA109" s="1030"/>
      <c r="BB109" s="1030"/>
      <c r="BC109" s="1030"/>
      <c r="BD109" s="1030"/>
    </row>
    <row r="110" spans="1:56" x14ac:dyDescent="0.25">
      <c r="A110" s="2286"/>
      <c r="B110" s="2224"/>
      <c r="C110" s="1986"/>
      <c r="D110" s="2234"/>
      <c r="E110" s="2164"/>
      <c r="F110" s="2234"/>
      <c r="G110" s="2178"/>
      <c r="H110" s="1992"/>
      <c r="I110" s="2234"/>
      <c r="J110" s="1986"/>
      <c r="K110" s="1997"/>
      <c r="L110" s="2283"/>
      <c r="M110" s="1995"/>
      <c r="N110" s="2174"/>
      <c r="O110" s="2174"/>
      <c r="P110" s="1986"/>
      <c r="Q110" s="1986"/>
      <c r="R110" s="1986"/>
      <c r="S110" s="1986"/>
      <c r="T110" s="1986"/>
      <c r="U110" s="1357" t="s">
        <v>876</v>
      </c>
      <c r="V110" s="1054">
        <v>41751</v>
      </c>
      <c r="W110" s="1053">
        <v>11297</v>
      </c>
      <c r="X110" s="1060" t="s">
        <v>1540</v>
      </c>
      <c r="Y110" s="1054">
        <v>41752</v>
      </c>
      <c r="Z110" s="1054">
        <v>41812</v>
      </c>
      <c r="AA110" s="1030"/>
      <c r="AB110" s="1030"/>
      <c r="AC110" s="266"/>
      <c r="AD110" s="1030"/>
      <c r="AE110" s="2283"/>
      <c r="AF110" s="2283"/>
      <c r="AG110" s="2283"/>
      <c r="AH110" s="2283"/>
      <c r="AI110" s="339"/>
      <c r="AJ110" s="339"/>
      <c r="AK110" s="107"/>
      <c r="AL110" s="107"/>
      <c r="AM110" s="1092"/>
      <c r="AN110" s="107"/>
      <c r="AO110" s="107"/>
      <c r="AP110" s="107"/>
      <c r="AQ110" s="107"/>
      <c r="AR110" s="107"/>
      <c r="AS110" s="1986"/>
      <c r="AT110" s="1986"/>
      <c r="AU110" s="1054">
        <v>41752</v>
      </c>
      <c r="AV110" s="1054">
        <v>41812</v>
      </c>
      <c r="AW110" s="1030"/>
      <c r="AX110" s="1030"/>
      <c r="AY110" s="1997"/>
      <c r="AZ110" s="1986"/>
      <c r="BA110" s="1030"/>
      <c r="BB110" s="1030"/>
      <c r="BC110" s="1030"/>
      <c r="BD110" s="1030"/>
    </row>
    <row r="111" spans="1:56" ht="15" customHeight="1" x14ac:dyDescent="0.25">
      <c r="A111" s="2285">
        <v>37</v>
      </c>
      <c r="B111" s="1989" t="s">
        <v>1544</v>
      </c>
      <c r="C111" s="1985" t="s">
        <v>1295</v>
      </c>
      <c r="D111" s="1985" t="s">
        <v>1431</v>
      </c>
      <c r="E111" s="1985" t="s">
        <v>168</v>
      </c>
      <c r="F111" s="1985" t="s">
        <v>1545</v>
      </c>
      <c r="G111" s="2177">
        <v>11126</v>
      </c>
      <c r="H111" s="1991" t="s">
        <v>1546</v>
      </c>
      <c r="I111" s="1985" t="s">
        <v>1489</v>
      </c>
      <c r="J111" s="1985" t="s">
        <v>1490</v>
      </c>
      <c r="K111" s="1996">
        <v>41571</v>
      </c>
      <c r="L111" s="2282">
        <v>996592.36</v>
      </c>
      <c r="M111" s="1994">
        <v>11167</v>
      </c>
      <c r="N111" s="1996">
        <v>41571</v>
      </c>
      <c r="O111" s="1996">
        <v>41900</v>
      </c>
      <c r="P111" s="1985" t="s">
        <v>1320</v>
      </c>
      <c r="Q111" s="1985"/>
      <c r="R111" s="1985"/>
      <c r="S111" s="1985"/>
      <c r="T111" s="1985" t="s">
        <v>1438</v>
      </c>
      <c r="U111" s="1357"/>
      <c r="V111" s="1054"/>
      <c r="W111" s="1053"/>
      <c r="X111" s="1060"/>
      <c r="Y111" s="1054"/>
      <c r="Z111" s="1054"/>
      <c r="AA111" s="1376"/>
      <c r="AB111" s="1376"/>
      <c r="AC111" s="1376"/>
      <c r="AD111" s="1376"/>
      <c r="AE111" s="2282">
        <f>L111-AD111+AC111-AD112+AC112-AD113+AC113</f>
        <v>996592.36</v>
      </c>
      <c r="AF111" s="2282"/>
      <c r="AG111" s="2282">
        <v>512698.26</v>
      </c>
      <c r="AH111" s="2282">
        <v>369571.28</v>
      </c>
      <c r="AI111" s="2279"/>
      <c r="AJ111" s="2279"/>
      <c r="AK111" s="2279"/>
      <c r="AL111" s="2279"/>
      <c r="AM111" s="2279"/>
      <c r="AN111" s="2279"/>
      <c r="AO111" s="2279"/>
      <c r="AP111" s="2279"/>
      <c r="AQ111" s="2279"/>
      <c r="AR111" s="2279"/>
      <c r="AS111" s="1985" t="s">
        <v>1323</v>
      </c>
      <c r="AT111" s="2163" t="s">
        <v>1457</v>
      </c>
      <c r="AU111" s="1054">
        <v>41600</v>
      </c>
      <c r="AV111" s="1054">
        <v>41870</v>
      </c>
      <c r="AW111" s="1985"/>
      <c r="AX111" s="1985"/>
      <c r="AY111" s="1996">
        <v>41589</v>
      </c>
      <c r="AZ111" s="1985" t="s">
        <v>1464</v>
      </c>
      <c r="BA111" s="1985" t="s">
        <v>1458</v>
      </c>
      <c r="BB111" s="1030"/>
      <c r="BC111" s="1030"/>
      <c r="BD111" s="1030"/>
    </row>
    <row r="112" spans="1:56" x14ac:dyDescent="0.25">
      <c r="A112" s="2291"/>
      <c r="B112" s="2301"/>
      <c r="C112" s="2021"/>
      <c r="D112" s="2021"/>
      <c r="E112" s="2021"/>
      <c r="F112" s="2021"/>
      <c r="G112" s="2180"/>
      <c r="H112" s="2176"/>
      <c r="I112" s="2021"/>
      <c r="J112" s="2021"/>
      <c r="K112" s="2033"/>
      <c r="L112" s="2290"/>
      <c r="M112" s="2197"/>
      <c r="N112" s="2033"/>
      <c r="O112" s="2033"/>
      <c r="P112" s="2021"/>
      <c r="Q112" s="2021"/>
      <c r="R112" s="2021"/>
      <c r="S112" s="2021"/>
      <c r="T112" s="2021"/>
      <c r="U112" s="1357" t="s">
        <v>867</v>
      </c>
      <c r="V112" s="1054">
        <v>41869</v>
      </c>
      <c r="W112" s="1053">
        <v>11380</v>
      </c>
      <c r="X112" s="1060" t="s">
        <v>1540</v>
      </c>
      <c r="Y112" s="1059">
        <v>41900</v>
      </c>
      <c r="Z112" s="1054">
        <v>42020</v>
      </c>
      <c r="AA112" s="1376"/>
      <c r="AB112" s="1376"/>
      <c r="AC112" s="1376"/>
      <c r="AD112" s="1376"/>
      <c r="AE112" s="2290"/>
      <c r="AF112" s="2290"/>
      <c r="AG112" s="2290"/>
      <c r="AH112" s="2290"/>
      <c r="AI112" s="2281"/>
      <c r="AJ112" s="2281"/>
      <c r="AK112" s="2281"/>
      <c r="AL112" s="2281"/>
      <c r="AM112" s="2281"/>
      <c r="AN112" s="2281"/>
      <c r="AO112" s="2281"/>
      <c r="AP112" s="2281"/>
      <c r="AQ112" s="2281"/>
      <c r="AR112" s="2281"/>
      <c r="AS112" s="2021"/>
      <c r="AT112" s="2175"/>
      <c r="AU112" s="1059">
        <v>41870</v>
      </c>
      <c r="AV112" s="1059">
        <v>41990</v>
      </c>
      <c r="AW112" s="1986"/>
      <c r="AX112" s="1986"/>
      <c r="AY112" s="2033"/>
      <c r="AZ112" s="2021"/>
      <c r="BA112" s="2021"/>
      <c r="BB112" s="1030"/>
      <c r="BC112" s="1030"/>
      <c r="BD112" s="1030"/>
    </row>
    <row r="113" spans="1:56" ht="25.5" x14ac:dyDescent="0.25">
      <c r="A113" s="2286"/>
      <c r="B113" s="1990"/>
      <c r="C113" s="1986"/>
      <c r="D113" s="1986"/>
      <c r="E113" s="1986"/>
      <c r="F113" s="1986"/>
      <c r="G113" s="2178"/>
      <c r="H113" s="1992"/>
      <c r="I113" s="1986"/>
      <c r="J113" s="1986"/>
      <c r="K113" s="1997"/>
      <c r="L113" s="2283"/>
      <c r="M113" s="1995"/>
      <c r="N113" s="1997"/>
      <c r="O113" s="1997"/>
      <c r="P113" s="1986"/>
      <c r="Q113" s="1986"/>
      <c r="R113" s="1986"/>
      <c r="S113" s="1986"/>
      <c r="T113" s="1986"/>
      <c r="U113" s="1357" t="s">
        <v>871</v>
      </c>
      <c r="V113" s="1054">
        <v>41988</v>
      </c>
      <c r="W113" s="1053">
        <v>11477</v>
      </c>
      <c r="X113" s="1060" t="s">
        <v>1547</v>
      </c>
      <c r="Y113" s="1054">
        <v>42020</v>
      </c>
      <c r="Z113" s="1054">
        <v>42200</v>
      </c>
      <c r="AA113" s="1376"/>
      <c r="AB113" s="1376"/>
      <c r="AC113" s="1376"/>
      <c r="AD113" s="1376"/>
      <c r="AE113" s="2283"/>
      <c r="AF113" s="2283"/>
      <c r="AG113" s="2283"/>
      <c r="AH113" s="2283"/>
      <c r="AI113" s="1377"/>
      <c r="AJ113" s="1377"/>
      <c r="AK113" s="1377"/>
      <c r="AL113" s="1377"/>
      <c r="AM113" s="1377"/>
      <c r="AN113" s="1377"/>
      <c r="AO113" s="1377"/>
      <c r="AP113" s="1377"/>
      <c r="AQ113" s="1377"/>
      <c r="AR113" s="1377"/>
      <c r="AS113" s="1986"/>
      <c r="AT113" s="2164"/>
      <c r="AU113" s="590">
        <v>41990</v>
      </c>
      <c r="AV113" s="590">
        <v>42170</v>
      </c>
      <c r="AW113" s="1038"/>
      <c r="AX113" s="1038"/>
      <c r="AY113" s="1997"/>
      <c r="AZ113" s="1986"/>
      <c r="BA113" s="1986"/>
      <c r="BB113" s="1040"/>
      <c r="BC113" s="1040"/>
      <c r="BD113" s="1040"/>
    </row>
    <row r="114" spans="1:56" ht="56.25" customHeight="1" x14ac:dyDescent="0.25">
      <c r="A114" s="1493">
        <v>38</v>
      </c>
      <c r="B114" s="1101">
        <v>1234200149</v>
      </c>
      <c r="C114" s="1040" t="s">
        <v>1031</v>
      </c>
      <c r="D114" s="1040" t="s">
        <v>1548</v>
      </c>
      <c r="E114" s="1040" t="s">
        <v>1358</v>
      </c>
      <c r="F114" s="1040" t="s">
        <v>1549</v>
      </c>
      <c r="G114" s="1105">
        <v>10965</v>
      </c>
      <c r="H114" s="1066" t="s">
        <v>675</v>
      </c>
      <c r="I114" s="1040" t="s">
        <v>1550</v>
      </c>
      <c r="J114" s="1040" t="s">
        <v>1551</v>
      </c>
      <c r="K114" s="1044">
        <v>41641</v>
      </c>
      <c r="L114" s="1120">
        <v>167677</v>
      </c>
      <c r="M114" s="1046">
        <v>11218</v>
      </c>
      <c r="N114" s="1044">
        <v>41641</v>
      </c>
      <c r="O114" s="1044">
        <v>42004</v>
      </c>
      <c r="P114" s="1040" t="s">
        <v>1320</v>
      </c>
      <c r="Q114" s="1040"/>
      <c r="R114" s="1040"/>
      <c r="S114" s="1040"/>
      <c r="T114" s="1040" t="s">
        <v>208</v>
      </c>
      <c r="U114" s="1357" t="s">
        <v>867</v>
      </c>
      <c r="V114" s="1054">
        <v>42004</v>
      </c>
      <c r="W114" s="1053">
        <v>11472</v>
      </c>
      <c r="X114" s="1060" t="s">
        <v>1552</v>
      </c>
      <c r="Y114" s="1054">
        <v>42004</v>
      </c>
      <c r="Z114" s="1054">
        <v>42369</v>
      </c>
      <c r="AA114" s="1030"/>
      <c r="AB114" s="1030"/>
      <c r="AC114" s="266">
        <v>167677</v>
      </c>
      <c r="AD114" s="1030"/>
      <c r="AE114" s="1120">
        <f>L114-AD114+AC114</f>
        <v>335354</v>
      </c>
      <c r="AF114" s="1120"/>
      <c r="AG114" s="1120">
        <v>51233</v>
      </c>
      <c r="AH114" s="1120">
        <f>AF114+AG114</f>
        <v>51233</v>
      </c>
      <c r="AI114" s="1040"/>
      <c r="AJ114" s="1040"/>
      <c r="AK114" s="1040"/>
      <c r="AL114" s="1040"/>
      <c r="AM114" s="1040"/>
      <c r="AN114" s="1040"/>
      <c r="AO114" s="1040"/>
      <c r="AP114" s="1040"/>
      <c r="AQ114" s="1040"/>
      <c r="AR114" s="1040"/>
      <c r="AS114" s="1040"/>
      <c r="AT114" s="1040"/>
      <c r="AU114" s="1040"/>
      <c r="AV114" s="1040"/>
      <c r="AW114" s="1040"/>
      <c r="AX114" s="1040"/>
      <c r="AY114" s="1040"/>
      <c r="AZ114" s="1040"/>
      <c r="BA114" s="1040"/>
      <c r="BB114" s="1040"/>
      <c r="BC114" s="1040"/>
      <c r="BD114" s="1040"/>
    </row>
    <row r="115" spans="1:56" ht="101.25" customHeight="1" x14ac:dyDescent="0.25">
      <c r="A115" s="2285">
        <v>39</v>
      </c>
      <c r="B115" s="2194" t="s">
        <v>1553</v>
      </c>
      <c r="C115" s="1985" t="s">
        <v>1400</v>
      </c>
      <c r="D115" s="1985" t="s">
        <v>1548</v>
      </c>
      <c r="E115" s="1985" t="s">
        <v>1358</v>
      </c>
      <c r="F115" s="1985" t="s">
        <v>1554</v>
      </c>
      <c r="G115" s="2177">
        <v>11102</v>
      </c>
      <c r="H115" s="1991" t="s">
        <v>683</v>
      </c>
      <c r="I115" s="1985" t="s">
        <v>1555</v>
      </c>
      <c r="J115" s="1985" t="s">
        <v>1556</v>
      </c>
      <c r="K115" s="1996">
        <v>41641</v>
      </c>
      <c r="L115" s="2282">
        <v>2331504</v>
      </c>
      <c r="M115" s="1994">
        <v>11234</v>
      </c>
      <c r="N115" s="1996">
        <v>41641</v>
      </c>
      <c r="O115" s="1996">
        <v>42006</v>
      </c>
      <c r="P115" s="1985" t="s">
        <v>1320</v>
      </c>
      <c r="Q115" s="1985"/>
      <c r="R115" s="1985"/>
      <c r="S115" s="1985"/>
      <c r="T115" s="1985" t="s">
        <v>1557</v>
      </c>
      <c r="U115" s="1357" t="s">
        <v>867</v>
      </c>
      <c r="V115" s="1054">
        <v>41652</v>
      </c>
      <c r="W115" s="1053">
        <v>11226</v>
      </c>
      <c r="X115" s="1060" t="s">
        <v>1558</v>
      </c>
      <c r="Y115" s="1054"/>
      <c r="Z115" s="1054"/>
      <c r="AA115" s="1030">
        <f>AC115/L115*100</f>
        <v>16.688283614353651</v>
      </c>
      <c r="AB115" s="1030"/>
      <c r="AC115" s="266">
        <v>389088</v>
      </c>
      <c r="AD115" s="1030"/>
      <c r="AE115" s="2282">
        <f>L115-AD115+AC115-AD116+AC116</f>
        <v>5441184</v>
      </c>
      <c r="AF115" s="2282"/>
      <c r="AG115" s="2282">
        <v>2675240.4</v>
      </c>
      <c r="AH115" s="2282">
        <f>AF115+AG115</f>
        <v>2675240.4</v>
      </c>
      <c r="AI115" s="1985"/>
      <c r="AJ115" s="1985"/>
      <c r="AK115" s="1985"/>
      <c r="AL115" s="1985"/>
      <c r="AM115" s="1985"/>
      <c r="AN115" s="1985"/>
      <c r="AO115" s="1985"/>
      <c r="AP115" s="1985"/>
      <c r="AQ115" s="1985"/>
      <c r="AR115" s="1985"/>
      <c r="AS115" s="1985"/>
      <c r="AT115" s="1985"/>
      <c r="AU115" s="1985"/>
      <c r="AV115" s="1985"/>
      <c r="AW115" s="1985"/>
      <c r="AX115" s="1985"/>
      <c r="AY115" s="1985"/>
      <c r="AZ115" s="1985"/>
      <c r="BA115" s="1985"/>
      <c r="BB115" s="1985"/>
      <c r="BC115" s="1985"/>
      <c r="BD115" s="1985"/>
    </row>
    <row r="116" spans="1:56" ht="25.5" x14ac:dyDescent="0.25">
      <c r="A116" s="2286"/>
      <c r="B116" s="2196"/>
      <c r="C116" s="1986"/>
      <c r="D116" s="1986"/>
      <c r="E116" s="1986"/>
      <c r="F116" s="1986"/>
      <c r="G116" s="2178"/>
      <c r="H116" s="1992"/>
      <c r="I116" s="1986"/>
      <c r="J116" s="1986"/>
      <c r="K116" s="1997"/>
      <c r="L116" s="2283"/>
      <c r="M116" s="1995"/>
      <c r="N116" s="1997"/>
      <c r="O116" s="1997"/>
      <c r="P116" s="1986"/>
      <c r="Q116" s="1986"/>
      <c r="R116" s="1986"/>
      <c r="S116" s="1986"/>
      <c r="T116" s="1986"/>
      <c r="U116" s="1357" t="s">
        <v>871</v>
      </c>
      <c r="V116" s="1054">
        <v>42006</v>
      </c>
      <c r="W116" s="1053">
        <v>11476</v>
      </c>
      <c r="X116" s="1060" t="s">
        <v>1559</v>
      </c>
      <c r="Y116" s="1054">
        <v>42006</v>
      </c>
      <c r="Z116" s="1054">
        <v>42371</v>
      </c>
      <c r="AA116" s="1030"/>
      <c r="AB116" s="1030"/>
      <c r="AC116" s="266">
        <v>2720592</v>
      </c>
      <c r="AD116" s="1030"/>
      <c r="AE116" s="2283"/>
      <c r="AF116" s="2283"/>
      <c r="AG116" s="2283"/>
      <c r="AH116" s="2283"/>
      <c r="AI116" s="1986"/>
      <c r="AJ116" s="1986"/>
      <c r="AK116" s="1986"/>
      <c r="AL116" s="1986"/>
      <c r="AM116" s="1986"/>
      <c r="AN116" s="1986"/>
      <c r="AO116" s="1986"/>
      <c r="AP116" s="1986"/>
      <c r="AQ116" s="1986"/>
      <c r="AR116" s="1986"/>
      <c r="AS116" s="1986"/>
      <c r="AT116" s="1986"/>
      <c r="AU116" s="1986"/>
      <c r="AV116" s="1986"/>
      <c r="AW116" s="1986"/>
      <c r="AX116" s="1986"/>
      <c r="AY116" s="1986"/>
      <c r="AZ116" s="1986"/>
      <c r="BA116" s="1986"/>
      <c r="BB116" s="1986"/>
      <c r="BC116" s="1986"/>
      <c r="BD116" s="1986"/>
    </row>
    <row r="117" spans="1:56" ht="33.75" customHeight="1" x14ac:dyDescent="0.25">
      <c r="A117" s="1492">
        <v>40</v>
      </c>
      <c r="B117" s="2222" t="s">
        <v>1560</v>
      </c>
      <c r="C117" s="1985" t="s">
        <v>1561</v>
      </c>
      <c r="D117" s="2233" t="s">
        <v>1331</v>
      </c>
      <c r="E117" s="1985" t="s">
        <v>1358</v>
      </c>
      <c r="F117" s="2233" t="s">
        <v>1562</v>
      </c>
      <c r="G117" s="2177">
        <v>11168</v>
      </c>
      <c r="H117" s="1031" t="s">
        <v>686</v>
      </c>
      <c r="I117" s="518" t="s">
        <v>1563</v>
      </c>
      <c r="J117" s="1060" t="s">
        <v>1564</v>
      </c>
      <c r="K117" s="1054">
        <v>41641</v>
      </c>
      <c r="L117" s="266">
        <v>76098</v>
      </c>
      <c r="M117" s="1053">
        <v>11218</v>
      </c>
      <c r="N117" s="1054">
        <v>41641</v>
      </c>
      <c r="O117" s="1054">
        <v>42004</v>
      </c>
      <c r="P117" s="1060" t="s">
        <v>1320</v>
      </c>
      <c r="Q117" s="1060"/>
      <c r="R117" s="1030"/>
      <c r="S117" s="1030"/>
      <c r="T117" s="1060" t="s">
        <v>1565</v>
      </c>
      <c r="U117" s="1357"/>
      <c r="V117" s="1054"/>
      <c r="W117" s="1030"/>
      <c r="X117" s="1060"/>
      <c r="Y117" s="1054"/>
      <c r="Z117" s="1054"/>
      <c r="AA117" s="1030"/>
      <c r="AB117" s="1030"/>
      <c r="AC117" s="266"/>
      <c r="AD117" s="1030"/>
      <c r="AE117" s="613">
        <f t="shared" ref="AE117:AE139" si="2">L117-AD117+AC117</f>
        <v>76098</v>
      </c>
      <c r="AF117" s="278"/>
      <c r="AG117" s="278">
        <v>76098</v>
      </c>
      <c r="AH117" s="613">
        <f>AF117+AG117</f>
        <v>76098</v>
      </c>
      <c r="AI117" s="339"/>
      <c r="AJ117" s="339"/>
      <c r="AK117" s="107"/>
      <c r="AL117" s="107"/>
      <c r="AM117" s="1092"/>
      <c r="AN117" s="107"/>
      <c r="AO117" s="107"/>
      <c r="AP117" s="107"/>
      <c r="AQ117" s="107"/>
      <c r="AR117" s="107"/>
      <c r="AS117" s="1030"/>
      <c r="AT117" s="1030"/>
      <c r="AU117" s="1030"/>
      <c r="AV117" s="1030"/>
      <c r="AW117" s="1030"/>
      <c r="AX117" s="1030"/>
      <c r="AY117" s="1030"/>
      <c r="AZ117" s="1030"/>
      <c r="BA117" s="1030"/>
      <c r="BB117" s="1030"/>
      <c r="BC117" s="1030"/>
      <c r="BD117" s="1030"/>
    </row>
    <row r="118" spans="1:56" ht="38.25" x14ac:dyDescent="0.25">
      <c r="A118" s="1492">
        <v>41</v>
      </c>
      <c r="B118" s="2223"/>
      <c r="C118" s="2021"/>
      <c r="D118" s="2252"/>
      <c r="E118" s="2021"/>
      <c r="F118" s="2252"/>
      <c r="G118" s="2180"/>
      <c r="H118" s="1031" t="s">
        <v>704</v>
      </c>
      <c r="I118" s="518" t="s">
        <v>1566</v>
      </c>
      <c r="J118" s="1060" t="s">
        <v>1179</v>
      </c>
      <c r="K118" s="1054">
        <v>41641</v>
      </c>
      <c r="L118" s="266">
        <v>174899.9</v>
      </c>
      <c r="M118" s="1053">
        <v>11215</v>
      </c>
      <c r="N118" s="1054">
        <v>41641</v>
      </c>
      <c r="O118" s="1054">
        <v>42004</v>
      </c>
      <c r="P118" s="1060" t="s">
        <v>1320</v>
      </c>
      <c r="Q118" s="1060"/>
      <c r="R118" s="1030"/>
      <c r="S118" s="1030"/>
      <c r="T118" s="1060" t="s">
        <v>1565</v>
      </c>
      <c r="U118" s="1357"/>
      <c r="V118" s="1054"/>
      <c r="W118" s="1030"/>
      <c r="X118" s="1060"/>
      <c r="Y118" s="1054"/>
      <c r="Z118" s="1054"/>
      <c r="AA118" s="1030"/>
      <c r="AB118" s="1030"/>
      <c r="AC118" s="266"/>
      <c r="AD118" s="1030"/>
      <c r="AE118" s="613">
        <f t="shared" si="2"/>
        <v>174899.9</v>
      </c>
      <c r="AF118" s="278"/>
      <c r="AG118" s="278">
        <v>174899.9</v>
      </c>
      <c r="AH118" s="613">
        <f t="shared" ref="AH118:AH127" si="3">SUM(AG118)</f>
        <v>174899.9</v>
      </c>
      <c r="AI118" s="339"/>
      <c r="AJ118" s="339"/>
      <c r="AK118" s="107"/>
      <c r="AL118" s="107"/>
      <c r="AM118" s="1092"/>
      <c r="AN118" s="107"/>
      <c r="AO118" s="107"/>
      <c r="AP118" s="107"/>
      <c r="AQ118" s="107"/>
      <c r="AR118" s="107"/>
      <c r="AS118" s="1030"/>
      <c r="AT118" s="1030"/>
      <c r="AU118" s="1030"/>
      <c r="AV118" s="1030"/>
      <c r="AW118" s="1030"/>
      <c r="AX118" s="1030"/>
      <c r="AY118" s="1030"/>
      <c r="AZ118" s="1030"/>
      <c r="BA118" s="1030"/>
      <c r="BB118" s="1030"/>
      <c r="BC118" s="1030"/>
      <c r="BD118" s="1030"/>
    </row>
    <row r="119" spans="1:56" ht="25.5" x14ac:dyDescent="0.25">
      <c r="A119" s="1492">
        <v>42</v>
      </c>
      <c r="B119" s="2224"/>
      <c r="C119" s="1986"/>
      <c r="D119" s="2234"/>
      <c r="E119" s="1986"/>
      <c r="F119" s="2234"/>
      <c r="G119" s="2178"/>
      <c r="H119" s="1031" t="s">
        <v>716</v>
      </c>
      <c r="I119" s="518" t="s">
        <v>1567</v>
      </c>
      <c r="J119" s="1060" t="s">
        <v>1568</v>
      </c>
      <c r="K119" s="1054">
        <v>41641</v>
      </c>
      <c r="L119" s="266">
        <v>399241.75</v>
      </c>
      <c r="M119" s="1053">
        <v>11218</v>
      </c>
      <c r="N119" s="1054">
        <v>41641</v>
      </c>
      <c r="O119" s="1054">
        <v>42004</v>
      </c>
      <c r="P119" s="1060" t="s">
        <v>1320</v>
      </c>
      <c r="Q119" s="1060"/>
      <c r="R119" s="1030"/>
      <c r="S119" s="1030"/>
      <c r="T119" s="1060" t="s">
        <v>1565</v>
      </c>
      <c r="U119" s="1357"/>
      <c r="V119" s="1054"/>
      <c r="W119" s="1030"/>
      <c r="X119" s="1060"/>
      <c r="Y119" s="1054"/>
      <c r="Z119" s="1054"/>
      <c r="AA119" s="1030"/>
      <c r="AB119" s="1030"/>
      <c r="AC119" s="266"/>
      <c r="AD119" s="1030"/>
      <c r="AE119" s="613">
        <f t="shared" si="2"/>
        <v>399241.75</v>
      </c>
      <c r="AF119" s="278"/>
      <c r="AG119" s="278">
        <v>180342.18</v>
      </c>
      <c r="AH119" s="613">
        <f t="shared" si="3"/>
        <v>180342.18</v>
      </c>
      <c r="AI119" s="339"/>
      <c r="AJ119" s="339"/>
      <c r="AK119" s="107"/>
      <c r="AL119" s="107"/>
      <c r="AM119" s="1092"/>
      <c r="AN119" s="107"/>
      <c r="AO119" s="107"/>
      <c r="AP119" s="107"/>
      <c r="AQ119" s="107"/>
      <c r="AR119" s="107"/>
      <c r="AS119" s="1030"/>
      <c r="AT119" s="1030"/>
      <c r="AU119" s="1030"/>
      <c r="AV119" s="1030"/>
      <c r="AW119" s="1030"/>
      <c r="AX119" s="1030"/>
      <c r="AY119" s="1030"/>
      <c r="AZ119" s="1030"/>
      <c r="BA119" s="1030"/>
      <c r="BB119" s="1030"/>
      <c r="BC119" s="1030"/>
      <c r="BD119" s="1030"/>
    </row>
    <row r="120" spans="1:56" s="419" customFormat="1" ht="63.75" x14ac:dyDescent="0.25">
      <c r="A120" s="2285">
        <v>43</v>
      </c>
      <c r="B120" s="2194" t="s">
        <v>1569</v>
      </c>
      <c r="C120" s="1985" t="s">
        <v>1570</v>
      </c>
      <c r="D120" s="1985" t="s">
        <v>1571</v>
      </c>
      <c r="E120" s="1985" t="s">
        <v>168</v>
      </c>
      <c r="F120" s="1985" t="s">
        <v>1572</v>
      </c>
      <c r="G120" s="2177">
        <v>11170</v>
      </c>
      <c r="H120" s="1991" t="s">
        <v>1573</v>
      </c>
      <c r="I120" s="1985" t="s">
        <v>1574</v>
      </c>
      <c r="J120" s="1985" t="s">
        <v>1435</v>
      </c>
      <c r="K120" s="1996">
        <v>41652</v>
      </c>
      <c r="L120" s="2282">
        <v>511896.68</v>
      </c>
      <c r="M120" s="1994">
        <v>11223</v>
      </c>
      <c r="N120" s="1996">
        <v>41669</v>
      </c>
      <c r="O120" s="1996">
        <f>N120+210</f>
        <v>41879</v>
      </c>
      <c r="P120" s="1985" t="s">
        <v>1575</v>
      </c>
      <c r="Q120" s="1985" t="s">
        <v>1576</v>
      </c>
      <c r="R120" s="2282">
        <v>585000</v>
      </c>
      <c r="S120" s="1985"/>
      <c r="T120" s="1985" t="s">
        <v>1577</v>
      </c>
      <c r="U120" s="1357" t="s">
        <v>867</v>
      </c>
      <c r="V120" s="1054">
        <v>41877</v>
      </c>
      <c r="W120" s="1053">
        <v>11393</v>
      </c>
      <c r="X120" s="1060" t="s">
        <v>1578</v>
      </c>
      <c r="Y120" s="1054">
        <v>41879</v>
      </c>
      <c r="Z120" s="1054">
        <v>42088</v>
      </c>
      <c r="AA120" s="1030"/>
      <c r="AB120" s="1030"/>
      <c r="AC120" s="266"/>
      <c r="AD120" s="1030"/>
      <c r="AE120" s="2282">
        <f>L120-AD120+AC120-AD121+AC121</f>
        <v>447536.13</v>
      </c>
      <c r="AF120" s="2282"/>
      <c r="AG120" s="2282">
        <v>207340.07</v>
      </c>
      <c r="AH120" s="2282">
        <f t="shared" si="3"/>
        <v>207340.07</v>
      </c>
      <c r="AI120" s="339"/>
      <c r="AJ120" s="339"/>
      <c r="AK120" s="107"/>
      <c r="AL120" s="107"/>
      <c r="AM120" s="1092"/>
      <c r="AN120" s="107"/>
      <c r="AO120" s="107"/>
      <c r="AP120" s="107"/>
      <c r="AQ120" s="107"/>
      <c r="AR120" s="107"/>
      <c r="AS120" s="1985" t="s">
        <v>1323</v>
      </c>
      <c r="AT120" s="2163" t="s">
        <v>1457</v>
      </c>
      <c r="AU120" s="1054">
        <v>41669</v>
      </c>
      <c r="AV120" s="1054">
        <f>AU120+180</f>
        <v>41849</v>
      </c>
      <c r="AW120" s="1030"/>
      <c r="AX120" s="1030"/>
      <c r="AY120" s="1996">
        <v>41669</v>
      </c>
      <c r="AZ120" s="1030"/>
      <c r="BA120" s="1030"/>
      <c r="BB120" s="1054">
        <v>41684</v>
      </c>
      <c r="BC120" s="1054">
        <v>41897</v>
      </c>
      <c r="BD120" s="1030"/>
    </row>
    <row r="121" spans="1:56" s="419" customFormat="1" ht="63.75" x14ac:dyDescent="0.25">
      <c r="A121" s="2291"/>
      <c r="B121" s="2195"/>
      <c r="C121" s="2021"/>
      <c r="D121" s="2021"/>
      <c r="E121" s="2021"/>
      <c r="F121" s="2021"/>
      <c r="G121" s="2180"/>
      <c r="H121" s="2176"/>
      <c r="I121" s="2021"/>
      <c r="J121" s="2021"/>
      <c r="K121" s="2033"/>
      <c r="L121" s="2290"/>
      <c r="M121" s="2197"/>
      <c r="N121" s="2033"/>
      <c r="O121" s="2033"/>
      <c r="P121" s="2021"/>
      <c r="Q121" s="2021"/>
      <c r="R121" s="2290"/>
      <c r="S121" s="2021"/>
      <c r="T121" s="2021"/>
      <c r="U121" s="1357" t="s">
        <v>871</v>
      </c>
      <c r="V121" s="1054">
        <v>41946</v>
      </c>
      <c r="W121" s="1053">
        <v>11435</v>
      </c>
      <c r="X121" s="1060" t="s">
        <v>1579</v>
      </c>
      <c r="Y121" s="1054"/>
      <c r="Z121" s="1054"/>
      <c r="AA121" s="1030"/>
      <c r="AB121" s="1030">
        <v>14.381080000000001</v>
      </c>
      <c r="AC121" s="266"/>
      <c r="AD121" s="278">
        <v>64360.55</v>
      </c>
      <c r="AE121" s="2290"/>
      <c r="AF121" s="2290"/>
      <c r="AG121" s="2290"/>
      <c r="AH121" s="2290"/>
      <c r="AI121" s="339"/>
      <c r="AJ121" s="339"/>
      <c r="AK121" s="107"/>
      <c r="AL121" s="107"/>
      <c r="AM121" s="1092"/>
      <c r="AN121" s="107"/>
      <c r="AO121" s="107"/>
      <c r="AP121" s="107"/>
      <c r="AQ121" s="107"/>
      <c r="AR121" s="107"/>
      <c r="AS121" s="2021"/>
      <c r="AT121" s="2175"/>
      <c r="AU121" s="1054"/>
      <c r="AV121" s="1054"/>
      <c r="AW121" s="1030"/>
      <c r="AX121" s="1030"/>
      <c r="AY121" s="2033"/>
      <c r="AZ121" s="1030"/>
      <c r="BA121" s="1030"/>
      <c r="BB121" s="1054"/>
      <c r="BC121" s="1054"/>
      <c r="BD121" s="1030"/>
    </row>
    <row r="122" spans="1:56" s="419" customFormat="1" ht="114.75" x14ac:dyDescent="0.25">
      <c r="A122" s="2286"/>
      <c r="B122" s="2196"/>
      <c r="C122" s="1986"/>
      <c r="D122" s="1986"/>
      <c r="E122" s="1986"/>
      <c r="F122" s="1986"/>
      <c r="G122" s="2178"/>
      <c r="H122" s="1992"/>
      <c r="I122" s="1986"/>
      <c r="J122" s="1986"/>
      <c r="K122" s="1997"/>
      <c r="L122" s="2283"/>
      <c r="M122" s="1995"/>
      <c r="N122" s="1997"/>
      <c r="O122" s="1997"/>
      <c r="P122" s="1986"/>
      <c r="Q122" s="1986"/>
      <c r="R122" s="2283"/>
      <c r="S122" s="1986"/>
      <c r="T122" s="1986"/>
      <c r="U122" s="1357" t="s">
        <v>874</v>
      </c>
      <c r="V122" s="1054">
        <v>41963</v>
      </c>
      <c r="W122" s="1053">
        <v>11442</v>
      </c>
      <c r="X122" s="1060" t="s">
        <v>1580</v>
      </c>
      <c r="Y122" s="1054"/>
      <c r="Z122" s="1054"/>
      <c r="AA122" s="1030"/>
      <c r="AB122" s="1030"/>
      <c r="AC122" s="266"/>
      <c r="AD122" s="278"/>
      <c r="AE122" s="2283"/>
      <c r="AF122" s="2283"/>
      <c r="AG122" s="2283"/>
      <c r="AH122" s="2283"/>
      <c r="AI122" s="339"/>
      <c r="AJ122" s="339"/>
      <c r="AK122" s="107"/>
      <c r="AL122" s="107"/>
      <c r="AM122" s="1092"/>
      <c r="AN122" s="107"/>
      <c r="AO122" s="107"/>
      <c r="AP122" s="107"/>
      <c r="AQ122" s="107"/>
      <c r="AR122" s="107"/>
      <c r="AS122" s="1986"/>
      <c r="AT122" s="2164"/>
      <c r="AU122" s="1054"/>
      <c r="AV122" s="1054"/>
      <c r="AW122" s="1030"/>
      <c r="AX122" s="1030"/>
      <c r="AY122" s="1997"/>
      <c r="AZ122" s="1030"/>
      <c r="BA122" s="1030"/>
      <c r="BB122" s="1054"/>
      <c r="BC122" s="1054"/>
      <c r="BD122" s="1030"/>
    </row>
    <row r="123" spans="1:56" ht="51" x14ac:dyDescent="0.25">
      <c r="A123" s="1492">
        <v>44</v>
      </c>
      <c r="B123" s="1483" t="s">
        <v>1581</v>
      </c>
      <c r="C123" s="1030" t="s">
        <v>675</v>
      </c>
      <c r="D123" s="518" t="s">
        <v>1582</v>
      </c>
      <c r="E123" s="1060" t="s">
        <v>168</v>
      </c>
      <c r="F123" s="518" t="s">
        <v>1583</v>
      </c>
      <c r="G123" s="1178">
        <v>11017</v>
      </c>
      <c r="H123" s="1031" t="s">
        <v>381</v>
      </c>
      <c r="I123" s="518" t="s">
        <v>1584</v>
      </c>
      <c r="J123" s="1060" t="s">
        <v>1585</v>
      </c>
      <c r="K123" s="1054">
        <v>41646</v>
      </c>
      <c r="L123" s="266">
        <v>58800</v>
      </c>
      <c r="M123" s="1053">
        <v>11219</v>
      </c>
      <c r="N123" s="1054">
        <v>41646</v>
      </c>
      <c r="O123" s="1054">
        <v>42004</v>
      </c>
      <c r="P123" s="1060" t="s">
        <v>1320</v>
      </c>
      <c r="Q123" s="1060"/>
      <c r="R123" s="1030"/>
      <c r="S123" s="1030"/>
      <c r="T123" s="1060" t="s">
        <v>678</v>
      </c>
      <c r="U123" s="1357"/>
      <c r="V123" s="1054"/>
      <c r="W123" s="1030"/>
      <c r="X123" s="1060"/>
      <c r="Y123" s="1054"/>
      <c r="Z123" s="1054"/>
      <c r="AA123" s="1030"/>
      <c r="AB123" s="1030"/>
      <c r="AC123" s="266"/>
      <c r="AD123" s="1030"/>
      <c r="AE123" s="613">
        <f t="shared" si="2"/>
        <v>58800</v>
      </c>
      <c r="AF123" s="278"/>
      <c r="AG123" s="278">
        <v>58800</v>
      </c>
      <c r="AH123" s="613">
        <f t="shared" si="3"/>
        <v>58800</v>
      </c>
      <c r="AI123" s="339" t="s">
        <v>1586</v>
      </c>
      <c r="AJ123" s="339">
        <v>11057</v>
      </c>
      <c r="AK123" s="107" t="s">
        <v>1587</v>
      </c>
      <c r="AL123" s="107"/>
      <c r="AM123" s="1092"/>
      <c r="AN123" s="107"/>
      <c r="AO123" s="107"/>
      <c r="AP123" s="107"/>
      <c r="AQ123" s="107"/>
      <c r="AR123" s="107"/>
      <c r="AS123" s="1060"/>
      <c r="AT123" s="95"/>
      <c r="AU123" s="1030"/>
      <c r="AV123" s="1030"/>
      <c r="AW123" s="1030"/>
      <c r="AX123" s="1030"/>
      <c r="AY123" s="1030"/>
      <c r="AZ123" s="1030"/>
      <c r="BA123" s="1030"/>
      <c r="BB123" s="1030"/>
      <c r="BC123" s="1030"/>
      <c r="BD123" s="1030"/>
    </row>
    <row r="124" spans="1:56" ht="45" customHeight="1" x14ac:dyDescent="0.25">
      <c r="A124" s="2285">
        <v>45</v>
      </c>
      <c r="B124" s="2194" t="s">
        <v>1588</v>
      </c>
      <c r="C124" s="1985" t="s">
        <v>1057</v>
      </c>
      <c r="D124" s="1985" t="s">
        <v>1331</v>
      </c>
      <c r="E124" s="1985" t="s">
        <v>1358</v>
      </c>
      <c r="F124" s="1985" t="s">
        <v>1589</v>
      </c>
      <c r="G124" s="2177">
        <v>11063</v>
      </c>
      <c r="H124" s="1991" t="s">
        <v>680</v>
      </c>
      <c r="I124" s="1985" t="s">
        <v>1590</v>
      </c>
      <c r="J124" s="1985" t="s">
        <v>639</v>
      </c>
      <c r="K124" s="1996">
        <v>41641</v>
      </c>
      <c r="L124" s="2282">
        <v>23040</v>
      </c>
      <c r="M124" s="1994">
        <v>11220</v>
      </c>
      <c r="N124" s="1996">
        <v>41641</v>
      </c>
      <c r="O124" s="1996">
        <v>42004</v>
      </c>
      <c r="P124" s="1985" t="s">
        <v>1320</v>
      </c>
      <c r="Q124" s="1985"/>
      <c r="R124" s="1985"/>
      <c r="S124" s="1985"/>
      <c r="T124" s="1985" t="s">
        <v>685</v>
      </c>
      <c r="U124" s="1357" t="s">
        <v>867</v>
      </c>
      <c r="V124" s="1054">
        <v>41718</v>
      </c>
      <c r="W124" s="1030">
        <v>11286</v>
      </c>
      <c r="X124" s="1060" t="s">
        <v>1591</v>
      </c>
      <c r="Y124" s="1054">
        <v>41718</v>
      </c>
      <c r="Z124" s="1054"/>
      <c r="AA124" s="1030">
        <f>AC124/L124*100</f>
        <v>19.444444444444446</v>
      </c>
      <c r="AB124" s="1030"/>
      <c r="AC124" s="266">
        <v>4480</v>
      </c>
      <c r="AD124" s="1030"/>
      <c r="AE124" s="2282">
        <f>L124-AD124+AC124-AD125+AC125</f>
        <v>41920</v>
      </c>
      <c r="AF124" s="2282"/>
      <c r="AG124" s="2282">
        <v>22320</v>
      </c>
      <c r="AH124" s="2282">
        <f t="shared" si="3"/>
        <v>22320</v>
      </c>
      <c r="AI124" s="2011"/>
      <c r="AJ124" s="2011"/>
      <c r="AK124" s="2011"/>
      <c r="AL124" s="2011"/>
      <c r="AM124" s="2011"/>
      <c r="AN124" s="2011"/>
      <c r="AO124" s="2011"/>
      <c r="AP124" s="2011"/>
      <c r="AQ124" s="2011"/>
      <c r="AR124" s="2011"/>
      <c r="AS124" s="2011"/>
      <c r="AT124" s="2011"/>
      <c r="AU124" s="2011"/>
      <c r="AV124" s="2011"/>
      <c r="AW124" s="2011"/>
      <c r="AX124" s="2011"/>
      <c r="AY124" s="2011"/>
      <c r="AZ124" s="2011"/>
      <c r="BA124" s="2011"/>
      <c r="BB124" s="2011"/>
      <c r="BC124" s="2011"/>
      <c r="BD124" s="2011"/>
    </row>
    <row r="125" spans="1:56" ht="25.5" x14ac:dyDescent="0.25">
      <c r="A125" s="2286"/>
      <c r="B125" s="2196"/>
      <c r="C125" s="1986"/>
      <c r="D125" s="1986"/>
      <c r="E125" s="1986"/>
      <c r="F125" s="1986"/>
      <c r="G125" s="2178"/>
      <c r="H125" s="1992"/>
      <c r="I125" s="1986"/>
      <c r="J125" s="1986"/>
      <c r="K125" s="1997"/>
      <c r="L125" s="2283"/>
      <c r="M125" s="1995"/>
      <c r="N125" s="1997"/>
      <c r="O125" s="1997"/>
      <c r="P125" s="1986"/>
      <c r="Q125" s="1986"/>
      <c r="R125" s="1986"/>
      <c r="S125" s="1986"/>
      <c r="T125" s="1986"/>
      <c r="U125" s="1357" t="s">
        <v>871</v>
      </c>
      <c r="V125" s="1054">
        <v>42004</v>
      </c>
      <c r="W125" s="1053">
        <v>11472</v>
      </c>
      <c r="X125" s="1060" t="s">
        <v>1592</v>
      </c>
      <c r="Y125" s="1054">
        <v>42004</v>
      </c>
      <c r="Z125" s="1054">
        <v>42185</v>
      </c>
      <c r="AA125" s="1030"/>
      <c r="AB125" s="1030"/>
      <c r="AC125" s="266">
        <v>14400</v>
      </c>
      <c r="AD125" s="1030"/>
      <c r="AE125" s="2283"/>
      <c r="AF125" s="2283"/>
      <c r="AG125" s="2283"/>
      <c r="AH125" s="2283"/>
      <c r="AI125" s="2012"/>
      <c r="AJ125" s="2012"/>
      <c r="AK125" s="2012"/>
      <c r="AL125" s="2012"/>
      <c r="AM125" s="2012"/>
      <c r="AN125" s="2012"/>
      <c r="AO125" s="2012"/>
      <c r="AP125" s="2012"/>
      <c r="AQ125" s="2012"/>
      <c r="AR125" s="2012"/>
      <c r="AS125" s="2012"/>
      <c r="AT125" s="2012"/>
      <c r="AU125" s="2012"/>
      <c r="AV125" s="2012"/>
      <c r="AW125" s="2012"/>
      <c r="AX125" s="2012"/>
      <c r="AY125" s="2012"/>
      <c r="AZ125" s="2012"/>
      <c r="BA125" s="2012"/>
      <c r="BB125" s="2012"/>
      <c r="BC125" s="2012"/>
      <c r="BD125" s="2012"/>
    </row>
    <row r="126" spans="1:56" ht="25.5" x14ac:dyDescent="0.25">
      <c r="A126" s="1492">
        <v>46</v>
      </c>
      <c r="B126" s="2297" t="s">
        <v>1593</v>
      </c>
      <c r="C126" s="2298" t="s">
        <v>1019</v>
      </c>
      <c r="D126" s="2299" t="s">
        <v>1548</v>
      </c>
      <c r="E126" s="2298" t="s">
        <v>1358</v>
      </c>
      <c r="F126" s="2299" t="s">
        <v>1594</v>
      </c>
      <c r="G126" s="2300">
        <v>10967</v>
      </c>
      <c r="H126" s="71" t="s">
        <v>388</v>
      </c>
      <c r="I126" s="518" t="s">
        <v>1595</v>
      </c>
      <c r="J126" s="1060" t="s">
        <v>1596</v>
      </c>
      <c r="K126" s="1054">
        <v>41649</v>
      </c>
      <c r="L126" s="266">
        <v>167168.32000000001</v>
      </c>
      <c r="M126" s="1053">
        <v>11224</v>
      </c>
      <c r="N126" s="1054">
        <v>41649</v>
      </c>
      <c r="O126" s="1054">
        <v>42004</v>
      </c>
      <c r="P126" s="1060" t="s">
        <v>1320</v>
      </c>
      <c r="Q126" s="1060"/>
      <c r="R126" s="1030"/>
      <c r="S126" s="1030"/>
      <c r="T126" s="1060" t="s">
        <v>719</v>
      </c>
      <c r="U126" s="1357"/>
      <c r="V126" s="1054"/>
      <c r="W126" s="1030"/>
      <c r="X126" s="1060"/>
      <c r="Y126" s="1054"/>
      <c r="Z126" s="1054"/>
      <c r="AA126" s="1030"/>
      <c r="AB126" s="1030"/>
      <c r="AC126" s="266"/>
      <c r="AD126" s="1030"/>
      <c r="AE126" s="613">
        <f t="shared" si="2"/>
        <v>167168.32000000001</v>
      </c>
      <c r="AF126" s="278"/>
      <c r="AG126" s="278">
        <v>104508.13</v>
      </c>
      <c r="AH126" s="613">
        <f t="shared" si="3"/>
        <v>104508.13</v>
      </c>
      <c r="AI126" s="339"/>
      <c r="AJ126" s="339"/>
      <c r="AK126" s="107"/>
      <c r="AL126" s="107"/>
      <c r="AM126" s="1092"/>
      <c r="AN126" s="107"/>
      <c r="AO126" s="107"/>
      <c r="AP126" s="107"/>
      <c r="AQ126" s="107"/>
      <c r="AR126" s="107"/>
      <c r="AS126" s="1030"/>
      <c r="AT126" s="1030"/>
      <c r="AU126" s="1030"/>
      <c r="AV126" s="1030"/>
      <c r="AW126" s="1030"/>
      <c r="AX126" s="1030"/>
      <c r="AY126" s="1030"/>
      <c r="AZ126" s="1030"/>
      <c r="BA126" s="1030"/>
      <c r="BB126" s="1030"/>
      <c r="BC126" s="1030"/>
      <c r="BD126" s="1030"/>
    </row>
    <row r="127" spans="1:56" ht="25.5" x14ac:dyDescent="0.25">
      <c r="A127" s="1492">
        <v>47</v>
      </c>
      <c r="B127" s="2297"/>
      <c r="C127" s="2298"/>
      <c r="D127" s="2299"/>
      <c r="E127" s="2298"/>
      <c r="F127" s="2299"/>
      <c r="G127" s="2298"/>
      <c r="H127" s="71" t="s">
        <v>741</v>
      </c>
      <c r="I127" s="1378" t="s">
        <v>1597</v>
      </c>
      <c r="J127" s="1379" t="s">
        <v>1598</v>
      </c>
      <c r="K127" s="1054">
        <v>41649</v>
      </c>
      <c r="L127" s="266">
        <v>1445.88</v>
      </c>
      <c r="M127" s="1053">
        <v>11234</v>
      </c>
      <c r="N127" s="1054">
        <v>41649</v>
      </c>
      <c r="O127" s="1054">
        <v>42004</v>
      </c>
      <c r="P127" s="1060" t="s">
        <v>1320</v>
      </c>
      <c r="Q127" s="1060"/>
      <c r="R127" s="1030"/>
      <c r="S127" s="1030"/>
      <c r="T127" s="1060" t="s">
        <v>719</v>
      </c>
      <c r="U127" s="1357"/>
      <c r="V127" s="1054"/>
      <c r="W127" s="1030"/>
      <c r="X127" s="1060"/>
      <c r="Y127" s="1054"/>
      <c r="Z127" s="1054"/>
      <c r="AA127" s="1030"/>
      <c r="AB127" s="1030"/>
      <c r="AC127" s="266"/>
      <c r="AD127" s="1030"/>
      <c r="AE127" s="613">
        <f t="shared" si="2"/>
        <v>1445.88</v>
      </c>
      <c r="AF127" s="278"/>
      <c r="AG127" s="278">
        <v>1146</v>
      </c>
      <c r="AH127" s="613">
        <f t="shared" si="3"/>
        <v>1146</v>
      </c>
      <c r="AI127" s="339"/>
      <c r="AJ127" s="339"/>
      <c r="AK127" s="107"/>
      <c r="AL127" s="107"/>
      <c r="AM127" s="1092"/>
      <c r="AN127" s="107"/>
      <c r="AO127" s="107"/>
      <c r="AP127" s="107"/>
      <c r="AQ127" s="107"/>
      <c r="AR127" s="107"/>
      <c r="AS127" s="1030"/>
      <c r="AT127" s="1030"/>
      <c r="AU127" s="1030"/>
      <c r="AV127" s="1030"/>
      <c r="AW127" s="1030"/>
      <c r="AX127" s="1030"/>
      <c r="AY127" s="1030"/>
      <c r="AZ127" s="1030"/>
      <c r="BA127" s="1030"/>
      <c r="BB127" s="1030"/>
      <c r="BC127" s="1030"/>
      <c r="BD127" s="1030"/>
    </row>
    <row r="128" spans="1:56" ht="25.5" x14ac:dyDescent="0.25">
      <c r="A128" s="1492">
        <v>48</v>
      </c>
      <c r="B128" s="2297"/>
      <c r="C128" s="2298"/>
      <c r="D128" s="2299"/>
      <c r="E128" s="2298"/>
      <c r="F128" s="2299"/>
      <c r="G128" s="2298"/>
      <c r="H128" s="71" t="s">
        <v>744</v>
      </c>
      <c r="I128" s="518" t="s">
        <v>1599</v>
      </c>
      <c r="J128" s="1060" t="s">
        <v>1600</v>
      </c>
      <c r="K128" s="1054">
        <v>41649</v>
      </c>
      <c r="L128" s="266">
        <v>30677.96</v>
      </c>
      <c r="M128" s="1053">
        <v>11239</v>
      </c>
      <c r="N128" s="1054">
        <v>41649</v>
      </c>
      <c r="O128" s="1054">
        <v>42004</v>
      </c>
      <c r="P128" s="1060" t="s">
        <v>1320</v>
      </c>
      <c r="Q128" s="1060"/>
      <c r="R128" s="1030"/>
      <c r="S128" s="1030"/>
      <c r="T128" s="1060" t="s">
        <v>719</v>
      </c>
      <c r="U128" s="1357"/>
      <c r="V128" s="1054"/>
      <c r="W128" s="1030"/>
      <c r="X128" s="1060"/>
      <c r="Y128" s="1054"/>
      <c r="Z128" s="1054"/>
      <c r="AA128" s="1030"/>
      <c r="AB128" s="1030"/>
      <c r="AC128" s="266"/>
      <c r="AD128" s="1030"/>
      <c r="AE128" s="613">
        <f t="shared" si="2"/>
        <v>30677.96</v>
      </c>
      <c r="AF128" s="278"/>
      <c r="AG128" s="278">
        <v>9918.9</v>
      </c>
      <c r="AH128" s="613" t="s">
        <v>677</v>
      </c>
      <c r="AI128" s="339"/>
      <c r="AJ128" s="339"/>
      <c r="AK128" s="107"/>
      <c r="AL128" s="107"/>
      <c r="AM128" s="1092"/>
      <c r="AN128" s="107"/>
      <c r="AO128" s="107"/>
      <c r="AP128" s="107"/>
      <c r="AQ128" s="107"/>
      <c r="AR128" s="107"/>
      <c r="AS128" s="1030"/>
      <c r="AT128" s="1030"/>
      <c r="AU128" s="1030"/>
      <c r="AV128" s="1030"/>
      <c r="AW128" s="1030"/>
      <c r="AX128" s="1030"/>
      <c r="AY128" s="1030"/>
      <c r="AZ128" s="1030"/>
      <c r="BA128" s="1030"/>
      <c r="BB128" s="1030"/>
      <c r="BC128" s="1030"/>
      <c r="BD128" s="1030"/>
    </row>
    <row r="129" spans="1:56" ht="25.5" x14ac:dyDescent="0.25">
      <c r="A129" s="1492">
        <v>49</v>
      </c>
      <c r="B129" s="2297"/>
      <c r="C129" s="2298"/>
      <c r="D129" s="2299"/>
      <c r="E129" s="2298"/>
      <c r="F129" s="2299"/>
      <c r="G129" s="2298"/>
      <c r="H129" s="71" t="s">
        <v>747</v>
      </c>
      <c r="I129" s="1378" t="s">
        <v>1601</v>
      </c>
      <c r="J129" s="1060" t="s">
        <v>1602</v>
      </c>
      <c r="K129" s="1054">
        <v>41649</v>
      </c>
      <c r="L129" s="266">
        <v>42803.040000000001</v>
      </c>
      <c r="M129" s="1053">
        <v>11224</v>
      </c>
      <c r="N129" s="1054">
        <v>41649</v>
      </c>
      <c r="O129" s="1054">
        <v>42004</v>
      </c>
      <c r="P129" s="1060" t="s">
        <v>1320</v>
      </c>
      <c r="Q129" s="1060"/>
      <c r="R129" s="1030"/>
      <c r="S129" s="1030"/>
      <c r="T129" s="1060" t="s">
        <v>719</v>
      </c>
      <c r="U129" s="1357"/>
      <c r="V129" s="1054"/>
      <c r="W129" s="1030"/>
      <c r="X129" s="1060"/>
      <c r="Y129" s="1054"/>
      <c r="Z129" s="1054"/>
      <c r="AA129" s="1030"/>
      <c r="AB129" s="1030"/>
      <c r="AC129" s="266"/>
      <c r="AD129" s="1030"/>
      <c r="AE129" s="613">
        <f t="shared" si="2"/>
        <v>42803.040000000001</v>
      </c>
      <c r="AF129" s="278"/>
      <c r="AG129" s="278">
        <v>42601.3</v>
      </c>
      <c r="AH129" s="613">
        <f>AF129+AG129</f>
        <v>42601.3</v>
      </c>
      <c r="AI129" s="339"/>
      <c r="AJ129" s="339"/>
      <c r="AK129" s="107"/>
      <c r="AL129" s="107"/>
      <c r="AM129" s="1092"/>
      <c r="AN129" s="107"/>
      <c r="AO129" s="107"/>
      <c r="AP129" s="107"/>
      <c r="AQ129" s="107"/>
      <c r="AR129" s="107"/>
      <c r="AS129" s="1030"/>
      <c r="AT129" s="1030"/>
      <c r="AU129" s="1030"/>
      <c r="AV129" s="1030"/>
      <c r="AW129" s="1030"/>
      <c r="AX129" s="1030"/>
      <c r="AY129" s="1030"/>
      <c r="AZ129" s="1030"/>
      <c r="BA129" s="1030"/>
      <c r="BB129" s="1030"/>
      <c r="BC129" s="1030"/>
      <c r="BD129" s="1030"/>
    </row>
    <row r="130" spans="1:56" ht="63.75" x14ac:dyDescent="0.25">
      <c r="A130" s="1492">
        <v>50</v>
      </c>
      <c r="B130" s="2297"/>
      <c r="C130" s="2298"/>
      <c r="D130" s="2299"/>
      <c r="E130" s="2298"/>
      <c r="F130" s="2299"/>
      <c r="G130" s="2298"/>
      <c r="H130" s="71" t="s">
        <v>750</v>
      </c>
      <c r="I130" s="1378" t="s">
        <v>1603</v>
      </c>
      <c r="J130" s="1379" t="s">
        <v>1604</v>
      </c>
      <c r="K130" s="1054">
        <v>41649</v>
      </c>
      <c r="L130" s="266">
        <v>125425.28</v>
      </c>
      <c r="M130" s="1053">
        <v>11230</v>
      </c>
      <c r="N130" s="1054">
        <v>41649</v>
      </c>
      <c r="O130" s="1054">
        <v>42004</v>
      </c>
      <c r="P130" s="1060" t="s">
        <v>1320</v>
      </c>
      <c r="Q130" s="1060"/>
      <c r="R130" s="1030"/>
      <c r="S130" s="1030"/>
      <c r="T130" s="1060" t="s">
        <v>719</v>
      </c>
      <c r="U130" s="1357"/>
      <c r="V130" s="1054"/>
      <c r="W130" s="1030"/>
      <c r="X130" s="1060"/>
      <c r="Y130" s="1054"/>
      <c r="Z130" s="1054"/>
      <c r="AA130" s="1030"/>
      <c r="AB130" s="1030"/>
      <c r="AC130" s="266"/>
      <c r="AD130" s="1030"/>
      <c r="AE130" s="613">
        <f t="shared" si="2"/>
        <v>125425.28</v>
      </c>
      <c r="AF130" s="278"/>
      <c r="AG130" s="278">
        <v>103145.68</v>
      </c>
      <c r="AH130" s="613">
        <f t="shared" ref="AH130:AH139" si="4">AF130+AG130</f>
        <v>103145.68</v>
      </c>
      <c r="AI130" s="339"/>
      <c r="AJ130" s="339"/>
      <c r="AK130" s="107"/>
      <c r="AL130" s="107"/>
      <c r="AM130" s="1092"/>
      <c r="AN130" s="107"/>
      <c r="AO130" s="107"/>
      <c r="AP130" s="107"/>
      <c r="AQ130" s="107"/>
      <c r="AR130" s="107"/>
      <c r="AS130" s="1030"/>
      <c r="AT130" s="1030"/>
      <c r="AU130" s="1030"/>
      <c r="AV130" s="1030"/>
      <c r="AW130" s="1030"/>
      <c r="AX130" s="1030"/>
      <c r="AY130" s="1030"/>
      <c r="AZ130" s="1030"/>
      <c r="BA130" s="1030"/>
      <c r="BB130" s="1030"/>
      <c r="BC130" s="1030"/>
      <c r="BD130" s="1030"/>
    </row>
    <row r="131" spans="1:56" ht="25.5" x14ac:dyDescent="0.25">
      <c r="A131" s="1492">
        <v>41</v>
      </c>
      <c r="B131" s="2297"/>
      <c r="C131" s="2298"/>
      <c r="D131" s="2299"/>
      <c r="E131" s="2298"/>
      <c r="F131" s="2299"/>
      <c r="G131" s="2298"/>
      <c r="H131" s="71" t="s">
        <v>757</v>
      </c>
      <c r="I131" s="1378" t="s">
        <v>1605</v>
      </c>
      <c r="J131" s="1060" t="s">
        <v>1606</v>
      </c>
      <c r="K131" s="1054">
        <v>41649</v>
      </c>
      <c r="L131" s="266">
        <v>76676.639999999999</v>
      </c>
      <c r="M131" s="1053">
        <v>11229</v>
      </c>
      <c r="N131" s="1054">
        <v>41649</v>
      </c>
      <c r="O131" s="1054">
        <v>42004</v>
      </c>
      <c r="P131" s="1060" t="s">
        <v>1320</v>
      </c>
      <c r="Q131" s="1060"/>
      <c r="R131" s="1030"/>
      <c r="S131" s="1030"/>
      <c r="T131" s="1060" t="s">
        <v>719</v>
      </c>
      <c r="U131" s="1357"/>
      <c r="V131" s="1054"/>
      <c r="W131" s="1030"/>
      <c r="X131" s="1060"/>
      <c r="Y131" s="1054"/>
      <c r="Z131" s="1054"/>
      <c r="AA131" s="1030"/>
      <c r="AB131" s="1030"/>
      <c r="AC131" s="266"/>
      <c r="AD131" s="1030"/>
      <c r="AE131" s="613">
        <f t="shared" si="2"/>
        <v>76676.639999999999</v>
      </c>
      <c r="AF131" s="278"/>
      <c r="AG131" s="278">
        <v>49739.88</v>
      </c>
      <c r="AH131" s="613">
        <f t="shared" si="4"/>
        <v>49739.88</v>
      </c>
      <c r="AI131" s="339"/>
      <c r="AJ131" s="339"/>
      <c r="AK131" s="107"/>
      <c r="AL131" s="107"/>
      <c r="AM131" s="1092"/>
      <c r="AN131" s="107"/>
      <c r="AO131" s="107"/>
      <c r="AP131" s="107"/>
      <c r="AQ131" s="107"/>
      <c r="AR131" s="107"/>
      <c r="AS131" s="1030"/>
      <c r="AT131" s="1030"/>
      <c r="AU131" s="1030"/>
      <c r="AV131" s="1030"/>
      <c r="AW131" s="1030"/>
      <c r="AX131" s="1030"/>
      <c r="AY131" s="1030"/>
      <c r="AZ131" s="1030"/>
      <c r="BA131" s="1030"/>
      <c r="BB131" s="1030"/>
      <c r="BC131" s="1030"/>
      <c r="BD131" s="1030"/>
    </row>
    <row r="132" spans="1:56" ht="25.5" x14ac:dyDescent="0.25">
      <c r="A132" s="1492">
        <v>52</v>
      </c>
      <c r="B132" s="2223" t="s">
        <v>1607</v>
      </c>
      <c r="C132" s="2021" t="s">
        <v>1608</v>
      </c>
      <c r="D132" s="2274" t="s">
        <v>1548</v>
      </c>
      <c r="E132" s="2021" t="s">
        <v>1358</v>
      </c>
      <c r="F132" s="2252" t="s">
        <v>1609</v>
      </c>
      <c r="G132" s="2180">
        <v>11034</v>
      </c>
      <c r="H132" s="1031" t="s">
        <v>765</v>
      </c>
      <c r="I132" s="518" t="s">
        <v>1610</v>
      </c>
      <c r="J132" s="1060" t="s">
        <v>1611</v>
      </c>
      <c r="K132" s="1054">
        <v>41652</v>
      </c>
      <c r="L132" s="266">
        <v>1906827.5</v>
      </c>
      <c r="M132" s="1053">
        <v>11224</v>
      </c>
      <c r="N132" s="1054">
        <v>41652</v>
      </c>
      <c r="O132" s="1054">
        <v>42004</v>
      </c>
      <c r="P132" s="1060" t="s">
        <v>1320</v>
      </c>
      <c r="Q132" s="1060"/>
      <c r="R132" s="1030"/>
      <c r="S132" s="1030"/>
      <c r="T132" s="1060" t="s">
        <v>1612</v>
      </c>
      <c r="U132" s="1357" t="s">
        <v>867</v>
      </c>
      <c r="V132" s="1054">
        <v>41838</v>
      </c>
      <c r="W132" s="1053">
        <v>11356</v>
      </c>
      <c r="X132" s="1060" t="s">
        <v>1613</v>
      </c>
      <c r="Y132" s="1054"/>
      <c r="Z132" s="1054"/>
      <c r="AA132" s="1030">
        <f>AC132/L132*100</f>
        <v>1.3530327205790771</v>
      </c>
      <c r="AB132" s="1030"/>
      <c r="AC132" s="266">
        <v>25800</v>
      </c>
      <c r="AD132" s="1030"/>
      <c r="AE132" s="613">
        <f t="shared" si="2"/>
        <v>1932627.5</v>
      </c>
      <c r="AF132" s="278"/>
      <c r="AG132" s="278">
        <v>1919770.76</v>
      </c>
      <c r="AH132" s="613">
        <f t="shared" si="4"/>
        <v>1919770.76</v>
      </c>
      <c r="AI132" s="339"/>
      <c r="AJ132" s="339"/>
      <c r="AK132" s="107"/>
      <c r="AL132" s="107"/>
      <c r="AM132" s="1092"/>
      <c r="AN132" s="107"/>
      <c r="AO132" s="107"/>
      <c r="AP132" s="107"/>
      <c r="AQ132" s="107"/>
      <c r="AR132" s="107"/>
      <c r="AS132" s="1030"/>
      <c r="AT132" s="1030"/>
      <c r="AU132" s="1030"/>
      <c r="AV132" s="1030"/>
      <c r="AW132" s="1030"/>
      <c r="AX132" s="1030"/>
      <c r="AY132" s="1030"/>
      <c r="AZ132" s="1030"/>
      <c r="BA132" s="1030"/>
      <c r="BB132" s="1030"/>
      <c r="BC132" s="1030"/>
      <c r="BD132" s="1030"/>
    </row>
    <row r="133" spans="1:56" ht="25.5" x14ac:dyDescent="0.25">
      <c r="A133" s="1492">
        <v>53</v>
      </c>
      <c r="B133" s="2223"/>
      <c r="C133" s="2021"/>
      <c r="D133" s="2274"/>
      <c r="E133" s="2021"/>
      <c r="F133" s="2252"/>
      <c r="G133" s="2180"/>
      <c r="H133" s="1031" t="s">
        <v>777</v>
      </c>
      <c r="I133" s="518" t="s">
        <v>1614</v>
      </c>
      <c r="J133" s="1060" t="s">
        <v>1615</v>
      </c>
      <c r="K133" s="1054">
        <v>41652</v>
      </c>
      <c r="L133" s="266">
        <v>59917.5</v>
      </c>
      <c r="M133" s="1053">
        <v>11224</v>
      </c>
      <c r="N133" s="1054">
        <v>41652</v>
      </c>
      <c r="O133" s="1054">
        <v>42004</v>
      </c>
      <c r="P133" s="1060" t="s">
        <v>1320</v>
      </c>
      <c r="Q133" s="1060"/>
      <c r="R133" s="1030"/>
      <c r="S133" s="1030"/>
      <c r="T133" s="1060" t="s">
        <v>1612</v>
      </c>
      <c r="U133" s="1357"/>
      <c r="V133" s="1054"/>
      <c r="W133" s="1030"/>
      <c r="X133" s="1060"/>
      <c r="Y133" s="1054"/>
      <c r="Z133" s="1054"/>
      <c r="AA133" s="1030"/>
      <c r="AB133" s="1030"/>
      <c r="AC133" s="266"/>
      <c r="AD133" s="1030"/>
      <c r="AE133" s="613">
        <f t="shared" si="2"/>
        <v>59917.5</v>
      </c>
      <c r="AF133" s="278"/>
      <c r="AG133" s="278">
        <v>50470</v>
      </c>
      <c r="AH133" s="613">
        <f t="shared" si="4"/>
        <v>50470</v>
      </c>
      <c r="AI133" s="339"/>
      <c r="AJ133" s="339"/>
      <c r="AK133" s="107"/>
      <c r="AL133" s="107"/>
      <c r="AM133" s="1092"/>
      <c r="AN133" s="107"/>
      <c r="AO133" s="107"/>
      <c r="AP133" s="107"/>
      <c r="AQ133" s="107"/>
      <c r="AR133" s="107"/>
      <c r="AS133" s="1030"/>
      <c r="AT133" s="1030"/>
      <c r="AU133" s="1030"/>
      <c r="AV133" s="1030"/>
      <c r="AW133" s="1030"/>
      <c r="AX133" s="1030"/>
      <c r="AY133" s="1030"/>
      <c r="AZ133" s="1030"/>
      <c r="BA133" s="1030"/>
      <c r="BB133" s="1030"/>
      <c r="BC133" s="1030"/>
      <c r="BD133" s="1030"/>
    </row>
    <row r="134" spans="1:56" ht="25.5" x14ac:dyDescent="0.25">
      <c r="A134" s="1492">
        <v>54</v>
      </c>
      <c r="B134" s="2223"/>
      <c r="C134" s="2021"/>
      <c r="D134" s="2274"/>
      <c r="E134" s="2021"/>
      <c r="F134" s="2252"/>
      <c r="G134" s="2180"/>
      <c r="H134" s="1031" t="s">
        <v>780</v>
      </c>
      <c r="I134" s="518" t="s">
        <v>1616</v>
      </c>
      <c r="J134" s="1060" t="s">
        <v>1617</v>
      </c>
      <c r="K134" s="1054">
        <v>41652</v>
      </c>
      <c r="L134" s="266">
        <v>54020</v>
      </c>
      <c r="M134" s="1053">
        <v>11224</v>
      </c>
      <c r="N134" s="1054">
        <v>41652</v>
      </c>
      <c r="O134" s="1054">
        <v>42004</v>
      </c>
      <c r="P134" s="1060" t="s">
        <v>1320</v>
      </c>
      <c r="Q134" s="1060"/>
      <c r="R134" s="1030"/>
      <c r="S134" s="1030"/>
      <c r="T134" s="1060" t="s">
        <v>1612</v>
      </c>
      <c r="U134" s="1357"/>
      <c r="V134" s="1054"/>
      <c r="W134" s="1030"/>
      <c r="X134" s="1060"/>
      <c r="Y134" s="1054"/>
      <c r="Z134" s="1054"/>
      <c r="AA134" s="1030"/>
      <c r="AB134" s="1030"/>
      <c r="AC134" s="266"/>
      <c r="AD134" s="1030"/>
      <c r="AE134" s="613">
        <f t="shared" si="2"/>
        <v>54020</v>
      </c>
      <c r="AF134" s="278"/>
      <c r="AG134" s="278">
        <v>36622</v>
      </c>
      <c r="AH134" s="613">
        <f t="shared" si="4"/>
        <v>36622</v>
      </c>
      <c r="AI134" s="339"/>
      <c r="AJ134" s="339"/>
      <c r="AK134" s="107"/>
      <c r="AL134" s="107"/>
      <c r="AM134" s="1092"/>
      <c r="AN134" s="107"/>
      <c r="AO134" s="107"/>
      <c r="AP134" s="107"/>
      <c r="AQ134" s="107"/>
      <c r="AR134" s="107"/>
      <c r="AS134" s="1030"/>
      <c r="AT134" s="1030"/>
      <c r="AU134" s="1030"/>
      <c r="AV134" s="1030"/>
      <c r="AW134" s="1030"/>
      <c r="AX134" s="1030"/>
      <c r="AY134" s="1030"/>
      <c r="AZ134" s="1030"/>
      <c r="BA134" s="1030"/>
      <c r="BB134" s="1030"/>
      <c r="BC134" s="1030"/>
      <c r="BD134" s="1030"/>
    </row>
    <row r="135" spans="1:56" ht="38.25" x14ac:dyDescent="0.25">
      <c r="A135" s="1492">
        <v>55</v>
      </c>
      <c r="B135" s="2223"/>
      <c r="C135" s="2021"/>
      <c r="D135" s="2274"/>
      <c r="E135" s="2021"/>
      <c r="F135" s="2252"/>
      <c r="G135" s="2180"/>
      <c r="H135" s="1031" t="s">
        <v>787</v>
      </c>
      <c r="I135" s="518" t="s">
        <v>1618</v>
      </c>
      <c r="J135" s="1060" t="s">
        <v>1619</v>
      </c>
      <c r="K135" s="1054">
        <v>41652</v>
      </c>
      <c r="L135" s="266">
        <v>1164710</v>
      </c>
      <c r="M135" s="1053">
        <v>11232</v>
      </c>
      <c r="N135" s="1054">
        <v>41652</v>
      </c>
      <c r="O135" s="1054">
        <v>42004</v>
      </c>
      <c r="P135" s="1060" t="s">
        <v>1320</v>
      </c>
      <c r="Q135" s="1060"/>
      <c r="R135" s="1030"/>
      <c r="S135" s="1030"/>
      <c r="T135" s="1060" t="s">
        <v>1612</v>
      </c>
      <c r="U135" s="1357"/>
      <c r="V135" s="1054"/>
      <c r="W135" s="1030"/>
      <c r="X135" s="1060"/>
      <c r="Y135" s="1054"/>
      <c r="Z135" s="1054"/>
      <c r="AA135" s="1030"/>
      <c r="AB135" s="1030"/>
      <c r="AC135" s="266"/>
      <c r="AD135" s="1030"/>
      <c r="AE135" s="613">
        <f t="shared" si="2"/>
        <v>1164710</v>
      </c>
      <c r="AF135" s="278"/>
      <c r="AG135" s="278">
        <v>1053255.6599999999</v>
      </c>
      <c r="AH135" s="613">
        <f t="shared" si="4"/>
        <v>1053255.6599999999</v>
      </c>
      <c r="AI135" s="339"/>
      <c r="AJ135" s="339"/>
      <c r="AK135" s="107"/>
      <c r="AL135" s="107"/>
      <c r="AM135" s="1092"/>
      <c r="AN135" s="107"/>
      <c r="AO135" s="107"/>
      <c r="AP135" s="107"/>
      <c r="AQ135" s="107"/>
      <c r="AR135" s="107"/>
      <c r="AS135" s="1030"/>
      <c r="AT135" s="1030"/>
      <c r="AU135" s="1030"/>
      <c r="AV135" s="1030"/>
      <c r="AW135" s="1030"/>
      <c r="AX135" s="1030"/>
      <c r="AY135" s="1030"/>
      <c r="AZ135" s="1030"/>
      <c r="BA135" s="1030"/>
      <c r="BB135" s="1030"/>
      <c r="BC135" s="1030"/>
      <c r="BD135" s="1030"/>
    </row>
    <row r="136" spans="1:56" ht="25.5" x14ac:dyDescent="0.25">
      <c r="A136" s="1492">
        <v>56</v>
      </c>
      <c r="B136" s="2223"/>
      <c r="C136" s="2021"/>
      <c r="D136" s="2274"/>
      <c r="E136" s="2021"/>
      <c r="F136" s="2252"/>
      <c r="G136" s="2180"/>
      <c r="H136" s="1031" t="s">
        <v>792</v>
      </c>
      <c r="I136" s="518" t="s">
        <v>1599</v>
      </c>
      <c r="J136" s="1060" t="s">
        <v>1620</v>
      </c>
      <c r="K136" s="1054">
        <v>41652</v>
      </c>
      <c r="L136" s="266">
        <v>356525</v>
      </c>
      <c r="M136" s="1053">
        <v>11239</v>
      </c>
      <c r="N136" s="1054">
        <v>41652</v>
      </c>
      <c r="O136" s="1054">
        <v>42004</v>
      </c>
      <c r="P136" s="1060" t="s">
        <v>1320</v>
      </c>
      <c r="Q136" s="1060"/>
      <c r="R136" s="1030"/>
      <c r="S136" s="1030"/>
      <c r="T136" s="1060" t="s">
        <v>1612</v>
      </c>
      <c r="U136" s="1357" t="s">
        <v>867</v>
      </c>
      <c r="V136" s="1054">
        <v>41848</v>
      </c>
      <c r="W136" s="1053">
        <v>11399</v>
      </c>
      <c r="X136" s="1060" t="s">
        <v>1613</v>
      </c>
      <c r="Y136" s="1054"/>
      <c r="Z136" s="1054"/>
      <c r="AA136" s="1057">
        <f>AC136/L136*100</f>
        <v>4.6280064511605072</v>
      </c>
      <c r="AB136" s="1030"/>
      <c r="AC136" s="266">
        <v>16500</v>
      </c>
      <c r="AD136" s="1030"/>
      <c r="AE136" s="613">
        <f t="shared" si="2"/>
        <v>373025</v>
      </c>
      <c r="AF136" s="278"/>
      <c r="AG136" s="278">
        <v>253260</v>
      </c>
      <c r="AH136" s="613">
        <f t="shared" si="4"/>
        <v>253260</v>
      </c>
      <c r="AI136" s="339"/>
      <c r="AJ136" s="339"/>
      <c r="AK136" s="107"/>
      <c r="AL136" s="107"/>
      <c r="AM136" s="1092"/>
      <c r="AN136" s="107"/>
      <c r="AO136" s="107"/>
      <c r="AP136" s="107"/>
      <c r="AQ136" s="107"/>
      <c r="AR136" s="107"/>
      <c r="AS136" s="1030"/>
      <c r="AT136" s="1030"/>
      <c r="AU136" s="1030"/>
      <c r="AV136" s="1030"/>
      <c r="AW136" s="1030"/>
      <c r="AX136" s="1030"/>
      <c r="AY136" s="1030"/>
      <c r="AZ136" s="1030"/>
      <c r="BA136" s="1030"/>
      <c r="BB136" s="1030"/>
      <c r="BC136" s="1030"/>
      <c r="BD136" s="1030"/>
    </row>
    <row r="137" spans="1:56" ht="25.5" x14ac:dyDescent="0.25">
      <c r="A137" s="1492">
        <v>57</v>
      </c>
      <c r="B137" s="2223"/>
      <c r="C137" s="2021"/>
      <c r="D137" s="2274"/>
      <c r="E137" s="2021"/>
      <c r="F137" s="2252"/>
      <c r="G137" s="2180"/>
      <c r="H137" s="1031" t="s">
        <v>795</v>
      </c>
      <c r="I137" s="518" t="s">
        <v>1621</v>
      </c>
      <c r="J137" s="1060" t="s">
        <v>1622</v>
      </c>
      <c r="K137" s="1054">
        <v>41652</v>
      </c>
      <c r="L137" s="266">
        <v>318820</v>
      </c>
      <c r="M137" s="1053">
        <v>11236</v>
      </c>
      <c r="N137" s="1054">
        <v>41652</v>
      </c>
      <c r="O137" s="1054">
        <v>42004</v>
      </c>
      <c r="P137" s="1060" t="s">
        <v>1320</v>
      </c>
      <c r="Q137" s="1060"/>
      <c r="R137" s="1030"/>
      <c r="S137" s="1030"/>
      <c r="T137" s="1060" t="s">
        <v>1612</v>
      </c>
      <c r="U137" s="1357"/>
      <c r="V137" s="1054"/>
      <c r="W137" s="1030"/>
      <c r="X137" s="1060"/>
      <c r="Y137" s="1054"/>
      <c r="Z137" s="1054"/>
      <c r="AA137" s="1030"/>
      <c r="AB137" s="1030"/>
      <c r="AC137" s="266"/>
      <c r="AD137" s="1030"/>
      <c r="AE137" s="613">
        <f t="shared" si="2"/>
        <v>318820</v>
      </c>
      <c r="AF137" s="278"/>
      <c r="AG137" s="278">
        <v>261791.5</v>
      </c>
      <c r="AH137" s="613">
        <f t="shared" si="4"/>
        <v>261791.5</v>
      </c>
      <c r="AI137" s="339"/>
      <c r="AJ137" s="339"/>
      <c r="AK137" s="107"/>
      <c r="AL137" s="107"/>
      <c r="AM137" s="1092"/>
      <c r="AN137" s="107"/>
      <c r="AO137" s="107"/>
      <c r="AP137" s="107"/>
      <c r="AQ137" s="107"/>
      <c r="AR137" s="107"/>
      <c r="AS137" s="1030"/>
      <c r="AT137" s="1030"/>
      <c r="AU137" s="1030"/>
      <c r="AV137" s="1030"/>
      <c r="AW137" s="1030"/>
      <c r="AX137" s="1030"/>
      <c r="AY137" s="1030"/>
      <c r="AZ137" s="1030"/>
      <c r="BA137" s="1030"/>
      <c r="BB137" s="1030"/>
      <c r="BC137" s="1030"/>
      <c r="BD137" s="1030"/>
    </row>
    <row r="138" spans="1:56" ht="38.25" x14ac:dyDescent="0.25">
      <c r="A138" s="1492">
        <v>58</v>
      </c>
      <c r="B138" s="2224"/>
      <c r="C138" s="1986"/>
      <c r="D138" s="2275"/>
      <c r="E138" s="1986"/>
      <c r="F138" s="2234"/>
      <c r="G138" s="2178"/>
      <c r="H138" s="1031" t="s">
        <v>798</v>
      </c>
      <c r="I138" s="518" t="s">
        <v>1623</v>
      </c>
      <c r="J138" s="1060" t="s">
        <v>1624</v>
      </c>
      <c r="K138" s="1054">
        <v>41652</v>
      </c>
      <c r="L138" s="266">
        <v>165800</v>
      </c>
      <c r="M138" s="1053">
        <v>11224</v>
      </c>
      <c r="N138" s="1054">
        <v>41652</v>
      </c>
      <c r="O138" s="1054">
        <v>42004</v>
      </c>
      <c r="P138" s="1060" t="s">
        <v>1320</v>
      </c>
      <c r="Q138" s="1059"/>
      <c r="R138" s="1030"/>
      <c r="S138" s="1030"/>
      <c r="T138" s="1060" t="s">
        <v>1612</v>
      </c>
      <c r="U138" s="1357"/>
      <c r="V138" s="1054"/>
      <c r="W138" s="1030"/>
      <c r="X138" s="1060"/>
      <c r="Y138" s="1054"/>
      <c r="Z138" s="1054"/>
      <c r="AA138" s="1030"/>
      <c r="AB138" s="1030"/>
      <c r="AC138" s="266"/>
      <c r="AD138" s="1030"/>
      <c r="AE138" s="613">
        <f t="shared" si="2"/>
        <v>165800</v>
      </c>
      <c r="AF138" s="278"/>
      <c r="AG138" s="278">
        <v>149600</v>
      </c>
      <c r="AH138" s="613">
        <f t="shared" si="4"/>
        <v>149600</v>
      </c>
      <c r="AI138" s="339"/>
      <c r="AJ138" s="339"/>
      <c r="AK138" s="107"/>
      <c r="AL138" s="107"/>
      <c r="AM138" s="1092"/>
      <c r="AN138" s="107"/>
      <c r="AO138" s="107"/>
      <c r="AP138" s="107"/>
      <c r="AQ138" s="107"/>
      <c r="AR138" s="107"/>
      <c r="AS138" s="1030"/>
      <c r="AT138" s="1030"/>
      <c r="AU138" s="1030"/>
      <c r="AV138" s="1030"/>
      <c r="AW138" s="1030"/>
      <c r="AX138" s="1030"/>
      <c r="AY138" s="1030"/>
      <c r="AZ138" s="1030"/>
      <c r="BA138" s="1030"/>
      <c r="BB138" s="1030"/>
      <c r="BC138" s="1030"/>
      <c r="BD138" s="1030"/>
    </row>
    <row r="139" spans="1:56" ht="63.75" x14ac:dyDescent="0.25">
      <c r="A139" s="1492">
        <v>59</v>
      </c>
      <c r="B139" s="1483" t="s">
        <v>1625</v>
      </c>
      <c r="C139" s="1030" t="s">
        <v>1626</v>
      </c>
      <c r="D139" s="1378" t="s">
        <v>1548</v>
      </c>
      <c r="E139" s="1060" t="s">
        <v>1358</v>
      </c>
      <c r="F139" s="518" t="s">
        <v>1627</v>
      </c>
      <c r="G139" s="1178">
        <v>11193</v>
      </c>
      <c r="H139" s="1031" t="s">
        <v>804</v>
      </c>
      <c r="I139" s="518" t="s">
        <v>1628</v>
      </c>
      <c r="J139" s="1060" t="s">
        <v>285</v>
      </c>
      <c r="K139" s="1054">
        <v>41652</v>
      </c>
      <c r="L139" s="266">
        <v>879900</v>
      </c>
      <c r="M139" s="1053">
        <v>11225</v>
      </c>
      <c r="N139" s="1054">
        <v>41652</v>
      </c>
      <c r="O139" s="1054">
        <v>42004</v>
      </c>
      <c r="P139" s="1060" t="s">
        <v>1320</v>
      </c>
      <c r="Q139" s="1059"/>
      <c r="R139" s="1054"/>
      <c r="S139" s="1030"/>
      <c r="T139" s="1060" t="s">
        <v>685</v>
      </c>
      <c r="U139" s="1357" t="s">
        <v>867</v>
      </c>
      <c r="V139" s="1054">
        <v>41850</v>
      </c>
      <c r="W139" s="1053">
        <v>11366</v>
      </c>
      <c r="X139" s="114" t="s">
        <v>1629</v>
      </c>
      <c r="Y139" s="1054"/>
      <c r="Z139" s="1054"/>
      <c r="AA139" s="1380">
        <f>AC139/L139*100</f>
        <v>15.615410842141152</v>
      </c>
      <c r="AB139" s="1030"/>
      <c r="AC139" s="1381">
        <v>137400</v>
      </c>
      <c r="AD139" s="1030"/>
      <c r="AE139" s="613">
        <f t="shared" si="2"/>
        <v>1017300</v>
      </c>
      <c r="AF139" s="278"/>
      <c r="AG139" s="278">
        <v>790396.66</v>
      </c>
      <c r="AH139" s="613">
        <f t="shared" si="4"/>
        <v>790396.66</v>
      </c>
      <c r="AI139" s="339"/>
      <c r="AJ139" s="339"/>
      <c r="AK139" s="107"/>
      <c r="AL139" s="107"/>
      <c r="AM139" s="1092"/>
      <c r="AN139" s="107"/>
      <c r="AO139" s="107"/>
      <c r="AP139" s="107"/>
      <c r="AQ139" s="107"/>
      <c r="AR139" s="107"/>
      <c r="AS139" s="1030"/>
      <c r="AT139" s="1030"/>
      <c r="AU139" s="1030"/>
      <c r="AV139" s="1030"/>
      <c r="AW139" s="1030"/>
      <c r="AX139" s="1030"/>
      <c r="AY139" s="1030"/>
      <c r="AZ139" s="1030"/>
      <c r="BA139" s="1030"/>
      <c r="BB139" s="1030"/>
      <c r="BC139" s="1030"/>
      <c r="BD139" s="1030"/>
    </row>
    <row r="140" spans="1:56" x14ac:dyDescent="0.25">
      <c r="A140" s="2285">
        <v>60</v>
      </c>
      <c r="B140" s="2222" t="s">
        <v>1630</v>
      </c>
      <c r="C140" s="1985" t="s">
        <v>1631</v>
      </c>
      <c r="D140" s="2233" t="s">
        <v>1431</v>
      </c>
      <c r="E140" s="1985" t="s">
        <v>168</v>
      </c>
      <c r="F140" s="2233" t="s">
        <v>1632</v>
      </c>
      <c r="G140" s="2177">
        <v>11173</v>
      </c>
      <c r="H140" s="1991" t="s">
        <v>807</v>
      </c>
      <c r="I140" s="2233" t="s">
        <v>1633</v>
      </c>
      <c r="J140" s="1985" t="s">
        <v>1634</v>
      </c>
      <c r="K140" s="1996">
        <v>41659</v>
      </c>
      <c r="L140" s="2282">
        <v>102747.89</v>
      </c>
      <c r="M140" s="1994">
        <v>11230</v>
      </c>
      <c r="N140" s="1996">
        <v>41681</v>
      </c>
      <c r="O140" s="1996">
        <v>41741</v>
      </c>
      <c r="P140" s="1985" t="s">
        <v>1635</v>
      </c>
      <c r="Q140" s="1985"/>
      <c r="R140" s="1985"/>
      <c r="S140" s="1985"/>
      <c r="T140" s="1985" t="s">
        <v>685</v>
      </c>
      <c r="U140" s="1357"/>
      <c r="V140" s="1054"/>
      <c r="W140" s="1030"/>
      <c r="X140" s="1060"/>
      <c r="Y140" s="1054"/>
      <c r="Z140" s="1054"/>
      <c r="AA140" s="1030"/>
      <c r="AB140" s="1030"/>
      <c r="AC140" s="266"/>
      <c r="AD140" s="1030"/>
      <c r="AE140" s="2282">
        <f>L140-AD140+AC140-AD141+AC141-AD142+AC142-AD143+AC143-AD144+AC144</f>
        <v>75483.12</v>
      </c>
      <c r="AF140" s="2282"/>
      <c r="AG140" s="2210">
        <v>75483.12</v>
      </c>
      <c r="AH140" s="2282">
        <f>AF140+AG140</f>
        <v>75483.12</v>
      </c>
      <c r="AI140" s="339"/>
      <c r="AJ140" s="339"/>
      <c r="AK140" s="107"/>
      <c r="AL140" s="107"/>
      <c r="AM140" s="1092"/>
      <c r="AN140" s="107"/>
      <c r="AO140" s="107"/>
      <c r="AP140" s="107"/>
      <c r="AQ140" s="107"/>
      <c r="AR140" s="107"/>
      <c r="AS140" s="1985" t="s">
        <v>1539</v>
      </c>
      <c r="AT140" s="2163" t="s">
        <v>1457</v>
      </c>
      <c r="AU140" s="1054">
        <v>41681</v>
      </c>
      <c r="AV140" s="1054">
        <v>41741</v>
      </c>
      <c r="AW140" s="1030"/>
      <c r="AX140" s="1030"/>
      <c r="AY140" s="1996">
        <v>41681</v>
      </c>
      <c r="AZ140" s="1985" t="s">
        <v>1458</v>
      </c>
      <c r="BA140" s="1030"/>
      <c r="BB140" s="1030"/>
      <c r="BC140" s="1030"/>
      <c r="BD140" s="1030"/>
    </row>
    <row r="141" spans="1:56" x14ac:dyDescent="0.25">
      <c r="A141" s="2291"/>
      <c r="B141" s="2223"/>
      <c r="C141" s="2021"/>
      <c r="D141" s="2252"/>
      <c r="E141" s="2021"/>
      <c r="F141" s="2252"/>
      <c r="G141" s="2180"/>
      <c r="H141" s="2176"/>
      <c r="I141" s="2252"/>
      <c r="J141" s="2021"/>
      <c r="K141" s="2033"/>
      <c r="L141" s="2290"/>
      <c r="M141" s="2197"/>
      <c r="N141" s="2033"/>
      <c r="O141" s="2033"/>
      <c r="P141" s="2021"/>
      <c r="Q141" s="2021"/>
      <c r="R141" s="2021"/>
      <c r="S141" s="2021"/>
      <c r="T141" s="2021"/>
      <c r="U141" s="1357" t="s">
        <v>867</v>
      </c>
      <c r="V141" s="1054">
        <v>41740</v>
      </c>
      <c r="W141" s="1053">
        <v>11293</v>
      </c>
      <c r="X141" s="1060" t="s">
        <v>1636</v>
      </c>
      <c r="Y141" s="1054">
        <v>41740</v>
      </c>
      <c r="Z141" s="1054">
        <v>41799</v>
      </c>
      <c r="AA141" s="1030"/>
      <c r="AB141" s="1030"/>
      <c r="AC141" s="266"/>
      <c r="AD141" s="1030"/>
      <c r="AE141" s="2290"/>
      <c r="AF141" s="2290"/>
      <c r="AG141" s="2211"/>
      <c r="AH141" s="2290"/>
      <c r="AI141" s="339"/>
      <c r="AJ141" s="339"/>
      <c r="AK141" s="107"/>
      <c r="AL141" s="107"/>
      <c r="AM141" s="1092"/>
      <c r="AN141" s="107"/>
      <c r="AO141" s="107"/>
      <c r="AP141" s="107"/>
      <c r="AQ141" s="107"/>
      <c r="AR141" s="107"/>
      <c r="AS141" s="2021"/>
      <c r="AT141" s="2175"/>
      <c r="AU141" s="1054">
        <v>41740</v>
      </c>
      <c r="AV141" s="1054">
        <v>41799</v>
      </c>
      <c r="AW141" s="1030"/>
      <c r="AX141" s="1030"/>
      <c r="AY141" s="2033"/>
      <c r="AZ141" s="2021"/>
      <c r="BA141" s="1030"/>
      <c r="BB141" s="1030"/>
      <c r="BC141" s="1030"/>
      <c r="BD141" s="1030"/>
    </row>
    <row r="142" spans="1:56" x14ac:dyDescent="0.25">
      <c r="A142" s="2291"/>
      <c r="B142" s="2223"/>
      <c r="C142" s="2021"/>
      <c r="D142" s="2252"/>
      <c r="E142" s="2021"/>
      <c r="F142" s="2252"/>
      <c r="G142" s="2180"/>
      <c r="H142" s="2176"/>
      <c r="I142" s="2252"/>
      <c r="J142" s="2021"/>
      <c r="K142" s="2033"/>
      <c r="L142" s="2290"/>
      <c r="M142" s="2197"/>
      <c r="N142" s="2033"/>
      <c r="O142" s="2033"/>
      <c r="P142" s="2021"/>
      <c r="Q142" s="2021"/>
      <c r="R142" s="2021"/>
      <c r="S142" s="2021"/>
      <c r="T142" s="2021"/>
      <c r="U142" s="1357" t="s">
        <v>871</v>
      </c>
      <c r="V142" s="1054">
        <v>41799</v>
      </c>
      <c r="W142" s="1053">
        <v>11338</v>
      </c>
      <c r="X142" s="1060" t="s">
        <v>1636</v>
      </c>
      <c r="Y142" s="1054">
        <v>41799</v>
      </c>
      <c r="Z142" s="1054">
        <v>41829</v>
      </c>
      <c r="AA142" s="1030"/>
      <c r="AB142" s="1030"/>
      <c r="AC142" s="266"/>
      <c r="AD142" s="1030"/>
      <c r="AE142" s="2290"/>
      <c r="AF142" s="2290"/>
      <c r="AG142" s="2211"/>
      <c r="AH142" s="2290"/>
      <c r="AI142" s="339"/>
      <c r="AJ142" s="339"/>
      <c r="AK142" s="107"/>
      <c r="AL142" s="107"/>
      <c r="AM142" s="1092"/>
      <c r="AN142" s="107"/>
      <c r="AO142" s="107"/>
      <c r="AP142" s="107"/>
      <c r="AQ142" s="107"/>
      <c r="AR142" s="107"/>
      <c r="AS142" s="2021"/>
      <c r="AT142" s="2175"/>
      <c r="AU142" s="1054">
        <v>41799</v>
      </c>
      <c r="AV142" s="1054">
        <v>41829</v>
      </c>
      <c r="AW142" s="1030"/>
      <c r="AX142" s="1030"/>
      <c r="AY142" s="2033"/>
      <c r="AZ142" s="2021"/>
      <c r="BA142" s="1030"/>
      <c r="BB142" s="1030"/>
      <c r="BC142" s="1030"/>
      <c r="BD142" s="1030"/>
    </row>
    <row r="143" spans="1:56" x14ac:dyDescent="0.25">
      <c r="A143" s="2291"/>
      <c r="B143" s="2223"/>
      <c r="C143" s="2021"/>
      <c r="D143" s="2252"/>
      <c r="E143" s="2021"/>
      <c r="F143" s="2252"/>
      <c r="G143" s="2180"/>
      <c r="H143" s="2176"/>
      <c r="I143" s="2252"/>
      <c r="J143" s="2021"/>
      <c r="K143" s="2033"/>
      <c r="L143" s="2290"/>
      <c r="M143" s="2197"/>
      <c r="N143" s="2033"/>
      <c r="O143" s="2033"/>
      <c r="P143" s="2021"/>
      <c r="Q143" s="2021"/>
      <c r="R143" s="2021"/>
      <c r="S143" s="2021"/>
      <c r="T143" s="2021"/>
      <c r="U143" s="1357" t="s">
        <v>874</v>
      </c>
      <c r="V143" s="1054">
        <v>41829</v>
      </c>
      <c r="W143" s="1053">
        <v>11360</v>
      </c>
      <c r="X143" s="1060" t="s">
        <v>1636</v>
      </c>
      <c r="Y143" s="1054">
        <v>41829</v>
      </c>
      <c r="Z143" s="1054">
        <v>41889</v>
      </c>
      <c r="AA143" s="1030"/>
      <c r="AB143" s="1030"/>
      <c r="AC143" s="266"/>
      <c r="AD143" s="1030"/>
      <c r="AE143" s="2290"/>
      <c r="AF143" s="2290"/>
      <c r="AG143" s="2211"/>
      <c r="AH143" s="2290"/>
      <c r="AI143" s="339"/>
      <c r="AJ143" s="339"/>
      <c r="AK143" s="107"/>
      <c r="AL143" s="107"/>
      <c r="AM143" s="1092"/>
      <c r="AN143" s="107"/>
      <c r="AO143" s="107"/>
      <c r="AP143" s="107"/>
      <c r="AQ143" s="107"/>
      <c r="AR143" s="107"/>
      <c r="AS143" s="2021"/>
      <c r="AT143" s="2175"/>
      <c r="AU143" s="1054">
        <v>41829</v>
      </c>
      <c r="AV143" s="1054">
        <v>41859</v>
      </c>
      <c r="AW143" s="1030"/>
      <c r="AX143" s="1030"/>
      <c r="AY143" s="2033"/>
      <c r="AZ143" s="2021"/>
      <c r="BA143" s="1030"/>
      <c r="BB143" s="1030"/>
      <c r="BC143" s="1030"/>
      <c r="BD143" s="1030"/>
    </row>
    <row r="144" spans="1:56" x14ac:dyDescent="0.25">
      <c r="A144" s="2286"/>
      <c r="B144" s="2224"/>
      <c r="C144" s="1986"/>
      <c r="D144" s="2234"/>
      <c r="E144" s="1986"/>
      <c r="F144" s="2234"/>
      <c r="G144" s="2178"/>
      <c r="H144" s="1992"/>
      <c r="I144" s="2234"/>
      <c r="J144" s="1986"/>
      <c r="K144" s="1997"/>
      <c r="L144" s="2283"/>
      <c r="M144" s="1995"/>
      <c r="N144" s="1997"/>
      <c r="O144" s="1997"/>
      <c r="P144" s="1986"/>
      <c r="Q144" s="1986"/>
      <c r="R144" s="1986"/>
      <c r="S144" s="1986"/>
      <c r="T144" s="1986"/>
      <c r="U144" s="1357" t="s">
        <v>876</v>
      </c>
      <c r="V144" s="1054">
        <v>41850</v>
      </c>
      <c r="W144" s="1053">
        <v>11362</v>
      </c>
      <c r="X144" s="1060" t="s">
        <v>1637</v>
      </c>
      <c r="Y144" s="1054"/>
      <c r="Z144" s="1054"/>
      <c r="AA144" s="1030"/>
      <c r="AB144" s="1380">
        <f>AD144/L140*100</f>
        <v>26.535600877059373</v>
      </c>
      <c r="AC144" s="266"/>
      <c r="AD144" s="278">
        <v>27264.77</v>
      </c>
      <c r="AE144" s="2283"/>
      <c r="AF144" s="2283"/>
      <c r="AG144" s="2212"/>
      <c r="AH144" s="2283"/>
      <c r="AI144" s="339"/>
      <c r="AJ144" s="339"/>
      <c r="AK144" s="107"/>
      <c r="AL144" s="107"/>
      <c r="AM144" s="1092"/>
      <c r="AN144" s="107"/>
      <c r="AO144" s="107"/>
      <c r="AP144" s="107"/>
      <c r="AQ144" s="107"/>
      <c r="AR144" s="107"/>
      <c r="AS144" s="1986"/>
      <c r="AT144" s="2164"/>
      <c r="AU144" s="1054"/>
      <c r="AV144" s="1054"/>
      <c r="AW144" s="1030"/>
      <c r="AX144" s="1030"/>
      <c r="AY144" s="1997"/>
      <c r="AZ144" s="1986"/>
      <c r="BA144" s="1030"/>
      <c r="BB144" s="1030"/>
      <c r="BC144" s="1030"/>
      <c r="BD144" s="1030"/>
    </row>
    <row r="145" spans="1:56" x14ac:dyDescent="0.25">
      <c r="A145" s="2285">
        <v>61</v>
      </c>
      <c r="B145" s="2222" t="s">
        <v>1638</v>
      </c>
      <c r="C145" s="1985" t="s">
        <v>1639</v>
      </c>
      <c r="D145" s="2233" t="s">
        <v>1431</v>
      </c>
      <c r="E145" s="1985" t="s">
        <v>168</v>
      </c>
      <c r="F145" s="2233" t="s">
        <v>1640</v>
      </c>
      <c r="G145" s="2177">
        <v>11173</v>
      </c>
      <c r="H145" s="1991" t="s">
        <v>810</v>
      </c>
      <c r="I145" s="2233" t="s">
        <v>1633</v>
      </c>
      <c r="J145" s="1985" t="s">
        <v>1634</v>
      </c>
      <c r="K145" s="1996">
        <v>41660</v>
      </c>
      <c r="L145" s="2282">
        <v>160890.29</v>
      </c>
      <c r="M145" s="1994">
        <v>11230</v>
      </c>
      <c r="N145" s="1996">
        <v>41681</v>
      </c>
      <c r="O145" s="1996">
        <v>41741</v>
      </c>
      <c r="P145" s="1985" t="s">
        <v>1641</v>
      </c>
      <c r="Q145" s="1985"/>
      <c r="R145" s="1985"/>
      <c r="S145" s="1985"/>
      <c r="T145" s="1985" t="s">
        <v>685</v>
      </c>
      <c r="U145" s="1060"/>
      <c r="V145" s="1060"/>
      <c r="W145" s="1030"/>
      <c r="X145" s="1060"/>
      <c r="Y145" s="1060"/>
      <c r="Z145" s="1060"/>
      <c r="AA145" s="1030"/>
      <c r="AB145" s="1030"/>
      <c r="AC145" s="266"/>
      <c r="AD145" s="1030"/>
      <c r="AE145" s="2282">
        <f>L145-AD145+AC145-AD146+AC146-AD147+AC147-AD148+AC148</f>
        <v>114061.33000000002</v>
      </c>
      <c r="AF145" s="2282"/>
      <c r="AG145" s="2296">
        <v>114061.32</v>
      </c>
      <c r="AH145" s="2282">
        <f>AF145+AG145</f>
        <v>114061.32</v>
      </c>
      <c r="AI145" s="339"/>
      <c r="AJ145" s="339"/>
      <c r="AK145" s="107"/>
      <c r="AL145" s="107"/>
      <c r="AM145" s="1092"/>
      <c r="AN145" s="107"/>
      <c r="AO145" s="107"/>
      <c r="AP145" s="107"/>
      <c r="AQ145" s="107"/>
      <c r="AR145" s="107"/>
      <c r="AS145" s="1985" t="s">
        <v>1539</v>
      </c>
      <c r="AT145" s="2163" t="s">
        <v>1457</v>
      </c>
      <c r="AU145" s="1054">
        <v>41681</v>
      </c>
      <c r="AV145" s="1054">
        <v>41741</v>
      </c>
      <c r="AW145" s="1030"/>
      <c r="AX145" s="1030"/>
      <c r="AY145" s="1996">
        <v>41681</v>
      </c>
      <c r="AZ145" s="1985" t="s">
        <v>1458</v>
      </c>
      <c r="BA145" s="1030"/>
      <c r="BB145" s="1030"/>
      <c r="BC145" s="1030"/>
      <c r="BD145" s="1030"/>
    </row>
    <row r="146" spans="1:56" x14ac:dyDescent="0.25">
      <c r="A146" s="2291"/>
      <c r="B146" s="2223"/>
      <c r="C146" s="2021"/>
      <c r="D146" s="2252"/>
      <c r="E146" s="2021"/>
      <c r="F146" s="2252"/>
      <c r="G146" s="2180"/>
      <c r="H146" s="2176"/>
      <c r="I146" s="2252"/>
      <c r="J146" s="2021"/>
      <c r="K146" s="2033"/>
      <c r="L146" s="2290"/>
      <c r="M146" s="2197"/>
      <c r="N146" s="2033"/>
      <c r="O146" s="2033"/>
      <c r="P146" s="2021"/>
      <c r="Q146" s="2021"/>
      <c r="R146" s="2021"/>
      <c r="S146" s="2021"/>
      <c r="T146" s="2021"/>
      <c r="U146" s="1357" t="s">
        <v>867</v>
      </c>
      <c r="V146" s="1054">
        <v>41740</v>
      </c>
      <c r="W146" s="1053">
        <v>11293</v>
      </c>
      <c r="X146" s="1060" t="s">
        <v>1642</v>
      </c>
      <c r="Y146" s="1054">
        <v>41740</v>
      </c>
      <c r="Z146" s="1054">
        <v>41799</v>
      </c>
      <c r="AA146" s="1030"/>
      <c r="AB146" s="1030"/>
      <c r="AC146" s="266"/>
      <c r="AD146" s="1030"/>
      <c r="AE146" s="2290"/>
      <c r="AF146" s="2290"/>
      <c r="AG146" s="2296"/>
      <c r="AH146" s="2290"/>
      <c r="AI146" s="339"/>
      <c r="AJ146" s="339"/>
      <c r="AK146" s="107"/>
      <c r="AL146" s="107"/>
      <c r="AM146" s="1092"/>
      <c r="AN146" s="107"/>
      <c r="AO146" s="107"/>
      <c r="AP146" s="107"/>
      <c r="AQ146" s="107"/>
      <c r="AR146" s="107"/>
      <c r="AS146" s="2021"/>
      <c r="AT146" s="2175"/>
      <c r="AU146" s="1054">
        <v>41740</v>
      </c>
      <c r="AV146" s="1054">
        <v>41799</v>
      </c>
      <c r="AW146" s="1030"/>
      <c r="AX146" s="1030"/>
      <c r="AY146" s="2033"/>
      <c r="AZ146" s="2021"/>
      <c r="BA146" s="1030"/>
      <c r="BB146" s="1030"/>
      <c r="BC146" s="1030"/>
      <c r="BD146" s="1030"/>
    </row>
    <row r="147" spans="1:56" x14ac:dyDescent="0.25">
      <c r="A147" s="2291"/>
      <c r="B147" s="2223"/>
      <c r="C147" s="2021"/>
      <c r="D147" s="2252"/>
      <c r="E147" s="2021"/>
      <c r="F147" s="2252"/>
      <c r="G147" s="2180"/>
      <c r="H147" s="2176"/>
      <c r="I147" s="2252"/>
      <c r="J147" s="2021"/>
      <c r="K147" s="2033"/>
      <c r="L147" s="2290"/>
      <c r="M147" s="2197"/>
      <c r="N147" s="2033"/>
      <c r="O147" s="2033"/>
      <c r="P147" s="2021"/>
      <c r="Q147" s="2021"/>
      <c r="R147" s="2021"/>
      <c r="S147" s="2021"/>
      <c r="T147" s="2021"/>
      <c r="U147" s="1357" t="s">
        <v>871</v>
      </c>
      <c r="V147" s="1054">
        <v>41799</v>
      </c>
      <c r="W147" s="1053">
        <v>11338</v>
      </c>
      <c r="X147" s="1060" t="s">
        <v>1642</v>
      </c>
      <c r="Y147" s="1054">
        <v>41799</v>
      </c>
      <c r="Z147" s="1054">
        <v>41829</v>
      </c>
      <c r="AA147" s="1030"/>
      <c r="AB147" s="1030"/>
      <c r="AC147" s="266"/>
      <c r="AD147" s="1030"/>
      <c r="AE147" s="2290"/>
      <c r="AF147" s="2290"/>
      <c r="AG147" s="2296"/>
      <c r="AH147" s="2290"/>
      <c r="AI147" s="339"/>
      <c r="AJ147" s="339"/>
      <c r="AK147" s="107"/>
      <c r="AL147" s="107"/>
      <c r="AM147" s="1092"/>
      <c r="AN147" s="107"/>
      <c r="AO147" s="107"/>
      <c r="AP147" s="107"/>
      <c r="AQ147" s="107"/>
      <c r="AR147" s="107"/>
      <c r="AS147" s="2021"/>
      <c r="AT147" s="2175"/>
      <c r="AU147" s="1054">
        <v>41799</v>
      </c>
      <c r="AV147" s="1054">
        <v>41829</v>
      </c>
      <c r="AW147" s="1030"/>
      <c r="AX147" s="1030"/>
      <c r="AY147" s="2033"/>
      <c r="AZ147" s="2021"/>
      <c r="BA147" s="1030"/>
      <c r="BB147" s="1030"/>
      <c r="BC147" s="1030"/>
      <c r="BD147" s="1030"/>
    </row>
    <row r="148" spans="1:56" x14ac:dyDescent="0.25">
      <c r="A148" s="2286"/>
      <c r="B148" s="2224"/>
      <c r="C148" s="1986"/>
      <c r="D148" s="2234"/>
      <c r="E148" s="1986"/>
      <c r="F148" s="2234"/>
      <c r="G148" s="2178"/>
      <c r="H148" s="1992"/>
      <c r="I148" s="2234"/>
      <c r="J148" s="1986"/>
      <c r="K148" s="1997"/>
      <c r="L148" s="2283"/>
      <c r="M148" s="1995"/>
      <c r="N148" s="1997"/>
      <c r="O148" s="1997"/>
      <c r="P148" s="1986"/>
      <c r="Q148" s="1986"/>
      <c r="R148" s="1986"/>
      <c r="S148" s="1986"/>
      <c r="T148" s="1986"/>
      <c r="U148" s="1357" t="s">
        <v>874</v>
      </c>
      <c r="V148" s="1054">
        <v>41815</v>
      </c>
      <c r="W148" s="1053">
        <v>11338</v>
      </c>
      <c r="X148" s="1060" t="s">
        <v>1643</v>
      </c>
      <c r="Y148" s="1054"/>
      <c r="Z148" s="1054"/>
      <c r="AA148" s="1030"/>
      <c r="AB148" s="1030">
        <f>AD148/L145*100</f>
        <v>29.106144317348175</v>
      </c>
      <c r="AC148" s="114"/>
      <c r="AD148" s="266">
        <v>46828.959999999999</v>
      </c>
      <c r="AE148" s="2283"/>
      <c r="AF148" s="2283"/>
      <c r="AG148" s="2296"/>
      <c r="AH148" s="2283"/>
      <c r="AI148" s="339"/>
      <c r="AJ148" s="339"/>
      <c r="AK148" s="107"/>
      <c r="AL148" s="107"/>
      <c r="AM148" s="1092"/>
      <c r="AN148" s="107"/>
      <c r="AO148" s="107"/>
      <c r="AP148" s="107"/>
      <c r="AQ148" s="107"/>
      <c r="AR148" s="107"/>
      <c r="AS148" s="1986"/>
      <c r="AT148" s="2164"/>
      <c r="AU148" s="1054"/>
      <c r="AV148" s="1054"/>
      <c r="AW148" s="1030"/>
      <c r="AX148" s="1030"/>
      <c r="AY148" s="1997"/>
      <c r="AZ148" s="1986"/>
      <c r="BA148" s="1030"/>
      <c r="BB148" s="1030"/>
      <c r="BC148" s="1030"/>
      <c r="BD148" s="1030"/>
    </row>
    <row r="149" spans="1:56" ht="15" customHeight="1" x14ac:dyDescent="0.25">
      <c r="A149" s="2285">
        <v>62</v>
      </c>
      <c r="B149" s="2194" t="s">
        <v>1644</v>
      </c>
      <c r="C149" s="1985" t="s">
        <v>727</v>
      </c>
      <c r="D149" s="1985" t="s">
        <v>1645</v>
      </c>
      <c r="E149" s="1985" t="s">
        <v>168</v>
      </c>
      <c r="F149" s="1985" t="s">
        <v>1646</v>
      </c>
      <c r="G149" s="2177">
        <v>11185</v>
      </c>
      <c r="H149" s="1991" t="s">
        <v>811</v>
      </c>
      <c r="I149" s="1985" t="s">
        <v>1647</v>
      </c>
      <c r="J149" s="1985" t="s">
        <v>1648</v>
      </c>
      <c r="K149" s="1996">
        <v>41661</v>
      </c>
      <c r="L149" s="2282">
        <v>695492.01</v>
      </c>
      <c r="M149" s="1994">
        <v>11231</v>
      </c>
      <c r="N149" s="1996">
        <v>41661</v>
      </c>
      <c r="O149" s="2235" t="s">
        <v>1649</v>
      </c>
      <c r="P149" s="1985" t="s">
        <v>1650</v>
      </c>
      <c r="Q149" s="1985"/>
      <c r="R149" s="1985"/>
      <c r="S149" s="1985"/>
      <c r="T149" s="1985" t="s">
        <v>1577</v>
      </c>
      <c r="U149" s="1357"/>
      <c r="V149" s="1054"/>
      <c r="W149" s="1030"/>
      <c r="X149" s="1060"/>
      <c r="Y149" s="1054"/>
      <c r="Z149" s="1054"/>
      <c r="AA149" s="1376"/>
      <c r="AB149" s="1376"/>
      <c r="AC149" s="1376"/>
      <c r="AD149" s="1376"/>
      <c r="AE149" s="2282">
        <f>L149-AD149+AC149-AD150+AC150-AD151+AC151-AD152+AC152</f>
        <v>725226.7699999999</v>
      </c>
      <c r="AF149" s="2282"/>
      <c r="AG149" s="2282">
        <v>647338.30000000005</v>
      </c>
      <c r="AH149" s="2282">
        <f>AF149+AG149</f>
        <v>647338.30000000005</v>
      </c>
      <c r="AI149" s="2279"/>
      <c r="AJ149" s="2279"/>
      <c r="AK149" s="2279"/>
      <c r="AL149" s="2279"/>
      <c r="AM149" s="2279"/>
      <c r="AN149" s="2279"/>
      <c r="AO149" s="2279"/>
      <c r="AP149" s="2279"/>
      <c r="AQ149" s="2279"/>
      <c r="AR149" s="2279"/>
      <c r="AS149" s="1985" t="s">
        <v>1323</v>
      </c>
      <c r="AT149" s="2163" t="s">
        <v>1457</v>
      </c>
      <c r="AU149" s="1054">
        <v>41696</v>
      </c>
      <c r="AV149" s="1054">
        <v>41846</v>
      </c>
      <c r="AW149" s="1996"/>
      <c r="AX149" s="1985"/>
      <c r="AY149" s="1996">
        <v>41696</v>
      </c>
      <c r="AZ149" s="1985" t="s">
        <v>1464</v>
      </c>
      <c r="BA149" s="1985" t="s">
        <v>1458</v>
      </c>
      <c r="BB149" s="1030"/>
      <c r="BC149" s="1030"/>
      <c r="BD149" s="1030"/>
    </row>
    <row r="150" spans="1:56" x14ac:dyDescent="0.25">
      <c r="A150" s="2291"/>
      <c r="B150" s="2195"/>
      <c r="C150" s="2021"/>
      <c r="D150" s="2021"/>
      <c r="E150" s="2021"/>
      <c r="F150" s="2021"/>
      <c r="G150" s="2180"/>
      <c r="H150" s="2176"/>
      <c r="I150" s="2021"/>
      <c r="J150" s="2021"/>
      <c r="K150" s="2033"/>
      <c r="L150" s="2290"/>
      <c r="M150" s="2197"/>
      <c r="N150" s="2033"/>
      <c r="O150" s="2243"/>
      <c r="P150" s="2021"/>
      <c r="Q150" s="2021"/>
      <c r="R150" s="2021"/>
      <c r="S150" s="2021"/>
      <c r="T150" s="2021"/>
      <c r="U150" s="1357" t="s">
        <v>867</v>
      </c>
      <c r="V150" s="1054">
        <v>41841</v>
      </c>
      <c r="W150" s="1053">
        <v>11357</v>
      </c>
      <c r="X150" s="1060" t="s">
        <v>1651</v>
      </c>
      <c r="Y150" s="1054">
        <v>41902</v>
      </c>
      <c r="Z150" s="1054">
        <v>41962</v>
      </c>
      <c r="AA150" s="1376"/>
      <c r="AB150" s="1376"/>
      <c r="AC150" s="1376"/>
      <c r="AD150" s="1376"/>
      <c r="AE150" s="2290"/>
      <c r="AF150" s="2290"/>
      <c r="AG150" s="2290"/>
      <c r="AH150" s="2290"/>
      <c r="AI150" s="2280"/>
      <c r="AJ150" s="2280"/>
      <c r="AK150" s="2280"/>
      <c r="AL150" s="2280"/>
      <c r="AM150" s="2280"/>
      <c r="AN150" s="2280"/>
      <c r="AO150" s="2280"/>
      <c r="AP150" s="2280"/>
      <c r="AQ150" s="2280"/>
      <c r="AR150" s="2280"/>
      <c r="AS150" s="2021"/>
      <c r="AT150" s="2175"/>
      <c r="AU150" s="1054">
        <v>41846</v>
      </c>
      <c r="AV150" s="1054">
        <v>41906</v>
      </c>
      <c r="AW150" s="2033"/>
      <c r="AX150" s="2021"/>
      <c r="AY150" s="2033"/>
      <c r="AZ150" s="2021"/>
      <c r="BA150" s="2021"/>
      <c r="BB150" s="1030"/>
      <c r="BC150" s="1030"/>
      <c r="BD150" s="1030"/>
    </row>
    <row r="151" spans="1:56" x14ac:dyDescent="0.25">
      <c r="A151" s="2291"/>
      <c r="B151" s="2195"/>
      <c r="C151" s="2021"/>
      <c r="D151" s="2021"/>
      <c r="E151" s="2021"/>
      <c r="F151" s="2021"/>
      <c r="G151" s="2180"/>
      <c r="H151" s="2176"/>
      <c r="I151" s="2021"/>
      <c r="J151" s="2021"/>
      <c r="K151" s="2033"/>
      <c r="L151" s="2290"/>
      <c r="M151" s="2197"/>
      <c r="N151" s="2033"/>
      <c r="O151" s="2243"/>
      <c r="P151" s="2021"/>
      <c r="Q151" s="2021"/>
      <c r="R151" s="2021"/>
      <c r="S151" s="2021"/>
      <c r="T151" s="2021"/>
      <c r="U151" s="1357" t="s">
        <v>871</v>
      </c>
      <c r="V151" s="1054">
        <v>41906</v>
      </c>
      <c r="W151" s="1053">
        <v>11411</v>
      </c>
      <c r="X151" s="1060" t="s">
        <v>1652</v>
      </c>
      <c r="Y151" s="1054">
        <v>41962</v>
      </c>
      <c r="Z151" s="1054">
        <v>42022</v>
      </c>
      <c r="AA151" s="1382">
        <f>AC151/L149*100</f>
        <v>15.242551815943939</v>
      </c>
      <c r="AB151" s="1382">
        <f>AD151/L149*100</f>
        <v>15.318194669123519</v>
      </c>
      <c r="AC151" s="1122">
        <v>106010.73</v>
      </c>
      <c r="AD151" s="1122">
        <v>106536.82</v>
      </c>
      <c r="AE151" s="2290"/>
      <c r="AF151" s="2290"/>
      <c r="AG151" s="2290"/>
      <c r="AH151" s="2290"/>
      <c r="AI151" s="2280"/>
      <c r="AJ151" s="2280"/>
      <c r="AK151" s="2280"/>
      <c r="AL151" s="2280"/>
      <c r="AM151" s="2280"/>
      <c r="AN151" s="2280"/>
      <c r="AO151" s="2280"/>
      <c r="AP151" s="2280"/>
      <c r="AQ151" s="2280"/>
      <c r="AR151" s="2280"/>
      <c r="AS151" s="2021"/>
      <c r="AT151" s="2175"/>
      <c r="AU151" s="1054">
        <v>41906</v>
      </c>
      <c r="AV151" s="1054">
        <v>41966</v>
      </c>
      <c r="AW151" s="2033"/>
      <c r="AX151" s="2021"/>
      <c r="AY151" s="2033"/>
      <c r="AZ151" s="2021"/>
      <c r="BA151" s="2021"/>
      <c r="BB151" s="1030"/>
      <c r="BC151" s="1030"/>
      <c r="BD151" s="1030"/>
    </row>
    <row r="152" spans="1:56" ht="25.5" x14ac:dyDescent="0.25">
      <c r="A152" s="2291"/>
      <c r="B152" s="2195"/>
      <c r="C152" s="2021"/>
      <c r="D152" s="2021"/>
      <c r="E152" s="2021"/>
      <c r="F152" s="2021"/>
      <c r="G152" s="2180"/>
      <c r="H152" s="2176"/>
      <c r="I152" s="2021"/>
      <c r="J152" s="2021"/>
      <c r="K152" s="2033"/>
      <c r="L152" s="2290"/>
      <c r="M152" s="2197"/>
      <c r="N152" s="2033"/>
      <c r="O152" s="2243"/>
      <c r="P152" s="2021"/>
      <c r="Q152" s="2021"/>
      <c r="R152" s="2021"/>
      <c r="S152" s="2021"/>
      <c r="T152" s="2021"/>
      <c r="U152" s="1357" t="s">
        <v>874</v>
      </c>
      <c r="V152" s="1054">
        <v>41925</v>
      </c>
      <c r="W152" s="1053">
        <v>11418</v>
      </c>
      <c r="X152" s="1060" t="s">
        <v>1470</v>
      </c>
      <c r="Y152" s="1054"/>
      <c r="Z152" s="1054"/>
      <c r="AA152" s="1382">
        <f>AC152/L149*100</f>
        <v>4.3509989424608913</v>
      </c>
      <c r="AB152" s="259"/>
      <c r="AC152" s="278">
        <v>30260.85</v>
      </c>
      <c r="AD152" s="1122"/>
      <c r="AE152" s="2290"/>
      <c r="AF152" s="2290"/>
      <c r="AG152" s="2290"/>
      <c r="AH152" s="2290"/>
      <c r="AI152" s="2280"/>
      <c r="AJ152" s="2280"/>
      <c r="AK152" s="2280"/>
      <c r="AL152" s="2280"/>
      <c r="AM152" s="2280"/>
      <c r="AN152" s="2281"/>
      <c r="AO152" s="2281"/>
      <c r="AP152" s="2281"/>
      <c r="AQ152" s="2281"/>
      <c r="AR152" s="2281"/>
      <c r="AS152" s="2021"/>
      <c r="AT152" s="2175"/>
      <c r="AU152" s="1054"/>
      <c r="AV152" s="1054"/>
      <c r="AW152" s="2033"/>
      <c r="AX152" s="2021"/>
      <c r="AY152" s="2033"/>
      <c r="AZ152" s="2021"/>
      <c r="BA152" s="2021"/>
      <c r="BB152" s="1030"/>
      <c r="BC152" s="1030"/>
      <c r="BD152" s="1030"/>
    </row>
    <row r="153" spans="1:56" ht="51" x14ac:dyDescent="0.25">
      <c r="A153" s="2286"/>
      <c r="B153" s="2196"/>
      <c r="C153" s="1986"/>
      <c r="D153" s="1986"/>
      <c r="E153" s="1986"/>
      <c r="F153" s="1986"/>
      <c r="G153" s="2178"/>
      <c r="H153" s="1992"/>
      <c r="I153" s="1986"/>
      <c r="J153" s="1986"/>
      <c r="K153" s="1997"/>
      <c r="L153" s="2283"/>
      <c r="M153" s="1995"/>
      <c r="N153" s="1997"/>
      <c r="O153" s="2236"/>
      <c r="P153" s="1986"/>
      <c r="Q153" s="1986"/>
      <c r="R153" s="1986"/>
      <c r="S153" s="1986"/>
      <c r="T153" s="1986"/>
      <c r="U153" s="1357" t="s">
        <v>876</v>
      </c>
      <c r="V153" s="1054">
        <v>41964</v>
      </c>
      <c r="W153" s="1053">
        <v>11452</v>
      </c>
      <c r="X153" s="1060" t="s">
        <v>1653</v>
      </c>
      <c r="Y153" s="1054">
        <v>42022</v>
      </c>
      <c r="Z153" s="1054">
        <v>42052</v>
      </c>
      <c r="AA153" s="1382"/>
      <c r="AB153" s="259"/>
      <c r="AC153" s="278"/>
      <c r="AD153" s="1122"/>
      <c r="AE153" s="2283"/>
      <c r="AF153" s="2283"/>
      <c r="AG153" s="2283"/>
      <c r="AH153" s="2283"/>
      <c r="AI153" s="2281"/>
      <c r="AJ153" s="2281"/>
      <c r="AK153" s="2281"/>
      <c r="AL153" s="2281"/>
      <c r="AM153" s="2281"/>
      <c r="AN153" s="259"/>
      <c r="AO153" s="259"/>
      <c r="AP153" s="259"/>
      <c r="AQ153" s="259"/>
      <c r="AR153" s="259"/>
      <c r="AS153" s="1986"/>
      <c r="AT153" s="2164"/>
      <c r="AU153" s="1054">
        <v>41966</v>
      </c>
      <c r="AV153" s="1054">
        <v>41996</v>
      </c>
      <c r="AW153" s="1997"/>
      <c r="AX153" s="1986"/>
      <c r="AY153" s="1997"/>
      <c r="AZ153" s="1986"/>
      <c r="BA153" s="1986"/>
      <c r="BB153" s="1030"/>
      <c r="BC153" s="1030"/>
      <c r="BD153" s="1030"/>
    </row>
    <row r="154" spans="1:56" ht="63.75" x14ac:dyDescent="0.25">
      <c r="A154" s="1492">
        <v>63</v>
      </c>
      <c r="B154" s="1484" t="s">
        <v>1654</v>
      </c>
      <c r="C154" s="1357" t="s">
        <v>1280</v>
      </c>
      <c r="D154" s="518" t="s">
        <v>1655</v>
      </c>
      <c r="E154" s="1060" t="s">
        <v>168</v>
      </c>
      <c r="F154" s="518" t="s">
        <v>1656</v>
      </c>
      <c r="G154" s="1178">
        <v>11027</v>
      </c>
      <c r="H154" s="1031" t="s">
        <v>814</v>
      </c>
      <c r="I154" s="518" t="s">
        <v>1657</v>
      </c>
      <c r="J154" s="1379" t="s">
        <v>1658</v>
      </c>
      <c r="K154" s="1054">
        <v>41662</v>
      </c>
      <c r="L154" s="266">
        <v>315494</v>
      </c>
      <c r="M154" s="1053">
        <v>11232</v>
      </c>
      <c r="N154" s="1054">
        <v>41662</v>
      </c>
      <c r="O154" s="1054">
        <v>42004</v>
      </c>
      <c r="P154" s="1060" t="s">
        <v>1308</v>
      </c>
      <c r="Q154" s="1060"/>
      <c r="R154" s="1030"/>
      <c r="S154" s="1030"/>
      <c r="T154" s="1060" t="s">
        <v>685</v>
      </c>
      <c r="U154" s="1357"/>
      <c r="V154" s="1054"/>
      <c r="W154" s="1030"/>
      <c r="X154" s="1060"/>
      <c r="Y154" s="1054"/>
      <c r="Z154" s="1054"/>
      <c r="AA154" s="1030"/>
      <c r="AB154" s="1030"/>
      <c r="AC154" s="114"/>
      <c r="AD154" s="1030"/>
      <c r="AE154" s="613">
        <f>L154-AD154+AC154</f>
        <v>315494</v>
      </c>
      <c r="AF154" s="278"/>
      <c r="AG154" s="278">
        <v>129234.5</v>
      </c>
      <c r="AH154" s="613">
        <f>AF154+AG154</f>
        <v>129234.5</v>
      </c>
      <c r="AI154" s="339" t="s">
        <v>986</v>
      </c>
      <c r="AJ154" s="340">
        <v>11064</v>
      </c>
      <c r="AK154" s="107" t="s">
        <v>1659</v>
      </c>
      <c r="AL154" s="107"/>
      <c r="AM154" s="1092"/>
      <c r="AN154" s="107"/>
      <c r="AO154" s="107"/>
      <c r="AP154" s="107"/>
      <c r="AQ154" s="107"/>
      <c r="AR154" s="107"/>
      <c r="AS154" s="1030"/>
      <c r="AT154" s="1030"/>
      <c r="AU154" s="1030"/>
      <c r="AV154" s="1030"/>
      <c r="AW154" s="1030"/>
      <c r="AX154" s="1030"/>
      <c r="AY154" s="1030"/>
      <c r="AZ154" s="1030"/>
      <c r="BA154" s="1030"/>
      <c r="BB154" s="1030"/>
      <c r="BC154" s="1030"/>
      <c r="BD154" s="1030"/>
    </row>
    <row r="155" spans="1:56" ht="25.5" x14ac:dyDescent="0.25">
      <c r="A155" s="1492">
        <v>64</v>
      </c>
      <c r="B155" s="2222" t="s">
        <v>1660</v>
      </c>
      <c r="C155" s="1985" t="s">
        <v>331</v>
      </c>
      <c r="D155" s="2233" t="s">
        <v>1548</v>
      </c>
      <c r="E155" s="1985" t="s">
        <v>1358</v>
      </c>
      <c r="F155" s="2233" t="s">
        <v>1609</v>
      </c>
      <c r="G155" s="2177">
        <v>11166</v>
      </c>
      <c r="H155" s="1031" t="s">
        <v>817</v>
      </c>
      <c r="I155" s="518" t="s">
        <v>1610</v>
      </c>
      <c r="J155" s="1060" t="s">
        <v>1611</v>
      </c>
      <c r="K155" s="1054">
        <v>41666</v>
      </c>
      <c r="L155" s="266">
        <v>126900</v>
      </c>
      <c r="M155" s="1053">
        <v>11231</v>
      </c>
      <c r="N155" s="1054">
        <v>41666</v>
      </c>
      <c r="O155" s="1054">
        <v>42004</v>
      </c>
      <c r="P155" s="1060" t="s">
        <v>1320</v>
      </c>
      <c r="Q155" s="1060"/>
      <c r="R155" s="1060"/>
      <c r="S155" s="1060"/>
      <c r="T155" s="1060" t="s">
        <v>1612</v>
      </c>
      <c r="U155" s="1060"/>
      <c r="V155" s="1060"/>
      <c r="W155" s="1060"/>
      <c r="X155" s="1060"/>
      <c r="Y155" s="1060"/>
      <c r="Z155" s="1060"/>
      <c r="AA155" s="1060"/>
      <c r="AB155" s="1060"/>
      <c r="AC155" s="1060"/>
      <c r="AD155" s="1060"/>
      <c r="AE155" s="266">
        <v>126900</v>
      </c>
      <c r="AF155" s="1060"/>
      <c r="AG155" s="278">
        <v>126900</v>
      </c>
      <c r="AH155" s="613">
        <f t="shared" ref="AH155:AH161" si="5">AF155+AG155</f>
        <v>126900</v>
      </c>
      <c r="AI155" s="339"/>
      <c r="AJ155" s="339"/>
      <c r="AK155" s="107"/>
      <c r="AL155" s="107"/>
      <c r="AM155" s="1092"/>
      <c r="AN155" s="107"/>
      <c r="AO155" s="107"/>
      <c r="AP155" s="107"/>
      <c r="AQ155" s="107"/>
      <c r="AR155" s="107"/>
      <c r="AS155" s="1030"/>
      <c r="AT155" s="1030"/>
      <c r="AU155" s="1030"/>
      <c r="AV155" s="1030"/>
      <c r="AW155" s="1030"/>
      <c r="AX155" s="1030"/>
      <c r="AY155" s="1030"/>
      <c r="AZ155" s="1030"/>
      <c r="BA155" s="1030"/>
      <c r="BB155" s="1030"/>
      <c r="BC155" s="1030"/>
      <c r="BD155" s="1030"/>
    </row>
    <row r="156" spans="1:56" ht="38.25" x14ac:dyDescent="0.25">
      <c r="A156" s="1492">
        <v>65</v>
      </c>
      <c r="B156" s="2223"/>
      <c r="C156" s="2021"/>
      <c r="D156" s="2252"/>
      <c r="E156" s="2021"/>
      <c r="F156" s="2252"/>
      <c r="G156" s="2180"/>
      <c r="H156" s="1031" t="s">
        <v>823</v>
      </c>
      <c r="I156" s="518" t="s">
        <v>1623</v>
      </c>
      <c r="J156" s="1060" t="s">
        <v>1661</v>
      </c>
      <c r="K156" s="1054">
        <v>41666</v>
      </c>
      <c r="L156" s="266">
        <v>9800</v>
      </c>
      <c r="M156" s="1053">
        <v>11232</v>
      </c>
      <c r="N156" s="1054">
        <v>41666</v>
      </c>
      <c r="O156" s="1054">
        <v>42004</v>
      </c>
      <c r="P156" s="1060" t="s">
        <v>1320</v>
      </c>
      <c r="Q156" s="1060"/>
      <c r="R156" s="1060"/>
      <c r="S156" s="1060"/>
      <c r="T156" s="1060" t="s">
        <v>1612</v>
      </c>
      <c r="U156" s="1060"/>
      <c r="V156" s="1060"/>
      <c r="W156" s="1060"/>
      <c r="X156" s="1060"/>
      <c r="Y156" s="1060"/>
      <c r="Z156" s="1060"/>
      <c r="AA156" s="1060"/>
      <c r="AB156" s="1060"/>
      <c r="AC156" s="1060"/>
      <c r="AD156" s="1060"/>
      <c r="AE156" s="266">
        <v>9800</v>
      </c>
      <c r="AF156" s="1060"/>
      <c r="AG156" s="278">
        <v>1050</v>
      </c>
      <c r="AH156" s="613">
        <f t="shared" si="5"/>
        <v>1050</v>
      </c>
      <c r="AI156" s="339"/>
      <c r="AJ156" s="339"/>
      <c r="AK156" s="107"/>
      <c r="AL156" s="107"/>
      <c r="AM156" s="1092"/>
      <c r="AN156" s="107"/>
      <c r="AO156" s="107"/>
      <c r="AP156" s="107"/>
      <c r="AQ156" s="107"/>
      <c r="AR156" s="107"/>
      <c r="AS156" s="1030"/>
      <c r="AT156" s="1030"/>
      <c r="AU156" s="1030"/>
      <c r="AV156" s="1030"/>
      <c r="AW156" s="1030"/>
      <c r="AX156" s="1030"/>
      <c r="AY156" s="1030"/>
      <c r="AZ156" s="1030"/>
      <c r="BA156" s="1030"/>
      <c r="BB156" s="1030"/>
      <c r="BC156" s="1030"/>
      <c r="BD156" s="1030"/>
    </row>
    <row r="157" spans="1:56" ht="38.25" x14ac:dyDescent="0.25">
      <c r="A157" s="1492">
        <v>66</v>
      </c>
      <c r="B157" s="2223"/>
      <c r="C157" s="2021"/>
      <c r="D157" s="2252"/>
      <c r="E157" s="2021"/>
      <c r="F157" s="2252"/>
      <c r="G157" s="2180"/>
      <c r="H157" s="1031" t="s">
        <v>828</v>
      </c>
      <c r="I157" s="518" t="s">
        <v>1618</v>
      </c>
      <c r="J157" s="1060" t="s">
        <v>1619</v>
      </c>
      <c r="K157" s="1054">
        <v>41666</v>
      </c>
      <c r="L157" s="266">
        <v>866795</v>
      </c>
      <c r="M157" s="1053">
        <v>11238</v>
      </c>
      <c r="N157" s="1054">
        <v>41666</v>
      </c>
      <c r="O157" s="1054">
        <v>42004</v>
      </c>
      <c r="P157" s="1060" t="s">
        <v>1320</v>
      </c>
      <c r="Q157" s="1060"/>
      <c r="R157" s="1060"/>
      <c r="S157" s="1060"/>
      <c r="T157" s="1060" t="s">
        <v>1612</v>
      </c>
      <c r="U157" s="1060"/>
      <c r="V157" s="1060"/>
      <c r="W157" s="1060"/>
      <c r="X157" s="1060"/>
      <c r="Y157" s="1060"/>
      <c r="Z157" s="1060"/>
      <c r="AA157" s="1060"/>
      <c r="AB157" s="1060"/>
      <c r="AC157" s="1060"/>
      <c r="AD157" s="1060"/>
      <c r="AE157" s="266">
        <v>866795</v>
      </c>
      <c r="AF157" s="1060"/>
      <c r="AG157" s="278">
        <v>633290.30000000005</v>
      </c>
      <c r="AH157" s="613">
        <f t="shared" si="5"/>
        <v>633290.30000000005</v>
      </c>
      <c r="AI157" s="339"/>
      <c r="AJ157" s="339"/>
      <c r="AK157" s="107"/>
      <c r="AL157" s="107"/>
      <c r="AM157" s="1092"/>
      <c r="AN157" s="107"/>
      <c r="AO157" s="107"/>
      <c r="AP157" s="107"/>
      <c r="AQ157" s="107"/>
      <c r="AR157" s="107"/>
      <c r="AS157" s="1030"/>
      <c r="AT157" s="1030"/>
      <c r="AU157" s="1030"/>
      <c r="AV157" s="1030"/>
      <c r="AW157" s="1030"/>
      <c r="AX157" s="1030"/>
      <c r="AY157" s="1030"/>
      <c r="AZ157" s="1030"/>
      <c r="BA157" s="1030"/>
      <c r="BB157" s="1030"/>
      <c r="BC157" s="1030"/>
      <c r="BD157" s="1030"/>
    </row>
    <row r="158" spans="1:56" ht="25.5" x14ac:dyDescent="0.25">
      <c r="A158" s="1492">
        <v>67</v>
      </c>
      <c r="B158" s="2223"/>
      <c r="C158" s="2021"/>
      <c r="D158" s="2252"/>
      <c r="E158" s="2021"/>
      <c r="F158" s="2252"/>
      <c r="G158" s="2180"/>
      <c r="H158" s="1031" t="s">
        <v>831</v>
      </c>
      <c r="I158" s="518" t="s">
        <v>1662</v>
      </c>
      <c r="J158" s="1060" t="s">
        <v>1663</v>
      </c>
      <c r="K158" s="1054">
        <v>41666</v>
      </c>
      <c r="L158" s="266">
        <v>289680</v>
      </c>
      <c r="M158" s="1053">
        <v>11232</v>
      </c>
      <c r="N158" s="1054">
        <v>41666</v>
      </c>
      <c r="O158" s="1054">
        <v>42004</v>
      </c>
      <c r="P158" s="1060" t="s">
        <v>1320</v>
      </c>
      <c r="Q158" s="1060"/>
      <c r="R158" s="1060"/>
      <c r="S158" s="1060"/>
      <c r="T158" s="1060" t="s">
        <v>1612</v>
      </c>
      <c r="U158" s="1060"/>
      <c r="V158" s="1060"/>
      <c r="W158" s="1060"/>
      <c r="X158" s="1060"/>
      <c r="Y158" s="1060"/>
      <c r="Z158" s="1060"/>
      <c r="AA158" s="1060"/>
      <c r="AB158" s="1060"/>
      <c r="AC158" s="1060"/>
      <c r="AD158" s="1060"/>
      <c r="AE158" s="266">
        <v>289680</v>
      </c>
      <c r="AF158" s="1060"/>
      <c r="AG158" s="278">
        <v>268433.8</v>
      </c>
      <c r="AH158" s="613">
        <f t="shared" si="5"/>
        <v>268433.8</v>
      </c>
      <c r="AI158" s="339"/>
      <c r="AJ158" s="339"/>
      <c r="AK158" s="107"/>
      <c r="AL158" s="107"/>
      <c r="AM158" s="1092"/>
      <c r="AN158" s="107"/>
      <c r="AO158" s="107"/>
      <c r="AP158" s="107"/>
      <c r="AQ158" s="107"/>
      <c r="AR158" s="107"/>
      <c r="AS158" s="1030"/>
      <c r="AT158" s="1030"/>
      <c r="AU158" s="1030"/>
      <c r="AV158" s="1030"/>
      <c r="AW158" s="1030"/>
      <c r="AX158" s="1030"/>
      <c r="AY158" s="1030"/>
      <c r="AZ158" s="1030"/>
      <c r="BA158" s="1030"/>
      <c r="BB158" s="1030"/>
      <c r="BC158" s="1030"/>
      <c r="BD158" s="1030"/>
    </row>
    <row r="159" spans="1:56" ht="38.25" x14ac:dyDescent="0.25">
      <c r="A159" s="1492">
        <v>68</v>
      </c>
      <c r="B159" s="2223"/>
      <c r="C159" s="2021"/>
      <c r="D159" s="2252"/>
      <c r="E159" s="2021"/>
      <c r="F159" s="2252"/>
      <c r="G159" s="2180"/>
      <c r="H159" s="1031" t="s">
        <v>832</v>
      </c>
      <c r="I159" s="518" t="s">
        <v>1664</v>
      </c>
      <c r="J159" s="1060" t="s">
        <v>1665</v>
      </c>
      <c r="K159" s="1054">
        <v>41666</v>
      </c>
      <c r="L159" s="266">
        <v>11500</v>
      </c>
      <c r="M159" s="1053">
        <v>11234</v>
      </c>
      <c r="N159" s="1054">
        <v>41666</v>
      </c>
      <c r="O159" s="1054">
        <v>42004</v>
      </c>
      <c r="P159" s="1060" t="s">
        <v>1320</v>
      </c>
      <c r="Q159" s="1060"/>
      <c r="R159" s="1060"/>
      <c r="S159" s="1060"/>
      <c r="T159" s="1060" t="s">
        <v>1612</v>
      </c>
      <c r="U159" s="1060"/>
      <c r="V159" s="1060"/>
      <c r="W159" s="1060"/>
      <c r="X159" s="1060"/>
      <c r="Y159" s="1060"/>
      <c r="Z159" s="1060"/>
      <c r="AA159" s="1060"/>
      <c r="AB159" s="1060"/>
      <c r="AC159" s="1060"/>
      <c r="AD159" s="1060"/>
      <c r="AE159" s="266">
        <v>11500</v>
      </c>
      <c r="AF159" s="1060"/>
      <c r="AG159" s="278">
        <v>11488.5</v>
      </c>
      <c r="AH159" s="613">
        <f t="shared" si="5"/>
        <v>11488.5</v>
      </c>
      <c r="AI159" s="339"/>
      <c r="AJ159" s="339"/>
      <c r="AK159" s="107"/>
      <c r="AL159" s="107"/>
      <c r="AM159" s="1092"/>
      <c r="AN159" s="107"/>
      <c r="AO159" s="107"/>
      <c r="AP159" s="107"/>
      <c r="AQ159" s="107"/>
      <c r="AR159" s="107"/>
      <c r="AS159" s="1030"/>
      <c r="AT159" s="1030"/>
      <c r="AU159" s="1030"/>
      <c r="AV159" s="1030"/>
      <c r="AW159" s="1030"/>
      <c r="AX159" s="1030"/>
      <c r="AY159" s="1030"/>
      <c r="AZ159" s="1030"/>
      <c r="BA159" s="1030"/>
      <c r="BB159" s="1030"/>
      <c r="BC159" s="1030"/>
      <c r="BD159" s="1030"/>
    </row>
    <row r="160" spans="1:56" ht="51" x14ac:dyDescent="0.25">
      <c r="A160" s="1492">
        <v>69</v>
      </c>
      <c r="B160" s="2224"/>
      <c r="C160" s="1986"/>
      <c r="D160" s="2234"/>
      <c r="E160" s="1986"/>
      <c r="F160" s="2234"/>
      <c r="G160" s="2178"/>
      <c r="H160" s="1031" t="s">
        <v>835</v>
      </c>
      <c r="I160" s="518" t="s">
        <v>1666</v>
      </c>
      <c r="J160" s="1060" t="s">
        <v>779</v>
      </c>
      <c r="K160" s="1054">
        <v>41666</v>
      </c>
      <c r="L160" s="266">
        <v>102390</v>
      </c>
      <c r="M160" s="1053">
        <v>11232</v>
      </c>
      <c r="N160" s="1054">
        <v>41666</v>
      </c>
      <c r="O160" s="1054">
        <v>42004</v>
      </c>
      <c r="P160" s="1060" t="s">
        <v>1320</v>
      </c>
      <c r="Q160" s="1060"/>
      <c r="R160" s="1060"/>
      <c r="S160" s="1060"/>
      <c r="T160" s="1060" t="s">
        <v>1612</v>
      </c>
      <c r="U160" s="1060"/>
      <c r="V160" s="1060"/>
      <c r="W160" s="1060"/>
      <c r="X160" s="1060"/>
      <c r="Y160" s="1060"/>
      <c r="Z160" s="1060"/>
      <c r="AA160" s="1060"/>
      <c r="AB160" s="1060"/>
      <c r="AC160" s="1060"/>
      <c r="AD160" s="1060"/>
      <c r="AE160" s="266">
        <v>102390</v>
      </c>
      <c r="AF160" s="1060"/>
      <c r="AG160" s="278">
        <v>102194.6</v>
      </c>
      <c r="AH160" s="613">
        <f t="shared" si="5"/>
        <v>102194.6</v>
      </c>
      <c r="AI160" s="339"/>
      <c r="AJ160" s="339"/>
      <c r="AK160" s="107"/>
      <c r="AL160" s="107"/>
      <c r="AM160" s="1092"/>
      <c r="AN160" s="107"/>
      <c r="AO160" s="107"/>
      <c r="AP160" s="107"/>
      <c r="AQ160" s="107"/>
      <c r="AR160" s="107"/>
      <c r="AS160" s="1030"/>
      <c r="AT160" s="1030"/>
      <c r="AU160" s="1030"/>
      <c r="AV160" s="1030"/>
      <c r="AW160" s="1030"/>
      <c r="AX160" s="1030"/>
      <c r="AY160" s="1030"/>
      <c r="AZ160" s="1030"/>
      <c r="BA160" s="1030"/>
      <c r="BB160" s="1030"/>
      <c r="BC160" s="1030"/>
      <c r="BD160" s="1030"/>
    </row>
    <row r="161" spans="1:56" ht="25.5" x14ac:dyDescent="0.25">
      <c r="A161" s="1492">
        <v>70</v>
      </c>
      <c r="B161" s="2222" t="s">
        <v>1667</v>
      </c>
      <c r="C161" s="1985" t="s">
        <v>1668</v>
      </c>
      <c r="D161" s="2233" t="s">
        <v>1548</v>
      </c>
      <c r="E161" s="1985" t="s">
        <v>1358</v>
      </c>
      <c r="F161" s="2233" t="s">
        <v>1669</v>
      </c>
      <c r="G161" s="2177">
        <v>11130</v>
      </c>
      <c r="H161" s="1031" t="s">
        <v>837</v>
      </c>
      <c r="I161" s="518" t="s">
        <v>1670</v>
      </c>
      <c r="J161" s="1060" t="s">
        <v>1671</v>
      </c>
      <c r="K161" s="1054">
        <v>41676</v>
      </c>
      <c r="L161" s="266">
        <v>290598.17</v>
      </c>
      <c r="M161" s="1994">
        <v>11244</v>
      </c>
      <c r="N161" s="1054">
        <v>41676</v>
      </c>
      <c r="O161" s="1054">
        <v>42004</v>
      </c>
      <c r="P161" s="1060" t="s">
        <v>1320</v>
      </c>
      <c r="Q161" s="1060"/>
      <c r="R161" s="1030"/>
      <c r="S161" s="1030"/>
      <c r="T161" s="1060" t="s">
        <v>316</v>
      </c>
      <c r="U161" s="1357"/>
      <c r="V161" s="1054"/>
      <c r="W161" s="1030"/>
      <c r="X161" s="1060"/>
      <c r="Y161" s="1054"/>
      <c r="Z161" s="1054"/>
      <c r="AA161" s="1030"/>
      <c r="AB161" s="1030"/>
      <c r="AC161" s="266"/>
      <c r="AD161" s="1030"/>
      <c r="AE161" s="266">
        <v>290598.17</v>
      </c>
      <c r="AF161" s="278"/>
      <c r="AG161" s="278">
        <v>46126.239999999998</v>
      </c>
      <c r="AH161" s="613">
        <f t="shared" si="5"/>
        <v>46126.239999999998</v>
      </c>
      <c r="AI161" s="339"/>
      <c r="AJ161" s="339"/>
      <c r="AK161" s="107"/>
      <c r="AL161" s="107"/>
      <c r="AM161" s="1092"/>
      <c r="AN161" s="107"/>
      <c r="AO161" s="107"/>
      <c r="AP161" s="107"/>
      <c r="AQ161" s="107"/>
      <c r="AR161" s="107"/>
      <c r="AS161" s="1030"/>
      <c r="AT161" s="1030"/>
      <c r="AU161" s="1030"/>
      <c r="AV161" s="1030"/>
      <c r="AW161" s="1030"/>
      <c r="AX161" s="1030"/>
      <c r="AY161" s="1030"/>
      <c r="AZ161" s="1030"/>
      <c r="BA161" s="1030"/>
      <c r="BB161" s="1030"/>
      <c r="BC161" s="1030"/>
      <c r="BD161" s="1030"/>
    </row>
    <row r="162" spans="1:56" ht="25.5" x14ac:dyDescent="0.25">
      <c r="A162" s="1492">
        <v>71</v>
      </c>
      <c r="B162" s="2223"/>
      <c r="C162" s="2021"/>
      <c r="D162" s="2252"/>
      <c r="E162" s="2021"/>
      <c r="F162" s="2252"/>
      <c r="G162" s="2180"/>
      <c r="H162" s="1031" t="s">
        <v>840</v>
      </c>
      <c r="I162" s="518" t="s">
        <v>1672</v>
      </c>
      <c r="J162" s="1060" t="s">
        <v>380</v>
      </c>
      <c r="K162" s="1054">
        <v>41676</v>
      </c>
      <c r="L162" s="266">
        <v>326.39999999999998</v>
      </c>
      <c r="M162" s="2197"/>
      <c r="N162" s="1054">
        <v>41676</v>
      </c>
      <c r="O162" s="1054">
        <v>42004</v>
      </c>
      <c r="P162" s="1060" t="s">
        <v>1320</v>
      </c>
      <c r="Q162" s="1060"/>
      <c r="R162" s="1030"/>
      <c r="S162" s="1030"/>
      <c r="T162" s="1060" t="s">
        <v>316</v>
      </c>
      <c r="U162" s="1357"/>
      <c r="V162" s="1054"/>
      <c r="W162" s="1030"/>
      <c r="X162" s="1060"/>
      <c r="Y162" s="1054"/>
      <c r="Z162" s="1054"/>
      <c r="AA162" s="1030"/>
      <c r="AB162" s="1030"/>
      <c r="AC162" s="266"/>
      <c r="AD162" s="1030"/>
      <c r="AE162" s="266">
        <v>326.39999999999998</v>
      </c>
      <c r="AF162" s="278"/>
      <c r="AG162" s="278" t="s">
        <v>677</v>
      </c>
      <c r="AH162" s="613" t="s">
        <v>677</v>
      </c>
      <c r="AI162" s="339"/>
      <c r="AJ162" s="339"/>
      <c r="AK162" s="107"/>
      <c r="AL162" s="107"/>
      <c r="AM162" s="1092"/>
      <c r="AN162" s="107"/>
      <c r="AO162" s="107"/>
      <c r="AP162" s="107"/>
      <c r="AQ162" s="107"/>
      <c r="AR162" s="107"/>
      <c r="AS162" s="1030"/>
      <c r="AT162" s="1030"/>
      <c r="AU162" s="1030"/>
      <c r="AV162" s="1030"/>
      <c r="AW162" s="1030"/>
      <c r="AX162" s="1030"/>
      <c r="AY162" s="1030"/>
      <c r="AZ162" s="1030"/>
      <c r="BA162" s="1030"/>
      <c r="BB162" s="1030"/>
      <c r="BC162" s="1030"/>
      <c r="BD162" s="1030"/>
    </row>
    <row r="163" spans="1:56" ht="25.5" x14ac:dyDescent="0.25">
      <c r="A163" s="1492">
        <v>72</v>
      </c>
      <c r="B163" s="2224"/>
      <c r="C163" s="1986"/>
      <c r="D163" s="2234"/>
      <c r="E163" s="1986"/>
      <c r="F163" s="2234"/>
      <c r="G163" s="2178"/>
      <c r="H163" s="1031" t="s">
        <v>841</v>
      </c>
      <c r="I163" s="518" t="s">
        <v>1673</v>
      </c>
      <c r="J163" s="1060" t="s">
        <v>1674</v>
      </c>
      <c r="K163" s="1054">
        <v>41676</v>
      </c>
      <c r="L163" s="266">
        <v>13252.88</v>
      </c>
      <c r="M163" s="1995"/>
      <c r="N163" s="1054">
        <v>41676</v>
      </c>
      <c r="O163" s="1054">
        <v>42004</v>
      </c>
      <c r="P163" s="1060" t="s">
        <v>1320</v>
      </c>
      <c r="Q163" s="1060"/>
      <c r="R163" s="1030"/>
      <c r="S163" s="1030"/>
      <c r="T163" s="1060" t="s">
        <v>316</v>
      </c>
      <c r="U163" s="1357"/>
      <c r="V163" s="1054"/>
      <c r="W163" s="1030"/>
      <c r="X163" s="1060"/>
      <c r="Y163" s="1054"/>
      <c r="Z163" s="1054"/>
      <c r="AA163" s="1030"/>
      <c r="AB163" s="1030"/>
      <c r="AC163" s="266"/>
      <c r="AD163" s="1030"/>
      <c r="AE163" s="266">
        <v>13252.88</v>
      </c>
      <c r="AF163" s="278"/>
      <c r="AG163" s="278">
        <v>7250</v>
      </c>
      <c r="AH163" s="613">
        <f>AF163+AG163</f>
        <v>7250</v>
      </c>
      <c r="AI163" s="339"/>
      <c r="AJ163" s="339"/>
      <c r="AK163" s="107"/>
      <c r="AL163" s="107"/>
      <c r="AM163" s="1092"/>
      <c r="AN163" s="107"/>
      <c r="AO163" s="107"/>
      <c r="AP163" s="107"/>
      <c r="AQ163" s="107"/>
      <c r="AR163" s="107"/>
      <c r="AS163" s="1030"/>
      <c r="AT163" s="1030"/>
      <c r="AU163" s="1030"/>
      <c r="AV163" s="1030"/>
      <c r="AW163" s="1030"/>
      <c r="AX163" s="1030"/>
      <c r="AY163" s="1030"/>
      <c r="AZ163" s="1030"/>
      <c r="BA163" s="1030"/>
      <c r="BB163" s="1030"/>
      <c r="BC163" s="1030"/>
      <c r="BD163" s="1030"/>
    </row>
    <row r="164" spans="1:56" ht="25.5" x14ac:dyDescent="0.25">
      <c r="A164" s="1492">
        <v>73</v>
      </c>
      <c r="B164" s="2222" t="s">
        <v>1675</v>
      </c>
      <c r="C164" s="1985" t="s">
        <v>1346</v>
      </c>
      <c r="D164" s="2233" t="s">
        <v>1548</v>
      </c>
      <c r="E164" s="1985" t="s">
        <v>1358</v>
      </c>
      <c r="F164" s="2233" t="s">
        <v>1676</v>
      </c>
      <c r="G164" s="2177">
        <v>11182</v>
      </c>
      <c r="H164" s="1031" t="s">
        <v>1677</v>
      </c>
      <c r="I164" s="518" t="s">
        <v>1678</v>
      </c>
      <c r="J164" s="1060" t="s">
        <v>470</v>
      </c>
      <c r="K164" s="1054">
        <v>41676</v>
      </c>
      <c r="L164" s="266">
        <v>12496</v>
      </c>
      <c r="M164" s="1994">
        <v>11244</v>
      </c>
      <c r="N164" s="1054">
        <v>41676</v>
      </c>
      <c r="O164" s="1054">
        <v>42004</v>
      </c>
      <c r="P164" s="1060" t="s">
        <v>1320</v>
      </c>
      <c r="Q164" s="1060"/>
      <c r="R164" s="1030"/>
      <c r="S164" s="1030"/>
      <c r="T164" s="1060" t="s">
        <v>316</v>
      </c>
      <c r="U164" s="1357"/>
      <c r="V164" s="1054"/>
      <c r="W164" s="1030"/>
      <c r="X164" s="1060"/>
      <c r="Y164" s="1054"/>
      <c r="Z164" s="1054"/>
      <c r="AA164" s="1030"/>
      <c r="AB164" s="1030"/>
      <c r="AC164" s="266"/>
      <c r="AD164" s="1030"/>
      <c r="AE164" s="266">
        <v>12496</v>
      </c>
      <c r="AF164" s="278"/>
      <c r="AG164" s="278">
        <v>12496</v>
      </c>
      <c r="AH164" s="613">
        <f t="shared" ref="AH164:AH209" si="6">AF164+AG164</f>
        <v>12496</v>
      </c>
      <c r="AI164" s="339"/>
      <c r="AJ164" s="339"/>
      <c r="AK164" s="107"/>
      <c r="AL164" s="107"/>
      <c r="AM164" s="1092"/>
      <c r="AN164" s="107"/>
      <c r="AO164" s="107"/>
      <c r="AP164" s="107"/>
      <c r="AQ164" s="107"/>
      <c r="AR164" s="107"/>
      <c r="AS164" s="1030"/>
      <c r="AT164" s="1030"/>
      <c r="AU164" s="1030"/>
      <c r="AV164" s="1030"/>
      <c r="AW164" s="1030"/>
      <c r="AX164" s="1030"/>
      <c r="AY164" s="1030"/>
      <c r="AZ164" s="1030"/>
      <c r="BA164" s="1030"/>
      <c r="BB164" s="1030"/>
      <c r="BC164" s="1030"/>
      <c r="BD164" s="1030"/>
    </row>
    <row r="165" spans="1:56" ht="51" x14ac:dyDescent="0.25">
      <c r="A165" s="1492">
        <v>74</v>
      </c>
      <c r="B165" s="2224"/>
      <c r="C165" s="1986"/>
      <c r="D165" s="2234"/>
      <c r="E165" s="1986"/>
      <c r="F165" s="2234"/>
      <c r="G165" s="2178"/>
      <c r="H165" s="1031" t="s">
        <v>1679</v>
      </c>
      <c r="I165" s="518" t="s">
        <v>1666</v>
      </c>
      <c r="J165" s="1060" t="s">
        <v>779</v>
      </c>
      <c r="K165" s="1054">
        <v>41676</v>
      </c>
      <c r="L165" s="266">
        <v>1495</v>
      </c>
      <c r="M165" s="1995"/>
      <c r="N165" s="1054">
        <v>41676</v>
      </c>
      <c r="O165" s="1054">
        <v>42004</v>
      </c>
      <c r="P165" s="1060" t="s">
        <v>1320</v>
      </c>
      <c r="Q165" s="1060"/>
      <c r="R165" s="1030"/>
      <c r="S165" s="1030"/>
      <c r="T165" s="1060" t="s">
        <v>316</v>
      </c>
      <c r="U165" s="1357"/>
      <c r="V165" s="1054"/>
      <c r="W165" s="1030"/>
      <c r="X165" s="1060"/>
      <c r="Y165" s="1054"/>
      <c r="Z165" s="1054"/>
      <c r="AA165" s="1030"/>
      <c r="AB165" s="1030"/>
      <c r="AC165" s="266"/>
      <c r="AD165" s="1030"/>
      <c r="AE165" s="266">
        <v>1495</v>
      </c>
      <c r="AF165" s="278"/>
      <c r="AG165" s="278">
        <v>1495</v>
      </c>
      <c r="AH165" s="613">
        <f t="shared" si="6"/>
        <v>1495</v>
      </c>
      <c r="AI165" s="339"/>
      <c r="AJ165" s="339"/>
      <c r="AK165" s="107"/>
      <c r="AL165" s="107"/>
      <c r="AM165" s="1092"/>
      <c r="AN165" s="107"/>
      <c r="AO165" s="107"/>
      <c r="AP165" s="107"/>
      <c r="AQ165" s="107"/>
      <c r="AR165" s="107"/>
      <c r="AS165" s="1030"/>
      <c r="AT165" s="1030"/>
      <c r="AU165" s="1030"/>
      <c r="AV165" s="1030"/>
      <c r="AW165" s="1030"/>
      <c r="AX165" s="1030"/>
      <c r="AY165" s="1030"/>
      <c r="AZ165" s="1030"/>
      <c r="BA165" s="1030"/>
      <c r="BB165" s="1030"/>
      <c r="BC165" s="1030"/>
      <c r="BD165" s="1030"/>
    </row>
    <row r="166" spans="1:56" ht="76.5" x14ac:dyDescent="0.25">
      <c r="A166" s="1492">
        <v>75</v>
      </c>
      <c r="B166" s="1483" t="s">
        <v>1680</v>
      </c>
      <c r="C166" s="1030" t="s">
        <v>683</v>
      </c>
      <c r="D166" s="518" t="s">
        <v>1681</v>
      </c>
      <c r="E166" s="1060" t="s">
        <v>1358</v>
      </c>
      <c r="F166" s="518" t="s">
        <v>1682</v>
      </c>
      <c r="G166" s="1178">
        <v>11034</v>
      </c>
      <c r="H166" s="1031" t="s">
        <v>1210</v>
      </c>
      <c r="I166" s="518" t="s">
        <v>1683</v>
      </c>
      <c r="J166" s="1060" t="s">
        <v>1684</v>
      </c>
      <c r="K166" s="1054">
        <v>41676</v>
      </c>
      <c r="L166" s="266">
        <v>20930</v>
      </c>
      <c r="M166" s="1053">
        <v>11244</v>
      </c>
      <c r="N166" s="1054">
        <v>41676</v>
      </c>
      <c r="O166" s="1054">
        <v>42004</v>
      </c>
      <c r="P166" s="1030" t="s">
        <v>1308</v>
      </c>
      <c r="Q166" s="1060"/>
      <c r="R166" s="1030"/>
      <c r="S166" s="1030"/>
      <c r="T166" s="1060" t="s">
        <v>316</v>
      </c>
      <c r="U166" s="1357"/>
      <c r="V166" s="1054"/>
      <c r="W166" s="1030"/>
      <c r="X166" s="1060"/>
      <c r="Y166" s="1054"/>
      <c r="Z166" s="1054"/>
      <c r="AA166" s="1030"/>
      <c r="AB166" s="1030"/>
      <c r="AC166" s="266"/>
      <c r="AD166" s="1030"/>
      <c r="AE166" s="266">
        <v>20930</v>
      </c>
      <c r="AF166" s="278"/>
      <c r="AG166" s="278">
        <v>19276.53</v>
      </c>
      <c r="AH166" s="613">
        <f t="shared" si="6"/>
        <v>19276.53</v>
      </c>
      <c r="AI166" s="339" t="s">
        <v>1685</v>
      </c>
      <c r="AJ166" s="340">
        <v>11059</v>
      </c>
      <c r="AK166" s="107" t="s">
        <v>1686</v>
      </c>
      <c r="AL166" s="107"/>
      <c r="AM166" s="1092"/>
      <c r="AN166" s="107"/>
      <c r="AO166" s="107"/>
      <c r="AP166" s="107"/>
      <c r="AQ166" s="107"/>
      <c r="AR166" s="107"/>
      <c r="AS166" s="1030"/>
      <c r="AT166" s="1030"/>
      <c r="AU166" s="1030"/>
      <c r="AV166" s="1030"/>
      <c r="AW166" s="1030"/>
      <c r="AX166" s="1030"/>
      <c r="AY166" s="1030"/>
      <c r="AZ166" s="1030"/>
      <c r="BA166" s="1030"/>
      <c r="BB166" s="1030"/>
      <c r="BC166" s="1030"/>
      <c r="BD166" s="1030"/>
    </row>
    <row r="167" spans="1:56" ht="76.5" x14ac:dyDescent="0.25">
      <c r="A167" s="1492">
        <v>76</v>
      </c>
      <c r="B167" s="1483" t="s">
        <v>1687</v>
      </c>
      <c r="C167" s="1030" t="s">
        <v>686</v>
      </c>
      <c r="D167" s="518" t="s">
        <v>1688</v>
      </c>
      <c r="E167" s="1060" t="s">
        <v>168</v>
      </c>
      <c r="F167" s="518" t="s">
        <v>1689</v>
      </c>
      <c r="G167" s="1178" t="s">
        <v>677</v>
      </c>
      <c r="H167" s="1031" t="s">
        <v>1690</v>
      </c>
      <c r="I167" s="518" t="s">
        <v>1691</v>
      </c>
      <c r="J167" s="1060" t="s">
        <v>1692</v>
      </c>
      <c r="K167" s="1054">
        <v>41680</v>
      </c>
      <c r="L167" s="266">
        <v>71310.600000000006</v>
      </c>
      <c r="M167" s="1053">
        <v>11244</v>
      </c>
      <c r="N167" s="1054">
        <v>41680</v>
      </c>
      <c r="O167" s="1059">
        <v>42045</v>
      </c>
      <c r="P167" s="1030" t="s">
        <v>1308</v>
      </c>
      <c r="Q167" s="1060"/>
      <c r="R167" s="1030"/>
      <c r="S167" s="1030"/>
      <c r="T167" s="1060" t="s">
        <v>685</v>
      </c>
      <c r="U167" s="1357"/>
      <c r="V167" s="1054"/>
      <c r="W167" s="1030"/>
      <c r="X167" s="1060"/>
      <c r="Y167" s="1054"/>
      <c r="Z167" s="1054"/>
      <c r="AA167" s="1030"/>
      <c r="AB167" s="1030"/>
      <c r="AC167" s="266"/>
      <c r="AD167" s="1030"/>
      <c r="AE167" s="266">
        <v>71310.600000000006</v>
      </c>
      <c r="AF167" s="278"/>
      <c r="AG167" s="278">
        <v>38544.5</v>
      </c>
      <c r="AH167" s="613">
        <f t="shared" si="6"/>
        <v>38544.5</v>
      </c>
      <c r="AI167" s="339" t="s">
        <v>1693</v>
      </c>
      <c r="AJ167" s="339" t="s">
        <v>1694</v>
      </c>
      <c r="AK167" s="107" t="s">
        <v>1695</v>
      </c>
      <c r="AL167" s="107"/>
      <c r="AM167" s="1092"/>
      <c r="AN167" s="107"/>
      <c r="AO167" s="107"/>
      <c r="AP167" s="107"/>
      <c r="AQ167" s="107"/>
      <c r="AR167" s="107"/>
      <c r="AS167" s="1030"/>
      <c r="AT167" s="1030"/>
      <c r="AU167" s="1030"/>
      <c r="AV167" s="1030"/>
      <c r="AW167" s="1030"/>
      <c r="AX167" s="1030"/>
      <c r="AY167" s="1030"/>
      <c r="AZ167" s="1030"/>
      <c r="BA167" s="1030"/>
      <c r="BB167" s="1030"/>
      <c r="BC167" s="1030"/>
      <c r="BD167" s="1030"/>
    </row>
    <row r="168" spans="1:56" ht="63.75" x14ac:dyDescent="0.25">
      <c r="A168" s="1492">
        <v>77</v>
      </c>
      <c r="B168" s="1483" t="s">
        <v>1696</v>
      </c>
      <c r="C168" s="1030" t="s">
        <v>704</v>
      </c>
      <c r="D168" s="518" t="s">
        <v>1697</v>
      </c>
      <c r="E168" s="1060" t="s">
        <v>168</v>
      </c>
      <c r="F168" s="518" t="s">
        <v>1698</v>
      </c>
      <c r="G168" s="1178" t="s">
        <v>677</v>
      </c>
      <c r="H168" s="1031" t="s">
        <v>1699</v>
      </c>
      <c r="I168" s="518" t="s">
        <v>1566</v>
      </c>
      <c r="J168" s="1060" t="s">
        <v>1179</v>
      </c>
      <c r="K168" s="1054">
        <v>41680</v>
      </c>
      <c r="L168" s="266">
        <v>88650</v>
      </c>
      <c r="M168" s="1053">
        <v>11244</v>
      </c>
      <c r="N168" s="1054">
        <v>41680</v>
      </c>
      <c r="O168" s="1054">
        <v>42004</v>
      </c>
      <c r="P168" s="1030" t="s">
        <v>1308</v>
      </c>
      <c r="Q168" s="1060"/>
      <c r="R168" s="1030"/>
      <c r="S168" s="1030"/>
      <c r="T168" s="1060" t="s">
        <v>678</v>
      </c>
      <c r="U168" s="1357"/>
      <c r="V168" s="1054"/>
      <c r="W168" s="1030"/>
      <c r="X168" s="1060"/>
      <c r="Y168" s="1054"/>
      <c r="Z168" s="1054"/>
      <c r="AA168" s="1030"/>
      <c r="AB168" s="1030"/>
      <c r="AC168" s="266"/>
      <c r="AD168" s="1030"/>
      <c r="AE168" s="266">
        <v>88650</v>
      </c>
      <c r="AF168" s="278"/>
      <c r="AG168" s="1383">
        <v>88650</v>
      </c>
      <c r="AH168" s="613">
        <f t="shared" si="6"/>
        <v>88650</v>
      </c>
      <c r="AI168" s="339" t="s">
        <v>1006</v>
      </c>
      <c r="AJ168" s="340">
        <v>11095</v>
      </c>
      <c r="AK168" s="107" t="s">
        <v>1700</v>
      </c>
      <c r="AL168" s="107"/>
      <c r="AM168" s="1092"/>
      <c r="AN168" s="107"/>
      <c r="AO168" s="107"/>
      <c r="AP168" s="107"/>
      <c r="AQ168" s="107"/>
      <c r="AR168" s="107"/>
      <c r="AS168" s="1030"/>
      <c r="AT168" s="1030"/>
      <c r="AU168" s="1030"/>
      <c r="AV168" s="1030"/>
      <c r="AW168" s="1030"/>
      <c r="AX168" s="1030"/>
      <c r="AY168" s="1030"/>
      <c r="AZ168" s="1030"/>
      <c r="BA168" s="1030"/>
      <c r="BB168" s="1030"/>
      <c r="BC168" s="1030"/>
      <c r="BD168" s="1030"/>
    </row>
    <row r="169" spans="1:56" ht="76.5" x14ac:dyDescent="0.25">
      <c r="A169" s="1492">
        <v>78</v>
      </c>
      <c r="B169" s="1483" t="s">
        <v>1701</v>
      </c>
      <c r="C169" s="1030" t="s">
        <v>1702</v>
      </c>
      <c r="D169" s="518" t="s">
        <v>1703</v>
      </c>
      <c r="E169" s="1060" t="s">
        <v>1358</v>
      </c>
      <c r="F169" s="518" t="s">
        <v>1704</v>
      </c>
      <c r="G169" s="1178" t="s">
        <v>677</v>
      </c>
      <c r="H169" s="1031" t="s">
        <v>1705</v>
      </c>
      <c r="I169" s="518" t="s">
        <v>1706</v>
      </c>
      <c r="J169" s="1060" t="s">
        <v>1707</v>
      </c>
      <c r="K169" s="1054">
        <v>41681</v>
      </c>
      <c r="L169" s="266">
        <v>318364</v>
      </c>
      <c r="M169" s="1053">
        <v>11244</v>
      </c>
      <c r="N169" s="1054">
        <v>41681</v>
      </c>
      <c r="O169" s="1054">
        <v>42004</v>
      </c>
      <c r="P169" s="1030" t="s">
        <v>1308</v>
      </c>
      <c r="Q169" s="1060"/>
      <c r="R169" s="1030"/>
      <c r="S169" s="1030"/>
      <c r="T169" s="1060" t="s">
        <v>719</v>
      </c>
      <c r="U169" s="1357"/>
      <c r="V169" s="1054"/>
      <c r="W169" s="1030"/>
      <c r="X169" s="1060"/>
      <c r="Y169" s="1054"/>
      <c r="Z169" s="1054"/>
      <c r="AA169" s="1030"/>
      <c r="AB169" s="1030"/>
      <c r="AC169" s="266"/>
      <c r="AD169" s="1030"/>
      <c r="AE169" s="266">
        <v>318364</v>
      </c>
      <c r="AF169" s="278"/>
      <c r="AG169" s="278">
        <v>170464.5</v>
      </c>
      <c r="AH169" s="613">
        <f t="shared" si="6"/>
        <v>170464.5</v>
      </c>
      <c r="AI169" s="339" t="s">
        <v>1708</v>
      </c>
      <c r="AJ169" s="340">
        <v>11025</v>
      </c>
      <c r="AK169" s="1092" t="s">
        <v>1709</v>
      </c>
      <c r="AL169" s="107"/>
      <c r="AM169" s="1092"/>
      <c r="AN169" s="107"/>
      <c r="AO169" s="107"/>
      <c r="AP169" s="107"/>
      <c r="AQ169" s="107"/>
      <c r="AR169" s="107"/>
      <c r="AS169" s="1030"/>
      <c r="AT169" s="1030"/>
      <c r="AU169" s="1030"/>
      <c r="AV169" s="1030"/>
      <c r="AW169" s="1030"/>
      <c r="AX169" s="1030"/>
      <c r="AY169" s="1030"/>
      <c r="AZ169" s="1030"/>
      <c r="BA169" s="1030"/>
      <c r="BB169" s="1030"/>
      <c r="BC169" s="1030"/>
      <c r="BD169" s="1030"/>
    </row>
    <row r="170" spans="1:56" ht="38.25" x14ac:dyDescent="0.25">
      <c r="A170" s="1492">
        <v>79</v>
      </c>
      <c r="B170" s="1483" t="s">
        <v>1710</v>
      </c>
      <c r="C170" s="1357" t="s">
        <v>1639</v>
      </c>
      <c r="D170" s="518" t="s">
        <v>1548</v>
      </c>
      <c r="E170" s="1060" t="s">
        <v>1358</v>
      </c>
      <c r="F170" s="518" t="s">
        <v>1711</v>
      </c>
      <c r="G170" s="1178">
        <v>11067</v>
      </c>
      <c r="H170" s="1031" t="s">
        <v>1712</v>
      </c>
      <c r="I170" s="518" t="s">
        <v>1678</v>
      </c>
      <c r="J170" s="1060" t="s">
        <v>470</v>
      </c>
      <c r="K170" s="1054">
        <v>41681</v>
      </c>
      <c r="L170" s="266">
        <v>1081129.3</v>
      </c>
      <c r="M170" s="1053">
        <v>11245</v>
      </c>
      <c r="N170" s="1054">
        <v>41681</v>
      </c>
      <c r="O170" s="1054">
        <v>42004</v>
      </c>
      <c r="P170" s="1060" t="s">
        <v>1320</v>
      </c>
      <c r="Q170" s="1060"/>
      <c r="R170" s="1030"/>
      <c r="S170" s="1030"/>
      <c r="T170" s="1060" t="s">
        <v>719</v>
      </c>
      <c r="U170" s="1357"/>
      <c r="V170" s="1054"/>
      <c r="W170" s="1030"/>
      <c r="X170" s="1060"/>
      <c r="Y170" s="1054"/>
      <c r="Z170" s="1054"/>
      <c r="AA170" s="1030"/>
      <c r="AB170" s="1030"/>
      <c r="AC170" s="266"/>
      <c r="AD170" s="1030"/>
      <c r="AE170" s="266">
        <v>1081129.3</v>
      </c>
      <c r="AF170" s="278"/>
      <c r="AG170" s="278">
        <v>719676.65</v>
      </c>
      <c r="AH170" s="613">
        <f t="shared" si="6"/>
        <v>719676.65</v>
      </c>
      <c r="AI170" s="339"/>
      <c r="AJ170" s="339"/>
      <c r="AK170" s="107"/>
      <c r="AL170" s="107"/>
      <c r="AM170" s="1092"/>
      <c r="AN170" s="107"/>
      <c r="AO170" s="107"/>
      <c r="AP170" s="107"/>
      <c r="AQ170" s="107"/>
      <c r="AR170" s="107"/>
      <c r="AS170" s="1030"/>
      <c r="AT170" s="1030"/>
      <c r="AU170" s="1030"/>
      <c r="AV170" s="1030"/>
      <c r="AW170" s="1030"/>
      <c r="AX170" s="1030"/>
      <c r="AY170" s="1030"/>
      <c r="AZ170" s="1030"/>
      <c r="BA170" s="1030"/>
      <c r="BB170" s="1030"/>
      <c r="BC170" s="1030"/>
      <c r="BD170" s="1030"/>
    </row>
    <row r="171" spans="1:56" ht="38.25" x14ac:dyDescent="0.25">
      <c r="A171" s="1492">
        <v>80</v>
      </c>
      <c r="B171" s="1483" t="s">
        <v>1713</v>
      </c>
      <c r="C171" s="1030" t="s">
        <v>381</v>
      </c>
      <c r="D171" s="518" t="s">
        <v>1548</v>
      </c>
      <c r="E171" s="1060" t="s">
        <v>1358</v>
      </c>
      <c r="F171" s="518" t="s">
        <v>1714</v>
      </c>
      <c r="G171" s="1178">
        <v>11211</v>
      </c>
      <c r="H171" s="1031" t="s">
        <v>1715</v>
      </c>
      <c r="I171" s="518" t="s">
        <v>1678</v>
      </c>
      <c r="J171" s="1060" t="s">
        <v>470</v>
      </c>
      <c r="K171" s="1054">
        <v>41681</v>
      </c>
      <c r="L171" s="266">
        <v>755325</v>
      </c>
      <c r="M171" s="1053">
        <v>11245</v>
      </c>
      <c r="N171" s="1054">
        <v>41681</v>
      </c>
      <c r="O171" s="1054">
        <v>42004</v>
      </c>
      <c r="P171" s="1060" t="s">
        <v>1320</v>
      </c>
      <c r="Q171" s="1060"/>
      <c r="R171" s="1030"/>
      <c r="S171" s="1030"/>
      <c r="T171" s="1060" t="s">
        <v>719</v>
      </c>
      <c r="U171" s="1357"/>
      <c r="V171" s="1054"/>
      <c r="W171" s="1030"/>
      <c r="X171" s="1060"/>
      <c r="Y171" s="1054"/>
      <c r="Z171" s="1054"/>
      <c r="AA171" s="1030"/>
      <c r="AB171" s="1030"/>
      <c r="AC171" s="266"/>
      <c r="AD171" s="1030"/>
      <c r="AE171" s="266">
        <v>755325</v>
      </c>
      <c r="AF171" s="278"/>
      <c r="AG171" s="278">
        <v>722985.65</v>
      </c>
      <c r="AH171" s="613">
        <f t="shared" si="6"/>
        <v>722985.65</v>
      </c>
      <c r="AI171" s="339"/>
      <c r="AJ171" s="339"/>
      <c r="AK171" s="107"/>
      <c r="AL171" s="107"/>
      <c r="AM171" s="1092"/>
      <c r="AN171" s="107"/>
      <c r="AO171" s="107"/>
      <c r="AP171" s="107"/>
      <c r="AQ171" s="107"/>
      <c r="AR171" s="107"/>
      <c r="AS171" s="1030"/>
      <c r="AT171" s="1030"/>
      <c r="AU171" s="1030"/>
      <c r="AV171" s="1030"/>
      <c r="AW171" s="1030"/>
      <c r="AX171" s="1030"/>
      <c r="AY171" s="1030"/>
      <c r="AZ171" s="1030"/>
      <c r="BA171" s="1030"/>
      <c r="BB171" s="1030"/>
      <c r="BC171" s="1030"/>
      <c r="BD171" s="1030"/>
    </row>
    <row r="172" spans="1:56" ht="51" x14ac:dyDescent="0.25">
      <c r="A172" s="1492">
        <v>81</v>
      </c>
      <c r="B172" s="1483" t="s">
        <v>1716</v>
      </c>
      <c r="C172" s="1030" t="s">
        <v>1717</v>
      </c>
      <c r="D172" s="518" t="s">
        <v>1548</v>
      </c>
      <c r="E172" s="1060" t="s">
        <v>1358</v>
      </c>
      <c r="F172" s="518" t="s">
        <v>1718</v>
      </c>
      <c r="G172" s="1178">
        <v>11184</v>
      </c>
      <c r="H172" s="1031" t="s">
        <v>1719</v>
      </c>
      <c r="I172" s="518" t="s">
        <v>1678</v>
      </c>
      <c r="J172" s="1060" t="s">
        <v>470</v>
      </c>
      <c r="K172" s="1054">
        <v>41681</v>
      </c>
      <c r="L172" s="266">
        <v>716850</v>
      </c>
      <c r="M172" s="1053">
        <v>11245</v>
      </c>
      <c r="N172" s="1054">
        <v>41681</v>
      </c>
      <c r="O172" s="1054">
        <v>42004</v>
      </c>
      <c r="P172" s="1060" t="s">
        <v>1320</v>
      </c>
      <c r="Q172" s="1060"/>
      <c r="R172" s="1030"/>
      <c r="S172" s="1030"/>
      <c r="T172" s="1060" t="s">
        <v>719</v>
      </c>
      <c r="U172" s="1357"/>
      <c r="V172" s="1054"/>
      <c r="W172" s="1030"/>
      <c r="X172" s="1060"/>
      <c r="Y172" s="1054"/>
      <c r="Z172" s="1054"/>
      <c r="AA172" s="1030"/>
      <c r="AB172" s="1030"/>
      <c r="AC172" s="266"/>
      <c r="AD172" s="1030"/>
      <c r="AE172" s="266">
        <v>716850</v>
      </c>
      <c r="AF172" s="278"/>
      <c r="AG172" s="278">
        <v>716850</v>
      </c>
      <c r="AH172" s="613">
        <f t="shared" si="6"/>
        <v>716850</v>
      </c>
      <c r="AI172" s="339"/>
      <c r="AJ172" s="339"/>
      <c r="AK172" s="107"/>
      <c r="AL172" s="107"/>
      <c r="AM172" s="1092"/>
      <c r="AN172" s="107"/>
      <c r="AO172" s="107"/>
      <c r="AP172" s="107"/>
      <c r="AQ172" s="107"/>
      <c r="AR172" s="107"/>
      <c r="AS172" s="1030"/>
      <c r="AT172" s="1030"/>
      <c r="AU172" s="1030"/>
      <c r="AV172" s="1030"/>
      <c r="AW172" s="1030"/>
      <c r="AX172" s="1030"/>
      <c r="AY172" s="1030"/>
      <c r="AZ172" s="1030"/>
      <c r="BA172" s="1030"/>
      <c r="BB172" s="1030"/>
      <c r="BC172" s="1030"/>
      <c r="BD172" s="1030"/>
    </row>
    <row r="173" spans="1:56" ht="63.75" x14ac:dyDescent="0.25">
      <c r="A173" s="1492">
        <v>82</v>
      </c>
      <c r="B173" s="1483" t="s">
        <v>1720</v>
      </c>
      <c r="C173" s="1030" t="s">
        <v>381</v>
      </c>
      <c r="D173" s="518" t="s">
        <v>1721</v>
      </c>
      <c r="E173" s="1060" t="s">
        <v>1358</v>
      </c>
      <c r="F173" s="518" t="s">
        <v>1722</v>
      </c>
      <c r="G173" s="1178">
        <v>11175</v>
      </c>
      <c r="H173" s="1031" t="s">
        <v>1723</v>
      </c>
      <c r="I173" s="518" t="s">
        <v>1724</v>
      </c>
      <c r="J173" s="1060" t="s">
        <v>343</v>
      </c>
      <c r="K173" s="1054">
        <v>41682</v>
      </c>
      <c r="L173" s="266">
        <v>114950</v>
      </c>
      <c r="M173" s="1053">
        <v>11249</v>
      </c>
      <c r="N173" s="1054">
        <v>41682</v>
      </c>
      <c r="O173" s="1059">
        <v>42046</v>
      </c>
      <c r="P173" s="1030" t="s">
        <v>1308</v>
      </c>
      <c r="Q173" s="1060"/>
      <c r="R173" s="1030"/>
      <c r="S173" s="1030"/>
      <c r="T173" s="1060" t="s">
        <v>685</v>
      </c>
      <c r="U173" s="1357" t="s">
        <v>867</v>
      </c>
      <c r="V173" s="1054">
        <v>41878</v>
      </c>
      <c r="W173" s="1053">
        <v>11387</v>
      </c>
      <c r="X173" s="114" t="s">
        <v>7544</v>
      </c>
      <c r="Y173" s="1054"/>
      <c r="Z173" s="1054"/>
      <c r="AA173" s="1380">
        <f>AC173/L173*100</f>
        <v>24.915180513266638</v>
      </c>
      <c r="AB173" s="1030"/>
      <c r="AC173" s="1381">
        <v>28640</v>
      </c>
      <c r="AD173" s="1030"/>
      <c r="AE173" s="266">
        <f>L173-AD173+AC173</f>
        <v>143590</v>
      </c>
      <c r="AF173" s="278"/>
      <c r="AG173" s="278">
        <v>141747.75</v>
      </c>
      <c r="AH173" s="613">
        <f t="shared" si="6"/>
        <v>141747.75</v>
      </c>
      <c r="AI173" s="339" t="s">
        <v>344</v>
      </c>
      <c r="AJ173" s="340">
        <v>11187</v>
      </c>
      <c r="AK173" s="107" t="s">
        <v>1725</v>
      </c>
      <c r="AL173" s="107"/>
      <c r="AM173" s="1092"/>
      <c r="AN173" s="107"/>
      <c r="AO173" s="107"/>
      <c r="AP173" s="107"/>
      <c r="AQ173" s="107"/>
      <c r="AR173" s="107"/>
      <c r="AS173" s="1030"/>
      <c r="AT173" s="1030"/>
      <c r="AU173" s="1030"/>
      <c r="AV173" s="1030"/>
      <c r="AW173" s="1030"/>
      <c r="AX173" s="1030"/>
      <c r="AY173" s="1030"/>
      <c r="AZ173" s="1030"/>
      <c r="BA173" s="1030"/>
      <c r="BB173" s="1030"/>
      <c r="BC173" s="1030"/>
      <c r="BD173" s="1030"/>
    </row>
    <row r="174" spans="1:56" ht="51" x14ac:dyDescent="0.25">
      <c r="A174" s="1492">
        <v>83</v>
      </c>
      <c r="B174" s="1483" t="s">
        <v>1726</v>
      </c>
      <c r="C174" s="1030" t="s">
        <v>1374</v>
      </c>
      <c r="D174" s="518" t="s">
        <v>1548</v>
      </c>
      <c r="E174" s="1060" t="s">
        <v>1358</v>
      </c>
      <c r="F174" s="518" t="s">
        <v>1727</v>
      </c>
      <c r="G174" s="1178">
        <v>11184</v>
      </c>
      <c r="H174" s="1031" t="s">
        <v>1728</v>
      </c>
      <c r="I174" s="518" t="s">
        <v>1678</v>
      </c>
      <c r="J174" s="1060" t="s">
        <v>470</v>
      </c>
      <c r="K174" s="1054">
        <v>41682</v>
      </c>
      <c r="L174" s="266">
        <v>500000</v>
      </c>
      <c r="M174" s="1053">
        <v>11245</v>
      </c>
      <c r="N174" s="1054">
        <v>41682</v>
      </c>
      <c r="O174" s="1054">
        <v>42004</v>
      </c>
      <c r="P174" s="1060" t="s">
        <v>1320</v>
      </c>
      <c r="Q174" s="1060"/>
      <c r="R174" s="1030"/>
      <c r="S174" s="1030"/>
      <c r="T174" s="1060" t="s">
        <v>719</v>
      </c>
      <c r="U174" s="1357"/>
      <c r="V174" s="1054"/>
      <c r="W174" s="1030"/>
      <c r="X174" s="1060"/>
      <c r="Y174" s="1054"/>
      <c r="Z174" s="1054"/>
      <c r="AA174" s="1030"/>
      <c r="AB174" s="1030"/>
      <c r="AC174" s="266"/>
      <c r="AD174" s="1030"/>
      <c r="AE174" s="266">
        <v>500000</v>
      </c>
      <c r="AF174" s="278"/>
      <c r="AG174" s="278">
        <v>500000</v>
      </c>
      <c r="AH174" s="613">
        <f t="shared" si="6"/>
        <v>500000</v>
      </c>
      <c r="AI174" s="339"/>
      <c r="AJ174" s="339"/>
      <c r="AK174" s="107"/>
      <c r="AL174" s="107"/>
      <c r="AM174" s="1092"/>
      <c r="AN174" s="107"/>
      <c r="AO174" s="107"/>
      <c r="AP174" s="107"/>
      <c r="AQ174" s="107"/>
      <c r="AR174" s="107"/>
      <c r="AS174" s="1030"/>
      <c r="AT174" s="1030"/>
      <c r="AU174" s="1030"/>
      <c r="AV174" s="1030"/>
      <c r="AW174" s="1030"/>
      <c r="AX174" s="1030"/>
      <c r="AY174" s="1030"/>
      <c r="AZ174" s="1030"/>
      <c r="BA174" s="1030"/>
      <c r="BB174" s="1030"/>
      <c r="BC174" s="1030"/>
      <c r="BD174" s="1030"/>
    </row>
    <row r="175" spans="1:56" ht="63.75" x14ac:dyDescent="0.25">
      <c r="A175" s="1492">
        <v>84</v>
      </c>
      <c r="B175" s="1483" t="s">
        <v>1729</v>
      </c>
      <c r="C175" s="1030" t="s">
        <v>1378</v>
      </c>
      <c r="D175" s="518" t="s">
        <v>1548</v>
      </c>
      <c r="E175" s="1060" t="s">
        <v>1358</v>
      </c>
      <c r="F175" s="518" t="s">
        <v>1730</v>
      </c>
      <c r="G175" s="1178">
        <v>11185</v>
      </c>
      <c r="H175" s="1031" t="s">
        <v>1731</v>
      </c>
      <c r="I175" s="518" t="s">
        <v>1732</v>
      </c>
      <c r="J175" s="1060" t="s">
        <v>1021</v>
      </c>
      <c r="K175" s="1054">
        <v>41683</v>
      </c>
      <c r="L175" s="266">
        <v>36110</v>
      </c>
      <c r="M175" s="1053">
        <v>11248</v>
      </c>
      <c r="N175" s="1054">
        <v>41683</v>
      </c>
      <c r="O175" s="1054">
        <v>42004</v>
      </c>
      <c r="P175" s="1060" t="s">
        <v>1320</v>
      </c>
      <c r="Q175" s="1060"/>
      <c r="R175" s="1030"/>
      <c r="S175" s="1030"/>
      <c r="T175" s="1060" t="s">
        <v>719</v>
      </c>
      <c r="U175" s="1357" t="s">
        <v>1355</v>
      </c>
      <c r="V175" s="1054">
        <v>41943</v>
      </c>
      <c r="W175" s="1053">
        <v>11432</v>
      </c>
      <c r="X175" s="1060" t="s">
        <v>1733</v>
      </c>
      <c r="Y175" s="1054"/>
      <c r="Z175" s="1054"/>
      <c r="AA175" s="1030"/>
      <c r="AB175" s="1030"/>
      <c r="AC175" s="266"/>
      <c r="AD175" s="1030"/>
      <c r="AE175" s="266">
        <v>36110</v>
      </c>
      <c r="AF175" s="278"/>
      <c r="AG175" s="278">
        <v>17953.75</v>
      </c>
      <c r="AH175" s="613">
        <f t="shared" si="6"/>
        <v>17953.75</v>
      </c>
      <c r="AI175" s="339"/>
      <c r="AJ175" s="339"/>
      <c r="AK175" s="107"/>
      <c r="AL175" s="107"/>
      <c r="AM175" s="1092"/>
      <c r="AN175" s="107"/>
      <c r="AO175" s="107"/>
      <c r="AP175" s="107"/>
      <c r="AQ175" s="107"/>
      <c r="AR175" s="107"/>
      <c r="AS175" s="1030"/>
      <c r="AT175" s="1030"/>
      <c r="AU175" s="1030"/>
      <c r="AV175" s="1030"/>
      <c r="AW175" s="1030"/>
      <c r="AX175" s="1030"/>
      <c r="AY175" s="1030"/>
      <c r="AZ175" s="1030"/>
      <c r="BA175" s="1030"/>
      <c r="BB175" s="1030"/>
      <c r="BC175" s="1030"/>
      <c r="BD175" s="1030"/>
    </row>
    <row r="176" spans="1:56" ht="21" customHeight="1" x14ac:dyDescent="0.25">
      <c r="A176" s="1492">
        <v>85</v>
      </c>
      <c r="B176" s="2222" t="s">
        <v>1734</v>
      </c>
      <c r="C176" s="1985" t="s">
        <v>1735</v>
      </c>
      <c r="D176" s="2233" t="s">
        <v>1548</v>
      </c>
      <c r="E176" s="1985" t="s">
        <v>1358</v>
      </c>
      <c r="F176" s="2233" t="s">
        <v>1736</v>
      </c>
      <c r="G176" s="2177">
        <v>11145</v>
      </c>
      <c r="H176" s="1031" t="s">
        <v>1737</v>
      </c>
      <c r="I176" s="518" t="s">
        <v>1732</v>
      </c>
      <c r="J176" s="1060" t="s">
        <v>1021</v>
      </c>
      <c r="K176" s="1054">
        <v>41683</v>
      </c>
      <c r="L176" s="266">
        <v>6769.05</v>
      </c>
      <c r="M176" s="1053">
        <v>11248</v>
      </c>
      <c r="N176" s="1054">
        <v>41683</v>
      </c>
      <c r="O176" s="1054">
        <v>42004</v>
      </c>
      <c r="P176" s="1030" t="s">
        <v>1308</v>
      </c>
      <c r="Q176" s="1060"/>
      <c r="R176" s="1030"/>
      <c r="S176" s="1030"/>
      <c r="T176" s="1060" t="s">
        <v>719</v>
      </c>
      <c r="U176" s="1357"/>
      <c r="V176" s="1054"/>
      <c r="W176" s="1030"/>
      <c r="X176" s="1060"/>
      <c r="Y176" s="1054"/>
      <c r="Z176" s="1054"/>
      <c r="AA176" s="1030"/>
      <c r="AB176" s="1030"/>
      <c r="AC176" s="266"/>
      <c r="AD176" s="1030"/>
      <c r="AE176" s="266">
        <v>6769.05</v>
      </c>
      <c r="AF176" s="278"/>
      <c r="AG176" s="278">
        <v>6769.05</v>
      </c>
      <c r="AH176" s="613">
        <f>AF176+AG176</f>
        <v>6769.05</v>
      </c>
      <c r="AI176" s="339"/>
      <c r="AJ176" s="339"/>
      <c r="AK176" s="107"/>
      <c r="AL176" s="107"/>
      <c r="AM176" s="1092"/>
      <c r="AN176" s="107"/>
      <c r="AO176" s="107"/>
      <c r="AP176" s="107"/>
      <c r="AQ176" s="107"/>
      <c r="AR176" s="107"/>
      <c r="AS176" s="1030"/>
      <c r="AT176" s="1030"/>
      <c r="AU176" s="1030"/>
      <c r="AV176" s="1030"/>
      <c r="AW176" s="1030"/>
      <c r="AX176" s="1030"/>
      <c r="AY176" s="1030"/>
      <c r="AZ176" s="1030"/>
      <c r="BA176" s="1030"/>
      <c r="BB176" s="1030"/>
      <c r="BC176" s="1030"/>
      <c r="BD176" s="1030"/>
    </row>
    <row r="177" spans="1:56" ht="18" customHeight="1" x14ac:dyDescent="0.25">
      <c r="A177" s="1492">
        <v>86</v>
      </c>
      <c r="B177" s="2223"/>
      <c r="C177" s="2021"/>
      <c r="D177" s="2252"/>
      <c r="E177" s="2021"/>
      <c r="F177" s="2252"/>
      <c r="G177" s="2180"/>
      <c r="H177" s="1031" t="s">
        <v>1738</v>
      </c>
      <c r="I177" s="518" t="s">
        <v>1739</v>
      </c>
      <c r="J177" s="1060" t="s">
        <v>1740</v>
      </c>
      <c r="K177" s="1054">
        <v>41683</v>
      </c>
      <c r="L177" s="266">
        <v>5499.8</v>
      </c>
      <c r="M177" s="1053">
        <v>11252</v>
      </c>
      <c r="N177" s="1054">
        <v>41683</v>
      </c>
      <c r="O177" s="1054">
        <v>42004</v>
      </c>
      <c r="P177" s="1030" t="s">
        <v>1308</v>
      </c>
      <c r="Q177" s="1060"/>
      <c r="R177" s="1030"/>
      <c r="S177" s="1030"/>
      <c r="T177" s="1060" t="s">
        <v>719</v>
      </c>
      <c r="U177" s="1357"/>
      <c r="V177" s="1054"/>
      <c r="W177" s="1030"/>
      <c r="X177" s="1060"/>
      <c r="Y177" s="1054"/>
      <c r="Z177" s="1054"/>
      <c r="AA177" s="1030"/>
      <c r="AB177" s="1030"/>
      <c r="AC177" s="266"/>
      <c r="AD177" s="1030"/>
      <c r="AE177" s="266">
        <v>5499.8</v>
      </c>
      <c r="AF177" s="278"/>
      <c r="AG177" s="278">
        <v>5499.8</v>
      </c>
      <c r="AH177" s="613">
        <f t="shared" si="6"/>
        <v>5499.8</v>
      </c>
      <c r="AI177" s="339"/>
      <c r="AJ177" s="339"/>
      <c r="AK177" s="107"/>
      <c r="AL177" s="107"/>
      <c r="AM177" s="1092"/>
      <c r="AN177" s="107"/>
      <c r="AO177" s="107"/>
      <c r="AP177" s="107"/>
      <c r="AQ177" s="107"/>
      <c r="AR177" s="107"/>
      <c r="AS177" s="1030"/>
      <c r="AT177" s="1030"/>
      <c r="AU177" s="1030"/>
      <c r="AV177" s="1030"/>
      <c r="AW177" s="1030"/>
      <c r="AX177" s="1030"/>
      <c r="AY177" s="1030"/>
      <c r="AZ177" s="1030"/>
      <c r="BA177" s="1030"/>
      <c r="BB177" s="1030"/>
      <c r="BC177" s="1030"/>
      <c r="BD177" s="1030"/>
    </row>
    <row r="178" spans="1:56" ht="38.25" x14ac:dyDescent="0.25">
      <c r="A178" s="1492">
        <v>87</v>
      </c>
      <c r="B178" s="2224"/>
      <c r="C178" s="1986"/>
      <c r="D178" s="2234"/>
      <c r="E178" s="1986"/>
      <c r="F178" s="2234"/>
      <c r="G178" s="2178"/>
      <c r="H178" s="1031" t="s">
        <v>1741</v>
      </c>
      <c r="I178" s="518" t="s">
        <v>1742</v>
      </c>
      <c r="J178" s="1060" t="s">
        <v>779</v>
      </c>
      <c r="K178" s="1054">
        <v>41683</v>
      </c>
      <c r="L178" s="266">
        <v>3978.75</v>
      </c>
      <c r="M178" s="1053">
        <v>11250</v>
      </c>
      <c r="N178" s="1054">
        <v>41683</v>
      </c>
      <c r="O178" s="1054">
        <v>42004</v>
      </c>
      <c r="P178" s="1030" t="s">
        <v>1308</v>
      </c>
      <c r="Q178" s="1060"/>
      <c r="R178" s="1030"/>
      <c r="S178" s="1030"/>
      <c r="T178" s="1060" t="s">
        <v>719</v>
      </c>
      <c r="U178" s="1357"/>
      <c r="V178" s="1054"/>
      <c r="W178" s="1030"/>
      <c r="X178" s="1060"/>
      <c r="Y178" s="1054"/>
      <c r="Z178" s="1054"/>
      <c r="AA178" s="1030"/>
      <c r="AB178" s="1030"/>
      <c r="AC178" s="266"/>
      <c r="AD178" s="1030"/>
      <c r="AE178" s="266">
        <v>3978.75</v>
      </c>
      <c r="AF178" s="278"/>
      <c r="AG178" s="278">
        <v>3978.75</v>
      </c>
      <c r="AH178" s="613">
        <f t="shared" si="6"/>
        <v>3978.75</v>
      </c>
      <c r="AI178" s="339"/>
      <c r="AJ178" s="339"/>
      <c r="AK178" s="107"/>
      <c r="AL178" s="107"/>
      <c r="AM178" s="1092"/>
      <c r="AN178" s="107"/>
      <c r="AO178" s="107"/>
      <c r="AP178" s="107"/>
      <c r="AQ178" s="107"/>
      <c r="AR178" s="107"/>
      <c r="AS178" s="1030"/>
      <c r="AT178" s="1030"/>
      <c r="AU178" s="1030"/>
      <c r="AV178" s="1030"/>
      <c r="AW178" s="1030"/>
      <c r="AX178" s="1030"/>
      <c r="AY178" s="1030"/>
      <c r="AZ178" s="1030"/>
      <c r="BA178" s="1030"/>
      <c r="BB178" s="1030"/>
      <c r="BC178" s="1030"/>
      <c r="BD178" s="1030"/>
    </row>
    <row r="179" spans="1:56" ht="51" x14ac:dyDescent="0.25">
      <c r="A179" s="1492">
        <v>88</v>
      </c>
      <c r="B179" s="1483" t="s">
        <v>1743</v>
      </c>
      <c r="C179" s="1030" t="s">
        <v>1744</v>
      </c>
      <c r="D179" s="518" t="s">
        <v>1548</v>
      </c>
      <c r="E179" s="1060" t="s">
        <v>1358</v>
      </c>
      <c r="F179" s="518" t="s">
        <v>1745</v>
      </c>
      <c r="G179" s="1178">
        <v>11063</v>
      </c>
      <c r="H179" s="1031" t="s">
        <v>383</v>
      </c>
      <c r="I179" s="518" t="s">
        <v>1746</v>
      </c>
      <c r="J179" s="1060" t="s">
        <v>197</v>
      </c>
      <c r="K179" s="1054">
        <v>41684</v>
      </c>
      <c r="L179" s="266">
        <v>348156.36</v>
      </c>
      <c r="M179" s="1053">
        <v>11245</v>
      </c>
      <c r="N179" s="1054">
        <v>41684</v>
      </c>
      <c r="O179" s="1059">
        <v>42048</v>
      </c>
      <c r="P179" s="1060" t="s">
        <v>1320</v>
      </c>
      <c r="Q179" s="1060"/>
      <c r="R179" s="1030"/>
      <c r="S179" s="1030"/>
      <c r="T179" s="1060" t="s">
        <v>233</v>
      </c>
      <c r="U179" s="1357"/>
      <c r="V179" s="1054"/>
      <c r="W179" s="1030"/>
      <c r="X179" s="1060"/>
      <c r="Y179" s="1054"/>
      <c r="Z179" s="1054"/>
      <c r="AA179" s="1030"/>
      <c r="AB179" s="1030"/>
      <c r="AC179" s="266"/>
      <c r="AD179" s="1030"/>
      <c r="AE179" s="266">
        <v>348156.36</v>
      </c>
      <c r="AF179" s="278"/>
      <c r="AG179" s="278">
        <v>296083.14</v>
      </c>
      <c r="AH179" s="613">
        <f t="shared" si="6"/>
        <v>296083.14</v>
      </c>
      <c r="AI179" s="339"/>
      <c r="AJ179" s="339"/>
      <c r="AK179" s="107"/>
      <c r="AL179" s="107"/>
      <c r="AM179" s="1092"/>
      <c r="AN179" s="107"/>
      <c r="AO179" s="107"/>
      <c r="AP179" s="107"/>
      <c r="AQ179" s="107"/>
      <c r="AR179" s="107"/>
      <c r="AS179" s="1030"/>
      <c r="AT179" s="1030"/>
      <c r="AU179" s="1030"/>
      <c r="AV179" s="1030"/>
      <c r="AW179" s="1030"/>
      <c r="AX179" s="1030"/>
      <c r="AY179" s="1030"/>
      <c r="AZ179" s="1030"/>
      <c r="BA179" s="1030"/>
      <c r="BB179" s="1030"/>
      <c r="BC179" s="1030"/>
      <c r="BD179" s="1030"/>
    </row>
    <row r="180" spans="1:56" ht="51" x14ac:dyDescent="0.25">
      <c r="A180" s="1492">
        <v>89</v>
      </c>
      <c r="B180" s="2222" t="s">
        <v>1747</v>
      </c>
      <c r="C180" s="1985" t="s">
        <v>1748</v>
      </c>
      <c r="D180" s="2233" t="s">
        <v>1548</v>
      </c>
      <c r="E180" s="1985" t="s">
        <v>1358</v>
      </c>
      <c r="F180" s="2233" t="s">
        <v>1749</v>
      </c>
      <c r="G180" s="2177">
        <v>11157</v>
      </c>
      <c r="H180" s="1031" t="s">
        <v>1750</v>
      </c>
      <c r="I180" s="518" t="s">
        <v>1751</v>
      </c>
      <c r="J180" s="1060" t="s">
        <v>315</v>
      </c>
      <c r="K180" s="1054">
        <v>41687</v>
      </c>
      <c r="L180" s="266">
        <v>55473.85</v>
      </c>
      <c r="M180" s="1053">
        <v>11249</v>
      </c>
      <c r="N180" s="1054">
        <v>41687</v>
      </c>
      <c r="O180" s="1054">
        <v>42004</v>
      </c>
      <c r="P180" s="1060" t="s">
        <v>1752</v>
      </c>
      <c r="Q180" s="1060"/>
      <c r="R180" s="1030"/>
      <c r="S180" s="1030"/>
      <c r="T180" s="1060" t="s">
        <v>719</v>
      </c>
      <c r="U180" s="1357"/>
      <c r="V180" s="1054"/>
      <c r="W180" s="1030"/>
      <c r="X180" s="1060"/>
      <c r="Y180" s="1054"/>
      <c r="Z180" s="1054"/>
      <c r="AA180" s="1030"/>
      <c r="AB180" s="1030"/>
      <c r="AC180" s="266"/>
      <c r="AD180" s="1030"/>
      <c r="AE180" s="266">
        <v>55473.85</v>
      </c>
      <c r="AF180" s="278"/>
      <c r="AG180" s="278">
        <v>18645.5</v>
      </c>
      <c r="AH180" s="613">
        <f t="shared" si="6"/>
        <v>18645.5</v>
      </c>
      <c r="AI180" s="339"/>
      <c r="AJ180" s="339"/>
      <c r="AK180" s="107"/>
      <c r="AL180" s="107"/>
      <c r="AM180" s="1092"/>
      <c r="AN180" s="107"/>
      <c r="AO180" s="107"/>
      <c r="AP180" s="107"/>
      <c r="AQ180" s="107"/>
      <c r="AR180" s="107"/>
      <c r="AS180" s="1030"/>
      <c r="AT180" s="1030"/>
      <c r="AU180" s="1030"/>
      <c r="AV180" s="1030"/>
      <c r="AW180" s="1030"/>
      <c r="AX180" s="1030"/>
      <c r="AY180" s="1030"/>
      <c r="AZ180" s="1030"/>
      <c r="BA180" s="1030"/>
      <c r="BB180" s="1030"/>
      <c r="BC180" s="1030"/>
      <c r="BD180" s="1030"/>
    </row>
    <row r="181" spans="1:56" ht="51" x14ac:dyDescent="0.25">
      <c r="A181" s="1492">
        <v>90</v>
      </c>
      <c r="B181" s="2223"/>
      <c r="C181" s="2021"/>
      <c r="D181" s="2252"/>
      <c r="E181" s="2021"/>
      <c r="F181" s="2252"/>
      <c r="G181" s="2180"/>
      <c r="H181" s="1031" t="s">
        <v>1753</v>
      </c>
      <c r="I181" s="518" t="s">
        <v>1754</v>
      </c>
      <c r="J181" s="1060" t="s">
        <v>1755</v>
      </c>
      <c r="K181" s="1054">
        <v>41687</v>
      </c>
      <c r="L181" s="266">
        <v>517781.95</v>
      </c>
      <c r="M181" s="1053">
        <v>11252</v>
      </c>
      <c r="N181" s="1054">
        <v>41687</v>
      </c>
      <c r="O181" s="1054">
        <v>42004</v>
      </c>
      <c r="P181" s="1060" t="s">
        <v>1752</v>
      </c>
      <c r="Q181" s="1060"/>
      <c r="R181" s="1030"/>
      <c r="S181" s="1030"/>
      <c r="T181" s="1060" t="s">
        <v>719</v>
      </c>
      <c r="U181" s="1357"/>
      <c r="V181" s="1054"/>
      <c r="W181" s="1030"/>
      <c r="X181" s="1060"/>
      <c r="Y181" s="1054"/>
      <c r="Z181" s="1054"/>
      <c r="AA181" s="1030"/>
      <c r="AB181" s="1030"/>
      <c r="AC181" s="266"/>
      <c r="AD181" s="1030"/>
      <c r="AE181" s="266">
        <v>517781.95</v>
      </c>
      <c r="AF181" s="278"/>
      <c r="AG181" s="278">
        <v>102617.4</v>
      </c>
      <c r="AH181" s="613">
        <f t="shared" si="6"/>
        <v>102617.4</v>
      </c>
      <c r="AI181" s="339"/>
      <c r="AJ181" s="339"/>
      <c r="AK181" s="107"/>
      <c r="AL181" s="107"/>
      <c r="AM181" s="1092"/>
      <c r="AN181" s="107"/>
      <c r="AO181" s="107"/>
      <c r="AP181" s="107"/>
      <c r="AQ181" s="107"/>
      <c r="AR181" s="107"/>
      <c r="AS181" s="1030"/>
      <c r="AT181" s="1030"/>
      <c r="AU181" s="1030"/>
      <c r="AV181" s="1030"/>
      <c r="AW181" s="1030"/>
      <c r="AX181" s="1030"/>
      <c r="AY181" s="1030"/>
      <c r="AZ181" s="1030"/>
      <c r="BA181" s="1030"/>
      <c r="BB181" s="1030"/>
      <c r="BC181" s="1030"/>
      <c r="BD181" s="1030"/>
    </row>
    <row r="182" spans="1:56" ht="51" x14ac:dyDescent="0.25">
      <c r="A182" s="1492">
        <v>91</v>
      </c>
      <c r="B182" s="2223"/>
      <c r="C182" s="2021"/>
      <c r="D182" s="2252"/>
      <c r="E182" s="2021"/>
      <c r="F182" s="2252"/>
      <c r="G182" s="2180"/>
      <c r="H182" s="1031" t="s">
        <v>1756</v>
      </c>
      <c r="I182" s="518" t="s">
        <v>1757</v>
      </c>
      <c r="J182" s="1060" t="s">
        <v>1758</v>
      </c>
      <c r="K182" s="1054">
        <v>41687</v>
      </c>
      <c r="L182" s="266">
        <v>129125</v>
      </c>
      <c r="M182" s="1053">
        <v>11256</v>
      </c>
      <c r="N182" s="1054">
        <v>41687</v>
      </c>
      <c r="O182" s="1054">
        <v>42004</v>
      </c>
      <c r="P182" s="1060" t="s">
        <v>1752</v>
      </c>
      <c r="Q182" s="1060"/>
      <c r="R182" s="1030"/>
      <c r="S182" s="1030"/>
      <c r="T182" s="1060" t="s">
        <v>719</v>
      </c>
      <c r="U182" s="1357"/>
      <c r="V182" s="1054"/>
      <c r="W182" s="1030"/>
      <c r="X182" s="1060"/>
      <c r="Y182" s="1054"/>
      <c r="Z182" s="1054"/>
      <c r="AA182" s="1030"/>
      <c r="AB182" s="1030"/>
      <c r="AC182" s="266"/>
      <c r="AD182" s="1030"/>
      <c r="AE182" s="266">
        <v>129125</v>
      </c>
      <c r="AF182" s="278"/>
      <c r="AG182" s="278">
        <v>116184</v>
      </c>
      <c r="AH182" s="613">
        <f t="shared" si="6"/>
        <v>116184</v>
      </c>
      <c r="AI182" s="339"/>
      <c r="AJ182" s="339"/>
      <c r="AK182" s="107"/>
      <c r="AL182" s="107"/>
      <c r="AM182" s="1092"/>
      <c r="AN182" s="107"/>
      <c r="AO182" s="107"/>
      <c r="AP182" s="107"/>
      <c r="AQ182" s="107"/>
      <c r="AR182" s="107"/>
      <c r="AS182" s="1030"/>
      <c r="AT182" s="1030"/>
      <c r="AU182" s="1030"/>
      <c r="AV182" s="1030"/>
      <c r="AW182" s="1030"/>
      <c r="AX182" s="1030"/>
      <c r="AY182" s="1030"/>
      <c r="AZ182" s="1030"/>
      <c r="BA182" s="1030"/>
      <c r="BB182" s="1030"/>
      <c r="BC182" s="1030"/>
      <c r="BD182" s="1030"/>
    </row>
    <row r="183" spans="1:56" ht="51" x14ac:dyDescent="0.25">
      <c r="A183" s="1492">
        <v>92</v>
      </c>
      <c r="B183" s="2224"/>
      <c r="C183" s="1986"/>
      <c r="D183" s="2234"/>
      <c r="E183" s="1986"/>
      <c r="F183" s="2234"/>
      <c r="G183" s="2178"/>
      <c r="H183" s="1031" t="s">
        <v>1759</v>
      </c>
      <c r="I183" s="518" t="s">
        <v>1760</v>
      </c>
      <c r="J183" s="1060" t="s">
        <v>1761</v>
      </c>
      <c r="K183" s="1054">
        <v>41687</v>
      </c>
      <c r="L183" s="266">
        <v>32815.050000000003</v>
      </c>
      <c r="M183" s="1053">
        <v>11248</v>
      </c>
      <c r="N183" s="1054">
        <v>41687</v>
      </c>
      <c r="O183" s="1054">
        <v>42004</v>
      </c>
      <c r="P183" s="1060" t="s">
        <v>1752</v>
      </c>
      <c r="Q183" s="1060"/>
      <c r="R183" s="1030"/>
      <c r="S183" s="1030"/>
      <c r="T183" s="1060" t="s">
        <v>719</v>
      </c>
      <c r="U183" s="1357"/>
      <c r="V183" s="1054"/>
      <c r="W183" s="1030"/>
      <c r="X183" s="1060"/>
      <c r="Y183" s="1054"/>
      <c r="Z183" s="1054"/>
      <c r="AA183" s="1030"/>
      <c r="AB183" s="1030"/>
      <c r="AC183" s="266"/>
      <c r="AD183" s="1030"/>
      <c r="AE183" s="266">
        <v>32815.050000000003</v>
      </c>
      <c r="AF183" s="278"/>
      <c r="AG183" s="278">
        <v>10292.6</v>
      </c>
      <c r="AH183" s="613">
        <f t="shared" si="6"/>
        <v>10292.6</v>
      </c>
      <c r="AI183" s="339"/>
      <c r="AJ183" s="339"/>
      <c r="AK183" s="107"/>
      <c r="AL183" s="107"/>
      <c r="AM183" s="1092"/>
      <c r="AN183" s="107"/>
      <c r="AO183" s="107"/>
      <c r="AP183" s="107"/>
      <c r="AQ183" s="107"/>
      <c r="AR183" s="107"/>
      <c r="AS183" s="1030"/>
      <c r="AT183" s="1030"/>
      <c r="AU183" s="1030"/>
      <c r="AV183" s="1030"/>
      <c r="AW183" s="1030"/>
      <c r="AX183" s="1030"/>
      <c r="AY183" s="1030"/>
      <c r="AZ183" s="1030"/>
      <c r="BA183" s="1030"/>
      <c r="BB183" s="1030"/>
      <c r="BC183" s="1030"/>
      <c r="BD183" s="1030"/>
    </row>
    <row r="184" spans="1:56" ht="63.75" x14ac:dyDescent="0.25">
      <c r="A184" s="1492">
        <v>93</v>
      </c>
      <c r="B184" s="1483" t="s">
        <v>1762</v>
      </c>
      <c r="C184" s="1030" t="s">
        <v>704</v>
      </c>
      <c r="D184" s="518" t="s">
        <v>1548</v>
      </c>
      <c r="E184" s="1060" t="s">
        <v>1358</v>
      </c>
      <c r="F184" s="518" t="s">
        <v>1763</v>
      </c>
      <c r="G184" s="1178">
        <v>11211</v>
      </c>
      <c r="H184" s="1031" t="s">
        <v>1081</v>
      </c>
      <c r="I184" s="518" t="s">
        <v>1764</v>
      </c>
      <c r="J184" s="1060" t="s">
        <v>1765</v>
      </c>
      <c r="K184" s="1054">
        <v>41687</v>
      </c>
      <c r="L184" s="266">
        <v>450000</v>
      </c>
      <c r="M184" s="1053">
        <v>11248</v>
      </c>
      <c r="N184" s="1054">
        <v>41687</v>
      </c>
      <c r="O184" s="1054">
        <v>42004</v>
      </c>
      <c r="P184" s="1060" t="s">
        <v>1320</v>
      </c>
      <c r="Q184" s="1060"/>
      <c r="R184" s="1030"/>
      <c r="S184" s="1030"/>
      <c r="T184" s="1060" t="s">
        <v>685</v>
      </c>
      <c r="U184" s="1357" t="s">
        <v>867</v>
      </c>
      <c r="V184" s="1054">
        <v>42004</v>
      </c>
      <c r="W184" s="1053">
        <v>11472</v>
      </c>
      <c r="X184" s="1060" t="s">
        <v>1552</v>
      </c>
      <c r="Y184" s="1054">
        <v>42004</v>
      </c>
      <c r="Z184" s="1054">
        <v>42369</v>
      </c>
      <c r="AA184" s="1030"/>
      <c r="AB184" s="1030"/>
      <c r="AC184" s="266">
        <v>450000</v>
      </c>
      <c r="AD184" s="1030"/>
      <c r="AE184" s="266">
        <f>450000-AD184+AC184</f>
        <v>900000</v>
      </c>
      <c r="AF184" s="278"/>
      <c r="AG184" s="278">
        <v>399839</v>
      </c>
      <c r="AH184" s="613">
        <f t="shared" si="6"/>
        <v>399839</v>
      </c>
      <c r="AI184" s="339"/>
      <c r="AJ184" s="339"/>
      <c r="AK184" s="107"/>
      <c r="AL184" s="107"/>
      <c r="AM184" s="1092"/>
      <c r="AN184" s="107"/>
      <c r="AO184" s="107"/>
      <c r="AP184" s="107"/>
      <c r="AQ184" s="107"/>
      <c r="AR184" s="107"/>
      <c r="AS184" s="1030"/>
      <c r="AT184" s="1030"/>
      <c r="AU184" s="1030"/>
      <c r="AV184" s="1030"/>
      <c r="AW184" s="1030"/>
      <c r="AX184" s="1030"/>
      <c r="AY184" s="1030"/>
      <c r="AZ184" s="1030"/>
      <c r="BA184" s="1030"/>
      <c r="BB184" s="1030"/>
      <c r="BC184" s="1030"/>
      <c r="BD184" s="1030"/>
    </row>
    <row r="185" spans="1:56" ht="25.5" x14ac:dyDescent="0.25">
      <c r="A185" s="1492">
        <v>94</v>
      </c>
      <c r="B185" s="1483" t="s">
        <v>1766</v>
      </c>
      <c r="C185" s="1030" t="s">
        <v>750</v>
      </c>
      <c r="D185" s="518" t="s">
        <v>1548</v>
      </c>
      <c r="E185" s="1060" t="s">
        <v>1358</v>
      </c>
      <c r="F185" s="518" t="s">
        <v>1676</v>
      </c>
      <c r="G185" s="1178">
        <v>11219</v>
      </c>
      <c r="H185" s="1031" t="s">
        <v>1767</v>
      </c>
      <c r="I185" s="518" t="s">
        <v>1678</v>
      </c>
      <c r="J185" s="1060" t="s">
        <v>470</v>
      </c>
      <c r="K185" s="1054">
        <v>41688</v>
      </c>
      <c r="L185" s="266">
        <v>50299.199999999997</v>
      </c>
      <c r="M185" s="1053">
        <v>11251</v>
      </c>
      <c r="N185" s="1054">
        <v>41688</v>
      </c>
      <c r="O185" s="1054">
        <v>42004</v>
      </c>
      <c r="P185" s="1060" t="s">
        <v>1320</v>
      </c>
      <c r="Q185" s="1060"/>
      <c r="R185" s="1030"/>
      <c r="S185" s="1030"/>
      <c r="T185" s="1060" t="s">
        <v>719</v>
      </c>
      <c r="U185" s="1357"/>
      <c r="V185" s="1054"/>
      <c r="W185" s="1030"/>
      <c r="X185" s="1060"/>
      <c r="Y185" s="1054"/>
      <c r="Z185" s="1054"/>
      <c r="AA185" s="1030"/>
      <c r="AB185" s="1030"/>
      <c r="AC185" s="266"/>
      <c r="AD185" s="1030"/>
      <c r="AE185" s="266">
        <v>50299.199999999997</v>
      </c>
      <c r="AF185" s="278"/>
      <c r="AG185" s="278">
        <v>50299.199999999997</v>
      </c>
      <c r="AH185" s="613">
        <f>AF185+AG185</f>
        <v>50299.199999999997</v>
      </c>
      <c r="AI185" s="339"/>
      <c r="AJ185" s="339"/>
      <c r="AK185" s="107"/>
      <c r="AL185" s="107"/>
      <c r="AM185" s="1092"/>
      <c r="AN185" s="107"/>
      <c r="AO185" s="107"/>
      <c r="AP185" s="107"/>
      <c r="AQ185" s="107"/>
      <c r="AR185" s="107"/>
      <c r="AS185" s="1030"/>
      <c r="AT185" s="1030"/>
      <c r="AU185" s="1030"/>
      <c r="AV185" s="1030"/>
      <c r="AW185" s="1030"/>
      <c r="AX185" s="1030"/>
      <c r="AY185" s="1030"/>
      <c r="AZ185" s="1030"/>
      <c r="BA185" s="1030"/>
      <c r="BB185" s="1030"/>
      <c r="BC185" s="1030"/>
      <c r="BD185" s="1030"/>
    </row>
    <row r="186" spans="1:56" ht="76.5" x14ac:dyDescent="0.25">
      <c r="A186" s="1492">
        <v>95</v>
      </c>
      <c r="B186" s="1483" t="s">
        <v>1768</v>
      </c>
      <c r="C186" s="1030" t="s">
        <v>765</v>
      </c>
      <c r="D186" s="518" t="s">
        <v>1548</v>
      </c>
      <c r="E186" s="1060" t="s">
        <v>1358</v>
      </c>
      <c r="F186" s="518" t="s">
        <v>1769</v>
      </c>
      <c r="G186" s="1178">
        <v>11223</v>
      </c>
      <c r="H186" s="1031" t="s">
        <v>1770</v>
      </c>
      <c r="I186" s="518" t="s">
        <v>1771</v>
      </c>
      <c r="J186" s="1060" t="s">
        <v>1772</v>
      </c>
      <c r="K186" s="1054">
        <v>41688</v>
      </c>
      <c r="L186" s="266">
        <v>81999.960000000006</v>
      </c>
      <c r="M186" s="1053">
        <v>11250</v>
      </c>
      <c r="N186" s="1054">
        <v>41688</v>
      </c>
      <c r="O186" s="1059">
        <v>42052</v>
      </c>
      <c r="P186" s="1060" t="s">
        <v>1320</v>
      </c>
      <c r="Q186" s="1060"/>
      <c r="R186" s="1030"/>
      <c r="S186" s="1030"/>
      <c r="T186" s="1060" t="s">
        <v>685</v>
      </c>
      <c r="U186" s="1357" t="s">
        <v>1349</v>
      </c>
      <c r="V186" s="1054">
        <v>41941</v>
      </c>
      <c r="W186" s="1053">
        <v>11432</v>
      </c>
      <c r="X186" s="518" t="s">
        <v>1773</v>
      </c>
      <c r="Y186" s="1054"/>
      <c r="Z186" s="1054"/>
      <c r="AA186" s="1384">
        <f>AC186/L186*100</f>
        <v>25</v>
      </c>
      <c r="AB186" s="1030"/>
      <c r="AC186" s="266">
        <v>20499.990000000002</v>
      </c>
      <c r="AD186" s="1030"/>
      <c r="AE186" s="266">
        <f>81999.96-AD186+AC186</f>
        <v>102499.95000000001</v>
      </c>
      <c r="AF186" s="278"/>
      <c r="AG186" s="278">
        <v>95024.93</v>
      </c>
      <c r="AH186" s="613">
        <f t="shared" si="6"/>
        <v>95024.93</v>
      </c>
      <c r="AI186" s="339"/>
      <c r="AJ186" s="339"/>
      <c r="AK186" s="107"/>
      <c r="AL186" s="107"/>
      <c r="AM186" s="1092"/>
      <c r="AN186" s="107"/>
      <c r="AO186" s="107"/>
      <c r="AP186" s="107"/>
      <c r="AQ186" s="107"/>
      <c r="AR186" s="107"/>
      <c r="AS186" s="1030"/>
      <c r="AT186" s="1030"/>
      <c r="AU186" s="1030"/>
      <c r="AV186" s="1030"/>
      <c r="AW186" s="1030"/>
      <c r="AX186" s="1030"/>
      <c r="AY186" s="1030"/>
      <c r="AZ186" s="1030"/>
      <c r="BA186" s="1030"/>
      <c r="BB186" s="1030"/>
      <c r="BC186" s="1030"/>
      <c r="BD186" s="1030"/>
    </row>
    <row r="187" spans="1:56" ht="25.5" x14ac:dyDescent="0.25">
      <c r="A187" s="1492">
        <v>96</v>
      </c>
      <c r="B187" s="2222" t="s">
        <v>1774</v>
      </c>
      <c r="C187" s="1985" t="s">
        <v>1775</v>
      </c>
      <c r="D187" s="2233" t="s">
        <v>1548</v>
      </c>
      <c r="E187" s="1985" t="s">
        <v>1358</v>
      </c>
      <c r="F187" s="2233" t="s">
        <v>1776</v>
      </c>
      <c r="G187" s="2177">
        <v>11060</v>
      </c>
      <c r="H187" s="1031" t="s">
        <v>1777</v>
      </c>
      <c r="I187" s="518" t="s">
        <v>1778</v>
      </c>
      <c r="J187" s="1060" t="s">
        <v>1779</v>
      </c>
      <c r="K187" s="1054">
        <v>41691</v>
      </c>
      <c r="L187" s="266">
        <v>69575</v>
      </c>
      <c r="M187" s="1053">
        <v>10260</v>
      </c>
      <c r="N187" s="1054">
        <v>41691</v>
      </c>
      <c r="O187" s="1054">
        <v>42004</v>
      </c>
      <c r="P187" s="1060" t="s">
        <v>1320</v>
      </c>
      <c r="Q187" s="1060"/>
      <c r="R187" s="1030"/>
      <c r="S187" s="1030"/>
      <c r="T187" s="1060" t="s">
        <v>316</v>
      </c>
      <c r="U187" s="1357"/>
      <c r="V187" s="1054"/>
      <c r="W187" s="1030"/>
      <c r="X187" s="1060"/>
      <c r="Y187" s="1054"/>
      <c r="Z187" s="1054"/>
      <c r="AA187" s="1030"/>
      <c r="AB187" s="1030"/>
      <c r="AC187" s="266"/>
      <c r="AD187" s="1030"/>
      <c r="AE187" s="266">
        <v>69575</v>
      </c>
      <c r="AF187" s="278"/>
      <c r="AG187" s="278">
        <v>63635</v>
      </c>
      <c r="AH187" s="613">
        <f t="shared" si="6"/>
        <v>63635</v>
      </c>
      <c r="AI187" s="339"/>
      <c r="AJ187" s="339"/>
      <c r="AK187" s="107"/>
      <c r="AL187" s="107"/>
      <c r="AM187" s="1092"/>
      <c r="AN187" s="107"/>
      <c r="AO187" s="107"/>
      <c r="AP187" s="107"/>
      <c r="AQ187" s="107"/>
      <c r="AR187" s="107"/>
      <c r="AS187" s="1030"/>
      <c r="AT187" s="1030"/>
      <c r="AU187" s="1030"/>
      <c r="AV187" s="1030"/>
      <c r="AW187" s="1030"/>
      <c r="AX187" s="1030"/>
      <c r="AY187" s="1030"/>
      <c r="AZ187" s="1030"/>
      <c r="BA187" s="1030"/>
      <c r="BB187" s="1030"/>
      <c r="BC187" s="1030"/>
      <c r="BD187" s="1030"/>
    </row>
    <row r="188" spans="1:56" ht="25.5" x14ac:dyDescent="0.25">
      <c r="A188" s="1492">
        <v>97</v>
      </c>
      <c r="B188" s="2223"/>
      <c r="C188" s="2021"/>
      <c r="D188" s="2252"/>
      <c r="E188" s="2021"/>
      <c r="F188" s="2252"/>
      <c r="G188" s="2180"/>
      <c r="H188" s="1031" t="s">
        <v>1780</v>
      </c>
      <c r="I188" s="518" t="s">
        <v>1599</v>
      </c>
      <c r="J188" s="1060" t="s">
        <v>1620</v>
      </c>
      <c r="K188" s="1054">
        <v>41691</v>
      </c>
      <c r="L188" s="266">
        <v>1791255.6</v>
      </c>
      <c r="M188" s="1053">
        <v>11259</v>
      </c>
      <c r="N188" s="1054">
        <v>41691</v>
      </c>
      <c r="O188" s="1054">
        <v>42004</v>
      </c>
      <c r="P188" s="1060" t="s">
        <v>1320</v>
      </c>
      <c r="Q188" s="1060"/>
      <c r="R188" s="1030"/>
      <c r="S188" s="1030"/>
      <c r="T188" s="1060" t="s">
        <v>316</v>
      </c>
      <c r="U188" s="1357"/>
      <c r="V188" s="1054"/>
      <c r="W188" s="1030"/>
      <c r="X188" s="1060"/>
      <c r="Y188" s="1054"/>
      <c r="Z188" s="1054"/>
      <c r="AA188" s="1030"/>
      <c r="AB188" s="1030"/>
      <c r="AC188" s="266"/>
      <c r="AD188" s="1030"/>
      <c r="AE188" s="266">
        <v>1791255.6</v>
      </c>
      <c r="AF188" s="278"/>
      <c r="AG188" s="278">
        <v>371876</v>
      </c>
      <c r="AH188" s="613">
        <f t="shared" si="6"/>
        <v>371876</v>
      </c>
      <c r="AI188" s="339"/>
      <c r="AJ188" s="339"/>
      <c r="AK188" s="107"/>
      <c r="AL188" s="107"/>
      <c r="AM188" s="1092"/>
      <c r="AN188" s="107"/>
      <c r="AO188" s="107"/>
      <c r="AP188" s="107"/>
      <c r="AQ188" s="107"/>
      <c r="AR188" s="107"/>
      <c r="AS188" s="1030"/>
      <c r="AT188" s="1030"/>
      <c r="AU188" s="1030"/>
      <c r="AV188" s="1030"/>
      <c r="AW188" s="1030"/>
      <c r="AX188" s="1030"/>
      <c r="AY188" s="1030"/>
      <c r="AZ188" s="1030"/>
      <c r="BA188" s="1030"/>
      <c r="BB188" s="1030"/>
      <c r="BC188" s="1030"/>
      <c r="BD188" s="1030"/>
    </row>
    <row r="189" spans="1:56" ht="38.25" x14ac:dyDescent="0.25">
      <c r="A189" s="1492">
        <v>98</v>
      </c>
      <c r="B189" s="2223"/>
      <c r="C189" s="2021"/>
      <c r="D189" s="2252"/>
      <c r="E189" s="2021"/>
      <c r="F189" s="2252"/>
      <c r="G189" s="2180"/>
      <c r="H189" s="1031" t="s">
        <v>1781</v>
      </c>
      <c r="I189" s="518" t="s">
        <v>1782</v>
      </c>
      <c r="J189" s="1060" t="s">
        <v>1783</v>
      </c>
      <c r="K189" s="1054">
        <v>41691</v>
      </c>
      <c r="L189" s="266">
        <v>8400</v>
      </c>
      <c r="M189" s="1053">
        <v>11258</v>
      </c>
      <c r="N189" s="1054">
        <v>41691</v>
      </c>
      <c r="O189" s="1054">
        <v>42004</v>
      </c>
      <c r="P189" s="1060" t="s">
        <v>1320</v>
      </c>
      <c r="Q189" s="1060"/>
      <c r="R189" s="1030"/>
      <c r="S189" s="1030"/>
      <c r="T189" s="1060" t="s">
        <v>316</v>
      </c>
      <c r="U189" s="1357"/>
      <c r="V189" s="1054"/>
      <c r="W189" s="1030"/>
      <c r="X189" s="1060"/>
      <c r="Y189" s="1054"/>
      <c r="Z189" s="1054"/>
      <c r="AA189" s="1030"/>
      <c r="AB189" s="1030"/>
      <c r="AC189" s="266"/>
      <c r="AD189" s="1030"/>
      <c r="AE189" s="266">
        <v>8400</v>
      </c>
      <c r="AF189" s="278"/>
      <c r="AG189" s="278" t="s">
        <v>677</v>
      </c>
      <c r="AH189" s="613" t="s">
        <v>677</v>
      </c>
      <c r="AI189" s="339"/>
      <c r="AJ189" s="339"/>
      <c r="AK189" s="107"/>
      <c r="AL189" s="107"/>
      <c r="AM189" s="1092"/>
      <c r="AN189" s="107"/>
      <c r="AO189" s="107"/>
      <c r="AP189" s="107"/>
      <c r="AQ189" s="107"/>
      <c r="AR189" s="107"/>
      <c r="AS189" s="1030"/>
      <c r="AT189" s="1030"/>
      <c r="AU189" s="1030"/>
      <c r="AV189" s="1030"/>
      <c r="AW189" s="1030"/>
      <c r="AX189" s="1030"/>
      <c r="AY189" s="1030"/>
      <c r="AZ189" s="1030"/>
      <c r="BA189" s="1030"/>
      <c r="BB189" s="1030"/>
      <c r="BC189" s="1030"/>
      <c r="BD189" s="1030"/>
    </row>
    <row r="190" spans="1:56" ht="51" x14ac:dyDescent="0.25">
      <c r="A190" s="1492">
        <v>99</v>
      </c>
      <c r="B190" s="2223"/>
      <c r="C190" s="2021"/>
      <c r="D190" s="2252"/>
      <c r="E190" s="2021"/>
      <c r="F190" s="2252"/>
      <c r="G190" s="2180"/>
      <c r="H190" s="1031" t="s">
        <v>774</v>
      </c>
      <c r="I190" s="518" t="s">
        <v>1784</v>
      </c>
      <c r="J190" s="1060" t="s">
        <v>1785</v>
      </c>
      <c r="K190" s="1054">
        <v>41691</v>
      </c>
      <c r="L190" s="266">
        <v>9153</v>
      </c>
      <c r="M190" s="1053">
        <v>11258</v>
      </c>
      <c r="N190" s="1054">
        <v>41691</v>
      </c>
      <c r="O190" s="1054">
        <v>42004</v>
      </c>
      <c r="P190" s="1060" t="s">
        <v>1320</v>
      </c>
      <c r="Q190" s="1060"/>
      <c r="R190" s="1030"/>
      <c r="S190" s="1030"/>
      <c r="T190" s="1060" t="s">
        <v>316</v>
      </c>
      <c r="U190" s="1357"/>
      <c r="V190" s="1054"/>
      <c r="W190" s="1030"/>
      <c r="X190" s="1060"/>
      <c r="Y190" s="1054"/>
      <c r="Z190" s="1054"/>
      <c r="AA190" s="1030"/>
      <c r="AB190" s="1030"/>
      <c r="AC190" s="266"/>
      <c r="AD190" s="1030"/>
      <c r="AE190" s="266">
        <v>9153</v>
      </c>
      <c r="AF190" s="278"/>
      <c r="AG190" s="278">
        <v>8005.94</v>
      </c>
      <c r="AH190" s="613">
        <f t="shared" si="6"/>
        <v>8005.94</v>
      </c>
      <c r="AI190" s="339"/>
      <c r="AJ190" s="339"/>
      <c r="AK190" s="107"/>
      <c r="AL190" s="107"/>
      <c r="AM190" s="1092"/>
      <c r="AN190" s="107"/>
      <c r="AO190" s="107"/>
      <c r="AP190" s="107"/>
      <c r="AQ190" s="107"/>
      <c r="AR190" s="107"/>
      <c r="AS190" s="1030"/>
      <c r="AT190" s="1030"/>
      <c r="AU190" s="1030"/>
      <c r="AV190" s="1030"/>
      <c r="AW190" s="1030"/>
      <c r="AX190" s="1030"/>
      <c r="AY190" s="1030"/>
      <c r="AZ190" s="1030"/>
      <c r="BA190" s="1030"/>
      <c r="BB190" s="1030"/>
      <c r="BC190" s="1030"/>
      <c r="BD190" s="1030"/>
    </row>
    <row r="191" spans="1:56" ht="25.5" x14ac:dyDescent="0.25">
      <c r="A191" s="1492">
        <v>100</v>
      </c>
      <c r="B191" s="2223"/>
      <c r="C191" s="2021"/>
      <c r="D191" s="2252"/>
      <c r="E191" s="2021"/>
      <c r="F191" s="2252"/>
      <c r="G191" s="2180"/>
      <c r="H191" s="1031" t="s">
        <v>802</v>
      </c>
      <c r="I191" s="518" t="s">
        <v>1678</v>
      </c>
      <c r="J191" s="1060" t="s">
        <v>470</v>
      </c>
      <c r="K191" s="1054">
        <v>41691</v>
      </c>
      <c r="L191" s="266">
        <v>2448834.88</v>
      </c>
      <c r="M191" s="1053">
        <v>11252</v>
      </c>
      <c r="N191" s="1054">
        <v>41691</v>
      </c>
      <c r="O191" s="1054">
        <v>42004</v>
      </c>
      <c r="P191" s="1060" t="s">
        <v>1320</v>
      </c>
      <c r="Q191" s="1060"/>
      <c r="R191" s="1030"/>
      <c r="S191" s="1030"/>
      <c r="T191" s="1060" t="s">
        <v>316</v>
      </c>
      <c r="U191" s="1357"/>
      <c r="V191" s="1054"/>
      <c r="W191" s="1030"/>
      <c r="X191" s="1060"/>
      <c r="Y191" s="1054"/>
      <c r="Z191" s="1054"/>
      <c r="AA191" s="1030"/>
      <c r="AB191" s="1030"/>
      <c r="AC191" s="266"/>
      <c r="AD191" s="1030"/>
      <c r="AE191" s="613">
        <f t="shared" ref="AE191:AE212" si="7">L191-AD191+AC191</f>
        <v>2448834.88</v>
      </c>
      <c r="AF191" s="278"/>
      <c r="AG191" s="278">
        <v>1657525.63</v>
      </c>
      <c r="AH191" s="613">
        <f t="shared" si="6"/>
        <v>1657525.63</v>
      </c>
      <c r="AI191" s="339"/>
      <c r="AJ191" s="339"/>
      <c r="AK191" s="107"/>
      <c r="AL191" s="107"/>
      <c r="AM191" s="1092"/>
      <c r="AN191" s="107"/>
      <c r="AO191" s="107"/>
      <c r="AP191" s="107"/>
      <c r="AQ191" s="107"/>
      <c r="AR191" s="107"/>
      <c r="AS191" s="1030"/>
      <c r="AT191" s="1030"/>
      <c r="AU191" s="1030"/>
      <c r="AV191" s="1030"/>
      <c r="AW191" s="1030"/>
      <c r="AX191" s="1030"/>
      <c r="AY191" s="1030"/>
      <c r="AZ191" s="1030"/>
      <c r="BA191" s="1030"/>
      <c r="BB191" s="1030"/>
      <c r="BC191" s="1030"/>
      <c r="BD191" s="1030"/>
    </row>
    <row r="192" spans="1:56" ht="25.5" x14ac:dyDescent="0.25">
      <c r="A192" s="1492">
        <v>101</v>
      </c>
      <c r="B192" s="2223"/>
      <c r="C192" s="2021"/>
      <c r="D192" s="2252"/>
      <c r="E192" s="2021"/>
      <c r="F192" s="2252"/>
      <c r="G192" s="2180"/>
      <c r="H192" s="1031" t="s">
        <v>820</v>
      </c>
      <c r="I192" s="518" t="s">
        <v>1786</v>
      </c>
      <c r="J192" s="1060" t="s">
        <v>1787</v>
      </c>
      <c r="K192" s="1054">
        <v>41691</v>
      </c>
      <c r="L192" s="266">
        <v>45042.5</v>
      </c>
      <c r="M192" s="1053">
        <v>11254</v>
      </c>
      <c r="N192" s="1054">
        <v>41691</v>
      </c>
      <c r="O192" s="1054">
        <v>42004</v>
      </c>
      <c r="P192" s="1060" t="s">
        <v>1320</v>
      </c>
      <c r="Q192" s="1060"/>
      <c r="R192" s="1030"/>
      <c r="S192" s="1030"/>
      <c r="T192" s="1060" t="s">
        <v>316</v>
      </c>
      <c r="U192" s="1357"/>
      <c r="V192" s="1054"/>
      <c r="W192" s="1030"/>
      <c r="X192" s="1060"/>
      <c r="Y192" s="1054"/>
      <c r="Z192" s="1054"/>
      <c r="AA192" s="1030"/>
      <c r="AB192" s="1030"/>
      <c r="AC192" s="266"/>
      <c r="AD192" s="1030"/>
      <c r="AE192" s="613">
        <f t="shared" si="7"/>
        <v>45042.5</v>
      </c>
      <c r="AF192" s="278"/>
      <c r="AG192" s="278">
        <v>1529.5</v>
      </c>
      <c r="AH192" s="613">
        <f t="shared" si="6"/>
        <v>1529.5</v>
      </c>
      <c r="AI192" s="339"/>
      <c r="AJ192" s="339"/>
      <c r="AK192" s="107"/>
      <c r="AL192" s="107"/>
      <c r="AM192" s="1092"/>
      <c r="AN192" s="107"/>
      <c r="AO192" s="107"/>
      <c r="AP192" s="107"/>
      <c r="AQ192" s="107"/>
      <c r="AR192" s="107"/>
      <c r="AS192" s="1030"/>
      <c r="AT192" s="1030"/>
      <c r="AU192" s="1030"/>
      <c r="AV192" s="1030"/>
      <c r="AW192" s="1030"/>
      <c r="AX192" s="1030"/>
      <c r="AY192" s="1030"/>
      <c r="AZ192" s="1030"/>
      <c r="BA192" s="1030"/>
      <c r="BB192" s="1030"/>
      <c r="BC192" s="1030"/>
      <c r="BD192" s="1030"/>
    </row>
    <row r="193" spans="1:56" ht="38.25" x14ac:dyDescent="0.25">
      <c r="A193" s="1492">
        <v>102</v>
      </c>
      <c r="B193" s="2223"/>
      <c r="C193" s="2021"/>
      <c r="D193" s="2252"/>
      <c r="E193" s="2021"/>
      <c r="F193" s="2252"/>
      <c r="G193" s="2180"/>
      <c r="H193" s="1031" t="s">
        <v>1788</v>
      </c>
      <c r="I193" s="518" t="s">
        <v>1789</v>
      </c>
      <c r="J193" s="1060" t="s">
        <v>1790</v>
      </c>
      <c r="K193" s="1054">
        <v>41691</v>
      </c>
      <c r="L193" s="266">
        <v>310533</v>
      </c>
      <c r="M193" s="1053">
        <v>11258</v>
      </c>
      <c r="N193" s="1054">
        <v>41691</v>
      </c>
      <c r="O193" s="1054">
        <v>42004</v>
      </c>
      <c r="P193" s="1060" t="s">
        <v>1320</v>
      </c>
      <c r="Q193" s="1060"/>
      <c r="R193" s="1030"/>
      <c r="S193" s="1030"/>
      <c r="T193" s="1060" t="s">
        <v>316</v>
      </c>
      <c r="U193" s="1357"/>
      <c r="V193" s="1054"/>
      <c r="W193" s="1030"/>
      <c r="X193" s="1060"/>
      <c r="Y193" s="1054"/>
      <c r="Z193" s="1054"/>
      <c r="AA193" s="1030"/>
      <c r="AB193" s="1030"/>
      <c r="AC193" s="266"/>
      <c r="AD193" s="1030"/>
      <c r="AE193" s="613">
        <f t="shared" si="7"/>
        <v>310533</v>
      </c>
      <c r="AF193" s="278"/>
      <c r="AG193" s="278">
        <v>244850.28</v>
      </c>
      <c r="AH193" s="613">
        <f t="shared" si="6"/>
        <v>244850.28</v>
      </c>
      <c r="AI193" s="339"/>
      <c r="AJ193" s="339"/>
      <c r="AK193" s="107"/>
      <c r="AL193" s="107"/>
      <c r="AM193" s="1092"/>
      <c r="AN193" s="107"/>
      <c r="AO193" s="107"/>
      <c r="AP193" s="107"/>
      <c r="AQ193" s="107"/>
      <c r="AR193" s="107"/>
      <c r="AS193" s="1030"/>
      <c r="AT193" s="1030"/>
      <c r="AU193" s="1030"/>
      <c r="AV193" s="1030"/>
      <c r="AW193" s="1030"/>
      <c r="AX193" s="1030"/>
      <c r="AY193" s="1030"/>
      <c r="AZ193" s="1030"/>
      <c r="BA193" s="1030"/>
      <c r="BB193" s="1030"/>
      <c r="BC193" s="1030"/>
      <c r="BD193" s="1030"/>
    </row>
    <row r="194" spans="1:56" ht="25.5" x14ac:dyDescent="0.25">
      <c r="A194" s="1492">
        <v>103</v>
      </c>
      <c r="B194" s="2223"/>
      <c r="C194" s="2021"/>
      <c r="D194" s="2252"/>
      <c r="E194" s="2021"/>
      <c r="F194" s="2252"/>
      <c r="G194" s="2180"/>
      <c r="H194" s="1031" t="s">
        <v>390</v>
      </c>
      <c r="I194" s="518" t="s">
        <v>1791</v>
      </c>
      <c r="J194" s="1060" t="s">
        <v>1611</v>
      </c>
      <c r="K194" s="1054">
        <v>41691</v>
      </c>
      <c r="L194" s="266">
        <v>1818470</v>
      </c>
      <c r="M194" s="1053">
        <v>11255</v>
      </c>
      <c r="N194" s="1054">
        <v>41691</v>
      </c>
      <c r="O194" s="1054">
        <v>42004</v>
      </c>
      <c r="P194" s="1060" t="s">
        <v>1320</v>
      </c>
      <c r="Q194" s="1060"/>
      <c r="R194" s="1030"/>
      <c r="S194" s="1030"/>
      <c r="T194" s="1060" t="s">
        <v>316</v>
      </c>
      <c r="U194" s="1357"/>
      <c r="V194" s="1054"/>
      <c r="W194" s="1030"/>
      <c r="X194" s="1060"/>
      <c r="Y194" s="1054"/>
      <c r="Z194" s="1054"/>
      <c r="AA194" s="1030"/>
      <c r="AB194" s="1030"/>
      <c r="AC194" s="266"/>
      <c r="AD194" s="1030"/>
      <c r="AE194" s="613">
        <f t="shared" si="7"/>
        <v>1818470</v>
      </c>
      <c r="AF194" s="278"/>
      <c r="AG194" s="278">
        <v>328175</v>
      </c>
      <c r="AH194" s="613">
        <f t="shared" si="6"/>
        <v>328175</v>
      </c>
      <c r="AI194" s="339"/>
      <c r="AJ194" s="339"/>
      <c r="AK194" s="107"/>
      <c r="AL194" s="107"/>
      <c r="AM194" s="1092"/>
      <c r="AN194" s="107"/>
      <c r="AO194" s="107"/>
      <c r="AP194" s="107"/>
      <c r="AQ194" s="107"/>
      <c r="AR194" s="107"/>
      <c r="AS194" s="1030"/>
      <c r="AT194" s="1030"/>
      <c r="AU194" s="1030"/>
      <c r="AV194" s="1030"/>
      <c r="AW194" s="1030"/>
      <c r="AX194" s="1030"/>
      <c r="AY194" s="1030"/>
      <c r="AZ194" s="1030"/>
      <c r="BA194" s="1030"/>
      <c r="BB194" s="1030"/>
      <c r="BC194" s="1030"/>
      <c r="BD194" s="1030"/>
    </row>
    <row r="195" spans="1:56" ht="25.5" x14ac:dyDescent="0.25">
      <c r="A195" s="1492">
        <v>104</v>
      </c>
      <c r="B195" s="2224"/>
      <c r="C195" s="1986"/>
      <c r="D195" s="2234"/>
      <c r="E195" s="1986"/>
      <c r="F195" s="2234"/>
      <c r="G195" s="2178"/>
      <c r="H195" s="1031" t="s">
        <v>784</v>
      </c>
      <c r="I195" s="518" t="s">
        <v>1792</v>
      </c>
      <c r="J195" s="1060" t="s">
        <v>1793</v>
      </c>
      <c r="K195" s="1054">
        <v>41691</v>
      </c>
      <c r="L195" s="266">
        <v>49002</v>
      </c>
      <c r="M195" s="1053">
        <v>11252</v>
      </c>
      <c r="N195" s="1054">
        <v>41691</v>
      </c>
      <c r="O195" s="1054">
        <v>42004</v>
      </c>
      <c r="P195" s="1060" t="s">
        <v>1320</v>
      </c>
      <c r="Q195" s="1060"/>
      <c r="R195" s="1030"/>
      <c r="S195" s="1030"/>
      <c r="T195" s="1060" t="s">
        <v>316</v>
      </c>
      <c r="U195" s="1357"/>
      <c r="V195" s="1054"/>
      <c r="W195" s="1030"/>
      <c r="X195" s="1060"/>
      <c r="Y195" s="1054"/>
      <c r="Z195" s="1054"/>
      <c r="AA195" s="1030"/>
      <c r="AB195" s="1030"/>
      <c r="AC195" s="266"/>
      <c r="AD195" s="1030"/>
      <c r="AE195" s="613">
        <f t="shared" si="7"/>
        <v>49002</v>
      </c>
      <c r="AF195" s="278"/>
      <c r="AG195" s="278">
        <v>1346.88</v>
      </c>
      <c r="AH195" s="613">
        <f t="shared" si="6"/>
        <v>1346.88</v>
      </c>
      <c r="AI195" s="339"/>
      <c r="AJ195" s="339"/>
      <c r="AK195" s="107"/>
      <c r="AL195" s="107"/>
      <c r="AM195" s="1092"/>
      <c r="AN195" s="107"/>
      <c r="AO195" s="107"/>
      <c r="AP195" s="107"/>
      <c r="AQ195" s="107"/>
      <c r="AR195" s="107"/>
      <c r="AS195" s="1030"/>
      <c r="AT195" s="1030"/>
      <c r="AU195" s="1030"/>
      <c r="AV195" s="1030"/>
      <c r="AW195" s="1030"/>
      <c r="AX195" s="1030"/>
      <c r="AY195" s="1030"/>
      <c r="AZ195" s="1030"/>
      <c r="BA195" s="1030"/>
      <c r="BB195" s="1030"/>
      <c r="BC195" s="1030"/>
      <c r="BD195" s="1030"/>
    </row>
    <row r="196" spans="1:56" x14ac:dyDescent="0.25">
      <c r="A196" s="2285">
        <v>105</v>
      </c>
      <c r="B196" s="2222" t="s">
        <v>1794</v>
      </c>
      <c r="C196" s="1985" t="s">
        <v>675</v>
      </c>
      <c r="D196" s="1985" t="s">
        <v>1795</v>
      </c>
      <c r="E196" s="1985" t="s">
        <v>1324</v>
      </c>
      <c r="F196" s="1985" t="s">
        <v>1796</v>
      </c>
      <c r="G196" s="2177">
        <v>11218</v>
      </c>
      <c r="H196" s="1991" t="s">
        <v>1797</v>
      </c>
      <c r="I196" s="2233" t="s">
        <v>1798</v>
      </c>
      <c r="J196" s="1985" t="s">
        <v>1799</v>
      </c>
      <c r="K196" s="1996">
        <v>41694</v>
      </c>
      <c r="L196" s="2282">
        <v>52492.29</v>
      </c>
      <c r="M196" s="1994">
        <v>11256</v>
      </c>
      <c r="N196" s="1996">
        <v>41716</v>
      </c>
      <c r="O196" s="1996">
        <v>41835</v>
      </c>
      <c r="P196" s="1985" t="s">
        <v>1800</v>
      </c>
      <c r="Q196" s="1996"/>
      <c r="R196" s="1985"/>
      <c r="S196" s="1985"/>
      <c r="T196" s="1985" t="s">
        <v>1577</v>
      </c>
      <c r="U196" s="1060"/>
      <c r="V196" s="1060"/>
      <c r="W196" s="1060"/>
      <c r="X196" s="1060"/>
      <c r="Y196" s="1060"/>
      <c r="Z196" s="1060"/>
      <c r="AA196" s="1060"/>
      <c r="AB196" s="1060"/>
      <c r="AC196" s="114"/>
      <c r="AD196" s="1030"/>
      <c r="AE196" s="2282">
        <f>L196-AD196+AC196-AD197+AC197</f>
        <v>54112.15</v>
      </c>
      <c r="AF196" s="2282"/>
      <c r="AG196" s="2282">
        <v>54112.15</v>
      </c>
      <c r="AH196" s="2282">
        <f t="shared" si="6"/>
        <v>54112.15</v>
      </c>
      <c r="AI196" s="339"/>
      <c r="AJ196" s="339"/>
      <c r="AK196" s="107"/>
      <c r="AL196" s="107"/>
      <c r="AM196" s="1092"/>
      <c r="AN196" s="107"/>
      <c r="AO196" s="107"/>
      <c r="AP196" s="107"/>
      <c r="AQ196" s="107"/>
      <c r="AR196" s="107"/>
      <c r="AS196" s="1985" t="s">
        <v>1323</v>
      </c>
      <c r="AT196" s="1985" t="s">
        <v>1457</v>
      </c>
      <c r="AU196" s="1054">
        <v>41716</v>
      </c>
      <c r="AV196" s="1054">
        <f>AU196+90</f>
        <v>41806</v>
      </c>
      <c r="AW196" s="1030"/>
      <c r="AX196" s="1030"/>
      <c r="AY196" s="1996">
        <v>41716</v>
      </c>
      <c r="AZ196" s="1985" t="s">
        <v>1458</v>
      </c>
      <c r="BA196" s="1985"/>
      <c r="BB196" s="1030"/>
      <c r="BC196" s="1030"/>
      <c r="BD196" s="1030"/>
    </row>
    <row r="197" spans="1:56" x14ac:dyDescent="0.25">
      <c r="A197" s="2286"/>
      <c r="B197" s="2224"/>
      <c r="C197" s="1986"/>
      <c r="D197" s="1986"/>
      <c r="E197" s="1986"/>
      <c r="F197" s="1986"/>
      <c r="G197" s="2178"/>
      <c r="H197" s="1992"/>
      <c r="I197" s="2234"/>
      <c r="J197" s="1986"/>
      <c r="K197" s="1997"/>
      <c r="L197" s="2283"/>
      <c r="M197" s="1995"/>
      <c r="N197" s="1997"/>
      <c r="O197" s="1997"/>
      <c r="P197" s="1986"/>
      <c r="Q197" s="1997"/>
      <c r="R197" s="1986"/>
      <c r="S197" s="1986"/>
      <c r="T197" s="1986"/>
      <c r="U197" s="1357" t="s">
        <v>867</v>
      </c>
      <c r="V197" s="1054">
        <v>41836</v>
      </c>
      <c r="W197" s="1053">
        <v>11358</v>
      </c>
      <c r="X197" s="1060" t="s">
        <v>1801</v>
      </c>
      <c r="Y197" s="1054">
        <v>41836</v>
      </c>
      <c r="Z197" s="1054">
        <v>41956</v>
      </c>
      <c r="AA197" s="1030">
        <f>AC197/L196*100</f>
        <v>3.0859008056230732</v>
      </c>
      <c r="AB197" s="1030"/>
      <c r="AC197" s="266">
        <v>1619.86</v>
      </c>
      <c r="AD197" s="1030"/>
      <c r="AE197" s="2283"/>
      <c r="AF197" s="2283"/>
      <c r="AG197" s="2283"/>
      <c r="AH197" s="2283"/>
      <c r="AI197" s="339"/>
      <c r="AJ197" s="339"/>
      <c r="AK197" s="107"/>
      <c r="AL197" s="107"/>
      <c r="AM197" s="1092"/>
      <c r="AN197" s="107"/>
      <c r="AO197" s="107"/>
      <c r="AP197" s="107"/>
      <c r="AQ197" s="107"/>
      <c r="AR197" s="107"/>
      <c r="AS197" s="1986"/>
      <c r="AT197" s="1986"/>
      <c r="AU197" s="1054"/>
      <c r="AV197" s="1054"/>
      <c r="AW197" s="1030"/>
      <c r="AX197" s="1030"/>
      <c r="AY197" s="1997"/>
      <c r="AZ197" s="1986"/>
      <c r="BA197" s="1986"/>
      <c r="BB197" s="1030"/>
      <c r="BC197" s="1030"/>
      <c r="BD197" s="1030"/>
    </row>
    <row r="198" spans="1:56" ht="25.5" x14ac:dyDescent="0.25">
      <c r="A198" s="1492">
        <v>106</v>
      </c>
      <c r="B198" s="1483" t="s">
        <v>1802</v>
      </c>
      <c r="C198" s="1030" t="s">
        <v>1351</v>
      </c>
      <c r="D198" s="518" t="s">
        <v>1548</v>
      </c>
      <c r="E198" s="1060" t="s">
        <v>1358</v>
      </c>
      <c r="F198" s="518" t="s">
        <v>1803</v>
      </c>
      <c r="G198" s="1178">
        <v>11182</v>
      </c>
      <c r="H198" s="1031" t="s">
        <v>1804</v>
      </c>
      <c r="I198" s="518" t="s">
        <v>1805</v>
      </c>
      <c r="J198" s="1060" t="s">
        <v>1806</v>
      </c>
      <c r="K198" s="1054">
        <v>41695</v>
      </c>
      <c r="L198" s="266">
        <v>102900</v>
      </c>
      <c r="M198" s="1053" t="s">
        <v>1807</v>
      </c>
      <c r="N198" s="1054">
        <v>41695</v>
      </c>
      <c r="O198" s="1054">
        <v>42004</v>
      </c>
      <c r="P198" s="1060" t="s">
        <v>1320</v>
      </c>
      <c r="Q198" s="1060"/>
      <c r="R198" s="1030"/>
      <c r="S198" s="1030"/>
      <c r="T198" s="1060" t="s">
        <v>719</v>
      </c>
      <c r="U198" s="1357"/>
      <c r="V198" s="1054"/>
      <c r="W198" s="1030"/>
      <c r="X198" s="1060"/>
      <c r="Y198" s="1054"/>
      <c r="Z198" s="1054"/>
      <c r="AA198" s="1030"/>
      <c r="AB198" s="1030"/>
      <c r="AC198" s="266"/>
      <c r="AD198" s="1030"/>
      <c r="AE198" s="613">
        <f t="shared" si="7"/>
        <v>102900</v>
      </c>
      <c r="AF198" s="278"/>
      <c r="AG198" s="278">
        <v>102900</v>
      </c>
      <c r="AH198" s="613">
        <f t="shared" si="6"/>
        <v>102900</v>
      </c>
      <c r="AI198" s="339"/>
      <c r="AJ198" s="339"/>
      <c r="AK198" s="107"/>
      <c r="AL198" s="107"/>
      <c r="AM198" s="1092"/>
      <c r="AN198" s="107"/>
      <c r="AO198" s="107"/>
      <c r="AP198" s="107"/>
      <c r="AQ198" s="107"/>
      <c r="AR198" s="107"/>
      <c r="AS198" s="1030"/>
      <c r="AT198" s="1030"/>
      <c r="AU198" s="1030"/>
      <c r="AV198" s="1030"/>
      <c r="AW198" s="1030"/>
      <c r="AX198" s="1030"/>
      <c r="AY198" s="1030"/>
      <c r="AZ198" s="1030"/>
      <c r="BA198" s="1030"/>
      <c r="BB198" s="1030"/>
      <c r="BC198" s="1030"/>
      <c r="BD198" s="1030"/>
    </row>
    <row r="199" spans="1:56" ht="38.25" x14ac:dyDescent="0.25">
      <c r="A199" s="1492">
        <v>107</v>
      </c>
      <c r="B199" s="1483" t="s">
        <v>1808</v>
      </c>
      <c r="C199" s="1030" t="s">
        <v>675</v>
      </c>
      <c r="D199" s="518" t="s">
        <v>1809</v>
      </c>
      <c r="E199" s="1060" t="s">
        <v>168</v>
      </c>
      <c r="F199" s="518" t="s">
        <v>1810</v>
      </c>
      <c r="G199" s="1178" t="s">
        <v>677</v>
      </c>
      <c r="H199" s="1031" t="s">
        <v>1811</v>
      </c>
      <c r="I199" s="518" t="s">
        <v>1812</v>
      </c>
      <c r="J199" s="1060" t="s">
        <v>1813</v>
      </c>
      <c r="K199" s="1054">
        <v>41698</v>
      </c>
      <c r="L199" s="266">
        <v>15600</v>
      </c>
      <c r="M199" s="1053">
        <v>11257</v>
      </c>
      <c r="N199" s="1059">
        <v>41699</v>
      </c>
      <c r="O199" s="1059">
        <v>42064</v>
      </c>
      <c r="P199" s="1060" t="s">
        <v>1320</v>
      </c>
      <c r="Q199" s="1060"/>
      <c r="R199" s="1030"/>
      <c r="S199" s="1030"/>
      <c r="T199" s="1060" t="s">
        <v>1814</v>
      </c>
      <c r="U199" s="1357"/>
      <c r="V199" s="1054"/>
      <c r="W199" s="1030"/>
      <c r="X199" s="1060"/>
      <c r="Y199" s="1054"/>
      <c r="Z199" s="1054"/>
      <c r="AA199" s="1030"/>
      <c r="AB199" s="1030"/>
      <c r="AC199" s="266"/>
      <c r="AD199" s="1030"/>
      <c r="AE199" s="613">
        <f t="shared" si="7"/>
        <v>15600</v>
      </c>
      <c r="AF199" s="278"/>
      <c r="AG199" s="278">
        <v>13000</v>
      </c>
      <c r="AH199" s="613">
        <f t="shared" si="6"/>
        <v>13000</v>
      </c>
      <c r="AI199" s="339"/>
      <c r="AJ199" s="339"/>
      <c r="AK199" s="107"/>
      <c r="AL199" s="107"/>
      <c r="AM199" s="1092" t="s">
        <v>1311</v>
      </c>
      <c r="AN199" s="1030" t="s">
        <v>1312</v>
      </c>
      <c r="AO199" s="1178">
        <v>11244</v>
      </c>
      <c r="AP199" s="1175">
        <v>41684</v>
      </c>
      <c r="AQ199" s="1178">
        <v>11247</v>
      </c>
      <c r="AR199" s="1175">
        <v>41689</v>
      </c>
      <c r="AS199" s="1030"/>
      <c r="AT199" s="1030"/>
      <c r="AU199" s="1030"/>
      <c r="AV199" s="1030"/>
      <c r="AW199" s="1030"/>
      <c r="AX199" s="1030"/>
      <c r="AY199" s="1030"/>
      <c r="AZ199" s="1030"/>
      <c r="BA199" s="1030"/>
      <c r="BB199" s="1030"/>
      <c r="BC199" s="1030"/>
      <c r="BD199" s="1030"/>
    </row>
    <row r="200" spans="1:56" ht="25.5" x14ac:dyDescent="0.25">
      <c r="A200" s="1492">
        <v>108</v>
      </c>
      <c r="B200" s="1483" t="s">
        <v>1815</v>
      </c>
      <c r="C200" s="1030" t="s">
        <v>388</v>
      </c>
      <c r="D200" s="518" t="s">
        <v>1548</v>
      </c>
      <c r="E200" s="1060" t="s">
        <v>1358</v>
      </c>
      <c r="F200" s="518" t="s">
        <v>1816</v>
      </c>
      <c r="G200" s="1178">
        <v>1225</v>
      </c>
      <c r="H200" s="1031" t="s">
        <v>395</v>
      </c>
      <c r="I200" s="518" t="s">
        <v>1817</v>
      </c>
      <c r="J200" s="1060" t="s">
        <v>1818</v>
      </c>
      <c r="K200" s="1054">
        <v>41698</v>
      </c>
      <c r="L200" s="266">
        <v>59000</v>
      </c>
      <c r="M200" s="1053">
        <v>11257</v>
      </c>
      <c r="N200" s="1054">
        <v>41698</v>
      </c>
      <c r="O200" s="1059">
        <v>41757</v>
      </c>
      <c r="P200" s="1030" t="s">
        <v>1308</v>
      </c>
      <c r="Q200" s="1060"/>
      <c r="R200" s="1060"/>
      <c r="S200" s="1060"/>
      <c r="T200" s="1060" t="s">
        <v>685</v>
      </c>
      <c r="U200" s="1060"/>
      <c r="V200" s="1060"/>
      <c r="W200" s="1060"/>
      <c r="X200" s="1060"/>
      <c r="Y200" s="1060"/>
      <c r="Z200" s="1060"/>
      <c r="AA200" s="1060"/>
      <c r="AB200" s="1060"/>
      <c r="AC200" s="1060"/>
      <c r="AD200" s="1060"/>
      <c r="AE200" s="1359">
        <f t="shared" si="7"/>
        <v>59000</v>
      </c>
      <c r="AF200" s="1060"/>
      <c r="AG200" s="278">
        <v>59000</v>
      </c>
      <c r="AH200" s="613">
        <f t="shared" si="6"/>
        <v>59000</v>
      </c>
      <c r="AI200" s="339"/>
      <c r="AJ200" s="339"/>
      <c r="AK200" s="107"/>
      <c r="AL200" s="107"/>
      <c r="AM200" s="1092"/>
      <c r="AN200" s="107"/>
      <c r="AO200" s="107"/>
      <c r="AP200" s="107"/>
      <c r="AQ200" s="107"/>
      <c r="AR200" s="107"/>
      <c r="AS200" s="1030"/>
      <c r="AT200" s="1030"/>
      <c r="AU200" s="1030"/>
      <c r="AV200" s="1030"/>
      <c r="AW200" s="1030"/>
      <c r="AX200" s="1030"/>
      <c r="AY200" s="1030"/>
      <c r="AZ200" s="1030"/>
      <c r="BA200" s="1030"/>
      <c r="BB200" s="1030"/>
      <c r="BC200" s="1030"/>
      <c r="BD200" s="1030"/>
    </row>
    <row r="201" spans="1:56" ht="25.5" x14ac:dyDescent="0.25">
      <c r="A201" s="1492">
        <v>109</v>
      </c>
      <c r="B201" s="2222" t="s">
        <v>1819</v>
      </c>
      <c r="C201" s="1985" t="s">
        <v>787</v>
      </c>
      <c r="D201" s="2233" t="s">
        <v>1548</v>
      </c>
      <c r="E201" s="1985" t="s">
        <v>1358</v>
      </c>
      <c r="F201" s="2233" t="s">
        <v>1820</v>
      </c>
      <c r="G201" s="2177">
        <v>11227</v>
      </c>
      <c r="H201" s="1031" t="s">
        <v>1821</v>
      </c>
      <c r="I201" s="518" t="s">
        <v>1822</v>
      </c>
      <c r="J201" s="1060" t="s">
        <v>1823</v>
      </c>
      <c r="K201" s="1054">
        <v>41704</v>
      </c>
      <c r="L201" s="266">
        <v>28464.720000000001</v>
      </c>
      <c r="M201" s="1994">
        <v>11257</v>
      </c>
      <c r="N201" s="1054">
        <v>41704</v>
      </c>
      <c r="O201" s="1054">
        <v>42004</v>
      </c>
      <c r="P201" s="1060" t="s">
        <v>1320</v>
      </c>
      <c r="Q201" s="1967"/>
      <c r="R201" s="1967"/>
      <c r="S201" s="1967"/>
      <c r="T201" s="1060" t="s">
        <v>719</v>
      </c>
      <c r="U201" s="1060"/>
      <c r="V201" s="1060"/>
      <c r="W201" s="1060"/>
      <c r="X201" s="1060"/>
      <c r="Y201" s="1060"/>
      <c r="Z201" s="1060"/>
      <c r="AA201" s="1060"/>
      <c r="AB201" s="1060"/>
      <c r="AC201" s="1060"/>
      <c r="AD201" s="1060"/>
      <c r="AE201" s="1359">
        <f t="shared" si="7"/>
        <v>28464.720000000001</v>
      </c>
      <c r="AF201" s="1967"/>
      <c r="AG201" s="278">
        <v>28464.54</v>
      </c>
      <c r="AH201" s="613">
        <f t="shared" si="6"/>
        <v>28464.54</v>
      </c>
      <c r="AI201" s="339"/>
      <c r="AJ201" s="339"/>
      <c r="AK201" s="107"/>
      <c r="AL201" s="107"/>
      <c r="AM201" s="1092"/>
      <c r="AN201" s="107"/>
      <c r="AO201" s="107"/>
      <c r="AP201" s="107"/>
      <c r="AQ201" s="107"/>
      <c r="AR201" s="107"/>
      <c r="AS201" s="1030"/>
      <c r="AT201" s="1030"/>
      <c r="AU201" s="1030"/>
      <c r="AV201" s="1030"/>
      <c r="AW201" s="1030"/>
      <c r="AX201" s="1030"/>
      <c r="AY201" s="1030"/>
      <c r="AZ201" s="1030"/>
      <c r="BA201" s="1030"/>
      <c r="BB201" s="1030"/>
      <c r="BC201" s="1030"/>
      <c r="BD201" s="1030"/>
    </row>
    <row r="202" spans="1:56" ht="38.25" x14ac:dyDescent="0.25">
      <c r="A202" s="1492">
        <v>110</v>
      </c>
      <c r="B202" s="2223"/>
      <c r="C202" s="2021"/>
      <c r="D202" s="2252"/>
      <c r="E202" s="2021"/>
      <c r="F202" s="2252"/>
      <c r="G202" s="2180"/>
      <c r="H202" s="1031" t="s">
        <v>1824</v>
      </c>
      <c r="I202" s="518" t="s">
        <v>1825</v>
      </c>
      <c r="J202" s="1060" t="s">
        <v>789</v>
      </c>
      <c r="K202" s="1054">
        <v>41704</v>
      </c>
      <c r="L202" s="266">
        <v>75626.7</v>
      </c>
      <c r="M202" s="2197"/>
      <c r="N202" s="1054">
        <v>41704</v>
      </c>
      <c r="O202" s="1054">
        <v>42004</v>
      </c>
      <c r="P202" s="1060" t="s">
        <v>1320</v>
      </c>
      <c r="Q202" s="1967"/>
      <c r="R202" s="1967"/>
      <c r="S202" s="1967"/>
      <c r="T202" s="1060" t="s">
        <v>719</v>
      </c>
      <c r="U202" s="1060"/>
      <c r="V202" s="1060"/>
      <c r="W202" s="1060"/>
      <c r="X202" s="1060"/>
      <c r="Y202" s="1060"/>
      <c r="Z202" s="1060"/>
      <c r="AA202" s="1060"/>
      <c r="AB202" s="1060"/>
      <c r="AC202" s="1060"/>
      <c r="AD202" s="1060"/>
      <c r="AE202" s="1359">
        <f t="shared" si="7"/>
        <v>75626.7</v>
      </c>
      <c r="AF202" s="1967"/>
      <c r="AG202" s="278">
        <v>57114.2</v>
      </c>
      <c r="AH202" s="613">
        <f t="shared" si="6"/>
        <v>57114.2</v>
      </c>
      <c r="AI202" s="339"/>
      <c r="AJ202" s="339"/>
      <c r="AK202" s="107"/>
      <c r="AL202" s="107"/>
      <c r="AM202" s="1092"/>
      <c r="AN202" s="107"/>
      <c r="AO202" s="107"/>
      <c r="AP202" s="107"/>
      <c r="AQ202" s="107"/>
      <c r="AR202" s="107"/>
      <c r="AS202" s="1030"/>
      <c r="AT202" s="1030"/>
      <c r="AU202" s="1030"/>
      <c r="AV202" s="1030"/>
      <c r="AW202" s="1030"/>
      <c r="AX202" s="1030"/>
      <c r="AY202" s="1030"/>
      <c r="AZ202" s="1030"/>
      <c r="BA202" s="1030"/>
      <c r="BB202" s="1030"/>
      <c r="BC202" s="1030"/>
      <c r="BD202" s="1030"/>
    </row>
    <row r="203" spans="1:56" ht="38.25" x14ac:dyDescent="0.25">
      <c r="A203" s="1492">
        <v>111</v>
      </c>
      <c r="B203" s="2223"/>
      <c r="C203" s="2021"/>
      <c r="D203" s="2252"/>
      <c r="E203" s="2021"/>
      <c r="F203" s="2252"/>
      <c r="G203" s="2180"/>
      <c r="H203" s="1031" t="s">
        <v>489</v>
      </c>
      <c r="I203" s="518" t="s">
        <v>1826</v>
      </c>
      <c r="J203" s="1060" t="s">
        <v>1827</v>
      </c>
      <c r="K203" s="1054">
        <v>41704</v>
      </c>
      <c r="L203" s="266">
        <v>11357.41</v>
      </c>
      <c r="M203" s="2197"/>
      <c r="N203" s="1054">
        <v>41704</v>
      </c>
      <c r="O203" s="1054">
        <v>42004</v>
      </c>
      <c r="P203" s="1060" t="s">
        <v>1320</v>
      </c>
      <c r="Q203" s="1967"/>
      <c r="R203" s="1967"/>
      <c r="S203" s="1967"/>
      <c r="T203" s="1060" t="s">
        <v>719</v>
      </c>
      <c r="U203" s="1060"/>
      <c r="V203" s="1060"/>
      <c r="W203" s="1060"/>
      <c r="X203" s="1060"/>
      <c r="Y203" s="1060"/>
      <c r="Z203" s="1060"/>
      <c r="AA203" s="1060"/>
      <c r="AB203" s="1060"/>
      <c r="AC203" s="1060"/>
      <c r="AD203" s="1060"/>
      <c r="AE203" s="1359">
        <f t="shared" si="7"/>
        <v>11357.41</v>
      </c>
      <c r="AF203" s="1967"/>
      <c r="AG203" s="278">
        <v>4986.53</v>
      </c>
      <c r="AH203" s="613">
        <f t="shared" si="6"/>
        <v>4986.53</v>
      </c>
      <c r="AI203" s="339"/>
      <c r="AJ203" s="339"/>
      <c r="AK203" s="107"/>
      <c r="AL203" s="107"/>
      <c r="AM203" s="1092"/>
      <c r="AN203" s="107"/>
      <c r="AO203" s="107"/>
      <c r="AP203" s="107"/>
      <c r="AQ203" s="107"/>
      <c r="AR203" s="107"/>
      <c r="AS203" s="1030"/>
      <c r="AT203" s="1030"/>
      <c r="AU203" s="1030"/>
      <c r="AV203" s="1030"/>
      <c r="AW203" s="1030"/>
      <c r="AX203" s="1030"/>
      <c r="AY203" s="1030"/>
      <c r="AZ203" s="1030"/>
      <c r="BA203" s="1030"/>
      <c r="BB203" s="1030"/>
      <c r="BC203" s="1030"/>
      <c r="BD203" s="1030"/>
    </row>
    <row r="204" spans="1:56" ht="25.5" x14ac:dyDescent="0.25">
      <c r="A204" s="1492">
        <v>112</v>
      </c>
      <c r="B204" s="2223"/>
      <c r="C204" s="2021"/>
      <c r="D204" s="2252"/>
      <c r="E204" s="2021"/>
      <c r="F204" s="2252"/>
      <c r="G204" s="2180"/>
      <c r="H204" s="1031" t="s">
        <v>1828</v>
      </c>
      <c r="I204" s="518" t="s">
        <v>1829</v>
      </c>
      <c r="J204" s="1060" t="s">
        <v>1830</v>
      </c>
      <c r="K204" s="1054">
        <v>41704</v>
      </c>
      <c r="L204" s="266">
        <v>28106.98</v>
      </c>
      <c r="M204" s="2197"/>
      <c r="N204" s="1054">
        <v>41704</v>
      </c>
      <c r="O204" s="1054">
        <v>42004</v>
      </c>
      <c r="P204" s="1060" t="s">
        <v>1320</v>
      </c>
      <c r="Q204" s="1967"/>
      <c r="R204" s="1967"/>
      <c r="S204" s="1967"/>
      <c r="T204" s="1060" t="s">
        <v>719</v>
      </c>
      <c r="U204" s="1060"/>
      <c r="V204" s="1060"/>
      <c r="W204" s="1060"/>
      <c r="X204" s="1060"/>
      <c r="Y204" s="1060"/>
      <c r="Z204" s="1060"/>
      <c r="AA204" s="1060"/>
      <c r="AB204" s="1060"/>
      <c r="AC204" s="1060"/>
      <c r="AD204" s="1060"/>
      <c r="AE204" s="1359">
        <f t="shared" si="7"/>
        <v>28106.98</v>
      </c>
      <c r="AF204" s="1967"/>
      <c r="AG204" s="278">
        <v>16558.990000000002</v>
      </c>
      <c r="AH204" s="613">
        <f t="shared" si="6"/>
        <v>16558.990000000002</v>
      </c>
      <c r="AI204" s="339"/>
      <c r="AJ204" s="339"/>
      <c r="AK204" s="107"/>
      <c r="AL204" s="107"/>
      <c r="AM204" s="1092"/>
      <c r="AN204" s="107"/>
      <c r="AO204" s="107"/>
      <c r="AP204" s="107"/>
      <c r="AQ204" s="107"/>
      <c r="AR204" s="107"/>
      <c r="AS204" s="1030"/>
      <c r="AT204" s="1030"/>
      <c r="AU204" s="1030"/>
      <c r="AV204" s="1030"/>
      <c r="AW204" s="1030"/>
      <c r="AX204" s="1030"/>
      <c r="AY204" s="1030"/>
      <c r="AZ204" s="1030"/>
      <c r="BA204" s="1030"/>
      <c r="BB204" s="1030"/>
      <c r="BC204" s="1030"/>
      <c r="BD204" s="1030"/>
    </row>
    <row r="205" spans="1:56" ht="38.25" x14ac:dyDescent="0.25">
      <c r="A205" s="1492">
        <v>113</v>
      </c>
      <c r="B205" s="2223"/>
      <c r="C205" s="2021"/>
      <c r="D205" s="2252"/>
      <c r="E205" s="2021"/>
      <c r="F205" s="2252"/>
      <c r="G205" s="2180"/>
      <c r="H205" s="1031" t="s">
        <v>1831</v>
      </c>
      <c r="I205" s="518" t="s">
        <v>1832</v>
      </c>
      <c r="J205" s="1060" t="s">
        <v>1833</v>
      </c>
      <c r="K205" s="1054">
        <v>41704</v>
      </c>
      <c r="L205" s="266">
        <v>4857.8999999999996</v>
      </c>
      <c r="M205" s="2197"/>
      <c r="N205" s="1054">
        <v>41704</v>
      </c>
      <c r="O205" s="1054">
        <v>42004</v>
      </c>
      <c r="P205" s="1060" t="s">
        <v>1320</v>
      </c>
      <c r="Q205" s="1967"/>
      <c r="R205" s="1967"/>
      <c r="S205" s="1967"/>
      <c r="T205" s="1060" t="s">
        <v>719</v>
      </c>
      <c r="U205" s="1060"/>
      <c r="V205" s="1060"/>
      <c r="W205" s="1060"/>
      <c r="X205" s="1060"/>
      <c r="Y205" s="1060"/>
      <c r="Z205" s="1060"/>
      <c r="AA205" s="1060"/>
      <c r="AB205" s="1060"/>
      <c r="AC205" s="1060"/>
      <c r="AD205" s="1060"/>
      <c r="AE205" s="1359">
        <f t="shared" si="7"/>
        <v>4857.8999999999996</v>
      </c>
      <c r="AF205" s="1967"/>
      <c r="AG205" s="278">
        <v>426</v>
      </c>
      <c r="AH205" s="613">
        <f t="shared" si="6"/>
        <v>426</v>
      </c>
      <c r="AI205" s="339"/>
      <c r="AJ205" s="339"/>
      <c r="AK205" s="107"/>
      <c r="AL205" s="107"/>
      <c r="AM205" s="1092"/>
      <c r="AN205" s="107"/>
      <c r="AO205" s="107"/>
      <c r="AP205" s="107"/>
      <c r="AQ205" s="107"/>
      <c r="AR205" s="107"/>
      <c r="AS205" s="1030"/>
      <c r="AT205" s="1030"/>
      <c r="AU205" s="1030"/>
      <c r="AV205" s="1030"/>
      <c r="AW205" s="1030"/>
      <c r="AX205" s="1030"/>
      <c r="AY205" s="1030"/>
      <c r="AZ205" s="1030"/>
      <c r="BA205" s="1030"/>
      <c r="BB205" s="1030"/>
      <c r="BC205" s="1030"/>
      <c r="BD205" s="1030"/>
    </row>
    <row r="206" spans="1:56" ht="38.25" x14ac:dyDescent="0.25">
      <c r="A206" s="1492">
        <v>114</v>
      </c>
      <c r="B206" s="2224"/>
      <c r="C206" s="1986"/>
      <c r="D206" s="2234"/>
      <c r="E206" s="1986"/>
      <c r="F206" s="2234"/>
      <c r="G206" s="2178"/>
      <c r="H206" s="1031" t="s">
        <v>1834</v>
      </c>
      <c r="I206" s="518" t="s">
        <v>1835</v>
      </c>
      <c r="J206" s="1060" t="s">
        <v>800</v>
      </c>
      <c r="K206" s="1054">
        <v>41704</v>
      </c>
      <c r="L206" s="266">
        <v>31443.9</v>
      </c>
      <c r="M206" s="1995"/>
      <c r="N206" s="1054">
        <v>41704</v>
      </c>
      <c r="O206" s="1054">
        <v>42004</v>
      </c>
      <c r="P206" s="1060" t="s">
        <v>1320</v>
      </c>
      <c r="Q206" s="1967"/>
      <c r="R206" s="1967"/>
      <c r="S206" s="1967"/>
      <c r="T206" s="1060" t="s">
        <v>719</v>
      </c>
      <c r="U206" s="1060"/>
      <c r="V206" s="1060"/>
      <c r="W206" s="1060"/>
      <c r="X206" s="1060"/>
      <c r="Y206" s="1060"/>
      <c r="Z206" s="1060"/>
      <c r="AA206" s="1060"/>
      <c r="AB206" s="1060"/>
      <c r="AC206" s="1060"/>
      <c r="AD206" s="1060"/>
      <c r="AE206" s="1359">
        <f t="shared" si="7"/>
        <v>31443.9</v>
      </c>
      <c r="AF206" s="1967"/>
      <c r="AG206" s="278">
        <v>10698.6</v>
      </c>
      <c r="AH206" s="613">
        <f t="shared" si="6"/>
        <v>10698.6</v>
      </c>
      <c r="AI206" s="339"/>
      <c r="AJ206" s="339"/>
      <c r="AK206" s="107"/>
      <c r="AL206" s="107"/>
      <c r="AM206" s="1092"/>
      <c r="AN206" s="107"/>
      <c r="AO206" s="107"/>
      <c r="AP206" s="107"/>
      <c r="AQ206" s="107"/>
      <c r="AR206" s="107"/>
      <c r="AS206" s="1030"/>
      <c r="AT206" s="1030"/>
      <c r="AU206" s="1030"/>
      <c r="AV206" s="1030"/>
      <c r="AW206" s="1030"/>
      <c r="AX206" s="1030"/>
      <c r="AY206" s="1030"/>
      <c r="AZ206" s="1030"/>
      <c r="BA206" s="1030"/>
      <c r="BB206" s="1030"/>
      <c r="BC206" s="1030"/>
      <c r="BD206" s="1030"/>
    </row>
    <row r="207" spans="1:56" ht="89.25" x14ac:dyDescent="0.25">
      <c r="A207" s="1492">
        <v>115</v>
      </c>
      <c r="B207" s="2222" t="s">
        <v>1836</v>
      </c>
      <c r="C207" s="1985" t="s">
        <v>1837</v>
      </c>
      <c r="D207" s="2233" t="s">
        <v>1548</v>
      </c>
      <c r="E207" s="1985" t="s">
        <v>1358</v>
      </c>
      <c r="F207" s="2233" t="s">
        <v>1838</v>
      </c>
      <c r="G207" s="2177">
        <v>11145</v>
      </c>
      <c r="H207" s="1031" t="s">
        <v>1839</v>
      </c>
      <c r="I207" s="518" t="s">
        <v>1840</v>
      </c>
      <c r="J207" s="1060" t="s">
        <v>1841</v>
      </c>
      <c r="K207" s="1054">
        <v>41709</v>
      </c>
      <c r="L207" s="266">
        <v>30000</v>
      </c>
      <c r="M207" s="1053">
        <v>11276</v>
      </c>
      <c r="N207" s="1054">
        <v>41709</v>
      </c>
      <c r="O207" s="1054">
        <v>42004</v>
      </c>
      <c r="P207" s="1060" t="s">
        <v>1842</v>
      </c>
      <c r="Q207" s="1060" t="s">
        <v>1843</v>
      </c>
      <c r="R207" s="266">
        <v>30000</v>
      </c>
      <c r="S207" s="1030"/>
      <c r="T207" s="1060" t="s">
        <v>685</v>
      </c>
      <c r="U207" s="1357"/>
      <c r="V207" s="1054"/>
      <c r="W207" s="1030"/>
      <c r="X207" s="1060"/>
      <c r="Y207" s="1054"/>
      <c r="Z207" s="1054"/>
      <c r="AA207" s="1030"/>
      <c r="AB207" s="1030"/>
      <c r="AC207" s="266"/>
      <c r="AD207" s="1030"/>
      <c r="AE207" s="613">
        <f t="shared" si="7"/>
        <v>30000</v>
      </c>
      <c r="AF207" s="278"/>
      <c r="AG207" s="278">
        <v>27940</v>
      </c>
      <c r="AH207" s="613">
        <f t="shared" si="6"/>
        <v>27940</v>
      </c>
      <c r="AI207" s="339"/>
      <c r="AJ207" s="339"/>
      <c r="AK207" s="107"/>
      <c r="AL207" s="107"/>
      <c r="AM207" s="1092"/>
      <c r="AN207" s="107"/>
      <c r="AO207" s="107"/>
      <c r="AP207" s="107"/>
      <c r="AQ207" s="107"/>
      <c r="AR207" s="107"/>
      <c r="AS207" s="1030"/>
      <c r="AT207" s="1030"/>
      <c r="AU207" s="1030"/>
      <c r="AV207" s="1030"/>
      <c r="AW207" s="1030"/>
      <c r="AX207" s="1030"/>
      <c r="AY207" s="1030"/>
      <c r="AZ207" s="1030"/>
      <c r="BA207" s="1030"/>
      <c r="BB207" s="1030"/>
      <c r="BC207" s="1030"/>
      <c r="BD207" s="1030"/>
    </row>
    <row r="208" spans="1:56" ht="89.25" x14ac:dyDescent="0.25">
      <c r="A208" s="1492">
        <v>116</v>
      </c>
      <c r="B208" s="2224"/>
      <c r="C208" s="1986"/>
      <c r="D208" s="2234"/>
      <c r="E208" s="1986"/>
      <c r="F208" s="2234"/>
      <c r="G208" s="2178"/>
      <c r="H208" s="1031" t="s">
        <v>1844</v>
      </c>
      <c r="I208" s="518" t="s">
        <v>1845</v>
      </c>
      <c r="J208" s="1060" t="s">
        <v>1846</v>
      </c>
      <c r="K208" s="1054">
        <v>41709</v>
      </c>
      <c r="L208" s="266">
        <v>16978.75</v>
      </c>
      <c r="M208" s="1053">
        <v>11262</v>
      </c>
      <c r="N208" s="1054">
        <v>41709</v>
      </c>
      <c r="O208" s="1054">
        <v>42004</v>
      </c>
      <c r="P208" s="1060" t="s">
        <v>1842</v>
      </c>
      <c r="Q208" s="1060" t="s">
        <v>1843</v>
      </c>
      <c r="R208" s="266">
        <v>16978.75</v>
      </c>
      <c r="S208" s="1030"/>
      <c r="T208" s="1060" t="s">
        <v>685</v>
      </c>
      <c r="U208" s="1357"/>
      <c r="V208" s="1054"/>
      <c r="W208" s="1030"/>
      <c r="X208" s="1060"/>
      <c r="Y208" s="1054"/>
      <c r="Z208" s="1054"/>
      <c r="AA208" s="1030"/>
      <c r="AB208" s="1030"/>
      <c r="AC208" s="266"/>
      <c r="AD208" s="1030"/>
      <c r="AE208" s="613">
        <f t="shared" si="7"/>
        <v>16978.75</v>
      </c>
      <c r="AF208" s="278"/>
      <c r="AG208" s="278">
        <v>12448.42</v>
      </c>
      <c r="AH208" s="613">
        <f t="shared" si="6"/>
        <v>12448.42</v>
      </c>
      <c r="AI208" s="339"/>
      <c r="AJ208" s="339"/>
      <c r="AK208" s="107"/>
      <c r="AL208" s="107"/>
      <c r="AM208" s="1092"/>
      <c r="AN208" s="107"/>
      <c r="AO208" s="107"/>
      <c r="AP208" s="107"/>
      <c r="AQ208" s="107"/>
      <c r="AR208" s="107"/>
      <c r="AS208" s="1030"/>
      <c r="AT208" s="1030"/>
      <c r="AU208" s="1030"/>
      <c r="AV208" s="1030"/>
      <c r="AW208" s="1030"/>
      <c r="AX208" s="1030"/>
      <c r="AY208" s="1030"/>
      <c r="AZ208" s="1030"/>
      <c r="BA208" s="1030"/>
      <c r="BB208" s="1030"/>
      <c r="BC208" s="1030"/>
      <c r="BD208" s="1030"/>
    </row>
    <row r="209" spans="1:56" ht="63.75" x14ac:dyDescent="0.25">
      <c r="A209" s="1492">
        <v>117</v>
      </c>
      <c r="B209" s="1483" t="s">
        <v>1588</v>
      </c>
      <c r="C209" s="1030" t="s">
        <v>1057</v>
      </c>
      <c r="D209" s="518" t="s">
        <v>1548</v>
      </c>
      <c r="E209" s="1060" t="s">
        <v>1358</v>
      </c>
      <c r="F209" s="518" t="s">
        <v>1589</v>
      </c>
      <c r="G209" s="1178">
        <v>11063</v>
      </c>
      <c r="H209" s="1031" t="s">
        <v>1847</v>
      </c>
      <c r="I209" s="518" t="s">
        <v>1590</v>
      </c>
      <c r="J209" s="1060" t="s">
        <v>639</v>
      </c>
      <c r="K209" s="1054">
        <v>41709</v>
      </c>
      <c r="L209" s="266">
        <v>4640</v>
      </c>
      <c r="M209" s="1053">
        <v>11263</v>
      </c>
      <c r="N209" s="1054">
        <v>41709</v>
      </c>
      <c r="O209" s="1054">
        <v>42004</v>
      </c>
      <c r="P209" s="1060" t="s">
        <v>1320</v>
      </c>
      <c r="Q209" s="1060"/>
      <c r="R209" s="1030"/>
      <c r="S209" s="1030"/>
      <c r="T209" s="1060" t="s">
        <v>685</v>
      </c>
      <c r="U209" s="1357" t="s">
        <v>867</v>
      </c>
      <c r="V209" s="1054">
        <v>42004</v>
      </c>
      <c r="W209" s="1053">
        <v>11472</v>
      </c>
      <c r="X209" s="1060" t="s">
        <v>1592</v>
      </c>
      <c r="Y209" s="1054">
        <v>42004</v>
      </c>
      <c r="Z209" s="1054">
        <v>41820</v>
      </c>
      <c r="AA209" s="1030"/>
      <c r="AB209" s="1030"/>
      <c r="AC209" s="266">
        <v>2880</v>
      </c>
      <c r="AD209" s="1030"/>
      <c r="AE209" s="613">
        <f>L209-AD209+AC209</f>
        <v>7520</v>
      </c>
      <c r="AF209" s="278"/>
      <c r="AG209" s="278">
        <v>3840</v>
      </c>
      <c r="AH209" s="613">
        <f t="shared" si="6"/>
        <v>3840</v>
      </c>
      <c r="AI209" s="339"/>
      <c r="AJ209" s="339"/>
      <c r="AK209" s="107"/>
      <c r="AL209" s="107"/>
      <c r="AM209" s="1092"/>
      <c r="AN209" s="107"/>
      <c r="AO209" s="107"/>
      <c r="AP209" s="107"/>
      <c r="AQ209" s="107"/>
      <c r="AR209" s="107"/>
      <c r="AS209" s="1030"/>
      <c r="AT209" s="1030"/>
      <c r="AU209" s="1030"/>
      <c r="AV209" s="1030"/>
      <c r="AW209" s="1030"/>
      <c r="AX209" s="1030"/>
      <c r="AY209" s="1030"/>
      <c r="AZ209" s="1030"/>
      <c r="BA209" s="1030"/>
      <c r="BB209" s="1030"/>
      <c r="BC209" s="1030"/>
      <c r="BD209" s="1030"/>
    </row>
    <row r="210" spans="1:56" ht="76.5" x14ac:dyDescent="0.25">
      <c r="A210" s="1492">
        <v>118</v>
      </c>
      <c r="B210" s="1483" t="s">
        <v>1848</v>
      </c>
      <c r="C210" s="1030" t="s">
        <v>724</v>
      </c>
      <c r="D210" s="518" t="s">
        <v>1809</v>
      </c>
      <c r="E210" s="1060" t="s">
        <v>1849</v>
      </c>
      <c r="F210" s="518" t="s">
        <v>1850</v>
      </c>
      <c r="G210" s="1178">
        <v>11152</v>
      </c>
      <c r="H210" s="1031" t="s">
        <v>1851</v>
      </c>
      <c r="I210" s="518" t="s">
        <v>1852</v>
      </c>
      <c r="J210" s="1060" t="s">
        <v>1853</v>
      </c>
      <c r="K210" s="1054">
        <v>41711</v>
      </c>
      <c r="L210" s="266">
        <v>27000</v>
      </c>
      <c r="M210" s="1053">
        <v>11263</v>
      </c>
      <c r="N210" s="1054">
        <v>41711</v>
      </c>
      <c r="O210" s="1054">
        <v>42004</v>
      </c>
      <c r="P210" s="1030" t="s">
        <v>1308</v>
      </c>
      <c r="Q210" s="1060"/>
      <c r="R210" s="1030"/>
      <c r="S210" s="1030"/>
      <c r="T210" s="1060" t="s">
        <v>685</v>
      </c>
      <c r="U210" s="1357"/>
      <c r="V210" s="1054"/>
      <c r="W210" s="1030"/>
      <c r="X210" s="1060"/>
      <c r="Y210" s="1054"/>
      <c r="Z210" s="1054"/>
      <c r="AA210" s="1030"/>
      <c r="AB210" s="1030"/>
      <c r="AC210" s="266"/>
      <c r="AD210" s="1030"/>
      <c r="AE210" s="613">
        <f t="shared" si="7"/>
        <v>27000</v>
      </c>
      <c r="AF210" s="278"/>
      <c r="AG210" s="278">
        <v>2400</v>
      </c>
      <c r="AH210" s="613" t="s">
        <v>677</v>
      </c>
      <c r="AI210" s="339"/>
      <c r="AJ210" s="339"/>
      <c r="AK210" s="107"/>
      <c r="AL210" s="107"/>
      <c r="AM210" s="1092" t="s">
        <v>1311</v>
      </c>
      <c r="AN210" s="1030" t="s">
        <v>1854</v>
      </c>
      <c r="AO210" s="1178">
        <v>11244</v>
      </c>
      <c r="AP210" s="1175">
        <v>41684</v>
      </c>
      <c r="AQ210" s="1178">
        <v>11247</v>
      </c>
      <c r="AR210" s="1175">
        <v>41689</v>
      </c>
      <c r="AS210" s="1030"/>
      <c r="AT210" s="1030"/>
      <c r="AU210" s="1030"/>
      <c r="AV210" s="1030"/>
      <c r="AW210" s="1030"/>
      <c r="AX210" s="1030"/>
      <c r="AY210" s="1030"/>
      <c r="AZ210" s="1030"/>
      <c r="BA210" s="1030"/>
      <c r="BB210" s="1030"/>
      <c r="BC210" s="1030"/>
      <c r="BD210" s="1030"/>
    </row>
    <row r="211" spans="1:56" ht="38.25" x14ac:dyDescent="0.25">
      <c r="A211" s="1492">
        <v>119</v>
      </c>
      <c r="B211" s="1483">
        <v>123530009</v>
      </c>
      <c r="C211" s="1030" t="s">
        <v>1357</v>
      </c>
      <c r="D211" s="518" t="s">
        <v>935</v>
      </c>
      <c r="E211" s="1060" t="s">
        <v>1358</v>
      </c>
      <c r="F211" s="518" t="s">
        <v>1855</v>
      </c>
      <c r="G211" s="1178">
        <v>10969</v>
      </c>
      <c r="H211" s="1031" t="s">
        <v>1856</v>
      </c>
      <c r="I211" s="518" t="s">
        <v>1857</v>
      </c>
      <c r="J211" s="1060" t="s">
        <v>1858</v>
      </c>
      <c r="K211" s="1054">
        <v>41711</v>
      </c>
      <c r="L211" s="266">
        <v>41280</v>
      </c>
      <c r="M211" s="1053">
        <v>11264</v>
      </c>
      <c r="N211" s="1054">
        <v>41711</v>
      </c>
      <c r="O211" s="1059">
        <v>42075</v>
      </c>
      <c r="P211" s="1030" t="s">
        <v>1308</v>
      </c>
      <c r="Q211" s="1060"/>
      <c r="R211" s="1030"/>
      <c r="S211" s="1030"/>
      <c r="T211" s="1060" t="s">
        <v>696</v>
      </c>
      <c r="U211" s="1357"/>
      <c r="V211" s="1054"/>
      <c r="W211" s="1030"/>
      <c r="X211" s="1060"/>
      <c r="Y211" s="1054"/>
      <c r="Z211" s="1054"/>
      <c r="AA211" s="1030"/>
      <c r="AB211" s="1030"/>
      <c r="AC211" s="266"/>
      <c r="AD211" s="1030"/>
      <c r="AE211" s="613">
        <f t="shared" si="7"/>
        <v>41280</v>
      </c>
      <c r="AF211" s="278"/>
      <c r="AG211" s="278">
        <v>33024</v>
      </c>
      <c r="AH211" s="613">
        <f>AF211+AG211</f>
        <v>33024</v>
      </c>
      <c r="AI211" s="339"/>
      <c r="AJ211" s="339"/>
      <c r="AK211" s="107"/>
      <c r="AL211" s="107"/>
      <c r="AM211" s="1092"/>
      <c r="AN211" s="107"/>
      <c r="AO211" s="107"/>
      <c r="AP211" s="107"/>
      <c r="AQ211" s="107"/>
      <c r="AR211" s="107"/>
      <c r="AS211" s="1030"/>
      <c r="AT211" s="1030"/>
      <c r="AU211" s="1030"/>
      <c r="AV211" s="1030"/>
      <c r="AW211" s="1030"/>
      <c r="AX211" s="1030"/>
      <c r="AY211" s="1030"/>
      <c r="AZ211" s="1030"/>
      <c r="BA211" s="1030"/>
      <c r="BB211" s="1030"/>
      <c r="BC211" s="1030"/>
      <c r="BD211" s="1030"/>
    </row>
    <row r="212" spans="1:56" ht="25.5" x14ac:dyDescent="0.25">
      <c r="A212" s="1492">
        <v>120</v>
      </c>
      <c r="B212" s="2222" t="s">
        <v>1734</v>
      </c>
      <c r="C212" s="1985" t="s">
        <v>1735</v>
      </c>
      <c r="D212" s="2233" t="s">
        <v>935</v>
      </c>
      <c r="E212" s="1985" t="s">
        <v>1358</v>
      </c>
      <c r="F212" s="2233" t="s">
        <v>1736</v>
      </c>
      <c r="G212" s="2177">
        <v>11145</v>
      </c>
      <c r="H212" s="1031" t="s">
        <v>1859</v>
      </c>
      <c r="I212" s="518" t="s">
        <v>1732</v>
      </c>
      <c r="J212" s="1060" t="s">
        <v>1021</v>
      </c>
      <c r="K212" s="1054">
        <v>41716</v>
      </c>
      <c r="L212" s="266">
        <v>739.8</v>
      </c>
      <c r="M212" s="1994">
        <v>11269</v>
      </c>
      <c r="N212" s="1054">
        <v>41716</v>
      </c>
      <c r="O212" s="1054">
        <v>42004</v>
      </c>
      <c r="P212" s="1030" t="s">
        <v>1308</v>
      </c>
      <c r="Q212" s="1060"/>
      <c r="R212" s="1030"/>
      <c r="S212" s="1030"/>
      <c r="T212" s="1060" t="s">
        <v>719</v>
      </c>
      <c r="U212" s="1357"/>
      <c r="V212" s="1054"/>
      <c r="W212" s="1030"/>
      <c r="X212" s="1060"/>
      <c r="Y212" s="1054"/>
      <c r="Z212" s="1054"/>
      <c r="AA212" s="1030"/>
      <c r="AB212" s="1030"/>
      <c r="AC212" s="266"/>
      <c r="AD212" s="1030"/>
      <c r="AE212" s="613">
        <f t="shared" si="7"/>
        <v>739.8</v>
      </c>
      <c r="AF212" s="278"/>
      <c r="AG212" s="278">
        <v>147.96</v>
      </c>
      <c r="AH212" s="613">
        <f t="shared" ref="AH212:AH246" si="8">AF212+AG212</f>
        <v>147.96</v>
      </c>
      <c r="AI212" s="339"/>
      <c r="AJ212" s="339"/>
      <c r="AK212" s="107"/>
      <c r="AL212" s="107"/>
      <c r="AM212" s="1092"/>
      <c r="AN212" s="107"/>
      <c r="AO212" s="107"/>
      <c r="AP212" s="107"/>
      <c r="AQ212" s="107"/>
      <c r="AR212" s="107"/>
      <c r="AS212" s="1030"/>
      <c r="AT212" s="1030"/>
      <c r="AU212" s="1030"/>
      <c r="AV212" s="1030"/>
      <c r="AW212" s="1030"/>
      <c r="AX212" s="1030"/>
      <c r="AY212" s="1030"/>
      <c r="AZ212" s="1030"/>
      <c r="BA212" s="1030"/>
      <c r="BB212" s="1030"/>
      <c r="BC212" s="1030"/>
      <c r="BD212" s="1030"/>
    </row>
    <row r="213" spans="1:56" ht="38.25" x14ac:dyDescent="0.25">
      <c r="A213" s="1492">
        <v>121</v>
      </c>
      <c r="B213" s="2224"/>
      <c r="C213" s="1986"/>
      <c r="D213" s="2234"/>
      <c r="E213" s="1986"/>
      <c r="F213" s="2234"/>
      <c r="G213" s="2178"/>
      <c r="H213" s="1031" t="s">
        <v>505</v>
      </c>
      <c r="I213" s="518" t="s">
        <v>1742</v>
      </c>
      <c r="J213" s="1060" t="s">
        <v>779</v>
      </c>
      <c r="K213" s="1054">
        <v>41716</v>
      </c>
      <c r="L213" s="266">
        <v>1950</v>
      </c>
      <c r="M213" s="1995"/>
      <c r="N213" s="1054">
        <v>41716</v>
      </c>
      <c r="O213" s="1054">
        <v>42004</v>
      </c>
      <c r="P213" s="1030" t="s">
        <v>1308</v>
      </c>
      <c r="Q213" s="1060"/>
      <c r="R213" s="1030"/>
      <c r="S213" s="1030"/>
      <c r="T213" s="1060" t="s">
        <v>719</v>
      </c>
      <c r="U213" s="1357"/>
      <c r="V213" s="1054"/>
      <c r="W213" s="1030"/>
      <c r="X213" s="1060"/>
      <c r="Y213" s="1054"/>
      <c r="Z213" s="1054"/>
      <c r="AA213" s="1030"/>
      <c r="AB213" s="1030"/>
      <c r="AC213" s="266"/>
      <c r="AD213" s="1030"/>
      <c r="AE213" s="266">
        <v>1950</v>
      </c>
      <c r="AF213" s="278"/>
      <c r="AG213" s="278">
        <v>1210</v>
      </c>
      <c r="AH213" s="613">
        <f t="shared" si="8"/>
        <v>1210</v>
      </c>
      <c r="AI213" s="339"/>
      <c r="AJ213" s="339"/>
      <c r="AK213" s="107"/>
      <c r="AL213" s="107"/>
      <c r="AM213" s="1092"/>
      <c r="AN213" s="107"/>
      <c r="AO213" s="107"/>
      <c r="AP213" s="107"/>
      <c r="AQ213" s="107"/>
      <c r="AR213" s="107"/>
      <c r="AS213" s="1030"/>
      <c r="AT213" s="1030"/>
      <c r="AU213" s="1030"/>
      <c r="AV213" s="1030"/>
      <c r="AW213" s="1030"/>
      <c r="AX213" s="1030"/>
      <c r="AY213" s="1030"/>
      <c r="AZ213" s="1030"/>
      <c r="BA213" s="1030"/>
      <c r="BB213" s="1030"/>
      <c r="BC213" s="1030"/>
      <c r="BD213" s="1030"/>
    </row>
    <row r="214" spans="1:56" ht="25.5" x14ac:dyDescent="0.25">
      <c r="A214" s="1492">
        <v>122</v>
      </c>
      <c r="B214" s="1483" t="s">
        <v>1860</v>
      </c>
      <c r="C214" s="1030" t="s">
        <v>814</v>
      </c>
      <c r="D214" s="518" t="s">
        <v>935</v>
      </c>
      <c r="E214" s="1060" t="s">
        <v>1358</v>
      </c>
      <c r="F214" s="518" t="s">
        <v>1861</v>
      </c>
      <c r="G214" s="1178">
        <v>11238</v>
      </c>
      <c r="H214" s="1031" t="s">
        <v>1862</v>
      </c>
      <c r="I214" s="518" t="s">
        <v>1863</v>
      </c>
      <c r="J214" s="1060" t="s">
        <v>1864</v>
      </c>
      <c r="K214" s="1054">
        <v>41717</v>
      </c>
      <c r="L214" s="266">
        <v>41830</v>
      </c>
      <c r="M214" s="1053">
        <v>11274</v>
      </c>
      <c r="N214" s="1054">
        <v>41717</v>
      </c>
      <c r="O214" s="1054">
        <v>42004</v>
      </c>
      <c r="P214" s="1060" t="s">
        <v>1320</v>
      </c>
      <c r="Q214" s="1060"/>
      <c r="R214" s="1030"/>
      <c r="S214" s="1030"/>
      <c r="T214" s="1060" t="s">
        <v>719</v>
      </c>
      <c r="U214" s="1357"/>
      <c r="V214" s="1054"/>
      <c r="W214" s="1030"/>
      <c r="X214" s="1060"/>
      <c r="Y214" s="1054"/>
      <c r="Z214" s="1054"/>
      <c r="AA214" s="1030"/>
      <c r="AB214" s="1030"/>
      <c r="AC214" s="266"/>
      <c r="AD214" s="1030"/>
      <c r="AE214" s="266">
        <v>41830</v>
      </c>
      <c r="AF214" s="278"/>
      <c r="AG214" s="278">
        <v>17800</v>
      </c>
      <c r="AH214" s="613">
        <f t="shared" si="8"/>
        <v>17800</v>
      </c>
      <c r="AI214" s="339"/>
      <c r="AJ214" s="339"/>
      <c r="AK214" s="107"/>
      <c r="AL214" s="107"/>
      <c r="AM214" s="1092"/>
      <c r="AN214" s="107"/>
      <c r="AO214" s="107"/>
      <c r="AP214" s="107"/>
      <c r="AQ214" s="107"/>
      <c r="AR214" s="107"/>
      <c r="AS214" s="1030"/>
      <c r="AT214" s="1030"/>
      <c r="AU214" s="1030"/>
      <c r="AV214" s="1030"/>
      <c r="AW214" s="1030"/>
      <c r="AX214" s="1030"/>
      <c r="AY214" s="1030"/>
      <c r="AZ214" s="1030"/>
      <c r="BA214" s="1030"/>
      <c r="BB214" s="1030"/>
      <c r="BC214" s="1030"/>
      <c r="BD214" s="1030"/>
    </row>
    <row r="215" spans="1:56" s="419" customFormat="1" ht="38.25" x14ac:dyDescent="0.25">
      <c r="A215" s="1492">
        <v>123</v>
      </c>
      <c r="B215" s="1483" t="s">
        <v>1865</v>
      </c>
      <c r="C215" s="1030" t="s">
        <v>817</v>
      </c>
      <c r="D215" s="518" t="s">
        <v>935</v>
      </c>
      <c r="E215" s="1060" t="s">
        <v>1358</v>
      </c>
      <c r="F215" s="518" t="s">
        <v>1866</v>
      </c>
      <c r="G215" s="1178">
        <v>11241</v>
      </c>
      <c r="H215" s="1031" t="s">
        <v>518</v>
      </c>
      <c r="I215" s="518" t="s">
        <v>1867</v>
      </c>
      <c r="J215" s="1060" t="s">
        <v>1868</v>
      </c>
      <c r="K215" s="1054">
        <v>41719</v>
      </c>
      <c r="L215" s="266">
        <v>33350</v>
      </c>
      <c r="M215" s="1053">
        <v>11271</v>
      </c>
      <c r="N215" s="1054">
        <v>41719</v>
      </c>
      <c r="O215" s="1054">
        <v>42004</v>
      </c>
      <c r="P215" s="1060" t="s">
        <v>1320</v>
      </c>
      <c r="Q215" s="1060"/>
      <c r="R215" s="1030"/>
      <c r="S215" s="1030"/>
      <c r="T215" s="1060" t="s">
        <v>678</v>
      </c>
      <c r="U215" s="1357" t="s">
        <v>1355</v>
      </c>
      <c r="V215" s="1054">
        <v>41855</v>
      </c>
      <c r="W215" s="1053">
        <v>11367</v>
      </c>
      <c r="X215" s="1060" t="s">
        <v>1869</v>
      </c>
      <c r="Y215" s="1054"/>
      <c r="Z215" s="1054"/>
      <c r="AA215" s="1030"/>
      <c r="AB215" s="1030"/>
      <c r="AC215" s="1370"/>
      <c r="AD215" s="1370"/>
      <c r="AE215" s="266">
        <v>33350</v>
      </c>
      <c r="AF215" s="278"/>
      <c r="AG215" s="278"/>
      <c r="AH215" s="613">
        <f>AF215+AG215</f>
        <v>0</v>
      </c>
      <c r="AI215" s="339"/>
      <c r="AJ215" s="339"/>
      <c r="AK215" s="107"/>
      <c r="AL215" s="107"/>
      <c r="AM215" s="1092"/>
      <c r="AN215" s="107"/>
      <c r="AO215" s="107"/>
      <c r="AP215" s="107"/>
      <c r="AQ215" s="107"/>
      <c r="AR215" s="107"/>
      <c r="AS215" s="1030"/>
      <c r="AT215" s="1030"/>
      <c r="AU215" s="1030"/>
      <c r="AV215" s="1030"/>
      <c r="AW215" s="1030"/>
      <c r="AX215" s="1030"/>
      <c r="AY215" s="1030"/>
      <c r="AZ215" s="1030"/>
      <c r="BA215" s="1030"/>
      <c r="BB215" s="1030"/>
      <c r="BC215" s="1030"/>
      <c r="BD215" s="1030"/>
    </row>
    <row r="216" spans="1:56" ht="38.25" x14ac:dyDescent="0.25">
      <c r="A216" s="1492">
        <v>124</v>
      </c>
      <c r="B216" s="2222" t="s">
        <v>1870</v>
      </c>
      <c r="C216" s="1985" t="s">
        <v>777</v>
      </c>
      <c r="D216" s="2233" t="s">
        <v>935</v>
      </c>
      <c r="E216" s="1985" t="s">
        <v>1358</v>
      </c>
      <c r="F216" s="2233" t="s">
        <v>1871</v>
      </c>
      <c r="G216" s="2177">
        <v>11234</v>
      </c>
      <c r="H216" s="1031" t="s">
        <v>1872</v>
      </c>
      <c r="I216" s="518" t="s">
        <v>1873</v>
      </c>
      <c r="J216" s="1060" t="s">
        <v>1874</v>
      </c>
      <c r="K216" s="1054">
        <v>41737</v>
      </c>
      <c r="L216" s="266">
        <v>289102.09999999998</v>
      </c>
      <c r="M216" s="1994">
        <v>11290</v>
      </c>
      <c r="N216" s="1054">
        <v>41737</v>
      </c>
      <c r="O216" s="1054">
        <v>42004</v>
      </c>
      <c r="P216" s="1030" t="s">
        <v>1308</v>
      </c>
      <c r="Q216" s="1060"/>
      <c r="R216" s="1030"/>
      <c r="S216" s="1030"/>
      <c r="T216" s="1060" t="s">
        <v>719</v>
      </c>
      <c r="U216" s="1357"/>
      <c r="V216" s="1054"/>
      <c r="W216" s="1030"/>
      <c r="X216" s="1060"/>
      <c r="Y216" s="1054"/>
      <c r="Z216" s="1054"/>
      <c r="AA216" s="1030"/>
      <c r="AB216" s="1030"/>
      <c r="AC216" s="266"/>
      <c r="AD216" s="1030"/>
      <c r="AE216" s="266">
        <v>289102.09999999998</v>
      </c>
      <c r="AF216" s="278"/>
      <c r="AG216" s="278">
        <v>103457.82</v>
      </c>
      <c r="AH216" s="613">
        <f t="shared" si="8"/>
        <v>103457.82</v>
      </c>
      <c r="AI216" s="339"/>
      <c r="AJ216" s="339"/>
      <c r="AK216" s="107"/>
      <c r="AL216" s="107"/>
      <c r="AM216" s="1092"/>
      <c r="AN216" s="107"/>
      <c r="AO216" s="107"/>
      <c r="AP216" s="107"/>
      <c r="AQ216" s="107"/>
      <c r="AR216" s="107"/>
      <c r="AS216" s="1030"/>
      <c r="AT216" s="1030"/>
      <c r="AU216" s="1030"/>
      <c r="AV216" s="1030"/>
      <c r="AW216" s="1030"/>
      <c r="AX216" s="1030"/>
      <c r="AY216" s="1030"/>
      <c r="AZ216" s="1030"/>
      <c r="BA216" s="1030"/>
      <c r="BB216" s="1030"/>
      <c r="BC216" s="1030"/>
      <c r="BD216" s="1030"/>
    </row>
    <row r="217" spans="1:56" ht="22.5" customHeight="1" x14ac:dyDescent="0.25">
      <c r="A217" s="1492">
        <v>125</v>
      </c>
      <c r="B217" s="2224"/>
      <c r="C217" s="1986"/>
      <c r="D217" s="2234"/>
      <c r="E217" s="1986"/>
      <c r="F217" s="2234"/>
      <c r="G217" s="2178"/>
      <c r="H217" s="1031" t="s">
        <v>1875</v>
      </c>
      <c r="I217" s="518" t="s">
        <v>1876</v>
      </c>
      <c r="J217" s="1060" t="s">
        <v>1877</v>
      </c>
      <c r="K217" s="1054">
        <v>41737</v>
      </c>
      <c r="L217" s="266">
        <v>897</v>
      </c>
      <c r="M217" s="1995"/>
      <c r="N217" s="1054">
        <v>41737</v>
      </c>
      <c r="O217" s="1054">
        <v>42004</v>
      </c>
      <c r="P217" s="1030" t="s">
        <v>1308</v>
      </c>
      <c r="Q217" s="1060"/>
      <c r="R217" s="1030"/>
      <c r="S217" s="1030"/>
      <c r="T217" s="1060" t="s">
        <v>719</v>
      </c>
      <c r="U217" s="1357"/>
      <c r="V217" s="1054"/>
      <c r="W217" s="1030"/>
      <c r="X217" s="1060"/>
      <c r="Y217" s="1054"/>
      <c r="Z217" s="1054"/>
      <c r="AA217" s="1030"/>
      <c r="AB217" s="1030"/>
      <c r="AC217" s="266"/>
      <c r="AD217" s="1030"/>
      <c r="AE217" s="266">
        <v>897</v>
      </c>
      <c r="AF217" s="278"/>
      <c r="AG217" s="278">
        <v>498</v>
      </c>
      <c r="AH217" s="613">
        <f t="shared" si="8"/>
        <v>498</v>
      </c>
      <c r="AI217" s="339"/>
      <c r="AJ217" s="339"/>
      <c r="AK217" s="107"/>
      <c r="AL217" s="107"/>
      <c r="AM217" s="1092"/>
      <c r="AN217" s="107"/>
      <c r="AO217" s="107"/>
      <c r="AP217" s="107"/>
      <c r="AQ217" s="107"/>
      <c r="AR217" s="107"/>
      <c r="AS217" s="1030"/>
      <c r="AT217" s="1030"/>
      <c r="AU217" s="1030"/>
      <c r="AV217" s="1030"/>
      <c r="AW217" s="1030"/>
      <c r="AX217" s="1030"/>
      <c r="AY217" s="1030"/>
      <c r="AZ217" s="1030"/>
      <c r="BA217" s="1030"/>
      <c r="BB217" s="1030"/>
      <c r="BC217" s="1030"/>
      <c r="BD217" s="1030"/>
    </row>
    <row r="218" spans="1:56" ht="51" x14ac:dyDescent="0.25">
      <c r="A218" s="1492">
        <v>126</v>
      </c>
      <c r="B218" s="1483" t="s">
        <v>1878</v>
      </c>
      <c r="C218" s="1030" t="s">
        <v>1879</v>
      </c>
      <c r="D218" s="518" t="s">
        <v>935</v>
      </c>
      <c r="E218" s="1060" t="s">
        <v>1358</v>
      </c>
      <c r="F218" s="518" t="s">
        <v>1749</v>
      </c>
      <c r="G218" s="1178">
        <v>11177</v>
      </c>
      <c r="H218" s="1031" t="s">
        <v>1880</v>
      </c>
      <c r="I218" s="518" t="s">
        <v>1881</v>
      </c>
      <c r="J218" s="1060" t="s">
        <v>458</v>
      </c>
      <c r="K218" s="1054">
        <v>41738</v>
      </c>
      <c r="L218" s="1061">
        <v>14488.75</v>
      </c>
      <c r="M218" s="1053">
        <v>11292</v>
      </c>
      <c r="N218" s="1054">
        <v>41738</v>
      </c>
      <c r="O218" s="1054">
        <v>42004</v>
      </c>
      <c r="P218" s="1115" t="s">
        <v>1882</v>
      </c>
      <c r="Q218" s="1060"/>
      <c r="R218" s="1030"/>
      <c r="S218" s="1030"/>
      <c r="T218" s="1060" t="s">
        <v>719</v>
      </c>
      <c r="U218" s="1357"/>
      <c r="V218" s="1054"/>
      <c r="W218" s="1030"/>
      <c r="X218" s="1060"/>
      <c r="Y218" s="1054"/>
      <c r="Z218" s="1054"/>
      <c r="AA218" s="1030"/>
      <c r="AB218" s="1030"/>
      <c r="AC218" s="266"/>
      <c r="AD218" s="1030"/>
      <c r="AE218" s="1061">
        <v>14488.75</v>
      </c>
      <c r="AF218" s="278"/>
      <c r="AG218" s="278">
        <v>2334.1</v>
      </c>
      <c r="AH218" s="613">
        <f t="shared" si="8"/>
        <v>2334.1</v>
      </c>
      <c r="AI218" s="339"/>
      <c r="AJ218" s="339"/>
      <c r="AK218" s="107"/>
      <c r="AL218" s="107"/>
      <c r="AM218" s="1092"/>
      <c r="AN218" s="107"/>
      <c r="AO218" s="107"/>
      <c r="AP218" s="107"/>
      <c r="AQ218" s="107"/>
      <c r="AR218" s="107"/>
      <c r="AS218" s="1030"/>
      <c r="AT218" s="1030"/>
      <c r="AU218" s="1030"/>
      <c r="AV218" s="1030"/>
      <c r="AW218" s="1030"/>
      <c r="AX218" s="1030"/>
      <c r="AY218" s="1030"/>
      <c r="AZ218" s="1030"/>
      <c r="BA218" s="1030"/>
      <c r="BB218" s="1030"/>
      <c r="BC218" s="1030"/>
      <c r="BD218" s="1030"/>
    </row>
    <row r="219" spans="1:56" ht="76.5" x14ac:dyDescent="0.25">
      <c r="A219" s="2285">
        <v>127</v>
      </c>
      <c r="B219" s="2194" t="s">
        <v>1883</v>
      </c>
      <c r="C219" s="1985" t="s">
        <v>675</v>
      </c>
      <c r="D219" s="1985" t="s">
        <v>1884</v>
      </c>
      <c r="E219" s="1985" t="s">
        <v>1324</v>
      </c>
      <c r="F219" s="1985" t="s">
        <v>1885</v>
      </c>
      <c r="G219" s="2177">
        <v>11232</v>
      </c>
      <c r="H219" s="1991" t="s">
        <v>1886</v>
      </c>
      <c r="I219" s="1985" t="s">
        <v>1887</v>
      </c>
      <c r="J219" s="1985" t="s">
        <v>1888</v>
      </c>
      <c r="K219" s="1996">
        <v>41751</v>
      </c>
      <c r="L219" s="2002">
        <v>3591779.25</v>
      </c>
      <c r="M219" s="1994">
        <v>11289</v>
      </c>
      <c r="N219" s="1996">
        <v>41751</v>
      </c>
      <c r="O219" s="1996">
        <v>42110</v>
      </c>
      <c r="P219" s="1985" t="s">
        <v>1889</v>
      </c>
      <c r="Q219" s="1985" t="s">
        <v>1890</v>
      </c>
      <c r="R219" s="2282">
        <v>4055081.96</v>
      </c>
      <c r="S219" s="2293"/>
      <c r="T219" s="1985" t="s">
        <v>1577</v>
      </c>
      <c r="U219" s="1357" t="s">
        <v>867</v>
      </c>
      <c r="V219" s="1054" t="s">
        <v>1807</v>
      </c>
      <c r="W219" s="1053">
        <v>11337</v>
      </c>
      <c r="X219" s="1060" t="s">
        <v>1891</v>
      </c>
      <c r="Y219" s="1054"/>
      <c r="Z219" s="1054"/>
      <c r="AA219" s="1385">
        <f>AC219/L219*100</f>
        <v>8.8355095876229028E-2</v>
      </c>
      <c r="AB219" s="1385">
        <f>AD219/L219*100</f>
        <v>7.874760120628238E-2</v>
      </c>
      <c r="AC219" s="266">
        <v>3173.52</v>
      </c>
      <c r="AD219" s="278">
        <v>2828.44</v>
      </c>
      <c r="AE219" s="2002">
        <f>L219-AD219+AC219-AD220+AC220-AD221+AC221-AD222+AC222</f>
        <v>4089229.64</v>
      </c>
      <c r="AF219" s="2282"/>
      <c r="AG219" s="2282">
        <v>1066360.6200000001</v>
      </c>
      <c r="AH219" s="2282">
        <f t="shared" si="8"/>
        <v>1066360.6200000001</v>
      </c>
      <c r="AI219" s="2011"/>
      <c r="AJ219" s="2011"/>
      <c r="AK219" s="2279"/>
      <c r="AL219" s="2279"/>
      <c r="AM219" s="2279"/>
      <c r="AN219" s="2279"/>
      <c r="AO219" s="2279"/>
      <c r="AP219" s="2279"/>
      <c r="AQ219" s="2279"/>
      <c r="AR219" s="2279"/>
      <c r="AS219" s="1985" t="s">
        <v>1323</v>
      </c>
      <c r="AT219" s="2163" t="s">
        <v>1457</v>
      </c>
      <c r="AU219" s="1996">
        <v>41780</v>
      </c>
      <c r="AV219" s="1996">
        <f>AU219+360</f>
        <v>42140</v>
      </c>
      <c r="AW219" s="1985"/>
      <c r="AX219" s="1985"/>
      <c r="AY219" s="1996">
        <v>41780</v>
      </c>
      <c r="AZ219" s="1985" t="s">
        <v>1464</v>
      </c>
      <c r="BA219" s="1985" t="s">
        <v>1458</v>
      </c>
      <c r="BB219" s="1030"/>
      <c r="BC219" s="1030"/>
      <c r="BD219" s="1030"/>
    </row>
    <row r="220" spans="1:56" ht="38.25" x14ac:dyDescent="0.25">
      <c r="A220" s="2291"/>
      <c r="B220" s="2195"/>
      <c r="C220" s="2021"/>
      <c r="D220" s="2021"/>
      <c r="E220" s="2021"/>
      <c r="F220" s="2021"/>
      <c r="G220" s="2180"/>
      <c r="H220" s="2176"/>
      <c r="I220" s="2021"/>
      <c r="J220" s="2021"/>
      <c r="K220" s="2033"/>
      <c r="L220" s="2187"/>
      <c r="M220" s="2197"/>
      <c r="N220" s="2033"/>
      <c r="O220" s="2033"/>
      <c r="P220" s="2021"/>
      <c r="Q220" s="2021"/>
      <c r="R220" s="2290"/>
      <c r="S220" s="2294"/>
      <c r="T220" s="2021"/>
      <c r="U220" s="1357" t="s">
        <v>871</v>
      </c>
      <c r="V220" s="1054">
        <v>41824</v>
      </c>
      <c r="W220" s="1053">
        <v>11344</v>
      </c>
      <c r="X220" s="1060" t="s">
        <v>1892</v>
      </c>
      <c r="Y220" s="1054"/>
      <c r="Z220" s="1054"/>
      <c r="AA220" s="1030"/>
      <c r="AB220" s="1386">
        <f>AD220/L219*100</f>
        <v>2.2621935911011234E-2</v>
      </c>
      <c r="AC220" s="266"/>
      <c r="AD220" s="278">
        <v>812.53</v>
      </c>
      <c r="AE220" s="2187"/>
      <c r="AF220" s="2290"/>
      <c r="AG220" s="2290"/>
      <c r="AH220" s="2290"/>
      <c r="AI220" s="2012"/>
      <c r="AJ220" s="2012"/>
      <c r="AK220" s="2281"/>
      <c r="AL220" s="2281"/>
      <c r="AM220" s="2281"/>
      <c r="AN220" s="2281"/>
      <c r="AO220" s="2281"/>
      <c r="AP220" s="2281"/>
      <c r="AQ220" s="2281"/>
      <c r="AR220" s="2281"/>
      <c r="AS220" s="2021"/>
      <c r="AT220" s="2175"/>
      <c r="AU220" s="1997"/>
      <c r="AV220" s="1997"/>
      <c r="AW220" s="1986"/>
      <c r="AX220" s="1986"/>
      <c r="AY220" s="2033"/>
      <c r="AZ220" s="2021"/>
      <c r="BA220" s="2021"/>
      <c r="BB220" s="1030"/>
      <c r="BC220" s="1030"/>
      <c r="BD220" s="1030"/>
    </row>
    <row r="221" spans="1:56" ht="63.75" x14ac:dyDescent="0.25">
      <c r="A221" s="2291"/>
      <c r="B221" s="2195"/>
      <c r="C221" s="2021"/>
      <c r="D221" s="2021"/>
      <c r="E221" s="2021"/>
      <c r="F221" s="2021"/>
      <c r="G221" s="2180"/>
      <c r="H221" s="2176"/>
      <c r="I221" s="2021"/>
      <c r="J221" s="2021"/>
      <c r="K221" s="2033"/>
      <c r="L221" s="2187"/>
      <c r="M221" s="2197"/>
      <c r="N221" s="2033"/>
      <c r="O221" s="2033"/>
      <c r="P221" s="2021"/>
      <c r="Q221" s="2021"/>
      <c r="R221" s="2290"/>
      <c r="S221" s="2294"/>
      <c r="T221" s="2021"/>
      <c r="U221" s="1357" t="s">
        <v>874</v>
      </c>
      <c r="V221" s="1054">
        <v>41970</v>
      </c>
      <c r="W221" s="1053">
        <v>11447</v>
      </c>
      <c r="X221" s="1060" t="s">
        <v>1893</v>
      </c>
      <c r="Y221" s="1054"/>
      <c r="Z221" s="1054"/>
      <c r="AA221" s="1030">
        <v>9.1600079999999995</v>
      </c>
      <c r="AB221" s="1385">
        <v>1.2609589999999999</v>
      </c>
      <c r="AC221" s="266">
        <v>329007.28000000003</v>
      </c>
      <c r="AD221" s="278">
        <v>45290.87</v>
      </c>
      <c r="AE221" s="2187"/>
      <c r="AF221" s="2290"/>
      <c r="AG221" s="2290"/>
      <c r="AH221" s="2290"/>
      <c r="AI221" s="1068"/>
      <c r="AJ221" s="1068"/>
      <c r="AK221" s="259"/>
      <c r="AL221" s="259"/>
      <c r="AM221" s="259"/>
      <c r="AN221" s="259"/>
      <c r="AO221" s="259"/>
      <c r="AP221" s="259"/>
      <c r="AQ221" s="259"/>
      <c r="AR221" s="259"/>
      <c r="AS221" s="2021"/>
      <c r="AT221" s="2175"/>
      <c r="AU221" s="1048"/>
      <c r="AV221" s="1048"/>
      <c r="AW221" s="1039"/>
      <c r="AX221" s="1039"/>
      <c r="AY221" s="2033"/>
      <c r="AZ221" s="2021"/>
      <c r="BA221" s="2021"/>
      <c r="BB221" s="1030"/>
      <c r="BC221" s="1030"/>
      <c r="BD221" s="1030"/>
    </row>
    <row r="222" spans="1:56" ht="76.5" x14ac:dyDescent="0.25">
      <c r="A222" s="2286"/>
      <c r="B222" s="2196"/>
      <c r="C222" s="1986"/>
      <c r="D222" s="1986"/>
      <c r="E222" s="1986"/>
      <c r="F222" s="1986"/>
      <c r="G222" s="2178"/>
      <c r="H222" s="1992"/>
      <c r="I222" s="1986"/>
      <c r="J222" s="1986"/>
      <c r="K222" s="1997"/>
      <c r="L222" s="2003"/>
      <c r="M222" s="1995"/>
      <c r="N222" s="1997"/>
      <c r="O222" s="1997"/>
      <c r="P222" s="1986"/>
      <c r="Q222" s="1986"/>
      <c r="R222" s="2283"/>
      <c r="S222" s="2295"/>
      <c r="T222" s="1986"/>
      <c r="U222" s="1357" t="s">
        <v>876</v>
      </c>
      <c r="V222" s="1054">
        <v>41975</v>
      </c>
      <c r="W222" s="1053">
        <v>11450</v>
      </c>
      <c r="X222" s="1060" t="s">
        <v>1894</v>
      </c>
      <c r="Y222" s="1054"/>
      <c r="Z222" s="1054"/>
      <c r="AA222" s="1030"/>
      <c r="AB222" s="1385"/>
      <c r="AC222" s="266">
        <v>214201.43</v>
      </c>
      <c r="AD222" s="278"/>
      <c r="AE222" s="2003"/>
      <c r="AF222" s="2283"/>
      <c r="AG222" s="2283"/>
      <c r="AH222" s="2283"/>
      <c r="AI222" s="1068"/>
      <c r="AJ222" s="1068"/>
      <c r="AK222" s="259"/>
      <c r="AL222" s="259"/>
      <c r="AM222" s="259"/>
      <c r="AN222" s="259"/>
      <c r="AO222" s="259"/>
      <c r="AP222" s="259"/>
      <c r="AQ222" s="259"/>
      <c r="AR222" s="259"/>
      <c r="AS222" s="1986"/>
      <c r="AT222" s="717"/>
      <c r="AU222" s="1048"/>
      <c r="AV222" s="1048"/>
      <c r="AW222" s="1039"/>
      <c r="AX222" s="1039"/>
      <c r="AY222" s="1997"/>
      <c r="AZ222" s="1986"/>
      <c r="BA222" s="1986"/>
      <c r="BB222" s="1030"/>
      <c r="BC222" s="1030"/>
      <c r="BD222" s="1030"/>
    </row>
    <row r="223" spans="1:56" ht="38.25" x14ac:dyDescent="0.25">
      <c r="A223" s="1493">
        <v>128</v>
      </c>
      <c r="B223" s="1483" t="s">
        <v>1895</v>
      </c>
      <c r="C223" s="1030" t="s">
        <v>840</v>
      </c>
      <c r="D223" s="518" t="s">
        <v>1809</v>
      </c>
      <c r="E223" s="1060" t="s">
        <v>1849</v>
      </c>
      <c r="F223" s="518" t="s">
        <v>1896</v>
      </c>
      <c r="G223" s="1178" t="s">
        <v>677</v>
      </c>
      <c r="H223" s="1031" t="s">
        <v>1897</v>
      </c>
      <c r="I223" s="518" t="s">
        <v>1898</v>
      </c>
      <c r="J223" s="1060" t="s">
        <v>1899</v>
      </c>
      <c r="K223" s="1054">
        <v>41751</v>
      </c>
      <c r="L223" s="1061">
        <v>7504</v>
      </c>
      <c r="M223" s="1053">
        <v>11291</v>
      </c>
      <c r="N223" s="1054">
        <v>41751</v>
      </c>
      <c r="O223" s="1054">
        <v>42004</v>
      </c>
      <c r="P223" s="1030" t="s">
        <v>1900</v>
      </c>
      <c r="Q223" s="1060"/>
      <c r="R223" s="1030"/>
      <c r="S223" s="1030"/>
      <c r="T223" s="1060" t="s">
        <v>685</v>
      </c>
      <c r="U223" s="1357"/>
      <c r="V223" s="1054"/>
      <c r="W223" s="1030"/>
      <c r="X223" s="1060"/>
      <c r="Y223" s="1054"/>
      <c r="Z223" s="1054"/>
      <c r="AA223" s="1030"/>
      <c r="AB223" s="1030"/>
      <c r="AC223" s="266"/>
      <c r="AD223" s="1030"/>
      <c r="AE223" s="1061">
        <v>7504</v>
      </c>
      <c r="AF223" s="278"/>
      <c r="AG223" s="278">
        <v>5229</v>
      </c>
      <c r="AH223" s="613">
        <f t="shared" si="8"/>
        <v>5229</v>
      </c>
      <c r="AI223" s="339"/>
      <c r="AJ223" s="339"/>
      <c r="AK223" s="107"/>
      <c r="AL223" s="107"/>
      <c r="AM223" s="1092" t="s">
        <v>1311</v>
      </c>
      <c r="AN223" s="1030" t="s">
        <v>1901</v>
      </c>
      <c r="AO223" s="107"/>
      <c r="AP223" s="107"/>
      <c r="AQ223" s="107"/>
      <c r="AR223" s="107"/>
      <c r="AS223" s="1030"/>
      <c r="AT223" s="1030"/>
      <c r="AU223" s="1030"/>
      <c r="AV223" s="1030"/>
      <c r="AW223" s="1030"/>
      <c r="AX223" s="1030"/>
      <c r="AY223" s="1030"/>
      <c r="AZ223" s="1030"/>
      <c r="BA223" s="1030"/>
      <c r="BB223" s="1030"/>
      <c r="BC223" s="1030"/>
      <c r="BD223" s="1030"/>
    </row>
    <row r="224" spans="1:56" ht="78.75" customHeight="1" x14ac:dyDescent="0.25">
      <c r="A224" s="2285">
        <v>129</v>
      </c>
      <c r="B224" s="2194" t="s">
        <v>1902</v>
      </c>
      <c r="C224" s="1985" t="s">
        <v>381</v>
      </c>
      <c r="D224" s="1985" t="s">
        <v>1431</v>
      </c>
      <c r="E224" s="1985" t="s">
        <v>168</v>
      </c>
      <c r="F224" s="1985" t="s">
        <v>1903</v>
      </c>
      <c r="G224" s="2177">
        <v>11260</v>
      </c>
      <c r="H224" s="1991" t="s">
        <v>460</v>
      </c>
      <c r="I224" s="1985" t="s">
        <v>1904</v>
      </c>
      <c r="J224" s="1985" t="s">
        <v>1905</v>
      </c>
      <c r="K224" s="1996">
        <v>41765</v>
      </c>
      <c r="L224" s="2002">
        <v>475704.25</v>
      </c>
      <c r="M224" s="1994">
        <v>11305</v>
      </c>
      <c r="N224" s="1996">
        <v>41774</v>
      </c>
      <c r="O224" s="1996">
        <v>41958</v>
      </c>
      <c r="P224" s="1985" t="s">
        <v>1906</v>
      </c>
      <c r="Q224" s="1985"/>
      <c r="R224" s="1985"/>
      <c r="S224" s="1985"/>
      <c r="T224" s="1985" t="s">
        <v>1577</v>
      </c>
      <c r="U224" s="1357"/>
      <c r="V224" s="1054"/>
      <c r="W224" s="1030"/>
      <c r="X224" s="1060"/>
      <c r="Y224" s="1054"/>
      <c r="Z224" s="1054"/>
      <c r="AA224" s="1030"/>
      <c r="AB224" s="1030"/>
      <c r="AC224" s="266"/>
      <c r="AD224" s="1030"/>
      <c r="AE224" s="2002">
        <f>475704.25-AD225+AC225-AD226+AC226</f>
        <v>482734.25</v>
      </c>
      <c r="AF224" s="2282"/>
      <c r="AG224" s="2282">
        <v>405634.3</v>
      </c>
      <c r="AH224" s="2282">
        <f t="shared" si="8"/>
        <v>405634.3</v>
      </c>
      <c r="AI224" s="339"/>
      <c r="AJ224" s="339"/>
      <c r="AK224" s="107"/>
      <c r="AL224" s="107"/>
      <c r="AM224" s="1092"/>
      <c r="AN224" s="107"/>
      <c r="AO224" s="107"/>
      <c r="AP224" s="107"/>
      <c r="AQ224" s="107"/>
      <c r="AR224" s="107"/>
      <c r="AS224" s="1985" t="s">
        <v>1323</v>
      </c>
      <c r="AT224" s="2163" t="s">
        <v>1457</v>
      </c>
      <c r="AU224" s="1054">
        <v>41774</v>
      </c>
      <c r="AV224" s="1059">
        <v>41958</v>
      </c>
      <c r="AW224" s="1030"/>
      <c r="AX224" s="1030"/>
      <c r="AY224" s="1996">
        <v>41774</v>
      </c>
      <c r="AZ224" s="1985" t="s">
        <v>1464</v>
      </c>
      <c r="BA224" s="1985" t="s">
        <v>1458</v>
      </c>
      <c r="BB224" s="1030"/>
      <c r="BC224" s="1030"/>
      <c r="BD224" s="1030"/>
    </row>
    <row r="225" spans="1:56" ht="102" x14ac:dyDescent="0.25">
      <c r="A225" s="2291"/>
      <c r="B225" s="2195"/>
      <c r="C225" s="2021"/>
      <c r="D225" s="2021"/>
      <c r="E225" s="2021"/>
      <c r="F225" s="2021"/>
      <c r="G225" s="2180"/>
      <c r="H225" s="2176"/>
      <c r="I225" s="2021"/>
      <c r="J225" s="2021"/>
      <c r="K225" s="2033"/>
      <c r="L225" s="2187"/>
      <c r="M225" s="2197"/>
      <c r="N225" s="2033"/>
      <c r="O225" s="2033"/>
      <c r="P225" s="2021"/>
      <c r="Q225" s="2021"/>
      <c r="R225" s="2021"/>
      <c r="S225" s="2021"/>
      <c r="T225" s="2021"/>
      <c r="U225" s="1357" t="s">
        <v>867</v>
      </c>
      <c r="V225" s="1054">
        <v>41957</v>
      </c>
      <c r="W225" s="1053">
        <v>11446</v>
      </c>
      <c r="X225" s="1060" t="s">
        <v>1907</v>
      </c>
      <c r="Y225" s="1054">
        <v>41958</v>
      </c>
      <c r="Z225" s="1054">
        <v>41988</v>
      </c>
      <c r="AA225" s="1030">
        <v>4.0402199999999997</v>
      </c>
      <c r="AB225" s="1030">
        <v>2.5624099999999999</v>
      </c>
      <c r="AC225" s="266">
        <v>19219.5</v>
      </c>
      <c r="AD225" s="278">
        <v>12189.5</v>
      </c>
      <c r="AE225" s="2187"/>
      <c r="AF225" s="2290"/>
      <c r="AG225" s="2290"/>
      <c r="AH225" s="2290"/>
      <c r="AI225" s="339"/>
      <c r="AJ225" s="339"/>
      <c r="AK225" s="107"/>
      <c r="AL225" s="107"/>
      <c r="AM225" s="1092"/>
      <c r="AN225" s="107"/>
      <c r="AO225" s="107"/>
      <c r="AP225" s="107"/>
      <c r="AQ225" s="107"/>
      <c r="AR225" s="107"/>
      <c r="AS225" s="1986"/>
      <c r="AT225" s="2164"/>
      <c r="AU225" s="1054"/>
      <c r="AV225" s="1059"/>
      <c r="AW225" s="1030"/>
      <c r="AX225" s="1030"/>
      <c r="AY225" s="1997"/>
      <c r="AZ225" s="1986"/>
      <c r="BA225" s="1986"/>
      <c r="BB225" s="1030"/>
      <c r="BC225" s="1030"/>
      <c r="BD225" s="1030"/>
    </row>
    <row r="226" spans="1:56" ht="25.5" x14ac:dyDescent="0.25">
      <c r="A226" s="2286"/>
      <c r="B226" s="2196"/>
      <c r="C226" s="1986"/>
      <c r="D226" s="1986"/>
      <c r="E226" s="1986"/>
      <c r="F226" s="1986"/>
      <c r="G226" s="2178"/>
      <c r="H226" s="1992"/>
      <c r="I226" s="1986"/>
      <c r="J226" s="1986"/>
      <c r="K226" s="1997"/>
      <c r="L226" s="2003"/>
      <c r="M226" s="1995"/>
      <c r="N226" s="1997"/>
      <c r="O226" s="1997"/>
      <c r="P226" s="1986"/>
      <c r="Q226" s="1986"/>
      <c r="R226" s="1986"/>
      <c r="S226" s="1986"/>
      <c r="T226" s="1986"/>
      <c r="U226" s="1357" t="s">
        <v>871</v>
      </c>
      <c r="V226" s="1054">
        <v>41988</v>
      </c>
      <c r="W226" s="1053">
        <v>11478</v>
      </c>
      <c r="X226" s="1060" t="s">
        <v>1908</v>
      </c>
      <c r="Y226" s="1054">
        <v>41988</v>
      </c>
      <c r="Z226" s="1054">
        <v>42048</v>
      </c>
      <c r="AA226" s="1030"/>
      <c r="AB226" s="1030"/>
      <c r="AC226" s="266"/>
      <c r="AD226" s="278"/>
      <c r="AE226" s="2003"/>
      <c r="AF226" s="2283"/>
      <c r="AG226" s="2283"/>
      <c r="AH226" s="2283"/>
      <c r="AI226" s="339"/>
      <c r="AJ226" s="339"/>
      <c r="AK226" s="107"/>
      <c r="AL226" s="107"/>
      <c r="AM226" s="1092"/>
      <c r="AN226" s="107"/>
      <c r="AO226" s="107"/>
      <c r="AP226" s="107"/>
      <c r="AQ226" s="107"/>
      <c r="AR226" s="107"/>
      <c r="AS226" s="1039"/>
      <c r="AT226" s="1114"/>
      <c r="AU226" s="1054"/>
      <c r="AV226" s="1059"/>
      <c r="AW226" s="1030"/>
      <c r="AX226" s="1030"/>
      <c r="AY226" s="1048"/>
      <c r="AZ226" s="1039"/>
      <c r="BA226" s="1039"/>
      <c r="BB226" s="1030"/>
      <c r="BC226" s="1030"/>
      <c r="BD226" s="1030"/>
    </row>
    <row r="227" spans="1:56" ht="51" x14ac:dyDescent="0.25">
      <c r="A227" s="1492">
        <v>130</v>
      </c>
      <c r="B227" s="1483" t="s">
        <v>1909</v>
      </c>
      <c r="C227" s="1030" t="s">
        <v>777</v>
      </c>
      <c r="D227" s="518" t="s">
        <v>1809</v>
      </c>
      <c r="E227" s="1060" t="s">
        <v>1849</v>
      </c>
      <c r="F227" s="518" t="s">
        <v>1910</v>
      </c>
      <c r="G227" s="1178" t="s">
        <v>677</v>
      </c>
      <c r="H227" s="1031" t="s">
        <v>1911</v>
      </c>
      <c r="I227" s="518" t="s">
        <v>1590</v>
      </c>
      <c r="J227" s="1060" t="s">
        <v>639</v>
      </c>
      <c r="K227" s="1054">
        <v>41733</v>
      </c>
      <c r="L227" s="1061">
        <v>6480</v>
      </c>
      <c r="M227" s="1053">
        <v>11309</v>
      </c>
      <c r="N227" s="1054">
        <v>41733</v>
      </c>
      <c r="O227" s="1059">
        <v>41916</v>
      </c>
      <c r="P227" s="1030" t="s">
        <v>1308</v>
      </c>
      <c r="Q227" s="1060"/>
      <c r="R227" s="1030"/>
      <c r="S227" s="1030"/>
      <c r="T227" s="1060" t="s">
        <v>685</v>
      </c>
      <c r="U227" s="1357"/>
      <c r="V227" s="1054"/>
      <c r="W227" s="1030"/>
      <c r="X227" s="1060"/>
      <c r="Y227" s="1054"/>
      <c r="Z227" s="1054"/>
      <c r="AA227" s="1030"/>
      <c r="AB227" s="1030"/>
      <c r="AC227" s="266"/>
      <c r="AD227" s="1030"/>
      <c r="AE227" s="1061">
        <v>6480</v>
      </c>
      <c r="AF227" s="278"/>
      <c r="AG227" s="278">
        <v>6480</v>
      </c>
      <c r="AH227" s="613">
        <f t="shared" si="8"/>
        <v>6480</v>
      </c>
      <c r="AI227" s="339"/>
      <c r="AJ227" s="339"/>
      <c r="AK227" s="107"/>
      <c r="AL227" s="107"/>
      <c r="AM227" s="1092" t="s">
        <v>1311</v>
      </c>
      <c r="AN227" s="1030" t="s">
        <v>1901</v>
      </c>
      <c r="AO227" s="107"/>
      <c r="AP227" s="107"/>
      <c r="AQ227" s="107"/>
      <c r="AR227" s="107"/>
      <c r="AS227" s="1030"/>
      <c r="AT227" s="1030"/>
      <c r="AU227" s="1030"/>
      <c r="AV227" s="1030"/>
      <c r="AW227" s="1030"/>
      <c r="AX227" s="1030"/>
      <c r="AY227" s="1030"/>
      <c r="AZ227" s="1030"/>
      <c r="BA227" s="1030"/>
      <c r="BB227" s="1030"/>
      <c r="BC227" s="1030"/>
      <c r="BD227" s="1030"/>
    </row>
    <row r="228" spans="1:56" ht="66" customHeight="1" x14ac:dyDescent="0.25">
      <c r="A228" s="2285">
        <v>131</v>
      </c>
      <c r="B228" s="2194" t="s">
        <v>1912</v>
      </c>
      <c r="C228" s="1985" t="s">
        <v>680</v>
      </c>
      <c r="D228" s="1985" t="s">
        <v>1431</v>
      </c>
      <c r="E228" s="1985" t="s">
        <v>168</v>
      </c>
      <c r="F228" s="1985" t="s">
        <v>1913</v>
      </c>
      <c r="G228" s="2177">
        <v>11260</v>
      </c>
      <c r="H228" s="1991" t="s">
        <v>1914</v>
      </c>
      <c r="I228" s="1985" t="s">
        <v>1915</v>
      </c>
      <c r="J228" s="1985" t="s">
        <v>1916</v>
      </c>
      <c r="K228" s="1996">
        <v>41771</v>
      </c>
      <c r="L228" s="2002">
        <v>531017.91</v>
      </c>
      <c r="M228" s="1994">
        <v>11303</v>
      </c>
      <c r="N228" s="1996">
        <v>41774</v>
      </c>
      <c r="O228" s="1996">
        <v>41958</v>
      </c>
      <c r="P228" s="1985" t="s">
        <v>1917</v>
      </c>
      <c r="Q228" s="1985"/>
      <c r="R228" s="1985"/>
      <c r="S228" s="1985"/>
      <c r="T228" s="1985" t="s">
        <v>1577</v>
      </c>
      <c r="U228" s="1357"/>
      <c r="V228" s="1054"/>
      <c r="W228" s="1030"/>
      <c r="X228" s="1060"/>
      <c r="Y228" s="1054"/>
      <c r="Z228" s="1054"/>
      <c r="AA228" s="1030"/>
      <c r="AB228" s="1030"/>
      <c r="AC228" s="266"/>
      <c r="AD228" s="1030"/>
      <c r="AE228" s="2002">
        <f>L228-AD228+AC228-AD229+AC229</f>
        <v>546504.82000000007</v>
      </c>
      <c r="AF228" s="2282"/>
      <c r="AG228" s="2282">
        <v>340886.51</v>
      </c>
      <c r="AH228" s="2282">
        <f t="shared" si="8"/>
        <v>340886.51</v>
      </c>
      <c r="AI228" s="2011"/>
      <c r="AJ228" s="2011"/>
      <c r="AK228" s="2279"/>
      <c r="AL228" s="2279"/>
      <c r="AM228" s="2279"/>
      <c r="AN228" s="2279"/>
      <c r="AO228" s="2279"/>
      <c r="AP228" s="2279"/>
      <c r="AQ228" s="2279"/>
      <c r="AR228" s="2279"/>
      <c r="AS228" s="1985" t="s">
        <v>1323</v>
      </c>
      <c r="AT228" s="2163" t="s">
        <v>1457</v>
      </c>
      <c r="AU228" s="1054">
        <v>41774</v>
      </c>
      <c r="AV228" s="1059">
        <v>41927</v>
      </c>
      <c r="AW228" s="1030"/>
      <c r="AX228" s="1030"/>
      <c r="AY228" s="1054">
        <v>41774</v>
      </c>
      <c r="AZ228" s="1030" t="s">
        <v>1464</v>
      </c>
      <c r="BA228" s="1030" t="s">
        <v>1458</v>
      </c>
      <c r="BB228" s="1030"/>
      <c r="BC228" s="1030"/>
      <c r="BD228" s="1030"/>
    </row>
    <row r="229" spans="1:56" ht="166.5" customHeight="1" x14ac:dyDescent="0.25">
      <c r="A229" s="2286"/>
      <c r="B229" s="2196"/>
      <c r="C229" s="1986"/>
      <c r="D229" s="1986"/>
      <c r="E229" s="1986"/>
      <c r="F229" s="1986"/>
      <c r="G229" s="2178"/>
      <c r="H229" s="1992"/>
      <c r="I229" s="1986"/>
      <c r="J229" s="1986"/>
      <c r="K229" s="1997"/>
      <c r="L229" s="2003"/>
      <c r="M229" s="1995"/>
      <c r="N229" s="1997"/>
      <c r="O229" s="1997"/>
      <c r="P229" s="1986"/>
      <c r="Q229" s="1986"/>
      <c r="R229" s="1986"/>
      <c r="S229" s="1986"/>
      <c r="T229" s="1986"/>
      <c r="U229" s="1357" t="s">
        <v>867</v>
      </c>
      <c r="V229" s="1054">
        <v>41927</v>
      </c>
      <c r="W229" s="1053">
        <v>11428</v>
      </c>
      <c r="X229" s="1060" t="s">
        <v>1918</v>
      </c>
      <c r="Y229" s="1054">
        <v>41958</v>
      </c>
      <c r="Z229" s="1054">
        <v>42048</v>
      </c>
      <c r="AA229" s="1380">
        <f>AC229/L228*100</f>
        <v>5.1583005929122052</v>
      </c>
      <c r="AB229" s="1380">
        <f>AD229/L228*100</f>
        <v>2.2418434059973609</v>
      </c>
      <c r="AC229" s="266">
        <v>27391.5</v>
      </c>
      <c r="AD229" s="278">
        <v>11904.59</v>
      </c>
      <c r="AE229" s="2003"/>
      <c r="AF229" s="2283"/>
      <c r="AG229" s="2283"/>
      <c r="AH229" s="2283"/>
      <c r="AI229" s="2012"/>
      <c r="AJ229" s="2012"/>
      <c r="AK229" s="2281"/>
      <c r="AL229" s="2281"/>
      <c r="AM229" s="2281"/>
      <c r="AN229" s="2281"/>
      <c r="AO229" s="2281"/>
      <c r="AP229" s="2281"/>
      <c r="AQ229" s="2281"/>
      <c r="AR229" s="2281"/>
      <c r="AS229" s="1986"/>
      <c r="AT229" s="2164"/>
      <c r="AU229" s="1054">
        <v>41927</v>
      </c>
      <c r="AV229" s="1059">
        <v>42017</v>
      </c>
      <c r="AW229" s="1030"/>
      <c r="AX229" s="1030"/>
      <c r="AY229" s="1044"/>
      <c r="AZ229" s="1040"/>
      <c r="BA229" s="1040"/>
      <c r="BB229" s="1030"/>
      <c r="BC229" s="1030"/>
      <c r="BD229" s="1030"/>
    </row>
    <row r="230" spans="1:56" ht="27.75" customHeight="1" x14ac:dyDescent="0.25">
      <c r="A230" s="2285">
        <v>132</v>
      </c>
      <c r="B230" s="2194" t="s">
        <v>1919</v>
      </c>
      <c r="C230" s="1985" t="s">
        <v>744</v>
      </c>
      <c r="D230" s="1985" t="s">
        <v>1431</v>
      </c>
      <c r="E230" s="2163" t="s">
        <v>1457</v>
      </c>
      <c r="F230" s="1985" t="s">
        <v>1920</v>
      </c>
      <c r="G230" s="2177">
        <v>11266</v>
      </c>
      <c r="H230" s="1991" t="s">
        <v>1921</v>
      </c>
      <c r="I230" s="1985" t="s">
        <v>1915</v>
      </c>
      <c r="J230" s="1985" t="s">
        <v>1916</v>
      </c>
      <c r="K230" s="1996">
        <v>41771</v>
      </c>
      <c r="L230" s="2002">
        <v>515943.52</v>
      </c>
      <c r="M230" s="1994">
        <v>11303</v>
      </c>
      <c r="N230" s="1996">
        <v>41774</v>
      </c>
      <c r="O230" s="1996">
        <v>41958</v>
      </c>
      <c r="P230" s="1985" t="s">
        <v>1922</v>
      </c>
      <c r="Q230" s="1985"/>
      <c r="R230" s="1985"/>
      <c r="S230" s="1985"/>
      <c r="T230" s="1985" t="s">
        <v>1577</v>
      </c>
      <c r="U230" s="1379"/>
      <c r="V230" s="1059"/>
      <c r="W230" s="1060"/>
      <c r="X230" s="1060"/>
      <c r="Y230" s="1054"/>
      <c r="Z230" s="1054"/>
      <c r="AA230" s="1030"/>
      <c r="AB230" s="1030"/>
      <c r="AC230" s="266"/>
      <c r="AD230" s="1030"/>
      <c r="AE230" s="2287">
        <v>515943.52</v>
      </c>
      <c r="AF230" s="278"/>
      <c r="AG230" s="2282">
        <v>335576.04</v>
      </c>
      <c r="AH230" s="2282">
        <f t="shared" si="8"/>
        <v>335576.04</v>
      </c>
      <c r="AI230" s="339"/>
      <c r="AJ230" s="339"/>
      <c r="AK230" s="107"/>
      <c r="AL230" s="107"/>
      <c r="AM230" s="1092"/>
      <c r="AN230" s="107"/>
      <c r="AO230" s="107"/>
      <c r="AP230" s="107"/>
      <c r="AQ230" s="107"/>
      <c r="AR230" s="107"/>
      <c r="AS230" s="1985" t="s">
        <v>1323</v>
      </c>
      <c r="AT230" s="2163" t="s">
        <v>1457</v>
      </c>
      <c r="AU230" s="1054">
        <v>41774</v>
      </c>
      <c r="AV230" s="1059">
        <v>41927</v>
      </c>
      <c r="AW230" s="1030"/>
      <c r="AX230" s="1030"/>
      <c r="AY230" s="1996">
        <v>41774</v>
      </c>
      <c r="AZ230" s="1985" t="s">
        <v>1464</v>
      </c>
      <c r="BA230" s="1985" t="s">
        <v>1458</v>
      </c>
      <c r="BB230" s="1030"/>
      <c r="BC230" s="1030"/>
      <c r="BD230" s="1030"/>
    </row>
    <row r="231" spans="1:56" ht="38.25" x14ac:dyDescent="0.25">
      <c r="A231" s="2286"/>
      <c r="B231" s="2196"/>
      <c r="C231" s="1986"/>
      <c r="D231" s="1986"/>
      <c r="E231" s="2164"/>
      <c r="F231" s="1986"/>
      <c r="G231" s="2178"/>
      <c r="H231" s="1992"/>
      <c r="I231" s="1986"/>
      <c r="J231" s="1986"/>
      <c r="K231" s="1997"/>
      <c r="L231" s="2003"/>
      <c r="M231" s="1995"/>
      <c r="N231" s="1997"/>
      <c r="O231" s="1997"/>
      <c r="P231" s="1986"/>
      <c r="Q231" s="1986"/>
      <c r="R231" s="1986"/>
      <c r="S231" s="1986"/>
      <c r="T231" s="1986"/>
      <c r="U231" s="1357" t="s">
        <v>867</v>
      </c>
      <c r="V231" s="1059">
        <v>41927</v>
      </c>
      <c r="W231" s="1053">
        <v>11424</v>
      </c>
      <c r="X231" s="1060" t="s">
        <v>1923</v>
      </c>
      <c r="Y231" s="1054">
        <v>41958</v>
      </c>
      <c r="Z231" s="1054">
        <v>42139</v>
      </c>
      <c r="AA231" s="1030"/>
      <c r="AB231" s="1030"/>
      <c r="AC231" s="266"/>
      <c r="AD231" s="1030"/>
      <c r="AE231" s="2288"/>
      <c r="AF231" s="278"/>
      <c r="AG231" s="2283"/>
      <c r="AH231" s="2283"/>
      <c r="AI231" s="339"/>
      <c r="AJ231" s="339"/>
      <c r="AK231" s="107"/>
      <c r="AL231" s="107"/>
      <c r="AM231" s="1092"/>
      <c r="AN231" s="107"/>
      <c r="AO231" s="107"/>
      <c r="AP231" s="107"/>
      <c r="AQ231" s="107"/>
      <c r="AR231" s="107"/>
      <c r="AS231" s="1986"/>
      <c r="AT231" s="2164"/>
      <c r="AU231" s="1054">
        <v>41927</v>
      </c>
      <c r="AV231" s="1059">
        <v>42078</v>
      </c>
      <c r="AW231" s="1030"/>
      <c r="AX231" s="1030"/>
      <c r="AY231" s="1997"/>
      <c r="AZ231" s="1986"/>
      <c r="BA231" s="1986"/>
      <c r="BB231" s="1030"/>
      <c r="BC231" s="1030"/>
      <c r="BD231" s="1030"/>
    </row>
    <row r="232" spans="1:56" ht="78.75" customHeight="1" x14ac:dyDescent="0.25">
      <c r="A232" s="2285">
        <v>133</v>
      </c>
      <c r="B232" s="2194" t="s">
        <v>1924</v>
      </c>
      <c r="C232" s="1985" t="s">
        <v>724</v>
      </c>
      <c r="D232" s="1985" t="s">
        <v>1431</v>
      </c>
      <c r="E232" s="2163" t="s">
        <v>1457</v>
      </c>
      <c r="F232" s="1985" t="s">
        <v>1925</v>
      </c>
      <c r="G232" s="2177">
        <v>11260</v>
      </c>
      <c r="H232" s="1991" t="s">
        <v>539</v>
      </c>
      <c r="I232" s="1985" t="s">
        <v>1926</v>
      </c>
      <c r="J232" s="1985" t="s">
        <v>1927</v>
      </c>
      <c r="K232" s="1996">
        <v>41771</v>
      </c>
      <c r="L232" s="2002">
        <v>488031.67</v>
      </c>
      <c r="M232" s="1994">
        <v>11305</v>
      </c>
      <c r="N232" s="1996">
        <v>41774</v>
      </c>
      <c r="O232" s="1996">
        <v>41958</v>
      </c>
      <c r="P232" s="1985" t="s">
        <v>1928</v>
      </c>
      <c r="Q232" s="1996"/>
      <c r="R232" s="1996"/>
      <c r="S232" s="1985"/>
      <c r="T232" s="1985" t="s">
        <v>1577</v>
      </c>
      <c r="U232" s="1357"/>
      <c r="V232" s="1054"/>
      <c r="W232" s="1030"/>
      <c r="X232" s="1060"/>
      <c r="Y232" s="1054"/>
      <c r="Z232" s="1054"/>
      <c r="AA232" s="1030"/>
      <c r="AB232" s="1030"/>
      <c r="AC232" s="266"/>
      <c r="AD232" s="1030"/>
      <c r="AE232" s="2002">
        <v>488031.67</v>
      </c>
      <c r="AF232" s="2282"/>
      <c r="AG232" s="2282">
        <v>192096.09</v>
      </c>
      <c r="AH232" s="2282">
        <f t="shared" si="8"/>
        <v>192096.09</v>
      </c>
      <c r="AI232" s="339"/>
      <c r="AJ232" s="339"/>
      <c r="AK232" s="107"/>
      <c r="AL232" s="107"/>
      <c r="AM232" s="1092"/>
      <c r="AN232" s="107"/>
      <c r="AO232" s="107"/>
      <c r="AP232" s="107"/>
      <c r="AQ232" s="107"/>
      <c r="AR232" s="107"/>
      <c r="AS232" s="1985" t="s">
        <v>1323</v>
      </c>
      <c r="AT232" s="2163" t="s">
        <v>1457</v>
      </c>
      <c r="AU232" s="1054">
        <v>41774</v>
      </c>
      <c r="AV232" s="1059">
        <v>41927</v>
      </c>
      <c r="AW232" s="1030"/>
      <c r="AX232" s="1030"/>
      <c r="AY232" s="1996">
        <v>41774</v>
      </c>
      <c r="AZ232" s="1985" t="s">
        <v>1464</v>
      </c>
      <c r="BA232" s="1985" t="s">
        <v>1458</v>
      </c>
      <c r="BB232" s="1030"/>
      <c r="BC232" s="1030"/>
      <c r="BD232" s="1030"/>
    </row>
    <row r="233" spans="1:56" ht="38.25" x14ac:dyDescent="0.25">
      <c r="A233" s="2286"/>
      <c r="B233" s="2196"/>
      <c r="C233" s="1986"/>
      <c r="D233" s="1986"/>
      <c r="E233" s="2164"/>
      <c r="F233" s="1986"/>
      <c r="G233" s="2178"/>
      <c r="H233" s="1992"/>
      <c r="I233" s="1986"/>
      <c r="J233" s="1986"/>
      <c r="K233" s="1997"/>
      <c r="L233" s="2003"/>
      <c r="M233" s="1995"/>
      <c r="N233" s="1997"/>
      <c r="O233" s="1997"/>
      <c r="P233" s="1986"/>
      <c r="Q233" s="1997"/>
      <c r="R233" s="1997"/>
      <c r="S233" s="1986"/>
      <c r="T233" s="1986"/>
      <c r="U233" s="1357" t="s">
        <v>867</v>
      </c>
      <c r="V233" s="1054">
        <v>41926</v>
      </c>
      <c r="W233" s="1053">
        <v>11452</v>
      </c>
      <c r="X233" s="1060" t="s">
        <v>1929</v>
      </c>
      <c r="Y233" s="1054">
        <v>41958</v>
      </c>
      <c r="Z233" s="1054">
        <v>42109</v>
      </c>
      <c r="AA233" s="1030"/>
      <c r="AB233" s="1030"/>
      <c r="AC233" s="266"/>
      <c r="AD233" s="1030"/>
      <c r="AE233" s="2003"/>
      <c r="AF233" s="2283"/>
      <c r="AG233" s="2283"/>
      <c r="AH233" s="2283"/>
      <c r="AI233" s="339"/>
      <c r="AJ233" s="339"/>
      <c r="AK233" s="107"/>
      <c r="AL233" s="107"/>
      <c r="AM233" s="1092"/>
      <c r="AN233" s="107"/>
      <c r="AO233" s="107"/>
      <c r="AP233" s="107"/>
      <c r="AQ233" s="107"/>
      <c r="AR233" s="107"/>
      <c r="AS233" s="1986"/>
      <c r="AT233" s="2164"/>
      <c r="AU233" s="1054">
        <v>41927</v>
      </c>
      <c r="AV233" s="1059">
        <v>42078</v>
      </c>
      <c r="AW233" s="1030"/>
      <c r="AX233" s="1030"/>
      <c r="AY233" s="1997"/>
      <c r="AZ233" s="1986"/>
      <c r="BA233" s="1986"/>
      <c r="BB233" s="1030"/>
      <c r="BC233" s="1030"/>
      <c r="BD233" s="1030"/>
    </row>
    <row r="234" spans="1:56" ht="78.75" customHeight="1" x14ac:dyDescent="0.25">
      <c r="A234" s="2285">
        <v>134</v>
      </c>
      <c r="B234" s="2194" t="s">
        <v>1930</v>
      </c>
      <c r="C234" s="1985" t="s">
        <v>388</v>
      </c>
      <c r="D234" s="1985" t="s">
        <v>1431</v>
      </c>
      <c r="E234" s="1985" t="s">
        <v>168</v>
      </c>
      <c r="F234" s="1985" t="s">
        <v>1931</v>
      </c>
      <c r="G234" s="2177">
        <v>11266</v>
      </c>
      <c r="H234" s="1991" t="s">
        <v>499</v>
      </c>
      <c r="I234" s="1985" t="s">
        <v>1932</v>
      </c>
      <c r="J234" s="1985" t="s">
        <v>1927</v>
      </c>
      <c r="K234" s="1996">
        <v>41771</v>
      </c>
      <c r="L234" s="2002">
        <v>539327.14</v>
      </c>
      <c r="M234" s="1994">
        <v>11305</v>
      </c>
      <c r="N234" s="1996">
        <v>41774</v>
      </c>
      <c r="O234" s="1996">
        <v>41958</v>
      </c>
      <c r="P234" s="1985" t="s">
        <v>1933</v>
      </c>
      <c r="Q234" s="1985"/>
      <c r="R234" s="1985"/>
      <c r="S234" s="1985"/>
      <c r="T234" s="1985" t="s">
        <v>1577</v>
      </c>
      <c r="U234" s="1357"/>
      <c r="V234" s="1054"/>
      <c r="W234" s="1030"/>
      <c r="X234" s="1060"/>
      <c r="Y234" s="1054"/>
      <c r="Z234" s="1054"/>
      <c r="AA234" s="1030"/>
      <c r="AB234" s="1030"/>
      <c r="AC234" s="266"/>
      <c r="AD234" s="1030"/>
      <c r="AE234" s="2002">
        <v>539327.14</v>
      </c>
      <c r="AF234" s="2282"/>
      <c r="AG234" s="2282">
        <v>324585.44</v>
      </c>
      <c r="AH234" s="2282">
        <f t="shared" si="8"/>
        <v>324585.44</v>
      </c>
      <c r="AI234" s="339"/>
      <c r="AJ234" s="339"/>
      <c r="AK234" s="107"/>
      <c r="AL234" s="107"/>
      <c r="AM234" s="1092"/>
      <c r="AN234" s="107"/>
      <c r="AO234" s="107"/>
      <c r="AP234" s="107"/>
      <c r="AQ234" s="107"/>
      <c r="AR234" s="107"/>
      <c r="AS234" s="1985" t="s">
        <v>1323</v>
      </c>
      <c r="AT234" s="2163" t="s">
        <v>1457</v>
      </c>
      <c r="AU234" s="1054">
        <v>41774</v>
      </c>
      <c r="AV234" s="1054">
        <v>41927</v>
      </c>
      <c r="AW234" s="1030"/>
      <c r="AX234" s="1030"/>
      <c r="AY234" s="1996">
        <v>41774</v>
      </c>
      <c r="AZ234" s="1985" t="s">
        <v>1464</v>
      </c>
      <c r="BA234" s="1985" t="s">
        <v>1458</v>
      </c>
      <c r="BB234" s="1030"/>
      <c r="BC234" s="1030"/>
      <c r="BD234" s="1030"/>
    </row>
    <row r="235" spans="1:56" ht="51" x14ac:dyDescent="0.25">
      <c r="A235" s="2286"/>
      <c r="B235" s="2196"/>
      <c r="C235" s="1986"/>
      <c r="D235" s="1986"/>
      <c r="E235" s="1986"/>
      <c r="F235" s="1986"/>
      <c r="G235" s="2178"/>
      <c r="H235" s="1992"/>
      <c r="I235" s="1986"/>
      <c r="J235" s="1986"/>
      <c r="K235" s="1997"/>
      <c r="L235" s="2003"/>
      <c r="M235" s="1995"/>
      <c r="N235" s="1997"/>
      <c r="O235" s="1997"/>
      <c r="P235" s="1986"/>
      <c r="Q235" s="1986"/>
      <c r="R235" s="1986"/>
      <c r="S235" s="1986"/>
      <c r="T235" s="1986"/>
      <c r="U235" s="1357" t="s">
        <v>867</v>
      </c>
      <c r="V235" s="1054">
        <v>41927</v>
      </c>
      <c r="W235" s="1053">
        <v>11445</v>
      </c>
      <c r="X235" s="1060" t="s">
        <v>1934</v>
      </c>
      <c r="Y235" s="1054">
        <v>41958</v>
      </c>
      <c r="Z235" s="1054">
        <v>42139</v>
      </c>
      <c r="AA235" s="1030"/>
      <c r="AB235" s="1030"/>
      <c r="AC235" s="266"/>
      <c r="AD235" s="1030"/>
      <c r="AE235" s="2003"/>
      <c r="AF235" s="2283"/>
      <c r="AG235" s="2283"/>
      <c r="AH235" s="2283"/>
      <c r="AI235" s="339"/>
      <c r="AJ235" s="339"/>
      <c r="AK235" s="107"/>
      <c r="AL235" s="107"/>
      <c r="AM235" s="1092"/>
      <c r="AN235" s="107"/>
      <c r="AO235" s="107"/>
      <c r="AP235" s="107"/>
      <c r="AQ235" s="107"/>
      <c r="AR235" s="107"/>
      <c r="AS235" s="1986"/>
      <c r="AT235" s="2164"/>
      <c r="AU235" s="1054">
        <v>41927</v>
      </c>
      <c r="AV235" s="1054">
        <v>42078</v>
      </c>
      <c r="AW235" s="1030"/>
      <c r="AX235" s="1030"/>
      <c r="AY235" s="1997"/>
      <c r="AZ235" s="1986"/>
      <c r="BA235" s="1986"/>
      <c r="BB235" s="1030"/>
      <c r="BC235" s="1030"/>
      <c r="BD235" s="1030"/>
    </row>
    <row r="236" spans="1:56" ht="76.5" x14ac:dyDescent="0.25">
      <c r="A236" s="1492">
        <v>135</v>
      </c>
      <c r="B236" s="1483" t="s">
        <v>1935</v>
      </c>
      <c r="C236" s="1030" t="s">
        <v>680</v>
      </c>
      <c r="D236" s="518" t="s">
        <v>1681</v>
      </c>
      <c r="E236" s="1060" t="s">
        <v>1358</v>
      </c>
      <c r="F236" s="518" t="s">
        <v>1682</v>
      </c>
      <c r="G236" s="1178"/>
      <c r="H236" s="1031" t="s">
        <v>478</v>
      </c>
      <c r="I236" s="518" t="s">
        <v>1683</v>
      </c>
      <c r="J236" s="1060" t="s">
        <v>1684</v>
      </c>
      <c r="K236" s="1054">
        <v>41766</v>
      </c>
      <c r="L236" s="1061">
        <v>107625.3</v>
      </c>
      <c r="M236" s="1053">
        <v>11303</v>
      </c>
      <c r="N236" s="1054">
        <v>41766</v>
      </c>
      <c r="O236" s="1054">
        <v>42004</v>
      </c>
      <c r="P236" s="1030" t="s">
        <v>1354</v>
      </c>
      <c r="Q236" s="1060"/>
      <c r="R236" s="1030"/>
      <c r="S236" s="1030"/>
      <c r="T236" s="1060" t="s">
        <v>316</v>
      </c>
      <c r="U236" s="1357"/>
      <c r="V236" s="1054"/>
      <c r="W236" s="1030"/>
      <c r="X236" s="1060"/>
      <c r="Y236" s="1054"/>
      <c r="Z236" s="1054"/>
      <c r="AA236" s="1030"/>
      <c r="AB236" s="1030"/>
      <c r="AC236" s="266"/>
      <c r="AD236" s="1030"/>
      <c r="AE236" s="1061">
        <v>107625.3</v>
      </c>
      <c r="AF236" s="278"/>
      <c r="AG236" s="278">
        <v>17025.150000000001</v>
      </c>
      <c r="AH236" s="613">
        <f t="shared" si="8"/>
        <v>17025.150000000001</v>
      </c>
      <c r="AI236" s="339" t="s">
        <v>1685</v>
      </c>
      <c r="AJ236" s="340">
        <v>11059</v>
      </c>
      <c r="AK236" s="107" t="s">
        <v>1686</v>
      </c>
      <c r="AL236" s="107"/>
      <c r="AM236" s="1092"/>
      <c r="AN236" s="107"/>
      <c r="AO236" s="107"/>
      <c r="AP236" s="107"/>
      <c r="AQ236" s="107"/>
      <c r="AR236" s="107"/>
      <c r="AS236" s="1030"/>
      <c r="AT236" s="1030"/>
      <c r="AU236" s="1030"/>
      <c r="AV236" s="1030"/>
      <c r="AW236" s="1030"/>
      <c r="AX236" s="1030"/>
      <c r="AY236" s="1030"/>
      <c r="AZ236" s="1030"/>
      <c r="BA236" s="1030"/>
      <c r="BB236" s="1030"/>
      <c r="BC236" s="1030"/>
      <c r="BD236" s="1030"/>
    </row>
    <row r="237" spans="1:56" ht="51" x14ac:dyDescent="0.25">
      <c r="A237" s="1492">
        <v>136</v>
      </c>
      <c r="B237" s="1483" t="s">
        <v>1936</v>
      </c>
      <c r="C237" s="1030" t="s">
        <v>757</v>
      </c>
      <c r="D237" s="518" t="s">
        <v>935</v>
      </c>
      <c r="E237" s="1060" t="s">
        <v>1358</v>
      </c>
      <c r="F237" s="518" t="s">
        <v>1937</v>
      </c>
      <c r="G237" s="1178">
        <v>11234</v>
      </c>
      <c r="H237" s="1031" t="s">
        <v>1938</v>
      </c>
      <c r="I237" s="518" t="s">
        <v>1939</v>
      </c>
      <c r="J237" s="1060" t="s">
        <v>1564</v>
      </c>
      <c r="K237" s="1054">
        <v>41772</v>
      </c>
      <c r="L237" s="1061">
        <v>61794.92</v>
      </c>
      <c r="M237" s="1053">
        <v>11305</v>
      </c>
      <c r="N237" s="1054">
        <v>41772</v>
      </c>
      <c r="O237" s="1054">
        <v>42004</v>
      </c>
      <c r="P237" s="1030" t="s">
        <v>1354</v>
      </c>
      <c r="Q237" s="1060"/>
      <c r="R237" s="1030"/>
      <c r="S237" s="1030"/>
      <c r="T237" s="1060" t="s">
        <v>678</v>
      </c>
      <c r="U237" s="1357"/>
      <c r="V237" s="1054"/>
      <c r="W237" s="1030"/>
      <c r="X237" s="1060"/>
      <c r="Y237" s="1054"/>
      <c r="Z237" s="1054"/>
      <c r="AA237" s="1030"/>
      <c r="AB237" s="1030"/>
      <c r="AC237" s="266"/>
      <c r="AD237" s="1030"/>
      <c r="AE237" s="1061">
        <v>61794.92</v>
      </c>
      <c r="AF237" s="278"/>
      <c r="AG237" s="278">
        <v>61794.92</v>
      </c>
      <c r="AH237" s="613">
        <f t="shared" si="8"/>
        <v>61794.92</v>
      </c>
      <c r="AI237" s="339"/>
      <c r="AJ237" s="339"/>
      <c r="AK237" s="107"/>
      <c r="AL237" s="107"/>
      <c r="AM237" s="1092"/>
      <c r="AN237" s="107"/>
      <c r="AO237" s="107"/>
      <c r="AP237" s="107"/>
      <c r="AQ237" s="107"/>
      <c r="AR237" s="107"/>
      <c r="AS237" s="1030"/>
      <c r="AT237" s="1030"/>
      <c r="AU237" s="1030"/>
      <c r="AV237" s="1030"/>
      <c r="AW237" s="1030"/>
      <c r="AX237" s="1030"/>
      <c r="AY237" s="1030"/>
      <c r="AZ237" s="1030"/>
      <c r="BA237" s="1030"/>
      <c r="BB237" s="1030"/>
      <c r="BC237" s="1030"/>
      <c r="BD237" s="1030"/>
    </row>
    <row r="238" spans="1:56" ht="76.5" x14ac:dyDescent="0.25">
      <c r="A238" s="1492">
        <v>137</v>
      </c>
      <c r="B238" s="2222" t="s">
        <v>1940</v>
      </c>
      <c r="C238" s="1985" t="s">
        <v>1941</v>
      </c>
      <c r="D238" s="2233" t="s">
        <v>935</v>
      </c>
      <c r="E238" s="1985" t="s">
        <v>1358</v>
      </c>
      <c r="F238" s="2233" t="s">
        <v>1942</v>
      </c>
      <c r="G238" s="2177">
        <v>11193</v>
      </c>
      <c r="H238" s="1031" t="s">
        <v>1943</v>
      </c>
      <c r="I238" s="518" t="s">
        <v>1944</v>
      </c>
      <c r="J238" s="1060" t="s">
        <v>749</v>
      </c>
      <c r="K238" s="1054">
        <v>41773</v>
      </c>
      <c r="L238" s="1061">
        <v>32971</v>
      </c>
      <c r="M238" s="1053">
        <v>11311</v>
      </c>
      <c r="N238" s="1054">
        <v>41773</v>
      </c>
      <c r="O238" s="1054">
        <v>42004</v>
      </c>
      <c r="P238" s="1060" t="s">
        <v>1945</v>
      </c>
      <c r="Q238" s="1060" t="s">
        <v>1843</v>
      </c>
      <c r="R238" s="1061">
        <v>32971</v>
      </c>
      <c r="S238" s="1030"/>
      <c r="T238" s="1060" t="s">
        <v>1946</v>
      </c>
      <c r="U238" s="1357" t="s">
        <v>867</v>
      </c>
      <c r="V238" s="1054">
        <v>42003</v>
      </c>
      <c r="W238" s="1053">
        <v>11475</v>
      </c>
      <c r="X238" s="1060" t="s">
        <v>1947</v>
      </c>
      <c r="Y238" s="1054"/>
      <c r="Z238" s="1054"/>
      <c r="AA238" s="1030">
        <v>6.44</v>
      </c>
      <c r="AB238" s="1030"/>
      <c r="AC238" s="266">
        <v>2125</v>
      </c>
      <c r="AD238" s="1030"/>
      <c r="AE238" s="1061">
        <f>32971-AD238+AC238</f>
        <v>35096</v>
      </c>
      <c r="AF238" s="278"/>
      <c r="AG238" s="278">
        <v>3188</v>
      </c>
      <c r="AH238" s="613">
        <f t="shared" si="8"/>
        <v>3188</v>
      </c>
      <c r="AI238" s="339"/>
      <c r="AJ238" s="339"/>
      <c r="AK238" s="107"/>
      <c r="AL238" s="107"/>
      <c r="AM238" s="1092"/>
      <c r="AN238" s="107"/>
      <c r="AO238" s="107"/>
      <c r="AP238" s="107"/>
      <c r="AQ238" s="107"/>
      <c r="AR238" s="107"/>
      <c r="AS238" s="1030"/>
      <c r="AT238" s="1030"/>
      <c r="AU238" s="1030"/>
      <c r="AV238" s="1030"/>
      <c r="AW238" s="1030"/>
      <c r="AX238" s="1030"/>
      <c r="AY238" s="1030"/>
      <c r="AZ238" s="1030"/>
      <c r="BA238" s="1030"/>
      <c r="BB238" s="1030"/>
      <c r="BC238" s="1030"/>
      <c r="BD238" s="1030"/>
    </row>
    <row r="239" spans="1:56" ht="76.5" x14ac:dyDescent="0.25">
      <c r="A239" s="1492">
        <v>138</v>
      </c>
      <c r="B239" s="2223"/>
      <c r="C239" s="2021"/>
      <c r="D239" s="2252"/>
      <c r="E239" s="2021"/>
      <c r="F239" s="2252"/>
      <c r="G239" s="2180"/>
      <c r="H239" s="1031" t="s">
        <v>1948</v>
      </c>
      <c r="I239" s="518" t="s">
        <v>1949</v>
      </c>
      <c r="J239" s="1060" t="s">
        <v>752</v>
      </c>
      <c r="K239" s="1054">
        <v>41773</v>
      </c>
      <c r="L239" s="1061">
        <v>18676.900000000001</v>
      </c>
      <c r="M239" s="1053">
        <v>11308</v>
      </c>
      <c r="N239" s="1054">
        <v>41773</v>
      </c>
      <c r="O239" s="1054">
        <v>42004</v>
      </c>
      <c r="P239" s="1060" t="s">
        <v>1945</v>
      </c>
      <c r="Q239" s="1060" t="s">
        <v>1843</v>
      </c>
      <c r="R239" s="1061">
        <v>18676.900000000001</v>
      </c>
      <c r="S239" s="1030"/>
      <c r="T239" s="1060" t="s">
        <v>1946</v>
      </c>
      <c r="U239" s="1357"/>
      <c r="V239" s="1054"/>
      <c r="W239" s="1030"/>
      <c r="X239" s="1060"/>
      <c r="Y239" s="1054"/>
      <c r="Z239" s="1054"/>
      <c r="AA239" s="1030"/>
      <c r="AB239" s="1030"/>
      <c r="AC239" s="266"/>
      <c r="AD239" s="1030"/>
      <c r="AE239" s="1061">
        <v>18676.900000000001</v>
      </c>
      <c r="AF239" s="278"/>
      <c r="AG239" s="278">
        <v>7002.5</v>
      </c>
      <c r="AH239" s="613">
        <f t="shared" si="8"/>
        <v>7002.5</v>
      </c>
      <c r="AI239" s="339"/>
      <c r="AJ239" s="339"/>
      <c r="AK239" s="107"/>
      <c r="AL239" s="107"/>
      <c r="AM239" s="1092"/>
      <c r="AN239" s="107"/>
      <c r="AO239" s="107"/>
      <c r="AP239" s="107"/>
      <c r="AQ239" s="107"/>
      <c r="AR239" s="107"/>
      <c r="AS239" s="1030"/>
      <c r="AT239" s="1030"/>
      <c r="AU239" s="1030"/>
      <c r="AV239" s="1030"/>
      <c r="AW239" s="1030"/>
      <c r="AX239" s="1030"/>
      <c r="AY239" s="1030"/>
      <c r="AZ239" s="1030"/>
      <c r="BA239" s="1030"/>
      <c r="BB239" s="1030"/>
      <c r="BC239" s="1030"/>
      <c r="BD239" s="1030"/>
    </row>
    <row r="240" spans="1:56" ht="76.5" x14ac:dyDescent="0.25">
      <c r="A240" s="1492">
        <v>139</v>
      </c>
      <c r="B240" s="2223"/>
      <c r="C240" s="2021"/>
      <c r="D240" s="2252"/>
      <c r="E240" s="2021"/>
      <c r="F240" s="2252"/>
      <c r="G240" s="2180"/>
      <c r="H240" s="1031" t="s">
        <v>1950</v>
      </c>
      <c r="I240" s="518" t="s">
        <v>1951</v>
      </c>
      <c r="J240" s="1060" t="s">
        <v>1952</v>
      </c>
      <c r="K240" s="1054">
        <v>41773</v>
      </c>
      <c r="L240" s="1061">
        <v>15123.05</v>
      </c>
      <c r="M240" s="1053">
        <v>11311</v>
      </c>
      <c r="N240" s="1054">
        <v>41773</v>
      </c>
      <c r="O240" s="1054">
        <v>42004</v>
      </c>
      <c r="P240" s="1060" t="s">
        <v>1945</v>
      </c>
      <c r="Q240" s="1060" t="s">
        <v>1843</v>
      </c>
      <c r="R240" s="1061">
        <v>15123.05</v>
      </c>
      <c r="S240" s="1030"/>
      <c r="T240" s="1060" t="s">
        <v>1946</v>
      </c>
      <c r="U240" s="1357"/>
      <c r="V240" s="1054"/>
      <c r="W240" s="1030"/>
      <c r="X240" s="1060"/>
      <c r="Y240" s="1054"/>
      <c r="Z240" s="1054"/>
      <c r="AA240" s="1030"/>
      <c r="AB240" s="1030"/>
      <c r="AC240" s="266"/>
      <c r="AD240" s="1030"/>
      <c r="AE240" s="1061">
        <v>15123.05</v>
      </c>
      <c r="AF240" s="278"/>
      <c r="AG240" s="278"/>
      <c r="AH240" s="613">
        <f>AF240+AG240</f>
        <v>0</v>
      </c>
      <c r="AI240" s="339"/>
      <c r="AJ240" s="339"/>
      <c r="AK240" s="107"/>
      <c r="AL240" s="107"/>
      <c r="AM240" s="1092"/>
      <c r="AN240" s="107"/>
      <c r="AO240" s="107"/>
      <c r="AP240" s="107"/>
      <c r="AQ240" s="107"/>
      <c r="AR240" s="107"/>
      <c r="AS240" s="1030"/>
      <c r="AT240" s="1030"/>
      <c r="AU240" s="1030"/>
      <c r="AV240" s="1030"/>
      <c r="AW240" s="1030"/>
      <c r="AX240" s="1030"/>
      <c r="AY240" s="1030"/>
      <c r="AZ240" s="1030"/>
      <c r="BA240" s="1030"/>
      <c r="BB240" s="1030"/>
      <c r="BC240" s="1030"/>
      <c r="BD240" s="1030"/>
    </row>
    <row r="241" spans="1:56" ht="76.5" x14ac:dyDescent="0.25">
      <c r="A241" s="1492">
        <v>140</v>
      </c>
      <c r="B241" s="2223"/>
      <c r="C241" s="2021"/>
      <c r="D241" s="2252"/>
      <c r="E241" s="2021"/>
      <c r="F241" s="2252"/>
      <c r="G241" s="2180"/>
      <c r="H241" s="1031" t="s">
        <v>1953</v>
      </c>
      <c r="I241" s="518" t="s">
        <v>1954</v>
      </c>
      <c r="J241" s="1060" t="s">
        <v>1955</v>
      </c>
      <c r="K241" s="1054">
        <v>41773</v>
      </c>
      <c r="L241" s="1061">
        <v>24333.9</v>
      </c>
      <c r="M241" s="1053">
        <v>11308</v>
      </c>
      <c r="N241" s="1054">
        <v>41773</v>
      </c>
      <c r="O241" s="1054">
        <v>42004</v>
      </c>
      <c r="P241" s="1060" t="s">
        <v>1945</v>
      </c>
      <c r="Q241" s="1060" t="s">
        <v>1843</v>
      </c>
      <c r="R241" s="1061">
        <v>24333.9</v>
      </c>
      <c r="S241" s="1030"/>
      <c r="T241" s="1060" t="s">
        <v>1946</v>
      </c>
      <c r="U241" s="1379" t="s">
        <v>1355</v>
      </c>
      <c r="V241" s="1059">
        <v>41912</v>
      </c>
      <c r="W241" s="1053">
        <v>11405</v>
      </c>
      <c r="X241" s="1059" t="s">
        <v>1956</v>
      </c>
      <c r="Y241" s="1054"/>
      <c r="Z241" s="1054"/>
      <c r="AA241" s="1030"/>
      <c r="AB241" s="1030"/>
      <c r="AC241" s="266"/>
      <c r="AD241" s="1030"/>
      <c r="AE241" s="1061">
        <v>24333.9</v>
      </c>
      <c r="AF241" s="278"/>
      <c r="AG241" s="278"/>
      <c r="AH241" s="613">
        <f>AF241+AG241</f>
        <v>0</v>
      </c>
      <c r="AI241" s="339"/>
      <c r="AJ241" s="339"/>
      <c r="AK241" s="107"/>
      <c r="AL241" s="107"/>
      <c r="AM241" s="1092"/>
      <c r="AN241" s="107"/>
      <c r="AO241" s="107"/>
      <c r="AP241" s="107"/>
      <c r="AQ241" s="107"/>
      <c r="AR241" s="107"/>
      <c r="AS241" s="1030"/>
      <c r="AT241" s="1030"/>
      <c r="AU241" s="1030"/>
      <c r="AV241" s="1030"/>
      <c r="AW241" s="1030"/>
      <c r="AX241" s="1030"/>
      <c r="AY241" s="1030"/>
      <c r="AZ241" s="1030"/>
      <c r="BA241" s="1030"/>
      <c r="BB241" s="1030"/>
      <c r="BC241" s="1030"/>
      <c r="BD241" s="1030"/>
    </row>
    <row r="242" spans="1:56" ht="76.5" x14ac:dyDescent="0.25">
      <c r="A242" s="1492">
        <v>141</v>
      </c>
      <c r="B242" s="2223"/>
      <c r="C242" s="2021"/>
      <c r="D242" s="2252"/>
      <c r="E242" s="2021"/>
      <c r="F242" s="2252"/>
      <c r="G242" s="2180"/>
      <c r="H242" s="1031" t="s">
        <v>1957</v>
      </c>
      <c r="I242" s="518" t="s">
        <v>1958</v>
      </c>
      <c r="J242" s="1060" t="s">
        <v>746</v>
      </c>
      <c r="K242" s="1054">
        <v>41773</v>
      </c>
      <c r="L242" s="1061">
        <v>40529.129999999997</v>
      </c>
      <c r="M242" s="1053">
        <v>11308</v>
      </c>
      <c r="N242" s="1054">
        <v>41773</v>
      </c>
      <c r="O242" s="1054">
        <v>42004</v>
      </c>
      <c r="P242" s="1060" t="s">
        <v>1945</v>
      </c>
      <c r="Q242" s="1060" t="s">
        <v>1843</v>
      </c>
      <c r="R242" s="1061">
        <v>40529.129999999997</v>
      </c>
      <c r="S242" s="1030"/>
      <c r="T242" s="1060" t="s">
        <v>1946</v>
      </c>
      <c r="U242" s="1379"/>
      <c r="V242" s="1059"/>
      <c r="W242" s="1063"/>
      <c r="X242" s="1059"/>
      <c r="Y242" s="1054"/>
      <c r="Z242" s="1054"/>
      <c r="AA242" s="1030"/>
      <c r="AB242" s="1030"/>
      <c r="AC242" s="266"/>
      <c r="AD242" s="1030"/>
      <c r="AE242" s="1061">
        <v>40529.129999999997</v>
      </c>
      <c r="AF242" s="278"/>
      <c r="AG242" s="278">
        <v>15121.61</v>
      </c>
      <c r="AH242" s="613">
        <f t="shared" si="8"/>
        <v>15121.61</v>
      </c>
      <c r="AI242" s="339"/>
      <c r="AJ242" s="339"/>
      <c r="AK242" s="107"/>
      <c r="AL242" s="107"/>
      <c r="AM242" s="1092"/>
      <c r="AN242" s="107"/>
      <c r="AO242" s="107"/>
      <c r="AP242" s="107"/>
      <c r="AQ242" s="107"/>
      <c r="AR242" s="107"/>
      <c r="AS242" s="1030"/>
      <c r="AT242" s="1030"/>
      <c r="AU242" s="1030"/>
      <c r="AV242" s="1030"/>
      <c r="AW242" s="1030"/>
      <c r="AX242" s="1030"/>
      <c r="AY242" s="1030"/>
      <c r="AZ242" s="1030"/>
      <c r="BA242" s="1030"/>
      <c r="BB242" s="1030"/>
      <c r="BC242" s="1030"/>
      <c r="BD242" s="1030"/>
    </row>
    <row r="243" spans="1:56" ht="76.5" x14ac:dyDescent="0.25">
      <c r="A243" s="1492">
        <v>142</v>
      </c>
      <c r="B243" s="2223"/>
      <c r="C243" s="2021"/>
      <c r="D243" s="2252"/>
      <c r="E243" s="2021"/>
      <c r="F243" s="2252"/>
      <c r="G243" s="2180"/>
      <c r="H243" s="1031" t="s">
        <v>1959</v>
      </c>
      <c r="I243" s="518" t="s">
        <v>1960</v>
      </c>
      <c r="J243" s="1060" t="s">
        <v>1961</v>
      </c>
      <c r="K243" s="1054">
        <v>41773</v>
      </c>
      <c r="L243" s="1061">
        <v>116512.81</v>
      </c>
      <c r="M243" s="1053">
        <v>11308</v>
      </c>
      <c r="N243" s="1054">
        <v>41773</v>
      </c>
      <c r="O243" s="1054">
        <v>42004</v>
      </c>
      <c r="P243" s="1060" t="s">
        <v>1945</v>
      </c>
      <c r="Q243" s="1060" t="s">
        <v>1843</v>
      </c>
      <c r="R243" s="1061">
        <v>116512.81</v>
      </c>
      <c r="S243" s="1030"/>
      <c r="T243" s="1060" t="s">
        <v>1946</v>
      </c>
      <c r="U243" s="1357" t="s">
        <v>1355</v>
      </c>
      <c r="V243" s="1054">
        <v>41915</v>
      </c>
      <c r="W243" s="1053">
        <v>11408</v>
      </c>
      <c r="X243" s="1060" t="s">
        <v>1962</v>
      </c>
      <c r="Y243" s="1054"/>
      <c r="Z243" s="1054"/>
      <c r="AA243" s="1030"/>
      <c r="AB243" s="1030"/>
      <c r="AC243" s="266"/>
      <c r="AD243" s="1030"/>
      <c r="AE243" s="1061">
        <v>116512.81</v>
      </c>
      <c r="AF243" s="278"/>
      <c r="AG243" s="278"/>
      <c r="AH243" s="613">
        <f>AF243+AG243</f>
        <v>0</v>
      </c>
      <c r="AI243" s="339"/>
      <c r="AJ243" s="339"/>
      <c r="AK243" s="107"/>
      <c r="AL243" s="107"/>
      <c r="AM243" s="1092"/>
      <c r="AN243" s="107"/>
      <c r="AO243" s="107"/>
      <c r="AP243" s="107"/>
      <c r="AQ243" s="107"/>
      <c r="AR243" s="107"/>
      <c r="AS243" s="1030"/>
      <c r="AT243" s="1030"/>
      <c r="AU243" s="1030"/>
      <c r="AV243" s="1030"/>
      <c r="AW243" s="1030"/>
      <c r="AX243" s="1030"/>
      <c r="AY243" s="1030"/>
      <c r="AZ243" s="1030"/>
      <c r="BA243" s="1030"/>
      <c r="BB243" s="1030"/>
      <c r="BC243" s="1030"/>
      <c r="BD243" s="1030"/>
    </row>
    <row r="244" spans="1:56" ht="76.5" x14ac:dyDescent="0.25">
      <c r="A244" s="1492">
        <v>143</v>
      </c>
      <c r="B244" s="2223"/>
      <c r="C244" s="2021"/>
      <c r="D244" s="2252"/>
      <c r="E244" s="2021"/>
      <c r="F244" s="2252"/>
      <c r="G244" s="2180"/>
      <c r="H244" s="1031" t="s">
        <v>1963</v>
      </c>
      <c r="I244" s="518" t="s">
        <v>1964</v>
      </c>
      <c r="J244" s="1060" t="s">
        <v>1965</v>
      </c>
      <c r="K244" s="1054">
        <v>41773</v>
      </c>
      <c r="L244" s="1061">
        <v>1200</v>
      </c>
      <c r="M244" s="1053">
        <v>11309</v>
      </c>
      <c r="N244" s="1054">
        <v>41773</v>
      </c>
      <c r="O244" s="1054">
        <v>42004</v>
      </c>
      <c r="P244" s="1060" t="s">
        <v>1945</v>
      </c>
      <c r="Q244" s="1060" t="s">
        <v>1843</v>
      </c>
      <c r="R244" s="1061">
        <v>1200</v>
      </c>
      <c r="S244" s="1030"/>
      <c r="T244" s="1060" t="s">
        <v>1946</v>
      </c>
      <c r="U244" s="1357"/>
      <c r="V244" s="1054"/>
      <c r="W244" s="1030"/>
      <c r="X244" s="1060"/>
      <c r="Y244" s="1054"/>
      <c r="Z244" s="1054"/>
      <c r="AA244" s="1030"/>
      <c r="AB244" s="1030"/>
      <c r="AC244" s="266"/>
      <c r="AD244" s="1030"/>
      <c r="AE244" s="1061">
        <v>1200</v>
      </c>
      <c r="AF244" s="278"/>
      <c r="AG244" s="278"/>
      <c r="AH244" s="613">
        <f>AF244+AG244</f>
        <v>0</v>
      </c>
      <c r="AI244" s="339"/>
      <c r="AJ244" s="339"/>
      <c r="AK244" s="107"/>
      <c r="AL244" s="107"/>
      <c r="AM244" s="1092"/>
      <c r="AN244" s="107"/>
      <c r="AO244" s="107"/>
      <c r="AP244" s="107"/>
      <c r="AQ244" s="107"/>
      <c r="AR244" s="107"/>
      <c r="AS244" s="1030"/>
      <c r="AT244" s="1030"/>
      <c r="AU244" s="1030"/>
      <c r="AV244" s="1030"/>
      <c r="AW244" s="1030"/>
      <c r="AX244" s="1030"/>
      <c r="AY244" s="1030"/>
      <c r="AZ244" s="1030"/>
      <c r="BA244" s="1030"/>
      <c r="BB244" s="1030"/>
      <c r="BC244" s="1030"/>
      <c r="BD244" s="1030"/>
    </row>
    <row r="245" spans="1:56" ht="76.5" x14ac:dyDescent="0.25">
      <c r="A245" s="1492">
        <v>144</v>
      </c>
      <c r="B245" s="2223"/>
      <c r="C245" s="2021"/>
      <c r="D245" s="2252"/>
      <c r="E245" s="2021"/>
      <c r="F245" s="2252"/>
      <c r="G245" s="2180"/>
      <c r="H245" s="1031" t="s">
        <v>1966</v>
      </c>
      <c r="I245" s="518" t="s">
        <v>1967</v>
      </c>
      <c r="J245" s="1060" t="s">
        <v>743</v>
      </c>
      <c r="K245" s="1054">
        <v>41773</v>
      </c>
      <c r="L245" s="1061">
        <v>25021.85</v>
      </c>
      <c r="M245" s="1053">
        <v>11312</v>
      </c>
      <c r="N245" s="1054">
        <v>41773</v>
      </c>
      <c r="O245" s="1054">
        <v>42004</v>
      </c>
      <c r="P245" s="1060" t="s">
        <v>1945</v>
      </c>
      <c r="Q245" s="1060" t="s">
        <v>1843</v>
      </c>
      <c r="R245" s="1061">
        <v>25021.85</v>
      </c>
      <c r="S245" s="1030"/>
      <c r="T245" s="1060" t="s">
        <v>1946</v>
      </c>
      <c r="U245" s="1357"/>
      <c r="V245" s="1054"/>
      <c r="W245" s="1030"/>
      <c r="X245" s="1060"/>
      <c r="Y245" s="1054"/>
      <c r="Z245" s="1054"/>
      <c r="AA245" s="1030"/>
      <c r="AB245" s="1030"/>
      <c r="AC245" s="266"/>
      <c r="AD245" s="1030"/>
      <c r="AE245" s="1061">
        <v>25021.85</v>
      </c>
      <c r="AF245" s="278"/>
      <c r="AG245" s="278">
        <v>1266</v>
      </c>
      <c r="AH245" s="613">
        <f t="shared" si="8"/>
        <v>1266</v>
      </c>
      <c r="AI245" s="339"/>
      <c r="AJ245" s="339"/>
      <c r="AK245" s="107"/>
      <c r="AL245" s="107"/>
      <c r="AM245" s="1092"/>
      <c r="AN245" s="107"/>
      <c r="AO245" s="107"/>
      <c r="AP245" s="107"/>
      <c r="AQ245" s="107"/>
      <c r="AR245" s="107"/>
      <c r="AS245" s="1030"/>
      <c r="AT245" s="1030"/>
      <c r="AU245" s="1030"/>
      <c r="AV245" s="1030"/>
      <c r="AW245" s="1030"/>
      <c r="AX245" s="1030"/>
      <c r="AY245" s="1030"/>
      <c r="AZ245" s="1030"/>
      <c r="BA245" s="1030"/>
      <c r="BB245" s="1030"/>
      <c r="BC245" s="1030"/>
      <c r="BD245" s="1030"/>
    </row>
    <row r="246" spans="1:56" ht="76.5" x14ac:dyDescent="0.25">
      <c r="A246" s="1492">
        <v>145</v>
      </c>
      <c r="B246" s="2224"/>
      <c r="C246" s="1986"/>
      <c r="D246" s="2234"/>
      <c r="E246" s="1986"/>
      <c r="F246" s="2234"/>
      <c r="G246" s="2178"/>
      <c r="H246" s="1031" t="s">
        <v>1968</v>
      </c>
      <c r="I246" s="518" t="s">
        <v>1969</v>
      </c>
      <c r="J246" s="1060" t="s">
        <v>1970</v>
      </c>
      <c r="K246" s="1054">
        <v>41773</v>
      </c>
      <c r="L246" s="1061">
        <v>38534.400000000001</v>
      </c>
      <c r="M246" s="1053">
        <v>11312</v>
      </c>
      <c r="N246" s="1054">
        <v>41773</v>
      </c>
      <c r="O246" s="1054">
        <v>42004</v>
      </c>
      <c r="P246" s="1060" t="s">
        <v>1945</v>
      </c>
      <c r="Q246" s="1060" t="s">
        <v>1843</v>
      </c>
      <c r="R246" s="1061">
        <v>38534.400000000001</v>
      </c>
      <c r="S246" s="1030"/>
      <c r="T246" s="1060" t="s">
        <v>1946</v>
      </c>
      <c r="U246" s="1357"/>
      <c r="V246" s="1054"/>
      <c r="W246" s="1030"/>
      <c r="X246" s="1060"/>
      <c r="Y246" s="1054"/>
      <c r="Z246" s="1054"/>
      <c r="AA246" s="1030"/>
      <c r="AB246" s="1030"/>
      <c r="AC246" s="266"/>
      <c r="AD246" s="1030"/>
      <c r="AE246" s="1061">
        <v>38534.400000000001</v>
      </c>
      <c r="AF246" s="278"/>
      <c r="AG246" s="278">
        <v>11493.6</v>
      </c>
      <c r="AH246" s="613">
        <f t="shared" si="8"/>
        <v>11493.6</v>
      </c>
      <c r="AI246" s="339"/>
      <c r="AJ246" s="339"/>
      <c r="AK246" s="107"/>
      <c r="AL246" s="107"/>
      <c r="AM246" s="1092"/>
      <c r="AN246" s="107"/>
      <c r="AO246" s="107"/>
      <c r="AP246" s="107"/>
      <c r="AQ246" s="107"/>
      <c r="AR246" s="107"/>
      <c r="AS246" s="1030"/>
      <c r="AT246" s="1030"/>
      <c r="AU246" s="1030"/>
      <c r="AV246" s="1030"/>
      <c r="AW246" s="1030"/>
      <c r="AX246" s="1030"/>
      <c r="AY246" s="1030"/>
      <c r="AZ246" s="1030"/>
      <c r="BA246" s="1030"/>
      <c r="BB246" s="1030"/>
      <c r="BC246" s="1030"/>
      <c r="BD246" s="1030"/>
    </row>
    <row r="247" spans="1:56" x14ac:dyDescent="0.25">
      <c r="A247" s="2285">
        <v>146</v>
      </c>
      <c r="B247" s="2222" t="s">
        <v>1971</v>
      </c>
      <c r="C247" s="1985" t="s">
        <v>686</v>
      </c>
      <c r="D247" s="1985" t="s">
        <v>1972</v>
      </c>
      <c r="E247" s="1985" t="s">
        <v>1324</v>
      </c>
      <c r="F247" s="1985" t="s">
        <v>1973</v>
      </c>
      <c r="G247" s="2177">
        <v>11278</v>
      </c>
      <c r="H247" s="1991" t="s">
        <v>1974</v>
      </c>
      <c r="I247" s="2233" t="s">
        <v>1633</v>
      </c>
      <c r="J247" s="1985" t="s">
        <v>1975</v>
      </c>
      <c r="K247" s="1996">
        <v>41774</v>
      </c>
      <c r="L247" s="2002">
        <v>66378.94</v>
      </c>
      <c r="M247" s="1994">
        <v>11312</v>
      </c>
      <c r="N247" s="1996">
        <v>41806</v>
      </c>
      <c r="O247" s="1996">
        <v>41851</v>
      </c>
      <c r="P247" s="1985" t="s">
        <v>1976</v>
      </c>
      <c r="Q247" s="1985"/>
      <c r="R247" s="1985"/>
      <c r="S247" s="1985"/>
      <c r="T247" s="1985" t="s">
        <v>1577</v>
      </c>
      <c r="U247" s="1060"/>
      <c r="V247" s="1060"/>
      <c r="W247" s="1030"/>
      <c r="X247" s="1060"/>
      <c r="Y247" s="1060"/>
      <c r="Z247" s="1060"/>
      <c r="AA247" s="1376"/>
      <c r="AB247" s="1376"/>
      <c r="AC247" s="1376"/>
      <c r="AD247" s="1376"/>
      <c r="AE247" s="2282">
        <f>L247-AD247+AC247-AD248+AC248-AD249+AC249-AD250+AC250</f>
        <v>55111.42</v>
      </c>
      <c r="AF247" s="2279"/>
      <c r="AG247" s="2282">
        <v>55111.42</v>
      </c>
      <c r="AH247" s="2282">
        <f>AF247+AG247</f>
        <v>55111.42</v>
      </c>
      <c r="AI247" s="2279"/>
      <c r="AJ247" s="2279"/>
      <c r="AK247" s="2279"/>
      <c r="AL247" s="2279"/>
      <c r="AM247" s="2279"/>
      <c r="AN247" s="2279"/>
      <c r="AO247" s="2279"/>
      <c r="AP247" s="2279"/>
      <c r="AQ247" s="2279"/>
      <c r="AR247" s="2279"/>
      <c r="AS247" s="1985" t="s">
        <v>1977</v>
      </c>
      <c r="AT247" s="2163" t="s">
        <v>1457</v>
      </c>
      <c r="AU247" s="1054">
        <v>41806</v>
      </c>
      <c r="AV247" s="1059">
        <v>41836</v>
      </c>
      <c r="AW247" s="1030"/>
      <c r="AX247" s="1030"/>
      <c r="AY247" s="1996">
        <v>41806</v>
      </c>
      <c r="AZ247" s="1985" t="s">
        <v>1464</v>
      </c>
      <c r="BA247" s="1985" t="s">
        <v>1458</v>
      </c>
      <c r="BB247" s="1030"/>
      <c r="BC247" s="1030"/>
      <c r="BD247" s="1030"/>
    </row>
    <row r="248" spans="1:56" x14ac:dyDescent="0.25">
      <c r="A248" s="2291"/>
      <c r="B248" s="2223"/>
      <c r="C248" s="2021"/>
      <c r="D248" s="2021"/>
      <c r="E248" s="2021"/>
      <c r="F248" s="2021"/>
      <c r="G248" s="2180"/>
      <c r="H248" s="2176"/>
      <c r="I248" s="2252"/>
      <c r="J248" s="2021"/>
      <c r="K248" s="2033"/>
      <c r="L248" s="2187"/>
      <c r="M248" s="2197"/>
      <c r="N248" s="2033"/>
      <c r="O248" s="2033"/>
      <c r="P248" s="2021"/>
      <c r="Q248" s="2021"/>
      <c r="R248" s="2021"/>
      <c r="S248" s="2021"/>
      <c r="T248" s="2021"/>
      <c r="U248" s="1357" t="s">
        <v>867</v>
      </c>
      <c r="V248" s="1054">
        <v>41835</v>
      </c>
      <c r="W248" s="1053">
        <v>11359</v>
      </c>
      <c r="X248" s="1060" t="s">
        <v>1978</v>
      </c>
      <c r="Y248" s="1054">
        <v>41851</v>
      </c>
      <c r="Z248" s="1054">
        <v>41896</v>
      </c>
      <c r="AA248" s="1376"/>
      <c r="AB248" s="1376"/>
      <c r="AC248" s="1376"/>
      <c r="AD248" s="1376"/>
      <c r="AE248" s="2290"/>
      <c r="AF248" s="2280"/>
      <c r="AG248" s="2290"/>
      <c r="AH248" s="2290"/>
      <c r="AI248" s="2280"/>
      <c r="AJ248" s="2280"/>
      <c r="AK248" s="2280"/>
      <c r="AL248" s="2280"/>
      <c r="AM248" s="2280"/>
      <c r="AN248" s="2280"/>
      <c r="AO248" s="2280"/>
      <c r="AP248" s="2280"/>
      <c r="AQ248" s="2280"/>
      <c r="AR248" s="2280"/>
      <c r="AS248" s="2021"/>
      <c r="AT248" s="2175"/>
      <c r="AU248" s="1387">
        <v>41836</v>
      </c>
      <c r="AV248" s="1048">
        <v>41866</v>
      </c>
      <c r="AW248" s="1030"/>
      <c r="AX248" s="1030"/>
      <c r="AY248" s="2033"/>
      <c r="AZ248" s="2021"/>
      <c r="BA248" s="2021"/>
      <c r="BB248" s="1030"/>
      <c r="BC248" s="1030"/>
      <c r="BD248" s="1030"/>
    </row>
    <row r="249" spans="1:56" x14ac:dyDescent="0.25">
      <c r="A249" s="2291"/>
      <c r="B249" s="2223"/>
      <c r="C249" s="2021"/>
      <c r="D249" s="2021"/>
      <c r="E249" s="2021"/>
      <c r="F249" s="2021"/>
      <c r="G249" s="2180"/>
      <c r="H249" s="2176"/>
      <c r="I249" s="2252"/>
      <c r="J249" s="2021"/>
      <c r="K249" s="2033"/>
      <c r="L249" s="2187"/>
      <c r="M249" s="2197"/>
      <c r="N249" s="2033"/>
      <c r="O249" s="2033"/>
      <c r="P249" s="2021"/>
      <c r="Q249" s="2021"/>
      <c r="R249" s="2021"/>
      <c r="S249" s="2021"/>
      <c r="T249" s="2021"/>
      <c r="U249" s="1357" t="s">
        <v>871</v>
      </c>
      <c r="V249" s="1054">
        <v>41866</v>
      </c>
      <c r="W249" s="1053">
        <v>11381</v>
      </c>
      <c r="X249" s="1060" t="s">
        <v>1978</v>
      </c>
      <c r="Y249" s="1054">
        <v>41896</v>
      </c>
      <c r="Z249" s="1054">
        <v>41926</v>
      </c>
      <c r="AA249" s="1376"/>
      <c r="AB249" s="1376"/>
      <c r="AC249" s="1376"/>
      <c r="AD249" s="1376"/>
      <c r="AE249" s="2290"/>
      <c r="AF249" s="2280"/>
      <c r="AG249" s="2290"/>
      <c r="AH249" s="2290"/>
      <c r="AI249" s="2281"/>
      <c r="AJ249" s="2281"/>
      <c r="AK249" s="2281"/>
      <c r="AL249" s="2281"/>
      <c r="AM249" s="2281"/>
      <c r="AN249" s="2281"/>
      <c r="AO249" s="2281"/>
      <c r="AP249" s="2281"/>
      <c r="AQ249" s="2281"/>
      <c r="AR249" s="2281"/>
      <c r="AS249" s="2021"/>
      <c r="AT249" s="2175"/>
      <c r="AU249" s="1059">
        <v>41866</v>
      </c>
      <c r="AV249" s="1048">
        <v>41896</v>
      </c>
      <c r="AW249" s="1030"/>
      <c r="AX249" s="1030"/>
      <c r="AY249" s="2033"/>
      <c r="AZ249" s="2021"/>
      <c r="BA249" s="2021"/>
      <c r="BB249" s="1030"/>
      <c r="BC249" s="1030"/>
      <c r="BD249" s="1030"/>
    </row>
    <row r="250" spans="1:56" x14ac:dyDescent="0.25">
      <c r="A250" s="2286"/>
      <c r="B250" s="2224"/>
      <c r="C250" s="1986"/>
      <c r="D250" s="1986"/>
      <c r="E250" s="1986"/>
      <c r="F250" s="1986"/>
      <c r="G250" s="2178"/>
      <c r="H250" s="1992"/>
      <c r="I250" s="2234"/>
      <c r="J250" s="1986"/>
      <c r="K250" s="1997"/>
      <c r="L250" s="2003"/>
      <c r="M250" s="1995"/>
      <c r="N250" s="1997"/>
      <c r="O250" s="1997"/>
      <c r="P250" s="1986"/>
      <c r="Q250" s="1986"/>
      <c r="R250" s="1986"/>
      <c r="S250" s="1986"/>
      <c r="T250" s="1986"/>
      <c r="U250" s="1357" t="s">
        <v>874</v>
      </c>
      <c r="V250" s="1054">
        <v>41912</v>
      </c>
      <c r="W250" s="1053">
        <v>11411</v>
      </c>
      <c r="X250" s="95" t="s">
        <v>1979</v>
      </c>
      <c r="Y250" s="1054"/>
      <c r="Z250" s="1054"/>
      <c r="AA250" s="259"/>
      <c r="AB250" s="1382">
        <f>AD250/L247*100</f>
        <v>16.974540418994337</v>
      </c>
      <c r="AC250" s="259"/>
      <c r="AD250" s="1122">
        <v>11267.52</v>
      </c>
      <c r="AE250" s="2283"/>
      <c r="AF250" s="2281"/>
      <c r="AG250" s="2283"/>
      <c r="AH250" s="2283"/>
      <c r="AI250" s="259"/>
      <c r="AJ250" s="259"/>
      <c r="AK250" s="259"/>
      <c r="AL250" s="259"/>
      <c r="AM250" s="259"/>
      <c r="AN250" s="259"/>
      <c r="AO250" s="259"/>
      <c r="AP250" s="259"/>
      <c r="AQ250" s="259"/>
      <c r="AR250" s="259"/>
      <c r="AS250" s="1986"/>
      <c r="AT250" s="2164"/>
      <c r="AU250" s="1059"/>
      <c r="AV250" s="1048"/>
      <c r="AW250" s="1030"/>
      <c r="AX250" s="1030"/>
      <c r="AY250" s="1997"/>
      <c r="AZ250" s="1986"/>
      <c r="BA250" s="1986"/>
      <c r="BB250" s="1030"/>
      <c r="BC250" s="1030"/>
      <c r="BD250" s="1030"/>
    </row>
    <row r="251" spans="1:56" ht="78.75" customHeight="1" x14ac:dyDescent="0.25">
      <c r="A251" s="2285">
        <v>147</v>
      </c>
      <c r="B251" s="2194" t="s">
        <v>1980</v>
      </c>
      <c r="C251" s="1985" t="s">
        <v>704</v>
      </c>
      <c r="D251" s="1985" t="s">
        <v>1431</v>
      </c>
      <c r="E251" s="1985" t="s">
        <v>168</v>
      </c>
      <c r="F251" s="1985" t="s">
        <v>1981</v>
      </c>
      <c r="G251" s="2177">
        <v>11259</v>
      </c>
      <c r="H251" s="1991" t="s">
        <v>1982</v>
      </c>
      <c r="I251" s="1985" t="s">
        <v>1983</v>
      </c>
      <c r="J251" s="1985" t="s">
        <v>1984</v>
      </c>
      <c r="K251" s="1996">
        <v>41774</v>
      </c>
      <c r="L251" s="2002">
        <v>509488.62</v>
      </c>
      <c r="M251" s="1994">
        <v>11307</v>
      </c>
      <c r="N251" s="1996">
        <v>41794</v>
      </c>
      <c r="O251" s="1996">
        <v>41977</v>
      </c>
      <c r="P251" s="1985" t="s">
        <v>1985</v>
      </c>
      <c r="Q251" s="1985"/>
      <c r="R251" s="1985"/>
      <c r="S251" s="1985"/>
      <c r="T251" s="1985" t="s">
        <v>1577</v>
      </c>
      <c r="U251" s="1357"/>
      <c r="V251" s="1054"/>
      <c r="W251" s="1030"/>
      <c r="X251" s="1060"/>
      <c r="Y251" s="1054"/>
      <c r="Z251" s="1054"/>
      <c r="AA251" s="1030"/>
      <c r="AB251" s="1030"/>
      <c r="AC251" s="266"/>
      <c r="AD251" s="1030"/>
      <c r="AE251" s="2002">
        <f>509488.62-AD252+AC252-AD253+AC253</f>
        <v>548052.90999999992</v>
      </c>
      <c r="AF251" s="2282"/>
      <c r="AG251" s="2282">
        <v>333802.61</v>
      </c>
      <c r="AH251" s="2282">
        <f t="shared" ref="AH251:AH254" si="9">AF251+AG251</f>
        <v>333802.61</v>
      </c>
      <c r="AI251" s="339"/>
      <c r="AJ251" s="339"/>
      <c r="AK251" s="107"/>
      <c r="AL251" s="107"/>
      <c r="AM251" s="1092"/>
      <c r="AN251" s="107"/>
      <c r="AO251" s="107"/>
      <c r="AP251" s="107"/>
      <c r="AQ251" s="107"/>
      <c r="AR251" s="107"/>
      <c r="AS251" s="1985" t="s">
        <v>1323</v>
      </c>
      <c r="AT251" s="2163" t="s">
        <v>1457</v>
      </c>
      <c r="AU251" s="1054">
        <v>41794</v>
      </c>
      <c r="AV251" s="1054">
        <v>41947</v>
      </c>
      <c r="AW251" s="1030"/>
      <c r="AX251" s="1030"/>
      <c r="AY251" s="1996">
        <v>41794</v>
      </c>
      <c r="AZ251" s="1985" t="s">
        <v>1464</v>
      </c>
      <c r="BA251" s="1985" t="s">
        <v>1458</v>
      </c>
      <c r="BB251" s="1030"/>
      <c r="BC251" s="1030"/>
      <c r="BD251" s="1030"/>
    </row>
    <row r="252" spans="1:56" ht="38.25" x14ac:dyDescent="0.25">
      <c r="A252" s="2291"/>
      <c r="B252" s="2195"/>
      <c r="C252" s="2021"/>
      <c r="D252" s="2021"/>
      <c r="E252" s="2021"/>
      <c r="F252" s="2021"/>
      <c r="G252" s="2180"/>
      <c r="H252" s="2176"/>
      <c r="I252" s="2021"/>
      <c r="J252" s="2021"/>
      <c r="K252" s="2033"/>
      <c r="L252" s="2187"/>
      <c r="M252" s="2197"/>
      <c r="N252" s="2033"/>
      <c r="O252" s="2033"/>
      <c r="P252" s="2021"/>
      <c r="Q252" s="2021"/>
      <c r="R252" s="2021"/>
      <c r="S252" s="2021"/>
      <c r="T252" s="2021"/>
      <c r="U252" s="1357" t="s">
        <v>867</v>
      </c>
      <c r="V252" s="1054">
        <v>41946</v>
      </c>
      <c r="W252" s="1053">
        <v>11451</v>
      </c>
      <c r="X252" s="1060" t="s">
        <v>1986</v>
      </c>
      <c r="Y252" s="1054">
        <v>41977</v>
      </c>
      <c r="Z252" s="1054">
        <v>42128</v>
      </c>
      <c r="AA252" s="1030"/>
      <c r="AB252" s="1030"/>
      <c r="AC252" s="266"/>
      <c r="AD252" s="1030"/>
      <c r="AE252" s="2187"/>
      <c r="AF252" s="2290"/>
      <c r="AG252" s="2290"/>
      <c r="AH252" s="2290"/>
      <c r="AI252" s="339"/>
      <c r="AJ252" s="339"/>
      <c r="AK252" s="107"/>
      <c r="AL252" s="107"/>
      <c r="AM252" s="1092"/>
      <c r="AN252" s="107"/>
      <c r="AO252" s="107"/>
      <c r="AP252" s="107"/>
      <c r="AQ252" s="107"/>
      <c r="AR252" s="107"/>
      <c r="AS252" s="2021"/>
      <c r="AT252" s="2175"/>
      <c r="AU252" s="1054">
        <v>41947</v>
      </c>
      <c r="AV252" s="1054">
        <v>42098</v>
      </c>
      <c r="AW252" s="1030"/>
      <c r="AX252" s="1030"/>
      <c r="AY252" s="2033"/>
      <c r="AZ252" s="2021"/>
      <c r="BA252" s="2021"/>
      <c r="BB252" s="1030"/>
      <c r="BC252" s="1030"/>
      <c r="BD252" s="1030"/>
    </row>
    <row r="253" spans="1:56" ht="76.5" x14ac:dyDescent="0.25">
      <c r="A253" s="2286"/>
      <c r="B253" s="2196"/>
      <c r="C253" s="1986"/>
      <c r="D253" s="1986"/>
      <c r="E253" s="1986"/>
      <c r="F253" s="1986"/>
      <c r="G253" s="2178"/>
      <c r="H253" s="1992"/>
      <c r="I253" s="1986"/>
      <c r="J253" s="1986"/>
      <c r="K253" s="1997"/>
      <c r="L253" s="2003"/>
      <c r="M253" s="1995"/>
      <c r="N253" s="1997"/>
      <c r="O253" s="1997"/>
      <c r="P253" s="1986"/>
      <c r="Q253" s="1986"/>
      <c r="R253" s="1986"/>
      <c r="S253" s="1986"/>
      <c r="T253" s="1986"/>
      <c r="U253" s="1357" t="s">
        <v>871</v>
      </c>
      <c r="V253" s="1054">
        <v>41975</v>
      </c>
      <c r="W253" s="1053">
        <v>11451</v>
      </c>
      <c r="X253" s="1060" t="s">
        <v>1987</v>
      </c>
      <c r="Y253" s="1054"/>
      <c r="Z253" s="1054"/>
      <c r="AA253" s="1030"/>
      <c r="AB253" s="1030"/>
      <c r="AC253" s="266">
        <v>78787.070000000007</v>
      </c>
      <c r="AD253" s="278">
        <v>40222.78</v>
      </c>
      <c r="AE253" s="2003"/>
      <c r="AF253" s="2283"/>
      <c r="AG253" s="2283"/>
      <c r="AH253" s="2283"/>
      <c r="AI253" s="339"/>
      <c r="AJ253" s="339"/>
      <c r="AK253" s="107"/>
      <c r="AL253" s="107"/>
      <c r="AM253" s="1092"/>
      <c r="AN253" s="107"/>
      <c r="AO253" s="107"/>
      <c r="AP253" s="107"/>
      <c r="AQ253" s="107"/>
      <c r="AR253" s="107"/>
      <c r="AS253" s="1986"/>
      <c r="AT253" s="2164"/>
      <c r="AU253" s="1054"/>
      <c r="AV253" s="1054"/>
      <c r="AW253" s="1030"/>
      <c r="AX253" s="1030"/>
      <c r="AY253" s="1997"/>
      <c r="AZ253" s="1986"/>
      <c r="BA253" s="1986"/>
      <c r="BB253" s="1030"/>
      <c r="BC253" s="1030"/>
      <c r="BD253" s="1030"/>
    </row>
    <row r="254" spans="1:56" ht="15" customHeight="1" x14ac:dyDescent="0.25">
      <c r="A254" s="2285">
        <v>148</v>
      </c>
      <c r="B254" s="2194" t="s">
        <v>1988</v>
      </c>
      <c r="C254" s="1985" t="s">
        <v>686</v>
      </c>
      <c r="D254" s="1985" t="s">
        <v>1431</v>
      </c>
      <c r="E254" s="1985" t="s">
        <v>168</v>
      </c>
      <c r="F254" s="1985" t="s">
        <v>1989</v>
      </c>
      <c r="G254" s="2177">
        <v>11259</v>
      </c>
      <c r="H254" s="1991" t="s">
        <v>1990</v>
      </c>
      <c r="I254" s="1985" t="s">
        <v>1991</v>
      </c>
      <c r="J254" s="1985" t="s">
        <v>1992</v>
      </c>
      <c r="K254" s="1996">
        <v>41774</v>
      </c>
      <c r="L254" s="2002">
        <v>558112.24</v>
      </c>
      <c r="M254" s="1994">
        <v>11307</v>
      </c>
      <c r="N254" s="1996">
        <v>41782</v>
      </c>
      <c r="O254" s="1996">
        <v>41966</v>
      </c>
      <c r="P254" s="1985" t="s">
        <v>1993</v>
      </c>
      <c r="Q254" s="1985"/>
      <c r="R254" s="1985"/>
      <c r="S254" s="1985"/>
      <c r="T254" s="1985" t="s">
        <v>1577</v>
      </c>
      <c r="U254" s="1357"/>
      <c r="V254" s="1054"/>
      <c r="W254" s="1030"/>
      <c r="X254" s="1060"/>
      <c r="Y254" s="1054"/>
      <c r="Z254" s="1054"/>
      <c r="AA254" s="1030"/>
      <c r="AB254" s="1030"/>
      <c r="AC254" s="266"/>
      <c r="AD254" s="1030"/>
      <c r="AE254" s="2002">
        <f>558112.24-AD255+AC255</f>
        <v>558112.24</v>
      </c>
      <c r="AF254" s="2282"/>
      <c r="AG254" s="2282">
        <v>427449.39</v>
      </c>
      <c r="AH254" s="2282">
        <f t="shared" si="9"/>
        <v>427449.39</v>
      </c>
      <c r="AI254" s="339"/>
      <c r="AJ254" s="339"/>
      <c r="AK254" s="107"/>
      <c r="AL254" s="107"/>
      <c r="AM254" s="1092"/>
      <c r="AN254" s="107"/>
      <c r="AO254" s="107"/>
      <c r="AP254" s="107"/>
      <c r="AQ254" s="107"/>
      <c r="AR254" s="107"/>
      <c r="AS254" s="1985" t="s">
        <v>1323</v>
      </c>
      <c r="AT254" s="2163" t="s">
        <v>1457</v>
      </c>
      <c r="AU254" s="1054">
        <v>42147</v>
      </c>
      <c r="AV254" s="1054">
        <v>41935</v>
      </c>
      <c r="AW254" s="1030"/>
      <c r="AX254" s="1030"/>
      <c r="AY254" s="1996">
        <v>41782</v>
      </c>
      <c r="AZ254" s="1985" t="s">
        <v>1464</v>
      </c>
      <c r="BA254" s="1985" t="s">
        <v>1458</v>
      </c>
      <c r="BB254" s="1030"/>
      <c r="BC254" s="1030"/>
      <c r="BD254" s="1030"/>
    </row>
    <row r="255" spans="1:56" ht="38.25" x14ac:dyDescent="0.25">
      <c r="A255" s="2291"/>
      <c r="B255" s="2195"/>
      <c r="C255" s="2021"/>
      <c r="D255" s="2021"/>
      <c r="E255" s="2021"/>
      <c r="F255" s="2021"/>
      <c r="G255" s="2180"/>
      <c r="H255" s="2176"/>
      <c r="I255" s="2021"/>
      <c r="J255" s="2021"/>
      <c r="K255" s="2033"/>
      <c r="L255" s="2187"/>
      <c r="M255" s="2197"/>
      <c r="N255" s="2033"/>
      <c r="O255" s="2033"/>
      <c r="P255" s="2021"/>
      <c r="Q255" s="2021"/>
      <c r="R255" s="2021"/>
      <c r="S255" s="2021"/>
      <c r="T255" s="2021"/>
      <c r="U255" s="1357" t="s">
        <v>867</v>
      </c>
      <c r="V255" s="1054">
        <v>41932</v>
      </c>
      <c r="W255" s="1053">
        <v>11424</v>
      </c>
      <c r="X255" s="1060" t="s">
        <v>1994</v>
      </c>
      <c r="Y255" s="1054">
        <v>41966</v>
      </c>
      <c r="Z255" s="1054">
        <v>42027</v>
      </c>
      <c r="AA255" s="1030"/>
      <c r="AB255" s="1030"/>
      <c r="AC255" s="266"/>
      <c r="AD255" s="1030"/>
      <c r="AE255" s="2187"/>
      <c r="AF255" s="2290"/>
      <c r="AG255" s="2290"/>
      <c r="AH255" s="2290"/>
      <c r="AI255" s="339"/>
      <c r="AJ255" s="339"/>
      <c r="AK255" s="107"/>
      <c r="AL255" s="107"/>
      <c r="AM255" s="1092"/>
      <c r="AN255" s="107"/>
      <c r="AO255" s="107"/>
      <c r="AP255" s="107"/>
      <c r="AQ255" s="107"/>
      <c r="AR255" s="107"/>
      <c r="AS255" s="1986"/>
      <c r="AT255" s="2164"/>
      <c r="AU255" s="1054">
        <v>41935</v>
      </c>
      <c r="AV255" s="1054">
        <v>41996</v>
      </c>
      <c r="AW255" s="1030"/>
      <c r="AX255" s="1030"/>
      <c r="AY255" s="1997"/>
      <c r="AZ255" s="1986"/>
      <c r="BA255" s="1986"/>
      <c r="BB255" s="1030"/>
      <c r="BC255" s="1030"/>
      <c r="BD255" s="1030"/>
    </row>
    <row r="256" spans="1:56" x14ac:dyDescent="0.25">
      <c r="A256" s="2285">
        <v>149</v>
      </c>
      <c r="B256" s="2194" t="s">
        <v>1995</v>
      </c>
      <c r="C256" s="1985" t="s">
        <v>716</v>
      </c>
      <c r="D256" s="1985" t="s">
        <v>1431</v>
      </c>
      <c r="E256" s="1985" t="s">
        <v>168</v>
      </c>
      <c r="F256" s="1985" t="s">
        <v>1996</v>
      </c>
      <c r="G256" s="2177">
        <v>11259</v>
      </c>
      <c r="H256" s="1991" t="s">
        <v>1997</v>
      </c>
      <c r="I256" s="2233" t="s">
        <v>1991</v>
      </c>
      <c r="J256" s="1985" t="s">
        <v>1992</v>
      </c>
      <c r="K256" s="1996">
        <v>41774</v>
      </c>
      <c r="L256" s="2002">
        <v>507828.3</v>
      </c>
      <c r="M256" s="1994">
        <v>11307</v>
      </c>
      <c r="N256" s="1996">
        <v>41782</v>
      </c>
      <c r="O256" s="1996">
        <v>41966</v>
      </c>
      <c r="P256" s="1985" t="s">
        <v>1998</v>
      </c>
      <c r="Q256" s="1985"/>
      <c r="R256" s="1985"/>
      <c r="S256" s="1985"/>
      <c r="T256" s="1985" t="s">
        <v>1577</v>
      </c>
      <c r="U256" s="1357"/>
      <c r="V256" s="1054"/>
      <c r="W256" s="1030"/>
      <c r="X256" s="1060"/>
      <c r="Y256" s="1054"/>
      <c r="Z256" s="1054"/>
      <c r="AA256" s="1030"/>
      <c r="AB256" s="1030"/>
      <c r="AC256" s="266"/>
      <c r="AD256" s="1030"/>
      <c r="AE256" s="2287">
        <v>507828.3</v>
      </c>
      <c r="AF256" s="278"/>
      <c r="AG256" s="2282">
        <v>336001.12</v>
      </c>
      <c r="AH256" s="2282">
        <f>AF256+AG256</f>
        <v>336001.12</v>
      </c>
      <c r="AI256" s="339"/>
      <c r="AJ256" s="339"/>
      <c r="AK256" s="107"/>
      <c r="AL256" s="107"/>
      <c r="AM256" s="1092"/>
      <c r="AN256" s="107"/>
      <c r="AO256" s="107"/>
      <c r="AP256" s="107"/>
      <c r="AQ256" s="107"/>
      <c r="AR256" s="107"/>
      <c r="AS256" s="1985" t="s">
        <v>1323</v>
      </c>
      <c r="AT256" s="2163" t="s">
        <v>1457</v>
      </c>
      <c r="AU256" s="1054">
        <v>41782</v>
      </c>
      <c r="AV256" s="1054">
        <v>41935</v>
      </c>
      <c r="AW256" s="1030"/>
      <c r="AX256" s="1030"/>
      <c r="AY256" s="1996">
        <v>41782</v>
      </c>
      <c r="AZ256" s="1985" t="s">
        <v>1464</v>
      </c>
      <c r="BA256" s="1985" t="s">
        <v>1458</v>
      </c>
      <c r="BB256" s="1030"/>
      <c r="BC256" s="1030"/>
      <c r="BD256" s="1030"/>
    </row>
    <row r="257" spans="1:56" ht="38.25" x14ac:dyDescent="0.25">
      <c r="A257" s="2286"/>
      <c r="B257" s="2196"/>
      <c r="C257" s="1986"/>
      <c r="D257" s="1986"/>
      <c r="E257" s="1986"/>
      <c r="F257" s="1986"/>
      <c r="G257" s="2178"/>
      <c r="H257" s="1992"/>
      <c r="I257" s="2234"/>
      <c r="J257" s="1986"/>
      <c r="K257" s="1997"/>
      <c r="L257" s="2003"/>
      <c r="M257" s="1995"/>
      <c r="N257" s="1997"/>
      <c r="O257" s="1997"/>
      <c r="P257" s="1986"/>
      <c r="Q257" s="1986"/>
      <c r="R257" s="1986"/>
      <c r="S257" s="1986"/>
      <c r="T257" s="1986"/>
      <c r="U257" s="1357" t="s">
        <v>867</v>
      </c>
      <c r="V257" s="1054">
        <v>41927</v>
      </c>
      <c r="W257" s="1053">
        <v>11424</v>
      </c>
      <c r="X257" s="1060" t="s">
        <v>1923</v>
      </c>
      <c r="Y257" s="1054">
        <v>41966</v>
      </c>
      <c r="Z257" s="1054">
        <v>41782</v>
      </c>
      <c r="AA257" s="1030"/>
      <c r="AB257" s="1030"/>
      <c r="AC257" s="266"/>
      <c r="AD257" s="1030"/>
      <c r="AE257" s="2288"/>
      <c r="AF257" s="278"/>
      <c r="AG257" s="2283"/>
      <c r="AH257" s="2283"/>
      <c r="AI257" s="339"/>
      <c r="AJ257" s="339"/>
      <c r="AK257" s="107"/>
      <c r="AL257" s="107"/>
      <c r="AM257" s="1092"/>
      <c r="AN257" s="107"/>
      <c r="AO257" s="107"/>
      <c r="AP257" s="107"/>
      <c r="AQ257" s="107"/>
      <c r="AR257" s="107"/>
      <c r="AS257" s="1986"/>
      <c r="AT257" s="2164"/>
      <c r="AU257" s="1054">
        <v>41935</v>
      </c>
      <c r="AV257" s="1054">
        <v>42086</v>
      </c>
      <c r="AW257" s="1030"/>
      <c r="AX257" s="1030"/>
      <c r="AY257" s="1997"/>
      <c r="AZ257" s="1986"/>
      <c r="BA257" s="1986"/>
      <c r="BB257" s="1030"/>
      <c r="BC257" s="1030"/>
      <c r="BD257" s="1030"/>
    </row>
    <row r="258" spans="1:56" ht="78.75" customHeight="1" x14ac:dyDescent="0.25">
      <c r="A258" s="2285">
        <v>150</v>
      </c>
      <c r="B258" s="2194" t="s">
        <v>1999</v>
      </c>
      <c r="C258" s="1985" t="s">
        <v>741</v>
      </c>
      <c r="D258" s="1985" t="s">
        <v>1431</v>
      </c>
      <c r="E258" s="1985" t="s">
        <v>168</v>
      </c>
      <c r="F258" s="1985" t="s">
        <v>2000</v>
      </c>
      <c r="G258" s="2177">
        <v>11266</v>
      </c>
      <c r="H258" s="1991" t="s">
        <v>2001</v>
      </c>
      <c r="I258" s="1985" t="s">
        <v>1991</v>
      </c>
      <c r="J258" s="1985" t="s">
        <v>1992</v>
      </c>
      <c r="K258" s="1996">
        <v>41774</v>
      </c>
      <c r="L258" s="2002">
        <v>484635.86</v>
      </c>
      <c r="M258" s="1994">
        <v>11307</v>
      </c>
      <c r="N258" s="1996">
        <v>41788</v>
      </c>
      <c r="O258" s="1996">
        <v>41972</v>
      </c>
      <c r="P258" s="1985" t="s">
        <v>2002</v>
      </c>
      <c r="Q258" s="1985"/>
      <c r="R258" s="1985"/>
      <c r="S258" s="1985"/>
      <c r="T258" s="1985" t="s">
        <v>1577</v>
      </c>
      <c r="U258" s="1357"/>
      <c r="V258" s="1054"/>
      <c r="W258" s="1030"/>
      <c r="X258" s="1060"/>
      <c r="Y258" s="1054"/>
      <c r="Z258" s="1054"/>
      <c r="AA258" s="1030"/>
      <c r="AB258" s="1030"/>
      <c r="AC258" s="266"/>
      <c r="AD258" s="1030"/>
      <c r="AE258" s="2002">
        <v>484635.86</v>
      </c>
      <c r="AF258" s="2282"/>
      <c r="AG258" s="2282"/>
      <c r="AH258" s="2282">
        <f>AF258+AG258</f>
        <v>0</v>
      </c>
      <c r="AI258" s="339"/>
      <c r="AJ258" s="339"/>
      <c r="AK258" s="107"/>
      <c r="AL258" s="107"/>
      <c r="AM258" s="1092"/>
      <c r="AN258" s="107"/>
      <c r="AO258" s="107"/>
      <c r="AP258" s="107"/>
      <c r="AQ258" s="107"/>
      <c r="AR258" s="107"/>
      <c r="AS258" s="1985" t="s">
        <v>1323</v>
      </c>
      <c r="AT258" s="2163" t="s">
        <v>1457</v>
      </c>
      <c r="AU258" s="1054">
        <v>41788</v>
      </c>
      <c r="AV258" s="1054">
        <v>41972</v>
      </c>
      <c r="AW258" s="1030"/>
      <c r="AX258" s="1030"/>
      <c r="AY258" s="1054">
        <v>41788</v>
      </c>
      <c r="AZ258" s="1030"/>
      <c r="BA258" s="1030"/>
      <c r="BB258" s="1030"/>
      <c r="BC258" s="1030"/>
      <c r="BD258" s="1030"/>
    </row>
    <row r="259" spans="1:56" ht="89.25" x14ac:dyDescent="0.25">
      <c r="A259" s="2286"/>
      <c r="B259" s="2196"/>
      <c r="C259" s="1986"/>
      <c r="D259" s="1986"/>
      <c r="E259" s="1986"/>
      <c r="F259" s="1986"/>
      <c r="G259" s="2178"/>
      <c r="H259" s="1992"/>
      <c r="I259" s="1986"/>
      <c r="J259" s="1986"/>
      <c r="K259" s="1997"/>
      <c r="L259" s="2003"/>
      <c r="M259" s="1995"/>
      <c r="N259" s="1997"/>
      <c r="O259" s="1997"/>
      <c r="P259" s="1986"/>
      <c r="Q259" s="1986"/>
      <c r="R259" s="1986"/>
      <c r="S259" s="1986"/>
      <c r="T259" s="1986"/>
      <c r="U259" s="1357" t="s">
        <v>867</v>
      </c>
      <c r="V259" s="1054">
        <v>41962</v>
      </c>
      <c r="W259" s="1053">
        <v>11449</v>
      </c>
      <c r="X259" s="1060" t="s">
        <v>2003</v>
      </c>
      <c r="Y259" s="1054">
        <v>41972</v>
      </c>
      <c r="Z259" s="1054">
        <v>41787</v>
      </c>
      <c r="AA259" s="1030"/>
      <c r="AB259" s="1030"/>
      <c r="AC259" s="266"/>
      <c r="AD259" s="1030"/>
      <c r="AE259" s="2003"/>
      <c r="AF259" s="2283"/>
      <c r="AG259" s="2283"/>
      <c r="AH259" s="2283"/>
      <c r="AI259" s="1110"/>
      <c r="AJ259" s="1110"/>
      <c r="AK259" s="285"/>
      <c r="AL259" s="285"/>
      <c r="AM259" s="926"/>
      <c r="AN259" s="285"/>
      <c r="AO259" s="285"/>
      <c r="AP259" s="285"/>
      <c r="AQ259" s="285"/>
      <c r="AR259" s="285"/>
      <c r="AS259" s="1986"/>
      <c r="AT259" s="2164"/>
      <c r="AU259" s="1054"/>
      <c r="AV259" s="1054"/>
      <c r="AW259" s="1040"/>
      <c r="AX259" s="1040"/>
      <c r="AY259" s="1044"/>
      <c r="AZ259" s="1040"/>
      <c r="BA259" s="1040"/>
      <c r="BB259" s="1054">
        <v>41799</v>
      </c>
      <c r="BC259" s="1030"/>
      <c r="BD259" s="1030" t="s">
        <v>2004</v>
      </c>
    </row>
    <row r="260" spans="1:56" ht="15" customHeight="1" x14ac:dyDescent="0.25">
      <c r="A260" s="2285">
        <v>151</v>
      </c>
      <c r="B260" s="2194" t="s">
        <v>2005</v>
      </c>
      <c r="C260" s="1985" t="s">
        <v>704</v>
      </c>
      <c r="D260" s="1985" t="s">
        <v>1972</v>
      </c>
      <c r="E260" s="1985" t="s">
        <v>1457</v>
      </c>
      <c r="F260" s="1985" t="s">
        <v>2006</v>
      </c>
      <c r="G260" s="2177">
        <v>11281</v>
      </c>
      <c r="H260" s="1991" t="s">
        <v>2007</v>
      </c>
      <c r="I260" s="1985" t="s">
        <v>1926</v>
      </c>
      <c r="J260" s="1985" t="s">
        <v>1927</v>
      </c>
      <c r="K260" s="1996">
        <v>41779</v>
      </c>
      <c r="L260" s="2002">
        <v>71132.75</v>
      </c>
      <c r="M260" s="1994">
        <v>11312</v>
      </c>
      <c r="N260" s="1996">
        <v>41799</v>
      </c>
      <c r="O260" s="1996">
        <f>N260+45</f>
        <v>41844</v>
      </c>
      <c r="P260" s="1985" t="s">
        <v>2008</v>
      </c>
      <c r="Q260" s="1985"/>
      <c r="R260" s="1985"/>
      <c r="S260" s="1985"/>
      <c r="T260" s="1985" t="s">
        <v>1577</v>
      </c>
      <c r="U260" s="1388"/>
      <c r="V260" s="1048"/>
      <c r="W260" s="114"/>
      <c r="X260" s="1389"/>
      <c r="Y260" s="1048"/>
      <c r="Z260" s="1048"/>
      <c r="AA260" s="1389"/>
      <c r="AB260" s="1389"/>
      <c r="AC260" s="256"/>
      <c r="AD260" s="1389"/>
      <c r="AE260" s="2282">
        <f>L260-AD260+AC260-AD264+AC264</f>
        <v>99934.77</v>
      </c>
      <c r="AF260" s="2282"/>
      <c r="AG260" s="2282">
        <v>58121.31</v>
      </c>
      <c r="AH260" s="2282">
        <f>AF260+AG260</f>
        <v>58121.31</v>
      </c>
      <c r="AI260" s="2011"/>
      <c r="AJ260" s="2011"/>
      <c r="AK260" s="2279"/>
      <c r="AL260" s="2279"/>
      <c r="AM260" s="2279"/>
      <c r="AN260" s="2279"/>
      <c r="AO260" s="2279"/>
      <c r="AP260" s="2279"/>
      <c r="AQ260" s="2279"/>
      <c r="AR260" s="2279"/>
      <c r="AS260" s="1985" t="s">
        <v>1977</v>
      </c>
      <c r="AT260" s="2163" t="s">
        <v>1457</v>
      </c>
      <c r="AU260" s="1054">
        <v>41799</v>
      </c>
      <c r="AV260" s="1054">
        <v>41829</v>
      </c>
      <c r="AW260" s="1985"/>
      <c r="AX260" s="1985"/>
      <c r="AY260" s="1996">
        <v>41799</v>
      </c>
      <c r="AZ260" s="1985" t="s">
        <v>1458</v>
      </c>
      <c r="BA260" s="1985"/>
      <c r="BB260" s="1030"/>
      <c r="BC260" s="1030"/>
      <c r="BD260" s="1030"/>
    </row>
    <row r="261" spans="1:56" x14ac:dyDescent="0.25">
      <c r="A261" s="2291"/>
      <c r="B261" s="2195"/>
      <c r="C261" s="2021"/>
      <c r="D261" s="2021"/>
      <c r="E261" s="2021"/>
      <c r="F261" s="2021"/>
      <c r="G261" s="2180"/>
      <c r="H261" s="2176"/>
      <c r="I261" s="2021"/>
      <c r="J261" s="2021"/>
      <c r="K261" s="2033"/>
      <c r="L261" s="2187"/>
      <c r="M261" s="2197"/>
      <c r="N261" s="2033"/>
      <c r="O261" s="2033"/>
      <c r="P261" s="2021"/>
      <c r="Q261" s="2021"/>
      <c r="R261" s="2021"/>
      <c r="S261" s="2021"/>
      <c r="T261" s="2021"/>
      <c r="U261" s="1357" t="s">
        <v>867</v>
      </c>
      <c r="V261" s="1054">
        <v>41829</v>
      </c>
      <c r="W261" s="1053">
        <v>11363</v>
      </c>
      <c r="X261" s="1060" t="s">
        <v>2009</v>
      </c>
      <c r="Y261" s="1054">
        <v>41844</v>
      </c>
      <c r="Z261" s="1054">
        <v>41889</v>
      </c>
      <c r="AA261" s="1060"/>
      <c r="AB261" s="1060"/>
      <c r="AC261" s="266"/>
      <c r="AD261" s="1060"/>
      <c r="AE261" s="2290"/>
      <c r="AF261" s="2290"/>
      <c r="AG261" s="2290"/>
      <c r="AH261" s="2290"/>
      <c r="AI261" s="2292"/>
      <c r="AJ261" s="2292"/>
      <c r="AK261" s="2280"/>
      <c r="AL261" s="2280"/>
      <c r="AM261" s="2280"/>
      <c r="AN261" s="2280"/>
      <c r="AO261" s="2280"/>
      <c r="AP261" s="2280"/>
      <c r="AQ261" s="2280"/>
      <c r="AR261" s="2280"/>
      <c r="AS261" s="2021"/>
      <c r="AT261" s="2175"/>
      <c r="AU261" s="1054">
        <v>41829</v>
      </c>
      <c r="AV261" s="1054">
        <v>41859</v>
      </c>
      <c r="AW261" s="2021"/>
      <c r="AX261" s="2021"/>
      <c r="AY261" s="2033"/>
      <c r="AZ261" s="2021"/>
      <c r="BA261" s="2021"/>
      <c r="BB261" s="1030"/>
      <c r="BC261" s="1030"/>
      <c r="BD261" s="1030"/>
    </row>
    <row r="262" spans="1:56" x14ac:dyDescent="0.25">
      <c r="A262" s="2291"/>
      <c r="B262" s="2195"/>
      <c r="C262" s="2021"/>
      <c r="D262" s="2021"/>
      <c r="E262" s="2021"/>
      <c r="F262" s="2021"/>
      <c r="G262" s="2180"/>
      <c r="H262" s="2176"/>
      <c r="I262" s="2021"/>
      <c r="J262" s="2021"/>
      <c r="K262" s="2033"/>
      <c r="L262" s="2187"/>
      <c r="M262" s="2197"/>
      <c r="N262" s="2033"/>
      <c r="O262" s="2033"/>
      <c r="P262" s="2021"/>
      <c r="Q262" s="2021"/>
      <c r="R262" s="2021"/>
      <c r="S262" s="2021"/>
      <c r="T262" s="2021"/>
      <c r="U262" s="1357" t="s">
        <v>871</v>
      </c>
      <c r="V262" s="1054">
        <v>41859</v>
      </c>
      <c r="W262" s="1053">
        <v>11376</v>
      </c>
      <c r="X262" s="1060" t="s">
        <v>2009</v>
      </c>
      <c r="Y262" s="1054">
        <v>41889</v>
      </c>
      <c r="Z262" s="1054">
        <v>41934</v>
      </c>
      <c r="AA262" s="1060"/>
      <c r="AB262" s="1060"/>
      <c r="AC262" s="266"/>
      <c r="AD262" s="1060"/>
      <c r="AE262" s="2290"/>
      <c r="AF262" s="2290"/>
      <c r="AG262" s="2290"/>
      <c r="AH262" s="2290"/>
      <c r="AI262" s="2012"/>
      <c r="AJ262" s="2012"/>
      <c r="AK262" s="2281"/>
      <c r="AL262" s="2281"/>
      <c r="AM262" s="2281"/>
      <c r="AN262" s="2281"/>
      <c r="AO262" s="2281"/>
      <c r="AP262" s="2281"/>
      <c r="AQ262" s="2281"/>
      <c r="AR262" s="2281"/>
      <c r="AS262" s="2021"/>
      <c r="AT262" s="2175"/>
      <c r="AU262" s="1054">
        <v>41859</v>
      </c>
      <c r="AV262" s="1054">
        <v>41889</v>
      </c>
      <c r="AW262" s="1986"/>
      <c r="AX262" s="1986"/>
      <c r="AY262" s="1997"/>
      <c r="AZ262" s="2021"/>
      <c r="BA262" s="2021"/>
      <c r="BB262" s="1030"/>
      <c r="BC262" s="1030"/>
      <c r="BD262" s="1030"/>
    </row>
    <row r="263" spans="1:56" ht="38.25" x14ac:dyDescent="0.25">
      <c r="A263" s="2291"/>
      <c r="B263" s="2195"/>
      <c r="C263" s="2021"/>
      <c r="D263" s="2021"/>
      <c r="E263" s="2021"/>
      <c r="F263" s="2021"/>
      <c r="G263" s="2180"/>
      <c r="H263" s="2176"/>
      <c r="I263" s="2021"/>
      <c r="J263" s="2021"/>
      <c r="K263" s="2033"/>
      <c r="L263" s="2187"/>
      <c r="M263" s="2197"/>
      <c r="N263" s="2033"/>
      <c r="O263" s="2033"/>
      <c r="P263" s="2021"/>
      <c r="Q263" s="2021"/>
      <c r="R263" s="2021"/>
      <c r="S263" s="2021"/>
      <c r="T263" s="2021"/>
      <c r="U263" s="1357" t="s">
        <v>874</v>
      </c>
      <c r="V263" s="1054">
        <v>41934</v>
      </c>
      <c r="W263" s="1053">
        <v>11444</v>
      </c>
      <c r="X263" s="1060" t="s">
        <v>2010</v>
      </c>
      <c r="Y263" s="1054">
        <v>41934</v>
      </c>
      <c r="Z263" s="1054">
        <v>41979</v>
      </c>
      <c r="AA263" s="1060"/>
      <c r="AB263" s="1060"/>
      <c r="AC263" s="266"/>
      <c r="AD263" s="1060"/>
      <c r="AE263" s="2290"/>
      <c r="AF263" s="2290"/>
      <c r="AG263" s="2290"/>
      <c r="AH263" s="2290"/>
      <c r="AI263" s="1168"/>
      <c r="AJ263" s="1168"/>
      <c r="AK263" s="1377"/>
      <c r="AL263" s="1377"/>
      <c r="AM263" s="1377"/>
      <c r="AN263" s="1377"/>
      <c r="AO263" s="1377"/>
      <c r="AP263" s="1377"/>
      <c r="AQ263" s="1377"/>
      <c r="AR263" s="1377"/>
      <c r="AS263" s="2021"/>
      <c r="AT263" s="2175"/>
      <c r="AU263" s="1054"/>
      <c r="AV263" s="1054"/>
      <c r="AW263" s="1038"/>
      <c r="AX263" s="1038"/>
      <c r="AY263" s="1047"/>
      <c r="AZ263" s="2021"/>
      <c r="BA263" s="2021"/>
      <c r="BB263" s="1030"/>
      <c r="BC263" s="1030"/>
      <c r="BD263" s="1030"/>
    </row>
    <row r="264" spans="1:56" ht="76.5" x14ac:dyDescent="0.25">
      <c r="A264" s="2291"/>
      <c r="B264" s="2195"/>
      <c r="C264" s="2021"/>
      <c r="D264" s="2021"/>
      <c r="E264" s="2021"/>
      <c r="F264" s="2021"/>
      <c r="G264" s="2180"/>
      <c r="H264" s="2176"/>
      <c r="I264" s="2021"/>
      <c r="J264" s="2021"/>
      <c r="K264" s="2033"/>
      <c r="L264" s="2187"/>
      <c r="M264" s="2197"/>
      <c r="N264" s="2033"/>
      <c r="O264" s="2033"/>
      <c r="P264" s="2021"/>
      <c r="Q264" s="2021"/>
      <c r="R264" s="2021"/>
      <c r="S264" s="2021"/>
      <c r="T264" s="2021"/>
      <c r="U264" s="1357" t="s">
        <v>876</v>
      </c>
      <c r="V264" s="1054">
        <v>41975</v>
      </c>
      <c r="W264" s="1053">
        <v>11456</v>
      </c>
      <c r="X264" s="1060" t="s">
        <v>2011</v>
      </c>
      <c r="Y264" s="1054"/>
      <c r="Z264" s="1054"/>
      <c r="AA264" s="1060"/>
      <c r="AB264" s="1060"/>
      <c r="AC264" s="266">
        <v>35489.25</v>
      </c>
      <c r="AD264" s="266">
        <v>6687.23</v>
      </c>
      <c r="AE264" s="2290"/>
      <c r="AF264" s="2290"/>
      <c r="AG264" s="2290"/>
      <c r="AH264" s="2290"/>
      <c r="AI264" s="1168"/>
      <c r="AJ264" s="1168"/>
      <c r="AK264" s="1377"/>
      <c r="AL264" s="1377"/>
      <c r="AM264" s="1377"/>
      <c r="AN264" s="1377"/>
      <c r="AO264" s="1377"/>
      <c r="AP264" s="1377"/>
      <c r="AQ264" s="1377"/>
      <c r="AR264" s="1377"/>
      <c r="AS264" s="2021"/>
      <c r="AT264" s="2175"/>
      <c r="AU264" s="1054"/>
      <c r="AV264" s="1054"/>
      <c r="AW264" s="1038"/>
      <c r="AX264" s="1038"/>
      <c r="AY264" s="1047"/>
      <c r="AZ264" s="2021"/>
      <c r="BA264" s="2021"/>
      <c r="BB264" s="1030"/>
      <c r="BC264" s="1030"/>
      <c r="BD264" s="1030"/>
    </row>
    <row r="265" spans="1:56" ht="38.25" x14ac:dyDescent="0.25">
      <c r="A265" s="2286"/>
      <c r="B265" s="2196"/>
      <c r="C265" s="1986"/>
      <c r="D265" s="1986"/>
      <c r="E265" s="1986"/>
      <c r="F265" s="1986"/>
      <c r="G265" s="2178"/>
      <c r="H265" s="1992"/>
      <c r="I265" s="1986"/>
      <c r="J265" s="1986"/>
      <c r="K265" s="1997"/>
      <c r="L265" s="2003"/>
      <c r="M265" s="1995"/>
      <c r="N265" s="1997"/>
      <c r="O265" s="1997"/>
      <c r="P265" s="1986"/>
      <c r="Q265" s="1986"/>
      <c r="R265" s="1986"/>
      <c r="S265" s="1986"/>
      <c r="T265" s="1986"/>
      <c r="U265" s="1357" t="s">
        <v>879</v>
      </c>
      <c r="V265" s="1054">
        <v>41978</v>
      </c>
      <c r="W265" s="1053">
        <v>11456</v>
      </c>
      <c r="X265" s="1060" t="s">
        <v>2012</v>
      </c>
      <c r="Y265" s="1054">
        <v>41979</v>
      </c>
      <c r="Z265" s="1054">
        <v>42024</v>
      </c>
      <c r="AA265" s="1060"/>
      <c r="AB265" s="1060"/>
      <c r="AC265" s="266"/>
      <c r="AD265" s="1060"/>
      <c r="AE265" s="2283"/>
      <c r="AF265" s="2283"/>
      <c r="AG265" s="2283"/>
      <c r="AH265" s="2283"/>
      <c r="AI265" s="1168"/>
      <c r="AJ265" s="1168"/>
      <c r="AK265" s="1377"/>
      <c r="AL265" s="1377"/>
      <c r="AM265" s="1377"/>
      <c r="AN265" s="1377"/>
      <c r="AO265" s="1377"/>
      <c r="AP265" s="1377"/>
      <c r="AQ265" s="1377"/>
      <c r="AR265" s="1377"/>
      <c r="AS265" s="1986"/>
      <c r="AT265" s="2164"/>
      <c r="AU265" s="1054"/>
      <c r="AV265" s="1054"/>
      <c r="AW265" s="1038"/>
      <c r="AX265" s="1038"/>
      <c r="AY265" s="1047"/>
      <c r="AZ265" s="1986"/>
      <c r="BA265" s="1986"/>
      <c r="BB265" s="1030"/>
      <c r="BC265" s="1030"/>
      <c r="BD265" s="1030"/>
    </row>
    <row r="266" spans="1:56" ht="15" customHeight="1" x14ac:dyDescent="0.25">
      <c r="A266" s="2285">
        <v>152</v>
      </c>
      <c r="B266" s="2194" t="s">
        <v>2013</v>
      </c>
      <c r="C266" s="1985" t="s">
        <v>716</v>
      </c>
      <c r="D266" s="1985" t="s">
        <v>1972</v>
      </c>
      <c r="E266" s="1985" t="s">
        <v>1457</v>
      </c>
      <c r="F266" s="1985" t="s">
        <v>2014</v>
      </c>
      <c r="G266" s="2177">
        <v>11281</v>
      </c>
      <c r="H266" s="1991" t="s">
        <v>2015</v>
      </c>
      <c r="I266" s="1985" t="s">
        <v>2016</v>
      </c>
      <c r="J266" s="1985" t="s">
        <v>2017</v>
      </c>
      <c r="K266" s="1996">
        <v>41779</v>
      </c>
      <c r="L266" s="2002">
        <v>59229.31</v>
      </c>
      <c r="M266" s="1994">
        <v>11314</v>
      </c>
      <c r="N266" s="1996">
        <v>41800</v>
      </c>
      <c r="O266" s="1996">
        <v>41845</v>
      </c>
      <c r="P266" s="1985" t="s">
        <v>2018</v>
      </c>
      <c r="Q266" s="1996"/>
      <c r="R266" s="1985"/>
      <c r="S266" s="1985"/>
      <c r="T266" s="1985" t="s">
        <v>1577</v>
      </c>
      <c r="U266" s="1357"/>
      <c r="V266" s="1054"/>
      <c r="W266" s="1030"/>
      <c r="X266" s="1060"/>
      <c r="Y266" s="1054"/>
      <c r="Z266" s="1054"/>
      <c r="AA266" s="1060"/>
      <c r="AB266" s="1060"/>
      <c r="AC266" s="1376"/>
      <c r="AD266" s="1376"/>
      <c r="AE266" s="2282">
        <f>L266-AD266+AC266-AD270+AC270</f>
        <v>76640.989999999991</v>
      </c>
      <c r="AF266" s="2279"/>
      <c r="AG266" s="2282">
        <v>76640.990000000005</v>
      </c>
      <c r="AH266" s="2282">
        <f>AF266+AG266</f>
        <v>76640.990000000005</v>
      </c>
      <c r="AI266" s="2279"/>
      <c r="AJ266" s="2279"/>
      <c r="AK266" s="2279"/>
      <c r="AL266" s="2279"/>
      <c r="AM266" s="2279"/>
      <c r="AN266" s="2279"/>
      <c r="AO266" s="2279"/>
      <c r="AP266" s="2279"/>
      <c r="AQ266" s="2279"/>
      <c r="AR266" s="2279"/>
      <c r="AS266" s="1985" t="s">
        <v>1977</v>
      </c>
      <c r="AT266" s="2163" t="s">
        <v>1457</v>
      </c>
      <c r="AU266" s="1054">
        <v>41800</v>
      </c>
      <c r="AV266" s="1054">
        <f>AU266+30</f>
        <v>41830</v>
      </c>
      <c r="AW266" s="1985"/>
      <c r="AX266" s="1985"/>
      <c r="AY266" s="1996">
        <v>41800</v>
      </c>
      <c r="AZ266" s="1985" t="s">
        <v>1458</v>
      </c>
      <c r="BA266" s="1985"/>
      <c r="BB266" s="1030"/>
      <c r="BC266" s="1030"/>
      <c r="BD266" s="1030"/>
    </row>
    <row r="267" spans="1:56" x14ac:dyDescent="0.25">
      <c r="A267" s="2291"/>
      <c r="B267" s="2195"/>
      <c r="C267" s="2021"/>
      <c r="D267" s="2021"/>
      <c r="E267" s="2021"/>
      <c r="F267" s="2021"/>
      <c r="G267" s="2180"/>
      <c r="H267" s="2176"/>
      <c r="I267" s="2021"/>
      <c r="J267" s="2021"/>
      <c r="K267" s="2033"/>
      <c r="L267" s="2187"/>
      <c r="M267" s="2197"/>
      <c r="N267" s="2033"/>
      <c r="O267" s="2033"/>
      <c r="P267" s="2021"/>
      <c r="Q267" s="2033"/>
      <c r="R267" s="2021"/>
      <c r="S267" s="2021"/>
      <c r="T267" s="2021"/>
      <c r="U267" s="1357" t="s">
        <v>867</v>
      </c>
      <c r="V267" s="1054">
        <v>41845</v>
      </c>
      <c r="W267" s="1053">
        <v>11354</v>
      </c>
      <c r="X267" s="1060" t="s">
        <v>2009</v>
      </c>
      <c r="Y267" s="1054">
        <v>41845</v>
      </c>
      <c r="Z267" s="1054">
        <v>41890</v>
      </c>
      <c r="AA267" s="1060"/>
      <c r="AB267" s="1060"/>
      <c r="AC267" s="1376"/>
      <c r="AD267" s="1376"/>
      <c r="AE267" s="2290"/>
      <c r="AF267" s="2280"/>
      <c r="AG267" s="2290"/>
      <c r="AH267" s="2290"/>
      <c r="AI267" s="2280"/>
      <c r="AJ267" s="2280"/>
      <c r="AK267" s="2280"/>
      <c r="AL267" s="2280"/>
      <c r="AM267" s="2280"/>
      <c r="AN267" s="2280"/>
      <c r="AO267" s="2280"/>
      <c r="AP267" s="2280"/>
      <c r="AQ267" s="2280"/>
      <c r="AR267" s="2280"/>
      <c r="AS267" s="2021"/>
      <c r="AT267" s="2175"/>
      <c r="AU267" s="1054">
        <v>41830</v>
      </c>
      <c r="AV267" s="1054">
        <v>41860</v>
      </c>
      <c r="AW267" s="2021"/>
      <c r="AX267" s="2021"/>
      <c r="AY267" s="2033"/>
      <c r="AZ267" s="2021"/>
      <c r="BA267" s="2021"/>
      <c r="BB267" s="1030"/>
      <c r="BC267" s="1030"/>
      <c r="BD267" s="1030"/>
    </row>
    <row r="268" spans="1:56" x14ac:dyDescent="0.25">
      <c r="A268" s="2291"/>
      <c r="B268" s="2195"/>
      <c r="C268" s="2021"/>
      <c r="D268" s="2021"/>
      <c r="E268" s="2021"/>
      <c r="F268" s="2021"/>
      <c r="G268" s="2180"/>
      <c r="H268" s="2176"/>
      <c r="I268" s="2021"/>
      <c r="J268" s="2021"/>
      <c r="K268" s="2033"/>
      <c r="L268" s="2187"/>
      <c r="M268" s="2197"/>
      <c r="N268" s="2033"/>
      <c r="O268" s="2033"/>
      <c r="P268" s="2021"/>
      <c r="Q268" s="2033"/>
      <c r="R268" s="2021"/>
      <c r="S268" s="2021"/>
      <c r="T268" s="2021"/>
      <c r="U268" s="1357" t="s">
        <v>871</v>
      </c>
      <c r="V268" s="1054">
        <v>41890</v>
      </c>
      <c r="W268" s="1053">
        <v>11385</v>
      </c>
      <c r="X268" s="1060" t="s">
        <v>2009</v>
      </c>
      <c r="Y268" s="1054">
        <v>41890</v>
      </c>
      <c r="Z268" s="1054">
        <v>41920</v>
      </c>
      <c r="AA268" s="1060"/>
      <c r="AB268" s="1060"/>
      <c r="AC268" s="1376"/>
      <c r="AD268" s="1376"/>
      <c r="AE268" s="2290"/>
      <c r="AF268" s="2280"/>
      <c r="AG268" s="2290"/>
      <c r="AH268" s="2290"/>
      <c r="AI268" s="2280"/>
      <c r="AJ268" s="2280"/>
      <c r="AK268" s="2280"/>
      <c r="AL268" s="2280"/>
      <c r="AM268" s="2280"/>
      <c r="AN268" s="2280"/>
      <c r="AO268" s="2280"/>
      <c r="AP268" s="2280"/>
      <c r="AQ268" s="2280"/>
      <c r="AR268" s="2280"/>
      <c r="AS268" s="2021"/>
      <c r="AT268" s="2175"/>
      <c r="AU268" s="1054">
        <v>41860</v>
      </c>
      <c r="AV268" s="1054">
        <v>41890</v>
      </c>
      <c r="AW268" s="1986"/>
      <c r="AX268" s="1986"/>
      <c r="AY268" s="2033"/>
      <c r="AZ268" s="2021"/>
      <c r="BA268" s="2021"/>
      <c r="BB268" s="1030"/>
      <c r="BC268" s="1030"/>
      <c r="BD268" s="1030"/>
    </row>
    <row r="269" spans="1:56" x14ac:dyDescent="0.25">
      <c r="A269" s="2291"/>
      <c r="B269" s="2195"/>
      <c r="C269" s="2021"/>
      <c r="D269" s="2021"/>
      <c r="E269" s="2021"/>
      <c r="F269" s="2021"/>
      <c r="G269" s="2180"/>
      <c r="H269" s="2176"/>
      <c r="I269" s="2021"/>
      <c r="J269" s="2021"/>
      <c r="K269" s="2033"/>
      <c r="L269" s="2187"/>
      <c r="M269" s="2197"/>
      <c r="N269" s="2033"/>
      <c r="O269" s="2033"/>
      <c r="P269" s="2021"/>
      <c r="Q269" s="2033"/>
      <c r="R269" s="2021"/>
      <c r="S269" s="2021"/>
      <c r="T269" s="2021"/>
      <c r="U269" s="1357" t="s">
        <v>874</v>
      </c>
      <c r="V269" s="1054">
        <v>41890</v>
      </c>
      <c r="W269" s="1053">
        <v>11410</v>
      </c>
      <c r="X269" s="1060" t="s">
        <v>2009</v>
      </c>
      <c r="Y269" s="1054">
        <v>41920</v>
      </c>
      <c r="Z269" s="1054">
        <v>41950</v>
      </c>
      <c r="AA269" s="1060"/>
      <c r="AB269" s="1060"/>
      <c r="AC269" s="1376"/>
      <c r="AD269" s="1376"/>
      <c r="AE269" s="2290"/>
      <c r="AF269" s="2280"/>
      <c r="AG269" s="2290"/>
      <c r="AH269" s="2290"/>
      <c r="AI269" s="2281"/>
      <c r="AJ269" s="2281"/>
      <c r="AK269" s="2281"/>
      <c r="AL269" s="2281"/>
      <c r="AM269" s="2281"/>
      <c r="AN269" s="2281"/>
      <c r="AO269" s="2281"/>
      <c r="AP269" s="2281"/>
      <c r="AQ269" s="2281"/>
      <c r="AR269" s="2281"/>
      <c r="AS269" s="2021"/>
      <c r="AT269" s="2175"/>
      <c r="AU269" s="1054">
        <v>41890</v>
      </c>
      <c r="AV269" s="1054">
        <v>41920</v>
      </c>
      <c r="AW269" s="1039"/>
      <c r="AX269" s="1039"/>
      <c r="AY269" s="1997"/>
      <c r="AZ269" s="2021"/>
      <c r="BA269" s="2021"/>
      <c r="BB269" s="1030"/>
      <c r="BC269" s="1030"/>
      <c r="BD269" s="1030"/>
    </row>
    <row r="270" spans="1:56" ht="38.25" x14ac:dyDescent="0.25">
      <c r="A270" s="2291"/>
      <c r="B270" s="2195"/>
      <c r="C270" s="2021"/>
      <c r="D270" s="2021"/>
      <c r="E270" s="2021"/>
      <c r="F270" s="2021"/>
      <c r="G270" s="2180"/>
      <c r="H270" s="2176"/>
      <c r="I270" s="2021"/>
      <c r="J270" s="2021"/>
      <c r="K270" s="2033"/>
      <c r="L270" s="2187"/>
      <c r="M270" s="2197"/>
      <c r="N270" s="2033"/>
      <c r="O270" s="2033"/>
      <c r="P270" s="2021"/>
      <c r="Q270" s="2033"/>
      <c r="R270" s="2021"/>
      <c r="S270" s="2021"/>
      <c r="T270" s="2021"/>
      <c r="U270" s="1357" t="s">
        <v>876</v>
      </c>
      <c r="V270" s="1054">
        <v>41925</v>
      </c>
      <c r="W270" s="1053">
        <v>11417</v>
      </c>
      <c r="X270" s="1060" t="s">
        <v>2019</v>
      </c>
      <c r="Y270" s="1054"/>
      <c r="Z270" s="1054"/>
      <c r="AA270" s="1358">
        <f>AC270/L266*100</f>
        <v>29.397067093977629</v>
      </c>
      <c r="AB270" s="1060"/>
      <c r="AC270" s="266">
        <v>17411.68</v>
      </c>
      <c r="AD270" s="1376"/>
      <c r="AE270" s="2290"/>
      <c r="AF270" s="2280"/>
      <c r="AG270" s="2290"/>
      <c r="AH270" s="2290"/>
      <c r="AI270" s="259"/>
      <c r="AJ270" s="259"/>
      <c r="AK270" s="259"/>
      <c r="AL270" s="259"/>
      <c r="AM270" s="259"/>
      <c r="AN270" s="259"/>
      <c r="AO270" s="259"/>
      <c r="AP270" s="259"/>
      <c r="AQ270" s="259"/>
      <c r="AR270" s="259"/>
      <c r="AS270" s="2021"/>
      <c r="AT270" s="2175"/>
      <c r="AU270" s="1054"/>
      <c r="AV270" s="1054"/>
      <c r="AW270" s="1039"/>
      <c r="AX270" s="1039"/>
      <c r="AY270" s="1048"/>
      <c r="AZ270" s="2021"/>
      <c r="BA270" s="2021"/>
      <c r="BB270" s="1030"/>
      <c r="BC270" s="1030"/>
      <c r="BD270" s="1030"/>
    </row>
    <row r="271" spans="1:56" ht="51" x14ac:dyDescent="0.25">
      <c r="A271" s="2286"/>
      <c r="B271" s="2196"/>
      <c r="C271" s="1986"/>
      <c r="D271" s="1986"/>
      <c r="E271" s="1986"/>
      <c r="F271" s="1986"/>
      <c r="G271" s="2178"/>
      <c r="H271" s="1992"/>
      <c r="I271" s="1986"/>
      <c r="J271" s="1986"/>
      <c r="K271" s="1997"/>
      <c r="L271" s="2003"/>
      <c r="M271" s="1995"/>
      <c r="N271" s="1997"/>
      <c r="O271" s="1997"/>
      <c r="P271" s="1986"/>
      <c r="Q271" s="1997"/>
      <c r="R271" s="1986"/>
      <c r="S271" s="1986"/>
      <c r="T271" s="1986"/>
      <c r="U271" s="1357" t="s">
        <v>879</v>
      </c>
      <c r="V271" s="1054">
        <v>41949</v>
      </c>
      <c r="W271" s="1053">
        <v>11440</v>
      </c>
      <c r="X271" s="1060" t="s">
        <v>2020</v>
      </c>
      <c r="Y271" s="1054">
        <v>41950</v>
      </c>
      <c r="Z271" s="1054">
        <v>41980</v>
      </c>
      <c r="AA271" s="1060"/>
      <c r="AB271" s="1060"/>
      <c r="AC271" s="266"/>
      <c r="AD271" s="1376"/>
      <c r="AE271" s="2283"/>
      <c r="AF271" s="2281"/>
      <c r="AG271" s="2283"/>
      <c r="AH271" s="2283"/>
      <c r="AI271" s="259"/>
      <c r="AJ271" s="259"/>
      <c r="AK271" s="259"/>
      <c r="AL271" s="259"/>
      <c r="AM271" s="259"/>
      <c r="AN271" s="259"/>
      <c r="AO271" s="259"/>
      <c r="AP271" s="259"/>
      <c r="AQ271" s="259"/>
      <c r="AR271" s="259"/>
      <c r="AS271" s="1986"/>
      <c r="AT271" s="2164"/>
      <c r="AU271" s="1054"/>
      <c r="AV271" s="1054"/>
      <c r="AW271" s="1039"/>
      <c r="AX271" s="1039"/>
      <c r="AY271" s="1048"/>
      <c r="AZ271" s="1986"/>
      <c r="BA271" s="1986"/>
      <c r="BB271" s="1030"/>
      <c r="BC271" s="1030"/>
      <c r="BD271" s="1030"/>
    </row>
    <row r="272" spans="1:56" ht="140.25" x14ac:dyDescent="0.25">
      <c r="A272" s="1492">
        <v>153</v>
      </c>
      <c r="B272" s="1483" t="s">
        <v>2021</v>
      </c>
      <c r="C272" s="1030" t="s">
        <v>1715</v>
      </c>
      <c r="D272" s="518" t="s">
        <v>935</v>
      </c>
      <c r="E272" s="1060" t="s">
        <v>1358</v>
      </c>
      <c r="F272" s="518" t="s">
        <v>2022</v>
      </c>
      <c r="G272" s="1178">
        <v>11268</v>
      </c>
      <c r="H272" s="1031" t="s">
        <v>2023</v>
      </c>
      <c r="I272" s="518" t="s">
        <v>2024</v>
      </c>
      <c r="J272" s="1060" t="s">
        <v>2025</v>
      </c>
      <c r="K272" s="1054">
        <v>41781</v>
      </c>
      <c r="L272" s="1061">
        <v>618000</v>
      </c>
      <c r="M272" s="1053">
        <v>11316</v>
      </c>
      <c r="N272" s="1054">
        <v>41781</v>
      </c>
      <c r="O272" s="1054">
        <v>42004</v>
      </c>
      <c r="P272" s="1060" t="s">
        <v>2026</v>
      </c>
      <c r="Q272" s="1060" t="s">
        <v>2027</v>
      </c>
      <c r="R272" s="278">
        <v>470000</v>
      </c>
      <c r="S272" s="278"/>
      <c r="T272" s="1060" t="s">
        <v>678</v>
      </c>
      <c r="U272" s="1357"/>
      <c r="V272" s="1054"/>
      <c r="W272" s="1030"/>
      <c r="X272" s="1060"/>
      <c r="Y272" s="1054"/>
      <c r="Z272" s="1054"/>
      <c r="AA272" s="1030"/>
      <c r="AB272" s="1030"/>
      <c r="AC272" s="266"/>
      <c r="AD272" s="1030"/>
      <c r="AE272" s="613">
        <f>L272-AD272+AC272</f>
        <v>618000</v>
      </c>
      <c r="AF272" s="278"/>
      <c r="AG272" s="278"/>
      <c r="AH272" s="613">
        <f>AF272+AG272</f>
        <v>0</v>
      </c>
      <c r="AI272" s="339"/>
      <c r="AJ272" s="339"/>
      <c r="AK272" s="107"/>
      <c r="AL272" s="107"/>
      <c r="AM272" s="1092"/>
      <c r="AN272" s="107"/>
      <c r="AO272" s="107"/>
      <c r="AP272" s="107"/>
      <c r="AQ272" s="107"/>
      <c r="AR272" s="107"/>
      <c r="AS272" s="1030"/>
      <c r="AT272" s="1030"/>
      <c r="AU272" s="1030"/>
      <c r="AV272" s="1030"/>
      <c r="AW272" s="1030"/>
      <c r="AX272" s="1030"/>
      <c r="AY272" s="1030"/>
      <c r="AZ272" s="1030"/>
      <c r="BA272" s="1030"/>
      <c r="BB272" s="1030"/>
      <c r="BC272" s="1030"/>
      <c r="BD272" s="1030"/>
    </row>
    <row r="273" spans="1:56" ht="25.5" x14ac:dyDescent="0.25">
      <c r="A273" s="1492">
        <v>154</v>
      </c>
      <c r="B273" s="2222" t="s">
        <v>2028</v>
      </c>
      <c r="C273" s="1985" t="s">
        <v>1759</v>
      </c>
      <c r="D273" s="2233" t="s">
        <v>935</v>
      </c>
      <c r="E273" s="1985" t="s">
        <v>1358</v>
      </c>
      <c r="F273" s="518" t="s">
        <v>2029</v>
      </c>
      <c r="G273" s="2177">
        <v>11275</v>
      </c>
      <c r="H273" s="1031" t="s">
        <v>2030</v>
      </c>
      <c r="I273" s="518" t="s">
        <v>2031</v>
      </c>
      <c r="J273" s="1060" t="s">
        <v>718</v>
      </c>
      <c r="K273" s="1054">
        <v>41782</v>
      </c>
      <c r="L273" s="1061">
        <v>32700</v>
      </c>
      <c r="M273" s="1053">
        <v>11328</v>
      </c>
      <c r="N273" s="1054">
        <v>41782</v>
      </c>
      <c r="O273" s="1059">
        <v>42004</v>
      </c>
      <c r="P273" s="1030" t="s">
        <v>1308</v>
      </c>
      <c r="Q273" s="1060"/>
      <c r="R273" s="1030"/>
      <c r="S273" s="1030"/>
      <c r="T273" s="1060" t="s">
        <v>2032</v>
      </c>
      <c r="U273" s="1357"/>
      <c r="V273" s="1054"/>
      <c r="W273" s="1030"/>
      <c r="X273" s="1060"/>
      <c r="Y273" s="1054"/>
      <c r="Z273" s="1054"/>
      <c r="AA273" s="1030"/>
      <c r="AB273" s="1030"/>
      <c r="AC273" s="266"/>
      <c r="AD273" s="1030"/>
      <c r="AE273" s="1061">
        <v>32700</v>
      </c>
      <c r="AF273" s="278"/>
      <c r="AG273" s="278">
        <v>32700</v>
      </c>
      <c r="AH273" s="613">
        <f>AF273+AG273</f>
        <v>32700</v>
      </c>
      <c r="AI273" s="339"/>
      <c r="AJ273" s="339"/>
      <c r="AK273" s="107"/>
      <c r="AL273" s="107"/>
      <c r="AM273" s="1092"/>
      <c r="AN273" s="107"/>
      <c r="AO273" s="107"/>
      <c r="AP273" s="107"/>
      <c r="AQ273" s="107"/>
      <c r="AR273" s="107"/>
      <c r="AS273" s="1030"/>
      <c r="AT273" s="1030"/>
      <c r="AU273" s="1030"/>
      <c r="AV273" s="1030"/>
      <c r="AW273" s="1030"/>
      <c r="AX273" s="1030"/>
      <c r="AY273" s="1030"/>
      <c r="AZ273" s="1030"/>
      <c r="BA273" s="1030"/>
      <c r="BB273" s="1030"/>
      <c r="BC273" s="1030"/>
      <c r="BD273" s="1030"/>
    </row>
    <row r="274" spans="1:56" ht="25.5" x14ac:dyDescent="0.25">
      <c r="A274" s="1492">
        <v>155</v>
      </c>
      <c r="B274" s="2224"/>
      <c r="C274" s="1986"/>
      <c r="D274" s="2234"/>
      <c r="E274" s="1986"/>
      <c r="F274" s="518" t="s">
        <v>2033</v>
      </c>
      <c r="G274" s="2178"/>
      <c r="H274" s="1031" t="s">
        <v>2034</v>
      </c>
      <c r="I274" s="518" t="s">
        <v>2035</v>
      </c>
      <c r="J274" s="1060" t="s">
        <v>723</v>
      </c>
      <c r="K274" s="1054">
        <v>41782</v>
      </c>
      <c r="L274" s="1061">
        <v>7128</v>
      </c>
      <c r="M274" s="1053">
        <v>11316</v>
      </c>
      <c r="N274" s="1054">
        <v>41782</v>
      </c>
      <c r="O274" s="1059">
        <v>42004</v>
      </c>
      <c r="P274" s="1030" t="s">
        <v>1308</v>
      </c>
      <c r="Q274" s="1060"/>
      <c r="R274" s="1030"/>
      <c r="S274" s="1030"/>
      <c r="T274" s="1030" t="s">
        <v>2032</v>
      </c>
      <c r="U274" s="1357"/>
      <c r="V274" s="1054"/>
      <c r="W274" s="1030"/>
      <c r="X274" s="1060"/>
      <c r="Y274" s="1054"/>
      <c r="Z274" s="1054"/>
      <c r="AA274" s="1030"/>
      <c r="AB274" s="1030"/>
      <c r="AC274" s="266"/>
      <c r="AD274" s="1030"/>
      <c r="AE274" s="1061">
        <v>7128</v>
      </c>
      <c r="AF274" s="278"/>
      <c r="AG274" s="278">
        <v>7128</v>
      </c>
      <c r="AH274" s="613">
        <f>AF274+AG274</f>
        <v>7128</v>
      </c>
      <c r="AI274" s="339"/>
      <c r="AJ274" s="339"/>
      <c r="AK274" s="107"/>
      <c r="AL274" s="107"/>
      <c r="AM274" s="1092"/>
      <c r="AN274" s="107"/>
      <c r="AO274" s="107"/>
      <c r="AP274" s="107"/>
      <c r="AQ274" s="107"/>
      <c r="AR274" s="107"/>
      <c r="AS274" s="1030"/>
      <c r="AT274" s="1030"/>
      <c r="AU274" s="1030"/>
      <c r="AV274" s="1030"/>
      <c r="AW274" s="1030"/>
      <c r="AX274" s="1030"/>
      <c r="AY274" s="1030"/>
      <c r="AZ274" s="1030"/>
      <c r="BA274" s="1030"/>
      <c r="BB274" s="1030"/>
      <c r="BC274" s="1030"/>
      <c r="BD274" s="1030"/>
    </row>
    <row r="275" spans="1:56" ht="102" x14ac:dyDescent="0.25">
      <c r="A275" s="1492">
        <v>156</v>
      </c>
      <c r="B275" s="385" t="s">
        <v>2036</v>
      </c>
      <c r="C275" s="1030" t="s">
        <v>1712</v>
      </c>
      <c r="D275" s="518" t="s">
        <v>1809</v>
      </c>
      <c r="E275" s="1060" t="s">
        <v>2037</v>
      </c>
      <c r="F275" s="518" t="s">
        <v>2038</v>
      </c>
      <c r="G275" s="1178" t="s">
        <v>677</v>
      </c>
      <c r="H275" s="1031" t="s">
        <v>2039</v>
      </c>
      <c r="I275" s="518" t="s">
        <v>2040</v>
      </c>
      <c r="J275" s="1060" t="s">
        <v>2041</v>
      </c>
      <c r="K275" s="1054">
        <v>41782</v>
      </c>
      <c r="L275" s="1060" t="s">
        <v>2042</v>
      </c>
      <c r="M275" s="1053">
        <v>11324</v>
      </c>
      <c r="N275" s="1054">
        <v>41782</v>
      </c>
      <c r="O275" s="1054">
        <f>N275+365</f>
        <v>42147</v>
      </c>
      <c r="P275" s="1060" t="s">
        <v>1354</v>
      </c>
      <c r="Q275" s="1060"/>
      <c r="R275" s="1030"/>
      <c r="S275" s="1030"/>
      <c r="T275" s="1060" t="s">
        <v>208</v>
      </c>
      <c r="U275" s="1357"/>
      <c r="V275" s="1054"/>
      <c r="W275" s="1030"/>
      <c r="X275" s="1060"/>
      <c r="Y275" s="1054"/>
      <c r="Z275" s="1054"/>
      <c r="AA275" s="1030"/>
      <c r="AB275" s="1030"/>
      <c r="AC275" s="266"/>
      <c r="AD275" s="1030"/>
      <c r="AE275" s="613"/>
      <c r="AF275" s="278"/>
      <c r="AG275" s="278"/>
      <c r="AH275" s="613">
        <f>AF275+AG275</f>
        <v>0</v>
      </c>
      <c r="AI275" s="339"/>
      <c r="AJ275" s="339"/>
      <c r="AK275" s="107"/>
      <c r="AL275" s="107"/>
      <c r="AM275" s="1092" t="s">
        <v>1311</v>
      </c>
      <c r="AN275" s="1030" t="s">
        <v>2043</v>
      </c>
      <c r="AO275" s="1053">
        <v>11307</v>
      </c>
      <c r="AP275" s="1054">
        <v>41779</v>
      </c>
      <c r="AQ275" s="1053">
        <v>11310</v>
      </c>
      <c r="AR275" s="1054">
        <v>41782</v>
      </c>
      <c r="AS275" s="1030"/>
      <c r="AT275" s="1030"/>
      <c r="AU275" s="1030"/>
      <c r="AV275" s="1030"/>
      <c r="AW275" s="1030"/>
      <c r="AX275" s="1030"/>
      <c r="AY275" s="1030"/>
      <c r="AZ275" s="1030"/>
      <c r="BA275" s="1030"/>
      <c r="BB275" s="1030"/>
      <c r="BC275" s="1030"/>
      <c r="BD275" s="1030"/>
    </row>
    <row r="276" spans="1:56" ht="38.25" x14ac:dyDescent="0.25">
      <c r="A276" s="1492">
        <v>157</v>
      </c>
      <c r="B276" s="2222" t="s">
        <v>2044</v>
      </c>
      <c r="C276" s="1985" t="s">
        <v>837</v>
      </c>
      <c r="D276" s="2233" t="s">
        <v>935</v>
      </c>
      <c r="E276" s="1985" t="s">
        <v>1358</v>
      </c>
      <c r="F276" s="2233" t="s">
        <v>2045</v>
      </c>
      <c r="G276" s="2177">
        <v>11248</v>
      </c>
      <c r="H276" s="1031" t="s">
        <v>2046</v>
      </c>
      <c r="I276" s="518" t="s">
        <v>2047</v>
      </c>
      <c r="J276" s="1060" t="s">
        <v>794</v>
      </c>
      <c r="K276" s="1054">
        <v>41786</v>
      </c>
      <c r="L276" s="1061">
        <v>6800.55</v>
      </c>
      <c r="M276" s="1053">
        <v>11321</v>
      </c>
      <c r="N276" s="1054">
        <v>41786</v>
      </c>
      <c r="O276" s="1054">
        <v>42004</v>
      </c>
      <c r="P276" s="1060" t="s">
        <v>1320</v>
      </c>
      <c r="Q276" s="1060"/>
      <c r="R276" s="1030"/>
      <c r="S276" s="1030"/>
      <c r="T276" s="1060" t="s">
        <v>719</v>
      </c>
      <c r="U276" s="1357"/>
      <c r="V276" s="1054"/>
      <c r="W276" s="1030"/>
      <c r="X276" s="1060"/>
      <c r="Y276" s="1054"/>
      <c r="Z276" s="1054"/>
      <c r="AA276" s="1030"/>
      <c r="AB276" s="1030"/>
      <c r="AC276" s="266"/>
      <c r="AD276" s="1030"/>
      <c r="AE276" s="1061">
        <v>6800.55</v>
      </c>
      <c r="AF276" s="278"/>
      <c r="AG276" s="278">
        <v>2746.05</v>
      </c>
      <c r="AH276" s="613">
        <f>AF276+AG276</f>
        <v>2746.05</v>
      </c>
      <c r="AI276" s="339"/>
      <c r="AJ276" s="339"/>
      <c r="AK276" s="107"/>
      <c r="AL276" s="107"/>
      <c r="AM276" s="1092"/>
      <c r="AN276" s="107"/>
      <c r="AO276" s="107"/>
      <c r="AP276" s="107"/>
      <c r="AQ276" s="107"/>
      <c r="AR276" s="107"/>
      <c r="AS276" s="1030"/>
      <c r="AT276" s="1030"/>
      <c r="AU276" s="1030"/>
      <c r="AV276" s="1030"/>
      <c r="AW276" s="1030"/>
      <c r="AX276" s="1030"/>
      <c r="AY276" s="1030"/>
      <c r="AZ276" s="1030"/>
      <c r="BA276" s="1030"/>
      <c r="BB276" s="1030"/>
      <c r="BC276" s="1030"/>
      <c r="BD276" s="1030"/>
    </row>
    <row r="277" spans="1:56" ht="25.5" x14ac:dyDescent="0.25">
      <c r="A277" s="1492">
        <v>158</v>
      </c>
      <c r="B277" s="2224"/>
      <c r="C277" s="1986"/>
      <c r="D277" s="2234"/>
      <c r="E277" s="1986"/>
      <c r="F277" s="2234"/>
      <c r="G277" s="2178"/>
      <c r="H277" s="1031" t="s">
        <v>2048</v>
      </c>
      <c r="I277" s="518" t="s">
        <v>1822</v>
      </c>
      <c r="J277" s="1060" t="s">
        <v>1823</v>
      </c>
      <c r="K277" s="1054">
        <v>41786</v>
      </c>
      <c r="L277" s="1061">
        <v>2227</v>
      </c>
      <c r="M277" s="1053">
        <v>11320</v>
      </c>
      <c r="N277" s="1054">
        <v>41786</v>
      </c>
      <c r="O277" s="1054">
        <v>42004</v>
      </c>
      <c r="P277" s="1060" t="s">
        <v>1320</v>
      </c>
      <c r="Q277" s="1060"/>
      <c r="R277" s="1030"/>
      <c r="S277" s="1030"/>
      <c r="T277" s="1060" t="s">
        <v>719</v>
      </c>
      <c r="U277" s="1357"/>
      <c r="V277" s="1054"/>
      <c r="W277" s="1030"/>
      <c r="X277" s="1060"/>
      <c r="Y277" s="1054"/>
      <c r="Z277" s="1054"/>
      <c r="AA277" s="1030"/>
      <c r="AB277" s="1030"/>
      <c r="AC277" s="266"/>
      <c r="AD277" s="1030"/>
      <c r="AE277" s="1061">
        <v>2227</v>
      </c>
      <c r="AF277" s="278"/>
      <c r="AG277" s="278">
        <v>2227</v>
      </c>
      <c r="AH277" s="613">
        <f t="shared" ref="AH277:AH286" si="10">AF277+AG277</f>
        <v>2227</v>
      </c>
      <c r="AI277" s="339"/>
      <c r="AJ277" s="339"/>
      <c r="AK277" s="107"/>
      <c r="AL277" s="107"/>
      <c r="AM277" s="1092"/>
      <c r="AN277" s="107"/>
      <c r="AO277" s="107"/>
      <c r="AP277" s="107"/>
      <c r="AQ277" s="107"/>
      <c r="AR277" s="107"/>
      <c r="AS277" s="1030"/>
      <c r="AT277" s="1030"/>
      <c r="AU277" s="1030"/>
      <c r="AV277" s="1030"/>
      <c r="AW277" s="1030"/>
      <c r="AX277" s="1030"/>
      <c r="AY277" s="1030"/>
      <c r="AZ277" s="1030"/>
      <c r="BA277" s="1030"/>
      <c r="BB277" s="1030"/>
      <c r="BC277" s="1030"/>
      <c r="BD277" s="1030"/>
    </row>
    <row r="278" spans="1:56" ht="25.5" x14ac:dyDescent="0.25">
      <c r="A278" s="1492">
        <v>159</v>
      </c>
      <c r="B278" s="2222" t="s">
        <v>2049</v>
      </c>
      <c r="C278" s="1985" t="s">
        <v>388</v>
      </c>
      <c r="D278" s="2233" t="s">
        <v>935</v>
      </c>
      <c r="E278" s="1985" t="s">
        <v>1358</v>
      </c>
      <c r="F278" s="2233" t="s">
        <v>2050</v>
      </c>
      <c r="G278" s="2177">
        <v>11211</v>
      </c>
      <c r="H278" s="1031" t="s">
        <v>2051</v>
      </c>
      <c r="I278" s="518" t="s">
        <v>2052</v>
      </c>
      <c r="J278" s="1060" t="s">
        <v>2053</v>
      </c>
      <c r="K278" s="1054">
        <v>41787</v>
      </c>
      <c r="L278" s="1061">
        <v>15600</v>
      </c>
      <c r="M278" s="1053">
        <v>11320</v>
      </c>
      <c r="N278" s="1054">
        <v>41787</v>
      </c>
      <c r="O278" s="1054">
        <v>42004</v>
      </c>
      <c r="P278" s="1060" t="s">
        <v>1320</v>
      </c>
      <c r="Q278" s="1060"/>
      <c r="R278" s="1030"/>
      <c r="S278" s="1030"/>
      <c r="T278" s="1060" t="s">
        <v>2054</v>
      </c>
      <c r="U278" s="1357"/>
      <c r="V278" s="1054"/>
      <c r="W278" s="1030"/>
      <c r="X278" s="1060"/>
      <c r="Y278" s="1054"/>
      <c r="Z278" s="1054"/>
      <c r="AA278" s="1030"/>
      <c r="AB278" s="1030"/>
      <c r="AC278" s="266"/>
      <c r="AD278" s="1030"/>
      <c r="AE278" s="1061">
        <v>15600</v>
      </c>
      <c r="AF278" s="278"/>
      <c r="AG278" s="278"/>
      <c r="AH278" s="613">
        <f t="shared" si="10"/>
        <v>0</v>
      </c>
      <c r="AI278" s="339"/>
      <c r="AJ278" s="339"/>
      <c r="AK278" s="107"/>
      <c r="AL278" s="107"/>
      <c r="AM278" s="1092"/>
      <c r="AN278" s="107"/>
      <c r="AO278" s="107"/>
      <c r="AP278" s="107"/>
      <c r="AQ278" s="107"/>
      <c r="AR278" s="107"/>
      <c r="AS278" s="1030"/>
      <c r="AT278" s="1030"/>
      <c r="AU278" s="1030"/>
      <c r="AV278" s="1030"/>
      <c r="AW278" s="1030"/>
      <c r="AX278" s="1030"/>
      <c r="AY278" s="1030"/>
      <c r="AZ278" s="1030"/>
      <c r="BA278" s="1030"/>
      <c r="BB278" s="1030"/>
      <c r="BC278" s="1030"/>
      <c r="BD278" s="1030"/>
    </row>
    <row r="279" spans="1:56" ht="25.5" x14ac:dyDescent="0.25">
      <c r="A279" s="1492">
        <v>160</v>
      </c>
      <c r="B279" s="2223"/>
      <c r="C279" s="2021"/>
      <c r="D279" s="2252"/>
      <c r="E279" s="2021"/>
      <c r="F279" s="2252"/>
      <c r="G279" s="2180"/>
      <c r="H279" s="1031" t="s">
        <v>2055</v>
      </c>
      <c r="I279" s="518" t="s">
        <v>1599</v>
      </c>
      <c r="J279" s="1060" t="s">
        <v>1620</v>
      </c>
      <c r="K279" s="1054">
        <v>41787</v>
      </c>
      <c r="L279" s="1061">
        <v>280589.59000000003</v>
      </c>
      <c r="M279" s="1053">
        <v>11322</v>
      </c>
      <c r="N279" s="1054">
        <v>41787</v>
      </c>
      <c r="O279" s="1054">
        <v>42004</v>
      </c>
      <c r="P279" s="1060" t="s">
        <v>1320</v>
      </c>
      <c r="Q279" s="1060"/>
      <c r="R279" s="1030"/>
      <c r="S279" s="1030"/>
      <c r="T279" s="1060" t="s">
        <v>2054</v>
      </c>
      <c r="U279" s="1357"/>
      <c r="V279" s="1054"/>
      <c r="W279" s="1030"/>
      <c r="X279" s="1060"/>
      <c r="Y279" s="1054"/>
      <c r="Z279" s="1054"/>
      <c r="AA279" s="1030"/>
      <c r="AB279" s="1030"/>
      <c r="AC279" s="266"/>
      <c r="AD279" s="1030"/>
      <c r="AE279" s="1061">
        <v>280589.59000000003</v>
      </c>
      <c r="AF279" s="278"/>
      <c r="AG279" s="278">
        <v>269631.78999999998</v>
      </c>
      <c r="AH279" s="613">
        <f t="shared" si="10"/>
        <v>269631.78999999998</v>
      </c>
      <c r="AI279" s="339"/>
      <c r="AJ279" s="339"/>
      <c r="AK279" s="107"/>
      <c r="AL279" s="107"/>
      <c r="AM279" s="1092"/>
      <c r="AN279" s="107"/>
      <c r="AO279" s="107"/>
      <c r="AP279" s="107"/>
      <c r="AQ279" s="107"/>
      <c r="AR279" s="107"/>
      <c r="AS279" s="1030"/>
      <c r="AT279" s="1030"/>
      <c r="AU279" s="1030"/>
      <c r="AV279" s="1030"/>
      <c r="AW279" s="1030"/>
      <c r="AX279" s="1030"/>
      <c r="AY279" s="1030"/>
      <c r="AZ279" s="1030"/>
      <c r="BA279" s="1030"/>
      <c r="BB279" s="1030"/>
      <c r="BC279" s="1030"/>
      <c r="BD279" s="1030"/>
    </row>
    <row r="280" spans="1:56" ht="25.5" x14ac:dyDescent="0.25">
      <c r="A280" s="1492">
        <v>161</v>
      </c>
      <c r="B280" s="2223"/>
      <c r="C280" s="2021"/>
      <c r="D280" s="2252"/>
      <c r="E280" s="2021"/>
      <c r="F280" s="2252"/>
      <c r="G280" s="2180"/>
      <c r="H280" s="1031" t="s">
        <v>2056</v>
      </c>
      <c r="I280" s="518" t="s">
        <v>1678</v>
      </c>
      <c r="J280" s="1060" t="s">
        <v>470</v>
      </c>
      <c r="K280" s="1054">
        <v>41787</v>
      </c>
      <c r="L280" s="1061">
        <v>32749</v>
      </c>
      <c r="M280" s="1053">
        <v>11320</v>
      </c>
      <c r="N280" s="1054">
        <v>41787</v>
      </c>
      <c r="O280" s="1054">
        <v>42004</v>
      </c>
      <c r="P280" s="1060" t="s">
        <v>1320</v>
      </c>
      <c r="Q280" s="1060"/>
      <c r="R280" s="1030"/>
      <c r="S280" s="1030"/>
      <c r="T280" s="1060" t="s">
        <v>2054</v>
      </c>
      <c r="U280" s="1357"/>
      <c r="V280" s="1054"/>
      <c r="W280" s="1030"/>
      <c r="X280" s="1060"/>
      <c r="Y280" s="1054"/>
      <c r="Z280" s="1054"/>
      <c r="AA280" s="1030"/>
      <c r="AB280" s="1030"/>
      <c r="AC280" s="266"/>
      <c r="AD280" s="1030"/>
      <c r="AE280" s="1061">
        <v>32749</v>
      </c>
      <c r="AF280" s="278"/>
      <c r="AG280" s="278">
        <v>24100</v>
      </c>
      <c r="AH280" s="613">
        <f t="shared" si="10"/>
        <v>24100</v>
      </c>
      <c r="AI280" s="339"/>
      <c r="AJ280" s="339"/>
      <c r="AK280" s="107"/>
      <c r="AL280" s="107"/>
      <c r="AM280" s="1092"/>
      <c r="AN280" s="107"/>
      <c r="AO280" s="107"/>
      <c r="AP280" s="107"/>
      <c r="AQ280" s="107"/>
      <c r="AR280" s="107"/>
      <c r="AS280" s="1030"/>
      <c r="AT280" s="1030"/>
      <c r="AU280" s="1030"/>
      <c r="AV280" s="1030"/>
      <c r="AW280" s="1030"/>
      <c r="AX280" s="1030"/>
      <c r="AY280" s="1030"/>
      <c r="AZ280" s="1030"/>
      <c r="BA280" s="1030"/>
      <c r="BB280" s="1030"/>
      <c r="BC280" s="1030"/>
      <c r="BD280" s="1030"/>
    </row>
    <row r="281" spans="1:56" ht="25.5" x14ac:dyDescent="0.25">
      <c r="A281" s="1492">
        <v>162</v>
      </c>
      <c r="B281" s="2223"/>
      <c r="C281" s="2021"/>
      <c r="D281" s="2252"/>
      <c r="E281" s="2021"/>
      <c r="F281" s="2252"/>
      <c r="G281" s="2180"/>
      <c r="H281" s="1031" t="s">
        <v>2057</v>
      </c>
      <c r="I281" s="518" t="s">
        <v>2058</v>
      </c>
      <c r="J281" s="1060" t="s">
        <v>2059</v>
      </c>
      <c r="K281" s="1054">
        <v>41787</v>
      </c>
      <c r="L281" s="1061">
        <v>119999</v>
      </c>
      <c r="M281" s="1053">
        <v>11320</v>
      </c>
      <c r="N281" s="1054">
        <v>41787</v>
      </c>
      <c r="O281" s="1054">
        <v>42004</v>
      </c>
      <c r="P281" s="1060" t="s">
        <v>1320</v>
      </c>
      <c r="Q281" s="1060"/>
      <c r="R281" s="1030"/>
      <c r="S281" s="1030"/>
      <c r="T281" s="1060" t="s">
        <v>2054</v>
      </c>
      <c r="U281" s="1357"/>
      <c r="V281" s="1054"/>
      <c r="W281" s="1030"/>
      <c r="X281" s="1060"/>
      <c r="Y281" s="1054"/>
      <c r="Z281" s="1054"/>
      <c r="AA281" s="1030"/>
      <c r="AB281" s="1030"/>
      <c r="AC281" s="266"/>
      <c r="AD281" s="1030"/>
      <c r="AE281" s="1061">
        <v>119999</v>
      </c>
      <c r="AF281" s="278"/>
      <c r="AG281" s="278"/>
      <c r="AH281" s="613">
        <f t="shared" si="10"/>
        <v>0</v>
      </c>
      <c r="AI281" s="339"/>
      <c r="AJ281" s="339"/>
      <c r="AK281" s="107"/>
      <c r="AL281" s="107"/>
      <c r="AM281" s="1092"/>
      <c r="AN281" s="107"/>
      <c r="AO281" s="107"/>
      <c r="AP281" s="107"/>
      <c r="AQ281" s="107"/>
      <c r="AR281" s="107"/>
      <c r="AS281" s="1030"/>
      <c r="AT281" s="1030"/>
      <c r="AU281" s="1030"/>
      <c r="AV281" s="1030"/>
      <c r="AW281" s="1030"/>
      <c r="AX281" s="1030"/>
      <c r="AY281" s="1030"/>
      <c r="AZ281" s="1030"/>
      <c r="BA281" s="1030"/>
      <c r="BB281" s="1030"/>
      <c r="BC281" s="1030"/>
      <c r="BD281" s="1030"/>
    </row>
    <row r="282" spans="1:56" ht="38.25" x14ac:dyDescent="0.25">
      <c r="A282" s="1492">
        <v>163</v>
      </c>
      <c r="B282" s="2223"/>
      <c r="C282" s="2021"/>
      <c r="D282" s="2252"/>
      <c r="E282" s="2021"/>
      <c r="F282" s="2252"/>
      <c r="G282" s="2180"/>
      <c r="H282" s="1031" t="s">
        <v>2060</v>
      </c>
      <c r="I282" s="518" t="s">
        <v>1782</v>
      </c>
      <c r="J282" s="1060" t="s">
        <v>2061</v>
      </c>
      <c r="K282" s="1054">
        <v>41787</v>
      </c>
      <c r="L282" s="1061">
        <v>26394</v>
      </c>
      <c r="M282" s="1053">
        <v>11324</v>
      </c>
      <c r="N282" s="1054">
        <v>41787</v>
      </c>
      <c r="O282" s="1054">
        <v>42004</v>
      </c>
      <c r="P282" s="1060" t="s">
        <v>1320</v>
      </c>
      <c r="Q282" s="1060"/>
      <c r="R282" s="1030"/>
      <c r="S282" s="1030"/>
      <c r="T282" s="1060" t="s">
        <v>2054</v>
      </c>
      <c r="U282" s="1357"/>
      <c r="V282" s="1054"/>
      <c r="W282" s="1030"/>
      <c r="X282" s="1060"/>
      <c r="Y282" s="1054"/>
      <c r="Z282" s="1054"/>
      <c r="AA282" s="1030"/>
      <c r="AB282" s="1030"/>
      <c r="AC282" s="266"/>
      <c r="AD282" s="1030"/>
      <c r="AE282" s="1061">
        <v>26394</v>
      </c>
      <c r="AF282" s="278"/>
      <c r="AG282" s="278">
        <v>11524</v>
      </c>
      <c r="AH282" s="613">
        <f t="shared" si="10"/>
        <v>11524</v>
      </c>
      <c r="AI282" s="339"/>
      <c r="AJ282" s="339"/>
      <c r="AK282" s="107"/>
      <c r="AL282" s="107"/>
      <c r="AM282" s="1092"/>
      <c r="AN282" s="107"/>
      <c r="AO282" s="107"/>
      <c r="AP282" s="107"/>
      <c r="AQ282" s="107"/>
      <c r="AR282" s="107"/>
      <c r="AS282" s="1030"/>
      <c r="AT282" s="1030"/>
      <c r="AU282" s="1030"/>
      <c r="AV282" s="1030"/>
      <c r="AW282" s="1030"/>
      <c r="AX282" s="1030"/>
      <c r="AY282" s="1030"/>
      <c r="AZ282" s="1030"/>
      <c r="BA282" s="1030"/>
      <c r="BB282" s="1030"/>
      <c r="BC282" s="1030"/>
      <c r="BD282" s="1030"/>
    </row>
    <row r="283" spans="1:56" ht="51" x14ac:dyDescent="0.25">
      <c r="A283" s="1492">
        <v>164</v>
      </c>
      <c r="B283" s="2223"/>
      <c r="C283" s="2021"/>
      <c r="D283" s="2252"/>
      <c r="E283" s="2021"/>
      <c r="F283" s="2252"/>
      <c r="G283" s="2180"/>
      <c r="H283" s="1031" t="s">
        <v>2062</v>
      </c>
      <c r="I283" s="518" t="s">
        <v>2063</v>
      </c>
      <c r="J283" s="1060" t="s">
        <v>2064</v>
      </c>
      <c r="K283" s="1054">
        <v>41787</v>
      </c>
      <c r="L283" s="1061">
        <v>86676</v>
      </c>
      <c r="M283" s="1053">
        <v>11320</v>
      </c>
      <c r="N283" s="1054">
        <v>41787</v>
      </c>
      <c r="O283" s="1054">
        <v>42004</v>
      </c>
      <c r="P283" s="1060" t="s">
        <v>1320</v>
      </c>
      <c r="Q283" s="1060"/>
      <c r="R283" s="1030"/>
      <c r="S283" s="1030"/>
      <c r="T283" s="1060" t="s">
        <v>2054</v>
      </c>
      <c r="U283" s="1357"/>
      <c r="V283" s="1054"/>
      <c r="W283" s="1030"/>
      <c r="X283" s="1060"/>
      <c r="Y283" s="1054"/>
      <c r="Z283" s="1054"/>
      <c r="AA283" s="1030"/>
      <c r="AB283" s="1030"/>
      <c r="AC283" s="266"/>
      <c r="AD283" s="1030"/>
      <c r="AE283" s="1061">
        <v>86676</v>
      </c>
      <c r="AF283" s="278"/>
      <c r="AG283" s="278">
        <v>52547</v>
      </c>
      <c r="AH283" s="613">
        <f t="shared" si="10"/>
        <v>52547</v>
      </c>
      <c r="AI283" s="339"/>
      <c r="AJ283" s="339"/>
      <c r="AK283" s="107"/>
      <c r="AL283" s="107"/>
      <c r="AM283" s="1092"/>
      <c r="AN283" s="107"/>
      <c r="AO283" s="107"/>
      <c r="AP283" s="107"/>
      <c r="AQ283" s="107"/>
      <c r="AR283" s="107"/>
      <c r="AS283" s="1030"/>
      <c r="AT283" s="1030"/>
      <c r="AU283" s="1030"/>
      <c r="AV283" s="1030"/>
      <c r="AW283" s="1030"/>
      <c r="AX283" s="1030"/>
      <c r="AY283" s="1030"/>
      <c r="AZ283" s="1030"/>
      <c r="BA283" s="1030"/>
      <c r="BB283" s="1030"/>
      <c r="BC283" s="1030"/>
      <c r="BD283" s="1030"/>
    </row>
    <row r="284" spans="1:56" ht="38.25" x14ac:dyDescent="0.25">
      <c r="A284" s="1492">
        <v>165</v>
      </c>
      <c r="B284" s="2223"/>
      <c r="C284" s="2021"/>
      <c r="D284" s="2252"/>
      <c r="E284" s="2021"/>
      <c r="F284" s="2252"/>
      <c r="G284" s="2180"/>
      <c r="H284" s="1031" t="s">
        <v>2065</v>
      </c>
      <c r="I284" s="518" t="s">
        <v>2066</v>
      </c>
      <c r="J284" s="1060" t="s">
        <v>2067</v>
      </c>
      <c r="K284" s="1054">
        <v>41787</v>
      </c>
      <c r="L284" s="1061">
        <v>42725</v>
      </c>
      <c r="M284" s="1053">
        <v>11321</v>
      </c>
      <c r="N284" s="1054">
        <v>41787</v>
      </c>
      <c r="O284" s="1054">
        <v>42004</v>
      </c>
      <c r="P284" s="1060" t="s">
        <v>1320</v>
      </c>
      <c r="Q284" s="1060"/>
      <c r="R284" s="1030"/>
      <c r="S284" s="1030"/>
      <c r="T284" s="1060" t="s">
        <v>2054</v>
      </c>
      <c r="U284" s="1357"/>
      <c r="V284" s="1054"/>
      <c r="W284" s="1030"/>
      <c r="X284" s="1060"/>
      <c r="Y284" s="1054"/>
      <c r="Z284" s="1054"/>
      <c r="AA284" s="1030"/>
      <c r="AB284" s="1030"/>
      <c r="AC284" s="266"/>
      <c r="AD284" s="1030"/>
      <c r="AE284" s="1061">
        <v>42725</v>
      </c>
      <c r="AF284" s="278"/>
      <c r="AG284" s="278">
        <v>29745</v>
      </c>
      <c r="AH284" s="613">
        <f t="shared" si="10"/>
        <v>29745</v>
      </c>
      <c r="AI284" s="339"/>
      <c r="AJ284" s="339"/>
      <c r="AK284" s="107"/>
      <c r="AL284" s="107"/>
      <c r="AM284" s="1092"/>
      <c r="AN284" s="107"/>
      <c r="AO284" s="107"/>
      <c r="AP284" s="107"/>
      <c r="AQ284" s="107"/>
      <c r="AR284" s="107"/>
      <c r="AS284" s="1030"/>
      <c r="AT284" s="1030"/>
      <c r="AU284" s="1030"/>
      <c r="AV284" s="1030"/>
      <c r="AW284" s="1030"/>
      <c r="AX284" s="1030"/>
      <c r="AY284" s="1030"/>
      <c r="AZ284" s="1030"/>
      <c r="BA284" s="1030"/>
      <c r="BB284" s="1030"/>
      <c r="BC284" s="1030"/>
      <c r="BD284" s="1030"/>
    </row>
    <row r="285" spans="1:56" ht="25.5" x14ac:dyDescent="0.25">
      <c r="A285" s="1492">
        <v>166</v>
      </c>
      <c r="B285" s="2223"/>
      <c r="C285" s="2021"/>
      <c r="D285" s="2252"/>
      <c r="E285" s="2021"/>
      <c r="F285" s="2252"/>
      <c r="G285" s="2180"/>
      <c r="H285" s="1031" t="s">
        <v>2068</v>
      </c>
      <c r="I285" s="518" t="s">
        <v>2069</v>
      </c>
      <c r="J285" s="1060" t="s">
        <v>467</v>
      </c>
      <c r="K285" s="1054">
        <v>41787</v>
      </c>
      <c r="L285" s="1061">
        <v>57840</v>
      </c>
      <c r="M285" s="1053">
        <v>11321</v>
      </c>
      <c r="N285" s="1054">
        <v>41787</v>
      </c>
      <c r="O285" s="1054">
        <v>42004</v>
      </c>
      <c r="P285" s="1060" t="s">
        <v>1320</v>
      </c>
      <c r="Q285" s="1060"/>
      <c r="R285" s="1030"/>
      <c r="S285" s="1030"/>
      <c r="T285" s="1060" t="s">
        <v>2054</v>
      </c>
      <c r="U285" s="1357"/>
      <c r="V285" s="1054"/>
      <c r="W285" s="1030"/>
      <c r="X285" s="1060"/>
      <c r="Y285" s="1054"/>
      <c r="Z285" s="1054"/>
      <c r="AA285" s="1030"/>
      <c r="AB285" s="1030"/>
      <c r="AC285" s="266"/>
      <c r="AD285" s="1030"/>
      <c r="AE285" s="1061">
        <v>57840</v>
      </c>
      <c r="AF285" s="278"/>
      <c r="AG285" s="278">
        <v>54640</v>
      </c>
      <c r="AH285" s="613">
        <f t="shared" si="10"/>
        <v>54640</v>
      </c>
      <c r="AI285" s="339"/>
      <c r="AJ285" s="339"/>
      <c r="AK285" s="107"/>
      <c r="AL285" s="107"/>
      <c r="AM285" s="1092"/>
      <c r="AN285" s="107"/>
      <c r="AO285" s="107"/>
      <c r="AP285" s="107"/>
      <c r="AQ285" s="107"/>
      <c r="AR285" s="107"/>
      <c r="AS285" s="1030"/>
      <c r="AT285" s="1030"/>
      <c r="AU285" s="1030"/>
      <c r="AV285" s="1030"/>
      <c r="AW285" s="1030"/>
      <c r="AX285" s="1030"/>
      <c r="AY285" s="1030"/>
      <c r="AZ285" s="1030"/>
      <c r="BA285" s="1030"/>
      <c r="BB285" s="1030"/>
      <c r="BC285" s="1030"/>
      <c r="BD285" s="1030"/>
    </row>
    <row r="286" spans="1:56" ht="38.25" x14ac:dyDescent="0.25">
      <c r="A286" s="1492">
        <v>167</v>
      </c>
      <c r="B286" s="2223"/>
      <c r="C286" s="2021"/>
      <c r="D286" s="2252"/>
      <c r="E286" s="2021"/>
      <c r="F286" s="2252"/>
      <c r="G286" s="2180"/>
      <c r="H286" s="1031" t="s">
        <v>2070</v>
      </c>
      <c r="I286" s="518" t="s">
        <v>2071</v>
      </c>
      <c r="J286" s="1060" t="s">
        <v>2072</v>
      </c>
      <c r="K286" s="1054">
        <v>41787</v>
      </c>
      <c r="L286" s="1061">
        <v>33589</v>
      </c>
      <c r="M286" s="1053">
        <v>11321</v>
      </c>
      <c r="N286" s="1054">
        <v>41787</v>
      </c>
      <c r="O286" s="1054">
        <v>42004</v>
      </c>
      <c r="P286" s="1060" t="s">
        <v>1320</v>
      </c>
      <c r="Q286" s="1060"/>
      <c r="R286" s="1030"/>
      <c r="S286" s="1030"/>
      <c r="T286" s="1060" t="s">
        <v>2054</v>
      </c>
      <c r="U286" s="1357"/>
      <c r="V286" s="1054"/>
      <c r="W286" s="1030"/>
      <c r="X286" s="1060"/>
      <c r="Y286" s="1054"/>
      <c r="Z286" s="1054"/>
      <c r="AA286" s="1030"/>
      <c r="AB286" s="1030"/>
      <c r="AC286" s="266"/>
      <c r="AD286" s="1030"/>
      <c r="AE286" s="1061">
        <v>33589</v>
      </c>
      <c r="AF286" s="278"/>
      <c r="AG286" s="278">
        <v>33589</v>
      </c>
      <c r="AH286" s="613">
        <f t="shared" si="10"/>
        <v>33589</v>
      </c>
      <c r="AI286" s="339"/>
      <c r="AJ286" s="339"/>
      <c r="AK286" s="107"/>
      <c r="AL286" s="107"/>
      <c r="AM286" s="1092"/>
      <c r="AN286" s="107"/>
      <c r="AO286" s="107"/>
      <c r="AP286" s="107"/>
      <c r="AQ286" s="107"/>
      <c r="AR286" s="107"/>
      <c r="AS286" s="1030"/>
      <c r="AT286" s="1030"/>
      <c r="AU286" s="1030"/>
      <c r="AV286" s="1030"/>
      <c r="AW286" s="1030"/>
      <c r="AX286" s="1030"/>
      <c r="AY286" s="1030"/>
      <c r="AZ286" s="1030"/>
      <c r="BA286" s="1030"/>
      <c r="BB286" s="1030"/>
      <c r="BC286" s="1030"/>
      <c r="BD286" s="1030"/>
    </row>
    <row r="287" spans="1:56" ht="51" x14ac:dyDescent="0.25">
      <c r="A287" s="1492">
        <v>168</v>
      </c>
      <c r="B287" s="2224"/>
      <c r="C287" s="1986"/>
      <c r="D287" s="2234"/>
      <c r="E287" s="1986"/>
      <c r="F287" s="2234"/>
      <c r="G287" s="2178"/>
      <c r="H287" s="1066" t="s">
        <v>2073</v>
      </c>
      <c r="I287" s="1124" t="s">
        <v>2074</v>
      </c>
      <c r="J287" s="343" t="s">
        <v>2075</v>
      </c>
      <c r="K287" s="1044">
        <v>41787</v>
      </c>
      <c r="L287" s="1061">
        <v>6720</v>
      </c>
      <c r="M287" s="1046">
        <v>11322</v>
      </c>
      <c r="N287" s="1044">
        <v>41787</v>
      </c>
      <c r="O287" s="1044">
        <v>42004</v>
      </c>
      <c r="P287" s="343" t="s">
        <v>1320</v>
      </c>
      <c r="Q287" s="343"/>
      <c r="R287" s="1040"/>
      <c r="S287" s="1040"/>
      <c r="T287" s="343" t="s">
        <v>2054</v>
      </c>
      <c r="U287" s="1390"/>
      <c r="V287" s="1044"/>
      <c r="W287" s="1040"/>
      <c r="X287" s="343"/>
      <c r="Y287" s="1044"/>
      <c r="Z287" s="1044"/>
      <c r="AA287" s="1040"/>
      <c r="AB287" s="1040"/>
      <c r="AC287" s="1368"/>
      <c r="AD287" s="1040"/>
      <c r="AE287" s="1061">
        <v>6720</v>
      </c>
      <c r="AF287" s="1120"/>
      <c r="AG287" s="1120"/>
      <c r="AH287" s="1391">
        <f>AF287+AG287</f>
        <v>0</v>
      </c>
      <c r="AI287" s="1110"/>
      <c r="AJ287" s="1110"/>
      <c r="AK287" s="285"/>
      <c r="AL287" s="285"/>
      <c r="AM287" s="926"/>
      <c r="AN287" s="285"/>
      <c r="AO287" s="285"/>
      <c r="AP287" s="285"/>
      <c r="AQ287" s="285"/>
      <c r="AR287" s="285"/>
      <c r="AS287" s="1040"/>
      <c r="AT287" s="1040"/>
      <c r="AU287" s="1040"/>
      <c r="AV287" s="1040"/>
      <c r="AW287" s="1040"/>
      <c r="AX287" s="1040"/>
      <c r="AY287" s="1040"/>
      <c r="AZ287" s="1040"/>
      <c r="BA287" s="1040"/>
      <c r="BB287" s="1040"/>
      <c r="BC287" s="1040"/>
      <c r="BD287" s="1040"/>
    </row>
    <row r="288" spans="1:56" ht="43.5" customHeight="1" x14ac:dyDescent="0.25">
      <c r="A288" s="2285">
        <v>169</v>
      </c>
      <c r="B288" s="2222" t="s">
        <v>2076</v>
      </c>
      <c r="C288" s="1985" t="s">
        <v>757</v>
      </c>
      <c r="D288" s="2233" t="s">
        <v>1431</v>
      </c>
      <c r="E288" s="1985" t="s">
        <v>168</v>
      </c>
      <c r="F288" s="1985" t="s">
        <v>2077</v>
      </c>
      <c r="G288" s="2177">
        <v>11279</v>
      </c>
      <c r="H288" s="1991" t="s">
        <v>2078</v>
      </c>
      <c r="I288" s="1060" t="s">
        <v>2079</v>
      </c>
      <c r="J288" s="1060" t="s">
        <v>2080</v>
      </c>
      <c r="K288" s="1996">
        <v>41795</v>
      </c>
      <c r="L288" s="2002">
        <v>666377.13</v>
      </c>
      <c r="M288" s="1994">
        <v>11326</v>
      </c>
      <c r="N288" s="1996">
        <v>41878</v>
      </c>
      <c r="O288" s="1996">
        <v>42062</v>
      </c>
      <c r="P288" s="1985" t="s">
        <v>2081</v>
      </c>
      <c r="Q288" s="1985"/>
      <c r="R288" s="1985"/>
      <c r="S288" s="1967"/>
      <c r="T288" s="1985" t="s">
        <v>1577</v>
      </c>
      <c r="U288" s="1390"/>
      <c r="V288" s="1044"/>
      <c r="W288" s="1040"/>
      <c r="X288" s="343"/>
      <c r="Y288" s="1044"/>
      <c r="Z288" s="1044"/>
      <c r="AA288" s="1040"/>
      <c r="AB288" s="1040"/>
      <c r="AC288" s="1368"/>
      <c r="AD288" s="1040"/>
      <c r="AE288" s="2287">
        <v>666377.13</v>
      </c>
      <c r="AF288" s="2282"/>
      <c r="AG288" s="2282"/>
      <c r="AH288" s="2282">
        <f>AF288+AG288</f>
        <v>0</v>
      </c>
      <c r="AI288" s="1110"/>
      <c r="AJ288" s="1110"/>
      <c r="AK288" s="285"/>
      <c r="AL288" s="285"/>
      <c r="AM288" s="926"/>
      <c r="AN288" s="285"/>
      <c r="AO288" s="285"/>
      <c r="AP288" s="285"/>
      <c r="AQ288" s="285"/>
      <c r="AR288" s="285"/>
      <c r="AS288" s="1985" t="s">
        <v>1323</v>
      </c>
      <c r="AT288" s="1985" t="s">
        <v>1457</v>
      </c>
      <c r="AU288" s="1996">
        <v>41880</v>
      </c>
      <c r="AV288" s="1985" t="s">
        <v>2082</v>
      </c>
      <c r="AW288" s="1985"/>
      <c r="AX288" s="1985"/>
      <c r="AY288" s="1996">
        <v>41880</v>
      </c>
      <c r="AZ288" s="1985" t="s">
        <v>1464</v>
      </c>
      <c r="BA288" s="1985" t="s">
        <v>1458</v>
      </c>
      <c r="BB288" s="1040"/>
      <c r="BC288" s="1040"/>
      <c r="BD288" s="1040"/>
    </row>
    <row r="289" spans="1:56" ht="60" customHeight="1" x14ac:dyDescent="0.25">
      <c r="A289" s="2286"/>
      <c r="B289" s="2224"/>
      <c r="C289" s="1986"/>
      <c r="D289" s="2234"/>
      <c r="E289" s="1986"/>
      <c r="F289" s="1986"/>
      <c r="G289" s="2178"/>
      <c r="H289" s="1992"/>
      <c r="I289" s="1060" t="s">
        <v>2083</v>
      </c>
      <c r="J289" s="1060" t="s">
        <v>1319</v>
      </c>
      <c r="K289" s="1997"/>
      <c r="L289" s="2003"/>
      <c r="M289" s="1995"/>
      <c r="N289" s="1997"/>
      <c r="O289" s="1997"/>
      <c r="P289" s="1986"/>
      <c r="Q289" s="1986"/>
      <c r="R289" s="1986"/>
      <c r="S289" s="1967"/>
      <c r="T289" s="1986"/>
      <c r="U289" s="1357"/>
      <c r="V289" s="1054"/>
      <c r="W289" s="1030"/>
      <c r="X289" s="1060"/>
      <c r="Y289" s="1054"/>
      <c r="Z289" s="1054"/>
      <c r="AA289" s="1030"/>
      <c r="AB289" s="1030"/>
      <c r="AC289" s="266"/>
      <c r="AD289" s="1030"/>
      <c r="AE289" s="2288"/>
      <c r="AF289" s="2283"/>
      <c r="AG289" s="2283"/>
      <c r="AH289" s="2289"/>
      <c r="AI289" s="339"/>
      <c r="AJ289" s="339"/>
      <c r="AK289" s="107"/>
      <c r="AL289" s="107"/>
      <c r="AM289" s="1092"/>
      <c r="AN289" s="107"/>
      <c r="AO289" s="107"/>
      <c r="AP289" s="107"/>
      <c r="AQ289" s="107"/>
      <c r="AR289" s="107"/>
      <c r="AS289" s="1986"/>
      <c r="AT289" s="1986"/>
      <c r="AU289" s="1986"/>
      <c r="AV289" s="1986"/>
      <c r="AW289" s="1986"/>
      <c r="AX289" s="1986"/>
      <c r="AY289" s="1986"/>
      <c r="AZ289" s="1986"/>
      <c r="BA289" s="1986"/>
      <c r="BB289" s="1030"/>
      <c r="BC289" s="1030"/>
      <c r="BD289" s="1030"/>
    </row>
    <row r="290" spans="1:56" ht="78.75" customHeight="1" x14ac:dyDescent="0.25">
      <c r="A290" s="2285">
        <v>170</v>
      </c>
      <c r="B290" s="2194" t="s">
        <v>2084</v>
      </c>
      <c r="C290" s="1985" t="s">
        <v>747</v>
      </c>
      <c r="D290" s="1985" t="s">
        <v>1431</v>
      </c>
      <c r="E290" s="1985" t="s">
        <v>168</v>
      </c>
      <c r="F290" s="1985" t="s">
        <v>2085</v>
      </c>
      <c r="G290" s="2177">
        <v>11271</v>
      </c>
      <c r="H290" s="1991" t="s">
        <v>2086</v>
      </c>
      <c r="I290" s="1985" t="s">
        <v>1915</v>
      </c>
      <c r="J290" s="1985" t="s">
        <v>2087</v>
      </c>
      <c r="K290" s="1996">
        <v>41795</v>
      </c>
      <c r="L290" s="2002">
        <v>533749.26</v>
      </c>
      <c r="M290" s="1994">
        <v>11324</v>
      </c>
      <c r="N290" s="1996">
        <v>41821</v>
      </c>
      <c r="O290" s="1996">
        <v>42005</v>
      </c>
      <c r="P290" s="1985" t="s">
        <v>2088</v>
      </c>
      <c r="Q290" s="1985"/>
      <c r="R290" s="1985"/>
      <c r="S290" s="1985"/>
      <c r="T290" s="1985" t="s">
        <v>1577</v>
      </c>
      <c r="U290" s="1388"/>
      <c r="V290" s="1048"/>
      <c r="W290" s="1039"/>
      <c r="X290" s="1389"/>
      <c r="Y290" s="1048"/>
      <c r="Z290" s="1048"/>
      <c r="AA290" s="1039"/>
      <c r="AB290" s="1039"/>
      <c r="AC290" s="256"/>
      <c r="AD290" s="1039"/>
      <c r="AE290" s="2002">
        <v>533749.26</v>
      </c>
      <c r="AF290" s="2282"/>
      <c r="AG290" s="2282">
        <v>134100.03</v>
      </c>
      <c r="AH290" s="2282">
        <f>AF290+AG290</f>
        <v>134100.03</v>
      </c>
      <c r="AI290" s="1111"/>
      <c r="AJ290" s="1111"/>
      <c r="AK290" s="647"/>
      <c r="AL290" s="647"/>
      <c r="AM290" s="259"/>
      <c r="AN290" s="647"/>
      <c r="AO290" s="647"/>
      <c r="AP290" s="647"/>
      <c r="AQ290" s="647"/>
      <c r="AR290" s="647"/>
      <c r="AS290" s="1985" t="s">
        <v>1323</v>
      </c>
      <c r="AT290" s="2163" t="s">
        <v>1457</v>
      </c>
      <c r="AU290" s="1048">
        <v>41821</v>
      </c>
      <c r="AV290" s="1392">
        <v>41974</v>
      </c>
      <c r="AW290" s="1039"/>
      <c r="AX290" s="1039"/>
      <c r="AY290" s="1996">
        <v>41821</v>
      </c>
      <c r="AZ290" s="1985" t="s">
        <v>1464</v>
      </c>
      <c r="BA290" s="1985" t="s">
        <v>1458</v>
      </c>
      <c r="BB290" s="1039"/>
      <c r="BC290" s="1039"/>
      <c r="BD290" s="1039"/>
    </row>
    <row r="291" spans="1:56" ht="38.25" x14ac:dyDescent="0.25">
      <c r="A291" s="2286"/>
      <c r="B291" s="2196"/>
      <c r="C291" s="1986"/>
      <c r="D291" s="1986"/>
      <c r="E291" s="1986"/>
      <c r="F291" s="1986"/>
      <c r="G291" s="2178"/>
      <c r="H291" s="1992"/>
      <c r="I291" s="1986"/>
      <c r="J291" s="1986"/>
      <c r="K291" s="1997"/>
      <c r="L291" s="2003"/>
      <c r="M291" s="1995"/>
      <c r="N291" s="1997"/>
      <c r="O291" s="1997"/>
      <c r="P291" s="1986"/>
      <c r="Q291" s="1986"/>
      <c r="R291" s="1986"/>
      <c r="S291" s="1986"/>
      <c r="T291" s="1986"/>
      <c r="U291" s="1388" t="s">
        <v>867</v>
      </c>
      <c r="V291" s="1048">
        <v>41970</v>
      </c>
      <c r="W291" s="1069">
        <v>11451</v>
      </c>
      <c r="X291" s="1389" t="s">
        <v>2089</v>
      </c>
      <c r="Y291" s="1048">
        <v>42005</v>
      </c>
      <c r="Z291" s="1048">
        <v>42095</v>
      </c>
      <c r="AA291" s="1039"/>
      <c r="AB291" s="1039"/>
      <c r="AC291" s="256"/>
      <c r="AD291" s="1039"/>
      <c r="AE291" s="2003"/>
      <c r="AF291" s="2283"/>
      <c r="AG291" s="2283"/>
      <c r="AH291" s="2283"/>
      <c r="AI291" s="1111"/>
      <c r="AJ291" s="1111"/>
      <c r="AK291" s="647"/>
      <c r="AL291" s="647"/>
      <c r="AM291" s="259"/>
      <c r="AN291" s="647"/>
      <c r="AO291" s="647"/>
      <c r="AP291" s="647"/>
      <c r="AQ291" s="647"/>
      <c r="AR291" s="647"/>
      <c r="AS291" s="1986"/>
      <c r="AT291" s="2164"/>
      <c r="AU291" s="1048">
        <v>41974</v>
      </c>
      <c r="AV291" s="1392">
        <v>42064</v>
      </c>
      <c r="AW291" s="1039"/>
      <c r="AX291" s="1039"/>
      <c r="AY291" s="1997"/>
      <c r="AZ291" s="1986"/>
      <c r="BA291" s="1986"/>
      <c r="BB291" s="1039"/>
      <c r="BC291" s="1039"/>
      <c r="BD291" s="1039"/>
    </row>
    <row r="292" spans="1:56" ht="56.25" customHeight="1" x14ac:dyDescent="0.25">
      <c r="A292" s="2285">
        <v>171</v>
      </c>
      <c r="B292" s="2194" t="s">
        <v>2090</v>
      </c>
      <c r="C292" s="1985" t="s">
        <v>792</v>
      </c>
      <c r="D292" s="1985" t="s">
        <v>1431</v>
      </c>
      <c r="E292" s="1985" t="s">
        <v>168</v>
      </c>
      <c r="F292" s="1985" t="s">
        <v>2091</v>
      </c>
      <c r="G292" s="2177">
        <v>11290</v>
      </c>
      <c r="H292" s="1991" t="s">
        <v>2092</v>
      </c>
      <c r="I292" s="1985" t="s">
        <v>2093</v>
      </c>
      <c r="J292" s="1985" t="s">
        <v>2094</v>
      </c>
      <c r="K292" s="1996">
        <v>41799</v>
      </c>
      <c r="L292" s="2002">
        <v>349128.34</v>
      </c>
      <c r="M292" s="1994">
        <v>11326</v>
      </c>
      <c r="N292" s="1996">
        <v>41821</v>
      </c>
      <c r="O292" s="1996">
        <v>41974</v>
      </c>
      <c r="P292" s="1985" t="s">
        <v>1354</v>
      </c>
      <c r="Q292" s="1060"/>
      <c r="R292" s="1030"/>
      <c r="S292" s="1030"/>
      <c r="T292" s="1985" t="s">
        <v>1577</v>
      </c>
      <c r="U292" s="573"/>
      <c r="V292" s="573"/>
      <c r="W292" s="573"/>
      <c r="X292" s="573"/>
      <c r="Y292" s="573"/>
      <c r="Z292" s="573"/>
      <c r="AA292" s="1030"/>
      <c r="AB292" s="1030"/>
      <c r="AC292" s="266"/>
      <c r="AD292" s="1030"/>
      <c r="AE292" s="2002">
        <v>349128.34</v>
      </c>
      <c r="AF292" s="278"/>
      <c r="AG292" s="2282">
        <v>224282.78</v>
      </c>
      <c r="AH292" s="2282">
        <f t="shared" ref="AH292:AH358" si="11">AF292+AG292</f>
        <v>224282.78</v>
      </c>
      <c r="AI292" s="339"/>
      <c r="AJ292" s="339"/>
      <c r="AK292" s="107"/>
      <c r="AL292" s="107"/>
      <c r="AM292" s="1092"/>
      <c r="AN292" s="107"/>
      <c r="AO292" s="107"/>
      <c r="AP292" s="107"/>
      <c r="AQ292" s="107"/>
      <c r="AR292" s="107"/>
      <c r="AS292" s="1985" t="s">
        <v>1323</v>
      </c>
      <c r="AT292" s="2163" t="s">
        <v>1457</v>
      </c>
      <c r="AU292" s="1054">
        <v>41821</v>
      </c>
      <c r="AV292" s="1059">
        <v>41944</v>
      </c>
      <c r="AW292" s="1030"/>
      <c r="AX292" s="1030"/>
      <c r="AY292" s="1996">
        <v>41821</v>
      </c>
      <c r="AZ292" s="1985" t="s">
        <v>1464</v>
      </c>
      <c r="BA292" s="1985" t="s">
        <v>1458</v>
      </c>
      <c r="BB292" s="1030"/>
      <c r="BC292" s="1030"/>
      <c r="BD292" s="1030"/>
    </row>
    <row r="293" spans="1:56" ht="51" x14ac:dyDescent="0.25">
      <c r="A293" s="2286"/>
      <c r="B293" s="2196"/>
      <c r="C293" s="1986"/>
      <c r="D293" s="1986"/>
      <c r="E293" s="1986"/>
      <c r="F293" s="1986"/>
      <c r="G293" s="2178"/>
      <c r="H293" s="1992"/>
      <c r="I293" s="1986"/>
      <c r="J293" s="1986"/>
      <c r="K293" s="1997"/>
      <c r="L293" s="2003"/>
      <c r="M293" s="1995"/>
      <c r="N293" s="1997"/>
      <c r="O293" s="1997"/>
      <c r="P293" s="1986"/>
      <c r="Q293" s="1060"/>
      <c r="R293" s="1030"/>
      <c r="S293" s="1030"/>
      <c r="T293" s="1986"/>
      <c r="U293" s="1357" t="s">
        <v>867</v>
      </c>
      <c r="V293" s="1054">
        <v>41942</v>
      </c>
      <c r="W293" s="1053">
        <v>11443</v>
      </c>
      <c r="X293" s="1060" t="s">
        <v>2095</v>
      </c>
      <c r="Y293" s="1054">
        <v>41974</v>
      </c>
      <c r="Z293" s="1054">
        <v>42094</v>
      </c>
      <c r="AA293" s="1030"/>
      <c r="AB293" s="1030"/>
      <c r="AC293" s="266"/>
      <c r="AD293" s="1030"/>
      <c r="AE293" s="2003"/>
      <c r="AF293" s="278"/>
      <c r="AG293" s="2283"/>
      <c r="AH293" s="2283"/>
      <c r="AI293" s="339"/>
      <c r="AJ293" s="339"/>
      <c r="AK293" s="107"/>
      <c r="AL293" s="107"/>
      <c r="AM293" s="1092"/>
      <c r="AN293" s="107"/>
      <c r="AO293" s="107"/>
      <c r="AP293" s="107"/>
      <c r="AQ293" s="107"/>
      <c r="AR293" s="107"/>
      <c r="AS293" s="1986"/>
      <c r="AT293" s="2164"/>
      <c r="AU293" s="1054">
        <v>41944</v>
      </c>
      <c r="AV293" s="1059">
        <v>42034</v>
      </c>
      <c r="AW293" s="1030"/>
      <c r="AX293" s="1030"/>
      <c r="AY293" s="1997"/>
      <c r="AZ293" s="1986"/>
      <c r="BA293" s="1986"/>
      <c r="BB293" s="1030"/>
      <c r="BC293" s="1030"/>
      <c r="BD293" s="1030"/>
    </row>
    <row r="294" spans="1:56" ht="38.25" x14ac:dyDescent="0.25">
      <c r="A294" s="1492">
        <v>172</v>
      </c>
      <c r="B294" s="1483" t="s">
        <v>2096</v>
      </c>
      <c r="C294" s="1030" t="s">
        <v>1759</v>
      </c>
      <c r="D294" s="518" t="s">
        <v>935</v>
      </c>
      <c r="E294" s="1060" t="s">
        <v>1358</v>
      </c>
      <c r="F294" s="518" t="s">
        <v>821</v>
      </c>
      <c r="G294" s="1178">
        <v>11290</v>
      </c>
      <c r="H294" s="1031" t="s">
        <v>2097</v>
      </c>
      <c r="I294" s="518" t="s">
        <v>1825</v>
      </c>
      <c r="J294" s="1060" t="s">
        <v>789</v>
      </c>
      <c r="K294" s="1054">
        <v>41800</v>
      </c>
      <c r="L294" s="1061">
        <v>32463.5</v>
      </c>
      <c r="M294" s="1053">
        <v>11326</v>
      </c>
      <c r="N294" s="1054">
        <v>41800</v>
      </c>
      <c r="O294" s="1054">
        <v>42004</v>
      </c>
      <c r="P294" s="1060" t="s">
        <v>1320</v>
      </c>
      <c r="Q294" s="1060"/>
      <c r="R294" s="1030"/>
      <c r="S294" s="1030"/>
      <c r="T294" s="1060" t="s">
        <v>1946</v>
      </c>
      <c r="U294" s="1357"/>
      <c r="V294" s="1054"/>
      <c r="W294" s="1030"/>
      <c r="X294" s="1060"/>
      <c r="Y294" s="1054"/>
      <c r="Z294" s="1054"/>
      <c r="AA294" s="1030"/>
      <c r="AB294" s="1030"/>
      <c r="AC294" s="266"/>
      <c r="AD294" s="1030"/>
      <c r="AE294" s="1061">
        <v>32463.5</v>
      </c>
      <c r="AF294" s="278"/>
      <c r="AG294" s="278">
        <v>32463.5</v>
      </c>
      <c r="AH294" s="604">
        <f t="shared" si="11"/>
        <v>32463.5</v>
      </c>
      <c r="AI294" s="339"/>
      <c r="AJ294" s="339"/>
      <c r="AK294" s="107"/>
      <c r="AL294" s="107"/>
      <c r="AM294" s="1092"/>
      <c r="AN294" s="107"/>
      <c r="AO294" s="107"/>
      <c r="AP294" s="107"/>
      <c r="AQ294" s="107"/>
      <c r="AR294" s="107"/>
      <c r="AS294" s="1030"/>
      <c r="AT294" s="1030"/>
      <c r="AU294" s="1030"/>
      <c r="AV294" s="1030"/>
      <c r="AW294" s="1030"/>
      <c r="AX294" s="1030"/>
      <c r="AY294" s="1030"/>
      <c r="AZ294" s="1030"/>
      <c r="BA294" s="1030"/>
      <c r="BB294" s="1030"/>
      <c r="BC294" s="1030"/>
      <c r="BD294" s="1030"/>
    </row>
    <row r="295" spans="1:56" ht="38.25" x14ac:dyDescent="0.25">
      <c r="A295" s="1492">
        <v>173</v>
      </c>
      <c r="B295" s="2222" t="s">
        <v>2098</v>
      </c>
      <c r="C295" s="1985" t="s">
        <v>1210</v>
      </c>
      <c r="D295" s="2233" t="s">
        <v>935</v>
      </c>
      <c r="E295" s="2233" t="s">
        <v>1358</v>
      </c>
      <c r="F295" s="2233" t="s">
        <v>1177</v>
      </c>
      <c r="G295" s="2177">
        <v>11264</v>
      </c>
      <c r="H295" s="1031" t="s">
        <v>2099</v>
      </c>
      <c r="I295" s="518" t="s">
        <v>1178</v>
      </c>
      <c r="J295" s="1060" t="s">
        <v>1179</v>
      </c>
      <c r="K295" s="1054">
        <v>41815</v>
      </c>
      <c r="L295" s="1061">
        <v>51000</v>
      </c>
      <c r="M295" s="1994">
        <v>11338</v>
      </c>
      <c r="N295" s="1054">
        <v>41815</v>
      </c>
      <c r="O295" s="1054">
        <v>42004</v>
      </c>
      <c r="P295" s="1060" t="s">
        <v>1320</v>
      </c>
      <c r="Q295" s="1985"/>
      <c r="R295" s="1985"/>
      <c r="S295" s="1985"/>
      <c r="T295" s="1060" t="s">
        <v>2054</v>
      </c>
      <c r="U295" s="1060"/>
      <c r="V295" s="1060"/>
      <c r="W295" s="1060"/>
      <c r="X295" s="1060"/>
      <c r="Y295" s="1060"/>
      <c r="Z295" s="1060"/>
      <c r="AA295" s="1060"/>
      <c r="AB295" s="1060"/>
      <c r="AC295" s="1060"/>
      <c r="AD295" s="1060"/>
      <c r="AE295" s="1061">
        <v>51000</v>
      </c>
      <c r="AF295" s="1985"/>
      <c r="AG295" s="278"/>
      <c r="AH295" s="604">
        <f t="shared" si="11"/>
        <v>0</v>
      </c>
      <c r="AI295" s="339"/>
      <c r="AJ295" s="339"/>
      <c r="AK295" s="107"/>
      <c r="AL295" s="107"/>
      <c r="AM295" s="1092"/>
      <c r="AN295" s="107"/>
      <c r="AO295" s="107"/>
      <c r="AP295" s="107"/>
      <c r="AQ295" s="107"/>
      <c r="AR295" s="107"/>
      <c r="AS295" s="1030"/>
      <c r="AT295" s="1030"/>
      <c r="AU295" s="1030"/>
      <c r="AV295" s="1030"/>
      <c r="AW295" s="1030"/>
      <c r="AX295" s="1030"/>
      <c r="AY295" s="1030"/>
      <c r="AZ295" s="1030"/>
      <c r="BA295" s="1030"/>
      <c r="BB295" s="1030"/>
      <c r="BC295" s="1030"/>
      <c r="BD295" s="1030"/>
    </row>
    <row r="296" spans="1:56" ht="25.5" x14ac:dyDescent="0.25">
      <c r="A296" s="1492">
        <v>174</v>
      </c>
      <c r="B296" s="2223"/>
      <c r="C296" s="2021"/>
      <c r="D296" s="2252"/>
      <c r="E296" s="2252"/>
      <c r="F296" s="2252"/>
      <c r="G296" s="2180"/>
      <c r="H296" s="1031" t="s">
        <v>2100</v>
      </c>
      <c r="I296" s="518" t="s">
        <v>2101</v>
      </c>
      <c r="J296" s="1060" t="s">
        <v>2102</v>
      </c>
      <c r="K296" s="1054">
        <v>41815</v>
      </c>
      <c r="L296" s="1061">
        <v>19969</v>
      </c>
      <c r="M296" s="2197"/>
      <c r="N296" s="1054">
        <v>41815</v>
      </c>
      <c r="O296" s="1054">
        <v>42004</v>
      </c>
      <c r="P296" s="1060" t="s">
        <v>1320</v>
      </c>
      <c r="Q296" s="2021"/>
      <c r="R296" s="2021"/>
      <c r="S296" s="2021"/>
      <c r="T296" s="1060" t="s">
        <v>2054</v>
      </c>
      <c r="U296" s="1060"/>
      <c r="V296" s="1060"/>
      <c r="W296" s="1060"/>
      <c r="X296" s="1060"/>
      <c r="Y296" s="1060"/>
      <c r="Z296" s="1060"/>
      <c r="AA296" s="1060"/>
      <c r="AB296" s="1060"/>
      <c r="AC296" s="1060"/>
      <c r="AD296" s="1060"/>
      <c r="AE296" s="1061">
        <v>19969</v>
      </c>
      <c r="AF296" s="2021"/>
      <c r="AG296" s="278">
        <v>19620</v>
      </c>
      <c r="AH296" s="604">
        <f t="shared" si="11"/>
        <v>19620</v>
      </c>
      <c r="AI296" s="339"/>
      <c r="AJ296" s="339"/>
      <c r="AK296" s="107"/>
      <c r="AL296" s="107"/>
      <c r="AM296" s="1092"/>
      <c r="AN296" s="107"/>
      <c r="AO296" s="107"/>
      <c r="AP296" s="107"/>
      <c r="AQ296" s="107"/>
      <c r="AR296" s="107"/>
      <c r="AS296" s="1030"/>
      <c r="AT296" s="1030"/>
      <c r="AU296" s="1030"/>
      <c r="AV296" s="1030"/>
      <c r="AW296" s="1030"/>
      <c r="AX296" s="1030"/>
      <c r="AY296" s="1030"/>
      <c r="AZ296" s="1030"/>
      <c r="BA296" s="1030"/>
      <c r="BB296" s="1030"/>
      <c r="BC296" s="1030"/>
      <c r="BD296" s="1030"/>
    </row>
    <row r="297" spans="1:56" ht="25.5" x14ac:dyDescent="0.25">
      <c r="A297" s="1492">
        <v>175</v>
      </c>
      <c r="B297" s="2223"/>
      <c r="C297" s="2021"/>
      <c r="D297" s="2252"/>
      <c r="E297" s="2252"/>
      <c r="F297" s="2252"/>
      <c r="G297" s="2180"/>
      <c r="H297" s="1031" t="s">
        <v>2103</v>
      </c>
      <c r="I297" s="518" t="s">
        <v>2104</v>
      </c>
      <c r="J297" s="1060" t="s">
        <v>452</v>
      </c>
      <c r="K297" s="1054">
        <v>41815</v>
      </c>
      <c r="L297" s="1061">
        <v>355240.5</v>
      </c>
      <c r="M297" s="1995"/>
      <c r="N297" s="1054">
        <v>41815</v>
      </c>
      <c r="O297" s="1054">
        <v>42004</v>
      </c>
      <c r="P297" s="1060" t="s">
        <v>1320</v>
      </c>
      <c r="Q297" s="2021"/>
      <c r="R297" s="2021"/>
      <c r="S297" s="2021"/>
      <c r="T297" s="1060" t="s">
        <v>2054</v>
      </c>
      <c r="U297" s="1060"/>
      <c r="V297" s="1060"/>
      <c r="W297" s="1060"/>
      <c r="X297" s="1060"/>
      <c r="Y297" s="1060"/>
      <c r="Z297" s="1060"/>
      <c r="AA297" s="1060"/>
      <c r="AB297" s="1060"/>
      <c r="AC297" s="1060"/>
      <c r="AD297" s="1060"/>
      <c r="AE297" s="1061">
        <v>355240.5</v>
      </c>
      <c r="AF297" s="2021"/>
      <c r="AG297" s="278">
        <v>176731.5</v>
      </c>
      <c r="AH297" s="604">
        <f t="shared" si="11"/>
        <v>176731.5</v>
      </c>
      <c r="AI297" s="339"/>
      <c r="AJ297" s="339"/>
      <c r="AK297" s="107"/>
      <c r="AL297" s="107"/>
      <c r="AM297" s="1092"/>
      <c r="AN297" s="107"/>
      <c r="AO297" s="107"/>
      <c r="AP297" s="107"/>
      <c r="AQ297" s="107"/>
      <c r="AR297" s="107"/>
      <c r="AS297" s="1030"/>
      <c r="AT297" s="1030"/>
      <c r="AU297" s="1030"/>
      <c r="AV297" s="1030"/>
      <c r="AW297" s="1030"/>
      <c r="AX297" s="1030"/>
      <c r="AY297" s="1030"/>
      <c r="AZ297" s="1030"/>
      <c r="BA297" s="1030"/>
      <c r="BB297" s="1030"/>
      <c r="BC297" s="1030"/>
      <c r="BD297" s="1030"/>
    </row>
    <row r="298" spans="1:56" ht="25.5" x14ac:dyDescent="0.25">
      <c r="A298" s="1492">
        <v>176</v>
      </c>
      <c r="B298" s="2223"/>
      <c r="C298" s="2021"/>
      <c r="D298" s="2252"/>
      <c r="E298" s="2252"/>
      <c r="F298" s="2252"/>
      <c r="G298" s="2180"/>
      <c r="H298" s="1031" t="s">
        <v>2105</v>
      </c>
      <c r="I298" s="518" t="s">
        <v>2106</v>
      </c>
      <c r="J298" s="1060" t="s">
        <v>2107</v>
      </c>
      <c r="K298" s="1054">
        <v>41815</v>
      </c>
      <c r="L298" s="1061">
        <v>23000</v>
      </c>
      <c r="M298" s="1053">
        <v>11343</v>
      </c>
      <c r="N298" s="1054">
        <v>41815</v>
      </c>
      <c r="O298" s="1054">
        <v>42004</v>
      </c>
      <c r="P298" s="1060" t="s">
        <v>1320</v>
      </c>
      <c r="Q298" s="2021"/>
      <c r="R298" s="2021"/>
      <c r="S298" s="2021"/>
      <c r="T298" s="1060" t="s">
        <v>2054</v>
      </c>
      <c r="U298" s="1060"/>
      <c r="V298" s="1060"/>
      <c r="W298" s="1060"/>
      <c r="X298" s="1060"/>
      <c r="Y298" s="1060"/>
      <c r="Z298" s="1060"/>
      <c r="AA298" s="1060"/>
      <c r="AB298" s="1060"/>
      <c r="AC298" s="1060"/>
      <c r="AD298" s="1060"/>
      <c r="AE298" s="1061">
        <v>23000</v>
      </c>
      <c r="AF298" s="2021"/>
      <c r="AG298" s="278">
        <v>8900</v>
      </c>
      <c r="AH298" s="604">
        <f t="shared" si="11"/>
        <v>8900</v>
      </c>
      <c r="AI298" s="339"/>
      <c r="AJ298" s="339"/>
      <c r="AK298" s="107"/>
      <c r="AL298" s="107"/>
      <c r="AM298" s="1092"/>
      <c r="AN298" s="107"/>
      <c r="AO298" s="107"/>
      <c r="AP298" s="107"/>
      <c r="AQ298" s="107"/>
      <c r="AR298" s="107"/>
      <c r="AS298" s="1030"/>
      <c r="AT298" s="1030"/>
      <c r="AU298" s="1030"/>
      <c r="AV298" s="1030"/>
      <c r="AW298" s="1030"/>
      <c r="AX298" s="1030"/>
      <c r="AY298" s="1030"/>
      <c r="AZ298" s="1030"/>
      <c r="BA298" s="1030"/>
      <c r="BB298" s="1030"/>
      <c r="BC298" s="1030"/>
      <c r="BD298" s="1030"/>
    </row>
    <row r="299" spans="1:56" ht="25.5" x14ac:dyDescent="0.25">
      <c r="A299" s="1492">
        <v>177</v>
      </c>
      <c r="B299" s="2223"/>
      <c r="C299" s="2021"/>
      <c r="D299" s="2252"/>
      <c r="E299" s="2252"/>
      <c r="F299" s="2252"/>
      <c r="G299" s="2180"/>
      <c r="H299" s="1031" t="s">
        <v>2108</v>
      </c>
      <c r="I299" s="518" t="s">
        <v>1760</v>
      </c>
      <c r="J299" s="1060" t="s">
        <v>1761</v>
      </c>
      <c r="K299" s="1054">
        <v>41815</v>
      </c>
      <c r="L299" s="1061">
        <v>4439</v>
      </c>
      <c r="M299" s="1053">
        <v>11338</v>
      </c>
      <c r="N299" s="1054">
        <v>41815</v>
      </c>
      <c r="O299" s="1054">
        <v>42004</v>
      </c>
      <c r="P299" s="1060" t="s">
        <v>1320</v>
      </c>
      <c r="Q299" s="2021"/>
      <c r="R299" s="2021"/>
      <c r="S299" s="2021"/>
      <c r="T299" s="1060" t="s">
        <v>2054</v>
      </c>
      <c r="U299" s="1060"/>
      <c r="V299" s="1060"/>
      <c r="W299" s="1060"/>
      <c r="X299" s="1060"/>
      <c r="Y299" s="1060"/>
      <c r="Z299" s="1060"/>
      <c r="AA299" s="1060"/>
      <c r="AB299" s="1060"/>
      <c r="AC299" s="1060"/>
      <c r="AD299" s="1060"/>
      <c r="AE299" s="1061">
        <v>4439</v>
      </c>
      <c r="AF299" s="2021"/>
      <c r="AG299" s="278"/>
      <c r="AH299" s="604">
        <f t="shared" si="11"/>
        <v>0</v>
      </c>
      <c r="AI299" s="339"/>
      <c r="AJ299" s="339"/>
      <c r="AK299" s="107"/>
      <c r="AL299" s="107"/>
      <c r="AM299" s="1092"/>
      <c r="AN299" s="107"/>
      <c r="AO299" s="107"/>
      <c r="AP299" s="107"/>
      <c r="AQ299" s="107"/>
      <c r="AR299" s="107"/>
      <c r="AS299" s="1030"/>
      <c r="AT299" s="1030"/>
      <c r="AU299" s="1030"/>
      <c r="AV299" s="1030"/>
      <c r="AW299" s="1030"/>
      <c r="AX299" s="1030"/>
      <c r="AY299" s="1030"/>
      <c r="AZ299" s="1030"/>
      <c r="BA299" s="1030"/>
      <c r="BB299" s="1030"/>
      <c r="BC299" s="1030"/>
      <c r="BD299" s="1030"/>
    </row>
    <row r="300" spans="1:56" ht="38.25" x14ac:dyDescent="0.25">
      <c r="A300" s="1492">
        <v>178</v>
      </c>
      <c r="B300" s="2223"/>
      <c r="C300" s="2021"/>
      <c r="D300" s="2252"/>
      <c r="E300" s="2252"/>
      <c r="F300" s="2252"/>
      <c r="G300" s="2180"/>
      <c r="H300" s="1031" t="s">
        <v>2109</v>
      </c>
      <c r="I300" s="518" t="s">
        <v>2110</v>
      </c>
      <c r="J300" s="1060" t="s">
        <v>2111</v>
      </c>
      <c r="K300" s="1054">
        <v>41815</v>
      </c>
      <c r="L300" s="1061">
        <v>56200</v>
      </c>
      <c r="M300" s="1994">
        <v>11344</v>
      </c>
      <c r="N300" s="1054">
        <v>41815</v>
      </c>
      <c r="O300" s="1054">
        <v>42004</v>
      </c>
      <c r="P300" s="1060" t="s">
        <v>1320</v>
      </c>
      <c r="Q300" s="2021"/>
      <c r="R300" s="2021"/>
      <c r="S300" s="2021"/>
      <c r="T300" s="1060" t="s">
        <v>2054</v>
      </c>
      <c r="U300" s="1060"/>
      <c r="V300" s="1060"/>
      <c r="W300" s="1060"/>
      <c r="X300" s="1060"/>
      <c r="Y300" s="1060"/>
      <c r="Z300" s="1060"/>
      <c r="AA300" s="1060"/>
      <c r="AB300" s="1060"/>
      <c r="AC300" s="1060"/>
      <c r="AD300" s="1060"/>
      <c r="AE300" s="1061">
        <v>56200</v>
      </c>
      <c r="AF300" s="2021"/>
      <c r="AG300" s="278">
        <v>38270</v>
      </c>
      <c r="AH300" s="604">
        <f t="shared" si="11"/>
        <v>38270</v>
      </c>
      <c r="AI300" s="339"/>
      <c r="AJ300" s="339"/>
      <c r="AK300" s="107"/>
      <c r="AL300" s="107"/>
      <c r="AM300" s="1092"/>
      <c r="AN300" s="107"/>
      <c r="AO300" s="107"/>
      <c r="AP300" s="107"/>
      <c r="AQ300" s="107"/>
      <c r="AR300" s="107"/>
      <c r="AS300" s="1030"/>
      <c r="AT300" s="1030"/>
      <c r="AU300" s="1030"/>
      <c r="AV300" s="1030"/>
      <c r="AW300" s="1030"/>
      <c r="AX300" s="1030"/>
      <c r="AY300" s="1030"/>
      <c r="AZ300" s="1030"/>
      <c r="BA300" s="1030"/>
      <c r="BB300" s="1030"/>
      <c r="BC300" s="1030"/>
      <c r="BD300" s="1030"/>
    </row>
    <row r="301" spans="1:56" ht="25.5" x14ac:dyDescent="0.25">
      <c r="A301" s="1492">
        <v>179</v>
      </c>
      <c r="B301" s="2224"/>
      <c r="C301" s="1986"/>
      <c r="D301" s="2234"/>
      <c r="E301" s="2234"/>
      <c r="F301" s="2234"/>
      <c r="G301" s="2178"/>
      <c r="H301" s="1031" t="s">
        <v>2112</v>
      </c>
      <c r="I301" s="518" t="s">
        <v>2113</v>
      </c>
      <c r="J301" s="1060" t="s">
        <v>407</v>
      </c>
      <c r="K301" s="1054">
        <v>41815</v>
      </c>
      <c r="L301" s="1061">
        <v>56304</v>
      </c>
      <c r="M301" s="1995"/>
      <c r="N301" s="1054">
        <v>41815</v>
      </c>
      <c r="O301" s="1054">
        <v>42004</v>
      </c>
      <c r="P301" s="1060" t="s">
        <v>1320</v>
      </c>
      <c r="Q301" s="1986"/>
      <c r="R301" s="1986"/>
      <c r="S301" s="1986"/>
      <c r="T301" s="1060" t="s">
        <v>2054</v>
      </c>
      <c r="U301" s="1060"/>
      <c r="V301" s="1060"/>
      <c r="W301" s="1060"/>
      <c r="X301" s="1060"/>
      <c r="Y301" s="1060"/>
      <c r="Z301" s="1060"/>
      <c r="AA301" s="1060"/>
      <c r="AB301" s="1060"/>
      <c r="AC301" s="1060"/>
      <c r="AD301" s="1060"/>
      <c r="AE301" s="1061">
        <v>56304</v>
      </c>
      <c r="AF301" s="1986"/>
      <c r="AG301" s="278">
        <v>52010</v>
      </c>
      <c r="AH301" s="604">
        <f t="shared" si="11"/>
        <v>52010</v>
      </c>
      <c r="AI301" s="339"/>
      <c r="AJ301" s="339"/>
      <c r="AK301" s="107"/>
      <c r="AL301" s="107"/>
      <c r="AM301" s="1092"/>
      <c r="AN301" s="107"/>
      <c r="AO301" s="107"/>
      <c r="AP301" s="107"/>
      <c r="AQ301" s="107"/>
      <c r="AR301" s="107"/>
      <c r="AS301" s="1030"/>
      <c r="AT301" s="1030"/>
      <c r="AU301" s="1030"/>
      <c r="AV301" s="1030"/>
      <c r="AW301" s="1030"/>
      <c r="AX301" s="1030"/>
      <c r="AY301" s="1030"/>
      <c r="AZ301" s="1030"/>
      <c r="BA301" s="1030"/>
      <c r="BB301" s="1030"/>
      <c r="BC301" s="1030"/>
      <c r="BD301" s="1030"/>
    </row>
    <row r="302" spans="1:56" ht="45" customHeight="1" x14ac:dyDescent="0.25">
      <c r="A302" s="2285">
        <v>180</v>
      </c>
      <c r="B302" s="2194" t="s">
        <v>2114</v>
      </c>
      <c r="C302" s="1985" t="s">
        <v>675</v>
      </c>
      <c r="D302" s="1985" t="s">
        <v>935</v>
      </c>
      <c r="E302" s="1985" t="s">
        <v>1358</v>
      </c>
      <c r="F302" s="1985" t="s">
        <v>2115</v>
      </c>
      <c r="G302" s="2177">
        <v>11211</v>
      </c>
      <c r="H302" s="1991" t="s">
        <v>2116</v>
      </c>
      <c r="I302" s="1985" t="s">
        <v>2117</v>
      </c>
      <c r="J302" s="1985" t="s">
        <v>1011</v>
      </c>
      <c r="K302" s="1996">
        <v>41821</v>
      </c>
      <c r="L302" s="2002">
        <v>175200</v>
      </c>
      <c r="M302" s="1994">
        <v>11353</v>
      </c>
      <c r="N302" s="1996">
        <v>41821</v>
      </c>
      <c r="O302" s="1996">
        <v>42004</v>
      </c>
      <c r="P302" s="1985" t="s">
        <v>1320</v>
      </c>
      <c r="Q302" s="1985"/>
      <c r="R302" s="1985"/>
      <c r="S302" s="1985"/>
      <c r="T302" s="1985" t="s">
        <v>719</v>
      </c>
      <c r="U302" s="1357"/>
      <c r="V302" s="1054"/>
      <c r="W302" s="1030"/>
      <c r="X302" s="1060"/>
      <c r="Y302" s="1054"/>
      <c r="Z302" s="1054"/>
      <c r="AA302" s="1030"/>
      <c r="AB302" s="1030"/>
      <c r="AC302" s="266"/>
      <c r="AD302" s="1030"/>
      <c r="AE302" s="2002">
        <f>175200-AD303+AC303</f>
        <v>212202.23999999999</v>
      </c>
      <c r="AF302" s="2282"/>
      <c r="AG302" s="2282">
        <v>181163.1</v>
      </c>
      <c r="AH302" s="2282">
        <f t="shared" si="11"/>
        <v>181163.1</v>
      </c>
      <c r="AI302" s="339"/>
      <c r="AJ302" s="339"/>
      <c r="AK302" s="107"/>
      <c r="AL302" s="107"/>
      <c r="AM302" s="1092"/>
      <c r="AN302" s="107"/>
      <c r="AO302" s="107"/>
      <c r="AP302" s="107"/>
      <c r="AQ302" s="107"/>
      <c r="AR302" s="107"/>
      <c r="AS302" s="1030"/>
      <c r="AT302" s="1030"/>
      <c r="AU302" s="1030"/>
      <c r="AV302" s="1030"/>
      <c r="AW302" s="1030"/>
      <c r="AX302" s="1030"/>
      <c r="AY302" s="1030"/>
      <c r="AZ302" s="1030"/>
      <c r="BA302" s="1030"/>
      <c r="BB302" s="1030"/>
      <c r="BC302" s="1030"/>
      <c r="BD302" s="1030"/>
    </row>
    <row r="303" spans="1:56" ht="51" x14ac:dyDescent="0.25">
      <c r="A303" s="2286"/>
      <c r="B303" s="2196"/>
      <c r="C303" s="1986"/>
      <c r="D303" s="1986"/>
      <c r="E303" s="1986"/>
      <c r="F303" s="1986"/>
      <c r="G303" s="2178"/>
      <c r="H303" s="1992"/>
      <c r="I303" s="1986"/>
      <c r="J303" s="1986"/>
      <c r="K303" s="1997"/>
      <c r="L303" s="2003"/>
      <c r="M303" s="1995"/>
      <c r="N303" s="1997"/>
      <c r="O303" s="1997"/>
      <c r="P303" s="1986"/>
      <c r="Q303" s="1986"/>
      <c r="R303" s="1986"/>
      <c r="S303" s="1986"/>
      <c r="T303" s="1986"/>
      <c r="U303" s="1357" t="s">
        <v>867</v>
      </c>
      <c r="V303" s="1054">
        <v>41962</v>
      </c>
      <c r="W303" s="1053">
        <v>11457</v>
      </c>
      <c r="X303" s="1060" t="s">
        <v>2118</v>
      </c>
      <c r="Y303" s="1054"/>
      <c r="Z303" s="1054"/>
      <c r="AA303" s="1030">
        <v>21.12</v>
      </c>
      <c r="AB303" s="1030"/>
      <c r="AC303" s="266">
        <v>37002.239999999998</v>
      </c>
      <c r="AD303" s="1030"/>
      <c r="AE303" s="2003"/>
      <c r="AF303" s="2283"/>
      <c r="AG303" s="2283"/>
      <c r="AH303" s="2283"/>
      <c r="AI303" s="339"/>
      <c r="AJ303" s="339"/>
      <c r="AK303" s="107"/>
      <c r="AL303" s="107"/>
      <c r="AM303" s="1092"/>
      <c r="AN303" s="107"/>
      <c r="AO303" s="107"/>
      <c r="AP303" s="107"/>
      <c r="AQ303" s="107"/>
      <c r="AR303" s="107"/>
      <c r="AS303" s="1030"/>
      <c r="AT303" s="1030"/>
      <c r="AU303" s="1030"/>
      <c r="AV303" s="1030"/>
      <c r="AW303" s="1030"/>
      <c r="AX303" s="1030"/>
      <c r="AY303" s="1030"/>
      <c r="AZ303" s="1030"/>
      <c r="BA303" s="1030"/>
      <c r="BB303" s="1030"/>
      <c r="BC303" s="1030"/>
      <c r="BD303" s="1030"/>
    </row>
    <row r="304" spans="1:56" ht="63.75" x14ac:dyDescent="0.25">
      <c r="A304" s="1492">
        <v>181</v>
      </c>
      <c r="B304" s="1483" t="s">
        <v>1940</v>
      </c>
      <c r="C304" s="1030" t="s">
        <v>1941</v>
      </c>
      <c r="D304" s="518" t="s">
        <v>935</v>
      </c>
      <c r="E304" s="1060" t="s">
        <v>1358</v>
      </c>
      <c r="F304" s="518" t="s">
        <v>1942</v>
      </c>
      <c r="G304" s="1178">
        <v>11193</v>
      </c>
      <c r="H304" s="1031" t="s">
        <v>2119</v>
      </c>
      <c r="I304" s="518" t="s">
        <v>1967</v>
      </c>
      <c r="J304" s="1060" t="s">
        <v>743</v>
      </c>
      <c r="K304" s="1054">
        <v>41822</v>
      </c>
      <c r="L304" s="1061">
        <v>3132</v>
      </c>
      <c r="M304" s="1053">
        <v>11345</v>
      </c>
      <c r="N304" s="1054">
        <v>41822</v>
      </c>
      <c r="O304" s="1054">
        <v>42004</v>
      </c>
      <c r="P304" s="1060" t="s">
        <v>2120</v>
      </c>
      <c r="Q304" s="1060" t="s">
        <v>2120</v>
      </c>
      <c r="R304" s="1061">
        <v>3132</v>
      </c>
      <c r="S304" s="1030"/>
      <c r="T304" s="1060" t="s">
        <v>1946</v>
      </c>
      <c r="U304" s="1357"/>
      <c r="V304" s="1054"/>
      <c r="W304" s="1030"/>
      <c r="X304" s="1060"/>
      <c r="Y304" s="1054"/>
      <c r="Z304" s="1054"/>
      <c r="AA304" s="1030"/>
      <c r="AB304" s="1030"/>
      <c r="AC304" s="266"/>
      <c r="AD304" s="1030"/>
      <c r="AE304" s="1061">
        <v>3132</v>
      </c>
      <c r="AF304" s="278"/>
      <c r="AG304" s="278"/>
      <c r="AH304" s="604">
        <f t="shared" si="11"/>
        <v>0</v>
      </c>
      <c r="AI304" s="339"/>
      <c r="AJ304" s="339"/>
      <c r="AK304" s="107"/>
      <c r="AL304" s="107"/>
      <c r="AM304" s="1092"/>
      <c r="AN304" s="107"/>
      <c r="AO304" s="107"/>
      <c r="AP304" s="107"/>
      <c r="AQ304" s="107"/>
      <c r="AR304" s="107"/>
      <c r="AS304" s="1030"/>
      <c r="AT304" s="1030"/>
      <c r="AU304" s="1030"/>
      <c r="AV304" s="1030"/>
      <c r="AW304" s="1030"/>
      <c r="AX304" s="1030"/>
      <c r="AY304" s="1030"/>
      <c r="AZ304" s="1030"/>
      <c r="BA304" s="1030"/>
      <c r="BB304" s="1030"/>
      <c r="BC304" s="1030"/>
      <c r="BD304" s="1030"/>
    </row>
    <row r="305" spans="1:56" ht="51" x14ac:dyDescent="0.25">
      <c r="A305" s="1492">
        <v>182</v>
      </c>
      <c r="B305" s="1483" t="s">
        <v>2121</v>
      </c>
      <c r="C305" s="1030" t="s">
        <v>2122</v>
      </c>
      <c r="D305" s="518" t="s">
        <v>935</v>
      </c>
      <c r="E305" s="1060" t="s">
        <v>168</v>
      </c>
      <c r="F305" s="1060" t="s">
        <v>2123</v>
      </c>
      <c r="G305" s="1053">
        <v>11151</v>
      </c>
      <c r="H305" s="1060" t="s">
        <v>2124</v>
      </c>
      <c r="I305" s="1060" t="s">
        <v>2110</v>
      </c>
      <c r="J305" s="1060" t="s">
        <v>2111</v>
      </c>
      <c r="K305" s="1059">
        <v>41823</v>
      </c>
      <c r="L305" s="1061">
        <v>2642</v>
      </c>
      <c r="M305" s="1053">
        <v>11344</v>
      </c>
      <c r="N305" s="1059">
        <v>41823</v>
      </c>
      <c r="O305" s="1059">
        <v>42004</v>
      </c>
      <c r="P305" s="1060" t="s">
        <v>1534</v>
      </c>
      <c r="Q305" s="1060"/>
      <c r="R305" s="1060"/>
      <c r="S305" s="1060"/>
      <c r="T305" s="1060" t="s">
        <v>719</v>
      </c>
      <c r="U305" s="1060"/>
      <c r="V305" s="1060"/>
      <c r="W305" s="1060"/>
      <c r="X305" s="1060"/>
      <c r="Y305" s="1060"/>
      <c r="Z305" s="1060"/>
      <c r="AA305" s="1060"/>
      <c r="AB305" s="1060"/>
      <c r="AC305" s="1060"/>
      <c r="AD305" s="1060"/>
      <c r="AE305" s="1061">
        <v>2642</v>
      </c>
      <c r="AF305" s="1060"/>
      <c r="AG305" s="278">
        <v>570</v>
      </c>
      <c r="AH305" s="604">
        <f t="shared" si="11"/>
        <v>570</v>
      </c>
      <c r="AI305" s="1060"/>
      <c r="AJ305" s="1060"/>
      <c r="AK305" s="1060"/>
      <c r="AL305" s="1060"/>
      <c r="AM305" s="1060"/>
      <c r="AN305" s="1060"/>
      <c r="AO305" s="1060"/>
      <c r="AP305" s="1060"/>
      <c r="AQ305" s="1060"/>
      <c r="AR305" s="1060"/>
      <c r="AS305" s="1060"/>
      <c r="AT305" s="1060"/>
      <c r="AU305" s="1060"/>
      <c r="AV305" s="1060"/>
      <c r="AW305" s="1060"/>
      <c r="AX305" s="1060"/>
      <c r="AY305" s="1060"/>
      <c r="AZ305" s="1060"/>
      <c r="BA305" s="1060"/>
      <c r="BB305" s="1060"/>
      <c r="BC305" s="1060"/>
      <c r="BD305" s="1060"/>
    </row>
    <row r="306" spans="1:56" ht="51" x14ac:dyDescent="0.25">
      <c r="A306" s="1492">
        <v>183</v>
      </c>
      <c r="B306" s="1483" t="s">
        <v>2121</v>
      </c>
      <c r="C306" s="1030" t="s">
        <v>2122</v>
      </c>
      <c r="D306" s="518" t="s">
        <v>935</v>
      </c>
      <c r="E306" s="1060" t="s">
        <v>168</v>
      </c>
      <c r="F306" s="1060" t="s">
        <v>2123</v>
      </c>
      <c r="G306" s="1053">
        <v>11151</v>
      </c>
      <c r="H306" s="1030" t="s">
        <v>2125</v>
      </c>
      <c r="I306" s="1060" t="s">
        <v>2126</v>
      </c>
      <c r="J306" s="1060" t="s">
        <v>2127</v>
      </c>
      <c r="K306" s="1059">
        <v>41823</v>
      </c>
      <c r="L306" s="1061">
        <v>330453</v>
      </c>
      <c r="M306" s="1053">
        <v>11348</v>
      </c>
      <c r="N306" s="1059">
        <v>41823</v>
      </c>
      <c r="O306" s="1059">
        <v>42004</v>
      </c>
      <c r="P306" s="1060" t="s">
        <v>1534</v>
      </c>
      <c r="Q306" s="1060"/>
      <c r="R306" s="1060"/>
      <c r="S306" s="1060"/>
      <c r="T306" s="1060" t="s">
        <v>719</v>
      </c>
      <c r="U306" s="1030"/>
      <c r="V306" s="1030"/>
      <c r="W306" s="1030"/>
      <c r="X306" s="1030"/>
      <c r="Y306" s="1030"/>
      <c r="Z306" s="1030"/>
      <c r="AA306" s="1030"/>
      <c r="AB306" s="1030"/>
      <c r="AC306" s="1030"/>
      <c r="AD306" s="1030"/>
      <c r="AE306" s="1061">
        <v>330453</v>
      </c>
      <c r="AF306" s="1030"/>
      <c r="AG306" s="278">
        <v>102670</v>
      </c>
      <c r="AH306" s="604">
        <f t="shared" si="11"/>
        <v>102670</v>
      </c>
      <c r="AI306" s="1030"/>
      <c r="AJ306" s="1030"/>
      <c r="AK306" s="1030"/>
      <c r="AL306" s="1030"/>
      <c r="AM306" s="1030"/>
      <c r="AN306" s="1030"/>
      <c r="AO306" s="1030"/>
      <c r="AP306" s="1030"/>
      <c r="AQ306" s="1030"/>
      <c r="AR306" s="1030"/>
      <c r="AS306" s="1030"/>
      <c r="AT306" s="1030"/>
      <c r="AU306" s="1030"/>
      <c r="AV306" s="1030"/>
      <c r="AW306" s="1030"/>
      <c r="AX306" s="1030"/>
      <c r="AY306" s="1030"/>
      <c r="AZ306" s="1030"/>
      <c r="BA306" s="1030"/>
      <c r="BB306" s="1030"/>
      <c r="BC306" s="1030"/>
      <c r="BD306" s="1030"/>
    </row>
    <row r="307" spans="1:56" ht="51" x14ac:dyDescent="0.25">
      <c r="A307" s="1492">
        <v>184</v>
      </c>
      <c r="B307" s="1483" t="s">
        <v>2121</v>
      </c>
      <c r="C307" s="1030" t="s">
        <v>2122</v>
      </c>
      <c r="D307" s="518" t="s">
        <v>935</v>
      </c>
      <c r="E307" s="1060" t="s">
        <v>168</v>
      </c>
      <c r="F307" s="1060" t="s">
        <v>2123</v>
      </c>
      <c r="G307" s="1053">
        <v>11151</v>
      </c>
      <c r="H307" s="1030" t="s">
        <v>2128</v>
      </c>
      <c r="I307" s="1060" t="s">
        <v>2129</v>
      </c>
      <c r="J307" s="1060" t="s">
        <v>2130</v>
      </c>
      <c r="K307" s="1059">
        <v>41823</v>
      </c>
      <c r="L307" s="1061">
        <v>69345.8</v>
      </c>
      <c r="M307" s="1053">
        <v>11356</v>
      </c>
      <c r="N307" s="1059">
        <v>41823</v>
      </c>
      <c r="O307" s="1059">
        <v>42004</v>
      </c>
      <c r="P307" s="1060" t="s">
        <v>1534</v>
      </c>
      <c r="Q307" s="1030"/>
      <c r="R307" s="1030"/>
      <c r="S307" s="1030"/>
      <c r="T307" s="1060" t="s">
        <v>719</v>
      </c>
      <c r="U307" s="1030"/>
      <c r="V307" s="1030"/>
      <c r="W307" s="1030"/>
      <c r="X307" s="1030"/>
      <c r="Y307" s="1030"/>
      <c r="Z307" s="1030"/>
      <c r="AA307" s="1030"/>
      <c r="AB307" s="1030"/>
      <c r="AC307" s="1030"/>
      <c r="AD307" s="1030"/>
      <c r="AE307" s="1061">
        <v>69345.8</v>
      </c>
      <c r="AF307" s="1030"/>
      <c r="AG307" s="278">
        <v>17244</v>
      </c>
      <c r="AH307" s="604">
        <f t="shared" si="11"/>
        <v>17244</v>
      </c>
      <c r="AI307" s="1030"/>
      <c r="AJ307" s="1030"/>
      <c r="AK307" s="1030"/>
      <c r="AL307" s="1030"/>
      <c r="AM307" s="1030"/>
      <c r="AN307" s="1030"/>
      <c r="AO307" s="1030"/>
      <c r="AP307" s="1030"/>
      <c r="AQ307" s="1030"/>
      <c r="AR307" s="1030"/>
      <c r="AS307" s="1030"/>
      <c r="AT307" s="1030"/>
      <c r="AU307" s="1030"/>
      <c r="AV307" s="1030"/>
      <c r="AW307" s="1030"/>
      <c r="AX307" s="1030"/>
      <c r="AY307" s="1030"/>
      <c r="AZ307" s="1030"/>
      <c r="BA307" s="1030"/>
      <c r="BB307" s="1030"/>
      <c r="BC307" s="1030"/>
      <c r="BD307" s="1030"/>
    </row>
    <row r="308" spans="1:56" ht="38.25" x14ac:dyDescent="0.25">
      <c r="A308" s="1492">
        <v>185</v>
      </c>
      <c r="B308" s="1483" t="s">
        <v>2131</v>
      </c>
      <c r="C308" s="1030" t="s">
        <v>1081</v>
      </c>
      <c r="D308" s="518" t="s">
        <v>935</v>
      </c>
      <c r="E308" s="1060" t="s">
        <v>168</v>
      </c>
      <c r="F308" s="1060" t="s">
        <v>2132</v>
      </c>
      <c r="G308" s="1053">
        <v>11297</v>
      </c>
      <c r="H308" s="1030" t="s">
        <v>2133</v>
      </c>
      <c r="I308" s="1060" t="s">
        <v>1825</v>
      </c>
      <c r="J308" s="1060" t="s">
        <v>789</v>
      </c>
      <c r="K308" s="1054">
        <v>41829</v>
      </c>
      <c r="L308" s="1061">
        <v>18736.53</v>
      </c>
      <c r="M308" s="1053">
        <v>11359</v>
      </c>
      <c r="N308" s="1054">
        <v>41829</v>
      </c>
      <c r="O308" s="1059">
        <v>42004</v>
      </c>
      <c r="P308" s="1060" t="s">
        <v>1534</v>
      </c>
      <c r="Q308" s="1030"/>
      <c r="R308" s="1030"/>
      <c r="S308" s="1030"/>
      <c r="T308" s="1060" t="s">
        <v>719</v>
      </c>
      <c r="U308" s="1030"/>
      <c r="V308" s="1030"/>
      <c r="W308" s="1030"/>
      <c r="X308" s="1030"/>
      <c r="Y308" s="1030"/>
      <c r="Z308" s="1030"/>
      <c r="AA308" s="1030"/>
      <c r="AB308" s="1030"/>
      <c r="AC308" s="1030"/>
      <c r="AD308" s="1030"/>
      <c r="AE308" s="1061">
        <v>18736.53</v>
      </c>
      <c r="AF308" s="1030"/>
      <c r="AG308" s="278">
        <v>5629.53</v>
      </c>
      <c r="AH308" s="604">
        <f t="shared" si="11"/>
        <v>5629.53</v>
      </c>
      <c r="AI308" s="1030"/>
      <c r="AJ308" s="1030"/>
      <c r="AK308" s="1030"/>
      <c r="AL308" s="1030"/>
      <c r="AM308" s="1030"/>
      <c r="AN308" s="1030"/>
      <c r="AO308" s="1030"/>
      <c r="AP308" s="1030"/>
      <c r="AQ308" s="1030"/>
      <c r="AR308" s="1030"/>
      <c r="AS308" s="1030"/>
      <c r="AT308" s="1030"/>
      <c r="AU308" s="1030"/>
      <c r="AV308" s="1030"/>
      <c r="AW308" s="1030"/>
      <c r="AX308" s="1030"/>
      <c r="AY308" s="1030"/>
      <c r="AZ308" s="1030"/>
      <c r="BA308" s="1030"/>
      <c r="BB308" s="1030"/>
      <c r="BC308" s="1030"/>
      <c r="BD308" s="1030"/>
    </row>
    <row r="309" spans="1:56" ht="38.25" x14ac:dyDescent="0.25">
      <c r="A309" s="1492">
        <v>186</v>
      </c>
      <c r="B309" s="1485" t="s">
        <v>2134</v>
      </c>
      <c r="C309" s="1030" t="s">
        <v>1828</v>
      </c>
      <c r="D309" s="518" t="s">
        <v>935</v>
      </c>
      <c r="E309" s="1060" t="s">
        <v>168</v>
      </c>
      <c r="F309" s="1060" t="s">
        <v>2135</v>
      </c>
      <c r="G309" s="1053">
        <v>11307</v>
      </c>
      <c r="H309" s="1030" t="s">
        <v>2136</v>
      </c>
      <c r="I309" s="1060" t="s">
        <v>1760</v>
      </c>
      <c r="J309" s="1060" t="s">
        <v>1761</v>
      </c>
      <c r="K309" s="1054">
        <v>41830</v>
      </c>
      <c r="L309" s="1061">
        <v>15400</v>
      </c>
      <c r="M309" s="1053">
        <v>11353</v>
      </c>
      <c r="N309" s="1054">
        <v>41830</v>
      </c>
      <c r="O309" s="1059">
        <v>42004</v>
      </c>
      <c r="P309" s="75" t="s">
        <v>2137</v>
      </c>
      <c r="Q309" s="1030"/>
      <c r="R309" s="1030"/>
      <c r="S309" s="1030"/>
      <c r="T309" s="1060" t="s">
        <v>719</v>
      </c>
      <c r="U309" s="1030"/>
      <c r="V309" s="1030"/>
      <c r="W309" s="1030"/>
      <c r="X309" s="1030"/>
      <c r="Y309" s="1030"/>
      <c r="Z309" s="1030"/>
      <c r="AA309" s="1030"/>
      <c r="AB309" s="1030"/>
      <c r="AC309" s="1030"/>
      <c r="AD309" s="1030"/>
      <c r="AE309" s="1061">
        <v>15400</v>
      </c>
      <c r="AF309" s="1030"/>
      <c r="AG309" s="278">
        <v>15400</v>
      </c>
      <c r="AH309" s="604">
        <f t="shared" si="11"/>
        <v>15400</v>
      </c>
      <c r="AI309" s="1030"/>
      <c r="AJ309" s="1030"/>
      <c r="AK309" s="1030"/>
      <c r="AL309" s="1030"/>
      <c r="AM309" s="1030"/>
      <c r="AN309" s="1030"/>
      <c r="AO309" s="1030"/>
      <c r="AP309" s="1030"/>
      <c r="AQ309" s="1030"/>
      <c r="AR309" s="1030"/>
      <c r="AS309" s="1030"/>
      <c r="AT309" s="1030"/>
      <c r="AU309" s="1030"/>
      <c r="AV309" s="1030"/>
      <c r="AW309" s="1030"/>
      <c r="AX309" s="1030"/>
      <c r="AY309" s="1030"/>
      <c r="AZ309" s="1030"/>
      <c r="BA309" s="1030"/>
      <c r="BB309" s="1030"/>
      <c r="BC309" s="1030"/>
      <c r="BD309" s="1030"/>
    </row>
    <row r="310" spans="1:56" ht="38.25" x14ac:dyDescent="0.25">
      <c r="A310" s="1492">
        <v>187</v>
      </c>
      <c r="B310" s="1483" t="s">
        <v>1710</v>
      </c>
      <c r="C310" s="1030" t="s">
        <v>1639</v>
      </c>
      <c r="D310" s="518" t="s">
        <v>935</v>
      </c>
      <c r="E310" s="1060" t="s">
        <v>168</v>
      </c>
      <c r="F310" s="1060" t="s">
        <v>1711</v>
      </c>
      <c r="G310" s="1053">
        <v>11067</v>
      </c>
      <c r="H310" s="1030" t="s">
        <v>2138</v>
      </c>
      <c r="I310" s="1060" t="s">
        <v>1789</v>
      </c>
      <c r="J310" s="1060" t="s">
        <v>1790</v>
      </c>
      <c r="K310" s="1054">
        <v>41787</v>
      </c>
      <c r="L310" s="1061">
        <v>58326.45</v>
      </c>
      <c r="M310" s="1053">
        <v>11351</v>
      </c>
      <c r="N310" s="1054">
        <v>41787</v>
      </c>
      <c r="O310" s="1059">
        <v>42004</v>
      </c>
      <c r="P310" s="1060" t="s">
        <v>1534</v>
      </c>
      <c r="Q310" s="1030"/>
      <c r="R310" s="1030"/>
      <c r="S310" s="1030"/>
      <c r="T310" s="1060" t="s">
        <v>719</v>
      </c>
      <c r="U310" s="1030"/>
      <c r="V310" s="1030"/>
      <c r="W310" s="1030"/>
      <c r="X310" s="1030"/>
      <c r="Y310" s="1030"/>
      <c r="Z310" s="1030"/>
      <c r="AA310" s="1030"/>
      <c r="AB310" s="1030"/>
      <c r="AC310" s="1030"/>
      <c r="AD310" s="1030"/>
      <c r="AE310" s="1061">
        <v>58326.45</v>
      </c>
      <c r="AF310" s="1030"/>
      <c r="AG310" s="278">
        <v>43647.45</v>
      </c>
      <c r="AH310" s="604">
        <f t="shared" si="11"/>
        <v>43647.45</v>
      </c>
      <c r="AI310" s="1030"/>
      <c r="AJ310" s="1030"/>
      <c r="AK310" s="1030"/>
      <c r="AL310" s="1030"/>
      <c r="AM310" s="1030"/>
      <c r="AN310" s="1030"/>
      <c r="AO310" s="1030"/>
      <c r="AP310" s="1030"/>
      <c r="AQ310" s="1030"/>
      <c r="AR310" s="1030"/>
      <c r="AS310" s="1030"/>
      <c r="AT310" s="1030"/>
      <c r="AU310" s="1030"/>
      <c r="AV310" s="1030"/>
      <c r="AW310" s="1030"/>
      <c r="AX310" s="1030"/>
      <c r="AY310" s="1030"/>
      <c r="AZ310" s="1030"/>
      <c r="BA310" s="1030"/>
      <c r="BB310" s="1030"/>
      <c r="BC310" s="1030"/>
      <c r="BD310" s="1030"/>
    </row>
    <row r="311" spans="1:56" ht="38.25" x14ac:dyDescent="0.25">
      <c r="A311" s="1492">
        <v>188</v>
      </c>
      <c r="B311" s="1483" t="s">
        <v>1710</v>
      </c>
      <c r="C311" s="1030" t="s">
        <v>1639</v>
      </c>
      <c r="D311" s="518" t="s">
        <v>935</v>
      </c>
      <c r="E311" s="1060" t="s">
        <v>168</v>
      </c>
      <c r="F311" s="1060" t="s">
        <v>1711</v>
      </c>
      <c r="G311" s="1053">
        <v>11067</v>
      </c>
      <c r="H311" s="1030" t="s">
        <v>2139</v>
      </c>
      <c r="I311" s="1060" t="s">
        <v>1786</v>
      </c>
      <c r="J311" s="1060" t="s">
        <v>1787</v>
      </c>
      <c r="K311" s="1054">
        <v>41787</v>
      </c>
      <c r="L311" s="1061">
        <v>92476</v>
      </c>
      <c r="M311" s="1053">
        <v>11357</v>
      </c>
      <c r="N311" s="1054">
        <v>41787</v>
      </c>
      <c r="O311" s="1059">
        <v>42004</v>
      </c>
      <c r="P311" s="1060" t="s">
        <v>1534</v>
      </c>
      <c r="Q311" s="1030"/>
      <c r="R311" s="1030"/>
      <c r="S311" s="1030"/>
      <c r="T311" s="1060" t="s">
        <v>719</v>
      </c>
      <c r="U311" s="1030"/>
      <c r="V311" s="1030"/>
      <c r="W311" s="1030"/>
      <c r="X311" s="1030"/>
      <c r="Y311" s="1030"/>
      <c r="Z311" s="1030"/>
      <c r="AA311" s="1030"/>
      <c r="AB311" s="1030"/>
      <c r="AC311" s="1030"/>
      <c r="AD311" s="1030"/>
      <c r="AE311" s="1061">
        <v>92476</v>
      </c>
      <c r="AF311" s="1030"/>
      <c r="AG311" s="278">
        <v>2441.1</v>
      </c>
      <c r="AH311" s="604">
        <f t="shared" si="11"/>
        <v>2441.1</v>
      </c>
      <c r="AI311" s="1030"/>
      <c r="AJ311" s="1030"/>
      <c r="AK311" s="1030"/>
      <c r="AL311" s="1030"/>
      <c r="AM311" s="1030"/>
      <c r="AN311" s="1030"/>
      <c r="AO311" s="1030"/>
      <c r="AP311" s="1030"/>
      <c r="AQ311" s="1030"/>
      <c r="AR311" s="1030"/>
      <c r="AS311" s="1030"/>
      <c r="AT311" s="1030"/>
      <c r="AU311" s="1030"/>
      <c r="AV311" s="1030"/>
      <c r="AW311" s="1030"/>
      <c r="AX311" s="1030"/>
      <c r="AY311" s="1030"/>
      <c r="AZ311" s="1030"/>
      <c r="BA311" s="1030"/>
      <c r="BB311" s="1030"/>
      <c r="BC311" s="1030"/>
      <c r="BD311" s="1030"/>
    </row>
    <row r="312" spans="1:56" ht="38.25" x14ac:dyDescent="0.25">
      <c r="A312" s="1492">
        <v>189</v>
      </c>
      <c r="B312" s="1483" t="s">
        <v>2140</v>
      </c>
      <c r="C312" s="1030" t="s">
        <v>1759</v>
      </c>
      <c r="D312" s="518" t="s">
        <v>1809</v>
      </c>
      <c r="E312" s="1060" t="s">
        <v>2141</v>
      </c>
      <c r="F312" s="1060" t="s">
        <v>2142</v>
      </c>
      <c r="G312" s="1030"/>
      <c r="H312" s="1030" t="s">
        <v>2143</v>
      </c>
      <c r="I312" s="1060" t="s">
        <v>2144</v>
      </c>
      <c r="J312" s="1060" t="s">
        <v>2145</v>
      </c>
      <c r="K312" s="1054">
        <v>41834</v>
      </c>
      <c r="L312" s="1061">
        <v>6664</v>
      </c>
      <c r="M312" s="1053">
        <v>11351</v>
      </c>
      <c r="N312" s="1054">
        <v>41834</v>
      </c>
      <c r="O312" s="1059">
        <v>42004</v>
      </c>
      <c r="P312" s="1030" t="s">
        <v>1900</v>
      </c>
      <c r="Q312" s="1030"/>
      <c r="R312" s="1030"/>
      <c r="S312" s="1030"/>
      <c r="T312" s="1060" t="s">
        <v>2146</v>
      </c>
      <c r="U312" s="1030"/>
      <c r="V312" s="1030"/>
      <c r="W312" s="1030"/>
      <c r="X312" s="1030"/>
      <c r="Y312" s="1030"/>
      <c r="Z312" s="1030"/>
      <c r="AA312" s="1030"/>
      <c r="AB312" s="1030"/>
      <c r="AC312" s="1030"/>
      <c r="AD312" s="1030"/>
      <c r="AE312" s="1061">
        <v>6664</v>
      </c>
      <c r="AF312" s="1030"/>
      <c r="AG312" s="278"/>
      <c r="AH312" s="604">
        <f t="shared" si="11"/>
        <v>0</v>
      </c>
      <c r="AI312" s="1030"/>
      <c r="AJ312" s="1030"/>
      <c r="AK312" s="1030"/>
      <c r="AL312" s="1030"/>
      <c r="AM312" s="1030" t="s">
        <v>1311</v>
      </c>
      <c r="AN312" s="1030" t="s">
        <v>2147</v>
      </c>
      <c r="AO312" s="1030"/>
      <c r="AP312" s="1030"/>
      <c r="AQ312" s="1030"/>
      <c r="AR312" s="1030"/>
      <c r="AS312" s="1030"/>
      <c r="AT312" s="1030"/>
      <c r="AU312" s="1030"/>
      <c r="AV312" s="1030"/>
      <c r="AW312" s="1030"/>
      <c r="AX312" s="1030"/>
      <c r="AY312" s="1030"/>
      <c r="AZ312" s="1030"/>
      <c r="BA312" s="1030"/>
      <c r="BB312" s="1030"/>
      <c r="BC312" s="1030"/>
      <c r="BD312" s="1030"/>
    </row>
    <row r="313" spans="1:56" ht="25.5" x14ac:dyDescent="0.25">
      <c r="A313" s="1492">
        <v>190</v>
      </c>
      <c r="B313" s="1483" t="s">
        <v>2148</v>
      </c>
      <c r="C313" s="1030" t="s">
        <v>1767</v>
      </c>
      <c r="D313" s="518" t="s">
        <v>935</v>
      </c>
      <c r="E313" s="1060" t="s">
        <v>168</v>
      </c>
      <c r="F313" s="1060" t="s">
        <v>2149</v>
      </c>
      <c r="G313" s="1053">
        <v>11307</v>
      </c>
      <c r="H313" s="1030" t="s">
        <v>2150</v>
      </c>
      <c r="I313" s="1060" t="s">
        <v>2151</v>
      </c>
      <c r="J313" s="1060" t="s">
        <v>2152</v>
      </c>
      <c r="K313" s="1054">
        <v>41835</v>
      </c>
      <c r="L313" s="1061">
        <v>4380</v>
      </c>
      <c r="M313" s="1046">
        <v>11359</v>
      </c>
      <c r="N313" s="1044">
        <v>41835</v>
      </c>
      <c r="O313" s="590">
        <v>42004</v>
      </c>
      <c r="P313" s="343" t="s">
        <v>1534</v>
      </c>
      <c r="Q313" s="1040"/>
      <c r="R313" s="1040"/>
      <c r="S313" s="1040"/>
      <c r="T313" s="114" t="s">
        <v>2054</v>
      </c>
      <c r="U313" s="1030"/>
      <c r="V313" s="1030"/>
      <c r="W313" s="1030"/>
      <c r="X313" s="1030"/>
      <c r="Y313" s="1030"/>
      <c r="Z313" s="1030"/>
      <c r="AA313" s="1030"/>
      <c r="AB313" s="1030"/>
      <c r="AC313" s="1030"/>
      <c r="AD313" s="1030"/>
      <c r="AE313" s="1061">
        <v>4380</v>
      </c>
      <c r="AF313" s="1030"/>
      <c r="AG313" s="278"/>
      <c r="AH313" s="604">
        <f t="shared" si="11"/>
        <v>0</v>
      </c>
      <c r="AI313" s="1030"/>
      <c r="AJ313" s="1030"/>
      <c r="AK313" s="1030"/>
      <c r="AL313" s="1030"/>
      <c r="AM313" s="1030"/>
      <c r="AN313" s="1030"/>
      <c r="AO313" s="1030"/>
      <c r="AP313" s="1030"/>
      <c r="AQ313" s="1030"/>
      <c r="AR313" s="1030"/>
      <c r="AS313" s="1030"/>
      <c r="AT313" s="1030"/>
      <c r="AU313" s="1030"/>
      <c r="AV313" s="1030"/>
      <c r="AW313" s="1030"/>
      <c r="AX313" s="1030"/>
      <c r="AY313" s="1030"/>
      <c r="AZ313" s="1030"/>
      <c r="BA313" s="1030"/>
      <c r="BB313" s="1030"/>
      <c r="BC313" s="1030"/>
      <c r="BD313" s="1030"/>
    </row>
    <row r="314" spans="1:56" ht="63.75" x14ac:dyDescent="0.25">
      <c r="A314" s="1492">
        <v>191</v>
      </c>
      <c r="B314" s="1483" t="s">
        <v>2153</v>
      </c>
      <c r="C314" s="1030" t="s">
        <v>680</v>
      </c>
      <c r="D314" s="518" t="s">
        <v>583</v>
      </c>
      <c r="E314" s="1060" t="s">
        <v>168</v>
      </c>
      <c r="F314" s="1060" t="s">
        <v>2154</v>
      </c>
      <c r="G314" s="1030"/>
      <c r="H314" s="1030" t="s">
        <v>2155</v>
      </c>
      <c r="I314" s="1060" t="s">
        <v>2156</v>
      </c>
      <c r="J314" s="1060" t="s">
        <v>2157</v>
      </c>
      <c r="K314" s="1054">
        <v>41835</v>
      </c>
      <c r="L314" s="1061">
        <v>75150</v>
      </c>
      <c r="M314" s="1053">
        <v>11353</v>
      </c>
      <c r="N314" s="1054">
        <v>41835</v>
      </c>
      <c r="O314" s="1059">
        <v>42109</v>
      </c>
      <c r="P314" s="1030" t="s">
        <v>2137</v>
      </c>
      <c r="Q314" s="1030"/>
      <c r="R314" s="1030"/>
      <c r="S314" s="1030"/>
      <c r="T314" s="1060" t="s">
        <v>158</v>
      </c>
      <c r="U314" s="1030"/>
      <c r="V314" s="1030"/>
      <c r="W314" s="1030"/>
      <c r="X314" s="1030"/>
      <c r="Y314" s="1030"/>
      <c r="Z314" s="1030"/>
      <c r="AA314" s="1030"/>
      <c r="AB314" s="1030"/>
      <c r="AC314" s="1030"/>
      <c r="AD314" s="1030"/>
      <c r="AE314" s="1061">
        <v>75150</v>
      </c>
      <c r="AF314" s="1030"/>
      <c r="AG314" s="278">
        <v>43976.639999999999</v>
      </c>
      <c r="AH314" s="604">
        <f t="shared" si="11"/>
        <v>43976.639999999999</v>
      </c>
      <c r="AI314" s="1030"/>
      <c r="AJ314" s="1030"/>
      <c r="AK314" s="1030"/>
      <c r="AL314" s="1030"/>
      <c r="AM314" s="1030"/>
      <c r="AN314" s="1030"/>
      <c r="AO314" s="1030"/>
      <c r="AP314" s="1030"/>
      <c r="AQ314" s="1030"/>
      <c r="AR314" s="1030"/>
      <c r="AS314" s="1030"/>
      <c r="AT314" s="1030"/>
      <c r="AU314" s="1030"/>
      <c r="AV314" s="1030"/>
      <c r="AW314" s="1030"/>
      <c r="AX314" s="1030"/>
      <c r="AY314" s="1030"/>
      <c r="AZ314" s="1030"/>
      <c r="BA314" s="1030"/>
      <c r="BB314" s="1030"/>
      <c r="BC314" s="1030"/>
      <c r="BD314" s="1030"/>
    </row>
    <row r="315" spans="1:56" ht="38.25" x14ac:dyDescent="0.25">
      <c r="A315" s="1492">
        <v>192</v>
      </c>
      <c r="B315" s="1393" t="s">
        <v>2158</v>
      </c>
      <c r="C315" s="1030" t="s">
        <v>1387</v>
      </c>
      <c r="D315" s="518" t="s">
        <v>935</v>
      </c>
      <c r="E315" s="343" t="s">
        <v>168</v>
      </c>
      <c r="F315" s="1060" t="s">
        <v>2159</v>
      </c>
      <c r="G315" s="1053">
        <v>11188</v>
      </c>
      <c r="H315" s="1030" t="s">
        <v>2160</v>
      </c>
      <c r="I315" s="1060" t="s">
        <v>2161</v>
      </c>
      <c r="J315" s="1060" t="s">
        <v>537</v>
      </c>
      <c r="K315" s="1054">
        <v>41852</v>
      </c>
      <c r="L315" s="1061">
        <v>30795</v>
      </c>
      <c r="M315" s="1053">
        <v>11370</v>
      </c>
      <c r="N315" s="1054">
        <v>41852</v>
      </c>
      <c r="O315" s="1059">
        <v>42004</v>
      </c>
      <c r="P315" s="1060" t="s">
        <v>1534</v>
      </c>
      <c r="Q315" s="1030"/>
      <c r="R315" s="1030"/>
      <c r="S315" s="1030"/>
      <c r="T315" s="1060" t="s">
        <v>719</v>
      </c>
      <c r="U315" s="1030"/>
      <c r="V315" s="1030"/>
      <c r="W315" s="1030"/>
      <c r="X315" s="1030"/>
      <c r="Y315" s="1030"/>
      <c r="Z315" s="1030"/>
      <c r="AA315" s="1030"/>
      <c r="AB315" s="1030"/>
      <c r="AC315" s="1030"/>
      <c r="AD315" s="1030"/>
      <c r="AE315" s="1061">
        <v>30795</v>
      </c>
      <c r="AF315" s="1030"/>
      <c r="AG315" s="278">
        <v>7779</v>
      </c>
      <c r="AH315" s="604">
        <f t="shared" si="11"/>
        <v>7779</v>
      </c>
      <c r="AI315" s="1030"/>
      <c r="AJ315" s="1030"/>
      <c r="AK315" s="1030"/>
      <c r="AL315" s="1030"/>
      <c r="AM315" s="1030"/>
      <c r="AN315" s="1030"/>
      <c r="AO315" s="1030"/>
      <c r="AP315" s="1030"/>
      <c r="AQ315" s="1030"/>
      <c r="AR315" s="1030"/>
      <c r="AS315" s="1030"/>
      <c r="AT315" s="1030"/>
      <c r="AU315" s="1030"/>
      <c r="AV315" s="1030"/>
      <c r="AW315" s="1030"/>
      <c r="AX315" s="1030"/>
      <c r="AY315" s="1030"/>
      <c r="AZ315" s="1030"/>
      <c r="BA315" s="1030"/>
      <c r="BB315" s="1030"/>
      <c r="BC315" s="1030"/>
      <c r="BD315" s="1030"/>
    </row>
    <row r="316" spans="1:56" ht="25.5" x14ac:dyDescent="0.25">
      <c r="A316" s="1492">
        <v>193</v>
      </c>
      <c r="B316" s="1483" t="s">
        <v>2158</v>
      </c>
      <c r="C316" s="1030" t="s">
        <v>1387</v>
      </c>
      <c r="D316" s="518" t="s">
        <v>935</v>
      </c>
      <c r="E316" s="1060" t="s">
        <v>168</v>
      </c>
      <c r="F316" s="1060" t="s">
        <v>2159</v>
      </c>
      <c r="G316" s="1053">
        <v>11188</v>
      </c>
      <c r="H316" s="1030" t="s">
        <v>2162</v>
      </c>
      <c r="I316" s="1060" t="s">
        <v>2163</v>
      </c>
      <c r="J316" s="1060" t="s">
        <v>2164</v>
      </c>
      <c r="K316" s="1054">
        <v>41852</v>
      </c>
      <c r="L316" s="1061">
        <v>19960.45</v>
      </c>
      <c r="M316" s="1053">
        <v>11367</v>
      </c>
      <c r="N316" s="1054">
        <v>41852</v>
      </c>
      <c r="O316" s="1059">
        <v>42004</v>
      </c>
      <c r="P316" s="1060" t="s">
        <v>1534</v>
      </c>
      <c r="Q316" s="1030"/>
      <c r="R316" s="1030"/>
      <c r="S316" s="1030"/>
      <c r="T316" s="1060" t="s">
        <v>719</v>
      </c>
      <c r="U316" s="1030"/>
      <c r="V316" s="1030"/>
      <c r="W316" s="1030"/>
      <c r="X316" s="1030"/>
      <c r="Y316" s="1030"/>
      <c r="Z316" s="1030"/>
      <c r="AA316" s="1030"/>
      <c r="AB316" s="1030"/>
      <c r="AC316" s="1030"/>
      <c r="AD316" s="1030"/>
      <c r="AE316" s="1061">
        <v>19960.45</v>
      </c>
      <c r="AF316" s="1030"/>
      <c r="AG316" s="278"/>
      <c r="AH316" s="604">
        <f t="shared" si="11"/>
        <v>0</v>
      </c>
      <c r="AI316" s="1030"/>
      <c r="AJ316" s="1030"/>
      <c r="AK316" s="1030"/>
      <c r="AL316" s="1030"/>
      <c r="AM316" s="1030"/>
      <c r="AN316" s="1030"/>
      <c r="AO316" s="1030"/>
      <c r="AP316" s="1030"/>
      <c r="AQ316" s="1030"/>
      <c r="AR316" s="1030"/>
      <c r="AS316" s="1030"/>
      <c r="AT316" s="1030"/>
      <c r="AU316" s="1030"/>
      <c r="AV316" s="1030"/>
      <c r="AW316" s="1030"/>
      <c r="AX316" s="1030"/>
      <c r="AY316" s="1030"/>
      <c r="AZ316" s="1030"/>
      <c r="BA316" s="1030"/>
      <c r="BB316" s="1030"/>
      <c r="BC316" s="1030"/>
      <c r="BD316" s="1030"/>
    </row>
    <row r="317" spans="1:56" ht="25.5" x14ac:dyDescent="0.25">
      <c r="A317" s="1492">
        <v>194</v>
      </c>
      <c r="B317" s="1486" t="s">
        <v>2158</v>
      </c>
      <c r="C317" s="1040" t="s">
        <v>1387</v>
      </c>
      <c r="D317" s="1124" t="s">
        <v>935</v>
      </c>
      <c r="E317" s="343" t="s">
        <v>168</v>
      </c>
      <c r="F317" s="1060" t="s">
        <v>2159</v>
      </c>
      <c r="G317" s="1053">
        <v>11188</v>
      </c>
      <c r="H317" s="1040" t="s">
        <v>2165</v>
      </c>
      <c r="I317" s="343" t="s">
        <v>2166</v>
      </c>
      <c r="J317" s="343" t="s">
        <v>1021</v>
      </c>
      <c r="K317" s="1044">
        <v>41852</v>
      </c>
      <c r="L317" s="585">
        <v>19038.25</v>
      </c>
      <c r="M317" s="1046">
        <v>11367</v>
      </c>
      <c r="N317" s="1044">
        <v>41852</v>
      </c>
      <c r="O317" s="590">
        <v>42004</v>
      </c>
      <c r="P317" s="343" t="s">
        <v>1534</v>
      </c>
      <c r="Q317" s="1040"/>
      <c r="R317" s="1040"/>
      <c r="S317" s="1040"/>
      <c r="T317" s="343" t="s">
        <v>719</v>
      </c>
      <c r="U317" s="1040"/>
      <c r="V317" s="1040"/>
      <c r="W317" s="1040"/>
      <c r="X317" s="1040"/>
      <c r="Y317" s="1040"/>
      <c r="Z317" s="1040"/>
      <c r="AA317" s="1040"/>
      <c r="AB317" s="1040"/>
      <c r="AC317" s="1040"/>
      <c r="AD317" s="1040"/>
      <c r="AE317" s="585">
        <v>19038.25</v>
      </c>
      <c r="AF317" s="1040"/>
      <c r="AG317" s="1120">
        <v>4554</v>
      </c>
      <c r="AH317" s="604">
        <f t="shared" si="11"/>
        <v>4554</v>
      </c>
      <c r="AI317" s="1040"/>
      <c r="AJ317" s="1040"/>
      <c r="AK317" s="1040"/>
      <c r="AL317" s="1040"/>
      <c r="AM317" s="1040"/>
      <c r="AN317" s="1040"/>
      <c r="AO317" s="1040"/>
      <c r="AP317" s="1040"/>
      <c r="AQ317" s="1040"/>
      <c r="AR317" s="1040"/>
      <c r="AS317" s="1040"/>
      <c r="AT317" s="1040"/>
      <c r="AU317" s="1040"/>
      <c r="AV317" s="1040"/>
      <c r="AW317" s="1040"/>
      <c r="AX317" s="1040"/>
      <c r="AY317" s="1040"/>
      <c r="AZ317" s="1040"/>
      <c r="BA317" s="1040"/>
      <c r="BB317" s="1040"/>
      <c r="BC317" s="1040"/>
      <c r="BD317" s="1040"/>
    </row>
    <row r="318" spans="1:56" ht="89.25" x14ac:dyDescent="0.25">
      <c r="A318" s="1492">
        <v>195</v>
      </c>
      <c r="B318" s="1483" t="s">
        <v>2167</v>
      </c>
      <c r="C318" s="1030" t="s">
        <v>795</v>
      </c>
      <c r="D318" s="518" t="s">
        <v>2168</v>
      </c>
      <c r="E318" s="343" t="s">
        <v>168</v>
      </c>
      <c r="F318" s="1060" t="s">
        <v>2169</v>
      </c>
      <c r="G318" s="1053">
        <v>11316</v>
      </c>
      <c r="H318" s="1060" t="s">
        <v>2170</v>
      </c>
      <c r="I318" s="1060" t="s">
        <v>2093</v>
      </c>
      <c r="J318" s="1060" t="s">
        <v>1455</v>
      </c>
      <c r="K318" s="1059">
        <v>41855</v>
      </c>
      <c r="L318" s="1061">
        <v>986137.36</v>
      </c>
      <c r="M318" s="1053">
        <v>11366</v>
      </c>
      <c r="N318" s="1059">
        <v>41907</v>
      </c>
      <c r="O318" s="1059">
        <f>N318+240</f>
        <v>42147</v>
      </c>
      <c r="P318" s="1060" t="s">
        <v>2171</v>
      </c>
      <c r="Q318" s="1059"/>
      <c r="R318" s="1060"/>
      <c r="S318" s="1060"/>
      <c r="T318" s="1060" t="s">
        <v>1577</v>
      </c>
      <c r="U318" s="1060"/>
      <c r="V318" s="1060"/>
      <c r="W318" s="1060"/>
      <c r="X318" s="1060"/>
      <c r="Y318" s="1060"/>
      <c r="Z318" s="1060"/>
      <c r="AA318" s="1060"/>
      <c r="AB318" s="1060"/>
      <c r="AC318" s="1060"/>
      <c r="AD318" s="1060"/>
      <c r="AE318" s="1061">
        <v>986137.36</v>
      </c>
      <c r="AF318" s="1060"/>
      <c r="AG318" s="278">
        <v>149759.64000000001</v>
      </c>
      <c r="AH318" s="604">
        <f t="shared" si="11"/>
        <v>149759.64000000001</v>
      </c>
      <c r="AI318" s="1060"/>
      <c r="AJ318" s="1060"/>
      <c r="AK318" s="1060"/>
      <c r="AL318" s="1060"/>
      <c r="AM318" s="1060"/>
      <c r="AN318" s="1060"/>
      <c r="AO318" s="1060"/>
      <c r="AP318" s="1060"/>
      <c r="AQ318" s="1060"/>
      <c r="AR318" s="1060"/>
      <c r="AS318" s="1060" t="s">
        <v>2172</v>
      </c>
      <c r="AT318" s="95" t="s">
        <v>1457</v>
      </c>
      <c r="AU318" s="1059">
        <v>41914</v>
      </c>
      <c r="AV318" s="1059">
        <f>AU318+210</f>
        <v>42124</v>
      </c>
      <c r="AW318" s="1060"/>
      <c r="AX318" s="1060"/>
      <c r="AY318" s="1059">
        <v>41914</v>
      </c>
      <c r="AZ318" s="1060"/>
      <c r="BA318" s="1060"/>
      <c r="BB318" s="1060"/>
      <c r="BC318" s="1060"/>
      <c r="BD318" s="1060"/>
    </row>
    <row r="319" spans="1:56" ht="25.5" x14ac:dyDescent="0.25">
      <c r="A319" s="1492">
        <v>196</v>
      </c>
      <c r="B319" s="1483" t="s">
        <v>2173</v>
      </c>
      <c r="C319" s="1030" t="s">
        <v>841</v>
      </c>
      <c r="D319" s="518" t="s">
        <v>935</v>
      </c>
      <c r="E319" s="1060" t="s">
        <v>168</v>
      </c>
      <c r="F319" s="1060" t="s">
        <v>2174</v>
      </c>
      <c r="G319" s="1053">
        <v>11255</v>
      </c>
      <c r="H319" s="1060" t="s">
        <v>2175</v>
      </c>
      <c r="I319" s="1060" t="s">
        <v>2176</v>
      </c>
      <c r="J319" s="1060" t="s">
        <v>2177</v>
      </c>
      <c r="K319" s="1059">
        <v>41862</v>
      </c>
      <c r="L319" s="1061">
        <v>404441</v>
      </c>
      <c r="M319" s="1053">
        <v>11381</v>
      </c>
      <c r="N319" s="1059">
        <v>41862</v>
      </c>
      <c r="O319" s="1059">
        <v>42004</v>
      </c>
      <c r="P319" s="1060" t="s">
        <v>1534</v>
      </c>
      <c r="Q319" s="1060"/>
      <c r="R319" s="1060"/>
      <c r="S319" s="1060"/>
      <c r="T319" s="1060" t="s">
        <v>678</v>
      </c>
      <c r="U319" s="1060"/>
      <c r="V319" s="1060"/>
      <c r="W319" s="1060"/>
      <c r="X319" s="1060"/>
      <c r="Y319" s="1060"/>
      <c r="Z319" s="1060"/>
      <c r="AA319" s="1060"/>
      <c r="AB319" s="1060"/>
      <c r="AC319" s="1060"/>
      <c r="AD319" s="1060"/>
      <c r="AE319" s="1061">
        <v>404441</v>
      </c>
      <c r="AF319" s="1060"/>
      <c r="AG319" s="278">
        <v>43583</v>
      </c>
      <c r="AH319" s="604">
        <f t="shared" si="11"/>
        <v>43583</v>
      </c>
      <c r="AI319" s="1060"/>
      <c r="AJ319" s="1060"/>
      <c r="AK319" s="1060"/>
      <c r="AL319" s="1060"/>
      <c r="AM319" s="1060"/>
      <c r="AN319" s="1060"/>
      <c r="AO319" s="1060"/>
      <c r="AP319" s="1060"/>
      <c r="AQ319" s="1060"/>
      <c r="AR319" s="1060"/>
      <c r="AS319" s="1060"/>
      <c r="AT319" s="1060"/>
      <c r="AU319" s="1060"/>
      <c r="AV319" s="1059"/>
      <c r="AW319" s="1060"/>
      <c r="AX319" s="1060"/>
      <c r="AY319" s="1060"/>
      <c r="AZ319" s="1060"/>
      <c r="BA319" s="1060"/>
      <c r="BB319" s="1060"/>
      <c r="BC319" s="1060"/>
      <c r="BD319" s="1060"/>
    </row>
    <row r="320" spans="1:56" ht="38.25" x14ac:dyDescent="0.25">
      <c r="A320" s="1492">
        <v>197</v>
      </c>
      <c r="B320" s="1483" t="s">
        <v>2173</v>
      </c>
      <c r="C320" s="1030" t="s">
        <v>841</v>
      </c>
      <c r="D320" s="518" t="s">
        <v>935</v>
      </c>
      <c r="E320" s="1060" t="s">
        <v>168</v>
      </c>
      <c r="F320" s="1060" t="s">
        <v>2174</v>
      </c>
      <c r="G320" s="1053">
        <v>11255</v>
      </c>
      <c r="H320" s="1060" t="s">
        <v>2178</v>
      </c>
      <c r="I320" s="1060" t="s">
        <v>2110</v>
      </c>
      <c r="J320" s="1060" t="s">
        <v>2111</v>
      </c>
      <c r="K320" s="1059">
        <v>41862</v>
      </c>
      <c r="L320" s="1061">
        <v>16250</v>
      </c>
      <c r="M320" s="1053">
        <v>11382</v>
      </c>
      <c r="N320" s="1059">
        <v>41862</v>
      </c>
      <c r="O320" s="1059">
        <v>42004</v>
      </c>
      <c r="P320" s="1060" t="s">
        <v>1534</v>
      </c>
      <c r="Q320" s="1060"/>
      <c r="R320" s="1060"/>
      <c r="S320" s="1060"/>
      <c r="T320" s="1060" t="s">
        <v>678</v>
      </c>
      <c r="U320" s="1060"/>
      <c r="V320" s="1060"/>
      <c r="W320" s="1060"/>
      <c r="X320" s="1060"/>
      <c r="Y320" s="1060"/>
      <c r="Z320" s="1060"/>
      <c r="AA320" s="1060"/>
      <c r="AB320" s="1060"/>
      <c r="AC320" s="1060"/>
      <c r="AD320" s="1060"/>
      <c r="AE320" s="1061">
        <v>16250</v>
      </c>
      <c r="AF320" s="1060"/>
      <c r="AG320" s="278">
        <v>2115</v>
      </c>
      <c r="AH320" s="604">
        <f t="shared" si="11"/>
        <v>2115</v>
      </c>
      <c r="AI320" s="1060"/>
      <c r="AJ320" s="1060"/>
      <c r="AK320" s="1060"/>
      <c r="AL320" s="1060"/>
      <c r="AM320" s="1060"/>
      <c r="AN320" s="1060"/>
      <c r="AO320" s="1060"/>
      <c r="AP320" s="1060"/>
      <c r="AQ320" s="1060"/>
      <c r="AR320" s="1060"/>
      <c r="AS320" s="1060"/>
      <c r="AT320" s="1060"/>
      <c r="AU320" s="1060"/>
      <c r="AV320" s="1060"/>
      <c r="AW320" s="1060"/>
      <c r="AX320" s="1060"/>
      <c r="AY320" s="1060"/>
      <c r="AZ320" s="1060"/>
      <c r="BA320" s="1060"/>
      <c r="BB320" s="1060"/>
      <c r="BC320" s="1060"/>
      <c r="BD320" s="1060"/>
    </row>
    <row r="321" spans="1:56" ht="25.5" x14ac:dyDescent="0.25">
      <c r="A321" s="1492">
        <v>198</v>
      </c>
      <c r="B321" s="1483" t="s">
        <v>2173</v>
      </c>
      <c r="C321" s="1030" t="s">
        <v>841</v>
      </c>
      <c r="D321" s="518" t="s">
        <v>935</v>
      </c>
      <c r="E321" s="1060" t="s">
        <v>168</v>
      </c>
      <c r="F321" s="1060" t="s">
        <v>2174</v>
      </c>
      <c r="G321" s="1053">
        <v>11255</v>
      </c>
      <c r="H321" s="1060" t="s">
        <v>2179</v>
      </c>
      <c r="I321" s="1060" t="s">
        <v>2035</v>
      </c>
      <c r="J321" s="1060" t="s">
        <v>2180</v>
      </c>
      <c r="K321" s="1059">
        <v>41862</v>
      </c>
      <c r="L321" s="1061">
        <v>17425</v>
      </c>
      <c r="M321" s="1053">
        <v>11381</v>
      </c>
      <c r="N321" s="1059">
        <v>41862</v>
      </c>
      <c r="O321" s="1059">
        <v>42004</v>
      </c>
      <c r="P321" s="1060" t="s">
        <v>1534</v>
      </c>
      <c r="Q321" s="1060"/>
      <c r="R321" s="1060"/>
      <c r="S321" s="1060"/>
      <c r="T321" s="1060" t="s">
        <v>678</v>
      </c>
      <c r="U321" s="1060"/>
      <c r="V321" s="1060"/>
      <c r="W321" s="1060"/>
      <c r="X321" s="1060"/>
      <c r="Y321" s="1060"/>
      <c r="Z321" s="1060"/>
      <c r="AA321" s="1060"/>
      <c r="AB321" s="1060"/>
      <c r="AC321" s="1060"/>
      <c r="AD321" s="1060"/>
      <c r="AE321" s="1061">
        <v>17425</v>
      </c>
      <c r="AF321" s="1060"/>
      <c r="AG321" s="278"/>
      <c r="AH321" s="604">
        <f t="shared" si="11"/>
        <v>0</v>
      </c>
      <c r="AI321" s="1060"/>
      <c r="AJ321" s="1060"/>
      <c r="AK321" s="1060"/>
      <c r="AL321" s="1060"/>
      <c r="AM321" s="1060"/>
      <c r="AN321" s="1060"/>
      <c r="AO321" s="1060"/>
      <c r="AP321" s="1060"/>
      <c r="AQ321" s="1060"/>
      <c r="AR321" s="1060"/>
      <c r="AS321" s="1060"/>
      <c r="AT321" s="1060"/>
      <c r="AU321" s="1060"/>
      <c r="AV321" s="1060"/>
      <c r="AW321" s="1060"/>
      <c r="AX321" s="1060"/>
      <c r="AY321" s="1060"/>
      <c r="AZ321" s="1060"/>
      <c r="BA321" s="1060"/>
      <c r="BB321" s="1060"/>
      <c r="BC321" s="1060"/>
      <c r="BD321" s="1060"/>
    </row>
    <row r="322" spans="1:56" ht="38.25" x14ac:dyDescent="0.25">
      <c r="A322" s="1492">
        <v>199</v>
      </c>
      <c r="B322" s="1483" t="s">
        <v>2181</v>
      </c>
      <c r="C322" s="75" t="s">
        <v>1770</v>
      </c>
      <c r="D322" s="518" t="s">
        <v>935</v>
      </c>
      <c r="E322" s="1060" t="s">
        <v>168</v>
      </c>
      <c r="F322" s="1060" t="s">
        <v>2182</v>
      </c>
      <c r="G322" s="1053">
        <v>11277</v>
      </c>
      <c r="H322" s="1030" t="s">
        <v>2183</v>
      </c>
      <c r="I322" s="1379" t="s">
        <v>7545</v>
      </c>
      <c r="J322" s="1060" t="s">
        <v>2184</v>
      </c>
      <c r="K322" s="1054">
        <v>41864</v>
      </c>
      <c r="L322" s="1061">
        <v>69239.88</v>
      </c>
      <c r="M322" s="1053">
        <v>11371</v>
      </c>
      <c r="N322" s="1054">
        <v>41864</v>
      </c>
      <c r="O322" s="1054">
        <v>42229</v>
      </c>
      <c r="P322" s="1030" t="s">
        <v>2137</v>
      </c>
      <c r="Q322" s="1030"/>
      <c r="R322" s="1030"/>
      <c r="S322" s="1030"/>
      <c r="T322" s="1060" t="s">
        <v>233</v>
      </c>
      <c r="U322" s="1039"/>
      <c r="V322" s="1039"/>
      <c r="W322" s="1039"/>
      <c r="X322" s="1039"/>
      <c r="Y322" s="1039"/>
      <c r="Z322" s="1039"/>
      <c r="AA322" s="1039"/>
      <c r="AB322" s="1039"/>
      <c r="AC322" s="1039"/>
      <c r="AD322" s="1039"/>
      <c r="AE322" s="1061">
        <v>69239.88</v>
      </c>
      <c r="AF322" s="1039"/>
      <c r="AG322" s="1122">
        <v>28157.24</v>
      </c>
      <c r="AH322" s="604">
        <f t="shared" si="11"/>
        <v>28157.24</v>
      </c>
      <c r="AI322" s="1039"/>
      <c r="AJ322" s="1039"/>
      <c r="AK322" s="1039"/>
      <c r="AL322" s="1039"/>
      <c r="AM322" s="1039"/>
      <c r="AN322" s="1039"/>
      <c r="AO322" s="1039"/>
      <c r="AP322" s="1039"/>
      <c r="AQ322" s="1039"/>
      <c r="AR322" s="1039"/>
      <c r="AS322" s="1039"/>
      <c r="AT322" s="1039"/>
      <c r="AU322" s="1039"/>
      <c r="AV322" s="1039"/>
      <c r="AW322" s="1039"/>
      <c r="AX322" s="1039"/>
      <c r="AY322" s="1039"/>
      <c r="AZ322" s="1039"/>
      <c r="BA322" s="1039"/>
      <c r="BB322" s="1039"/>
      <c r="BC322" s="1039"/>
      <c r="BD322" s="1039"/>
    </row>
    <row r="323" spans="1:56" ht="51" x14ac:dyDescent="0.25">
      <c r="A323" s="1492">
        <v>200</v>
      </c>
      <c r="B323" s="1483" t="s">
        <v>2185</v>
      </c>
      <c r="C323" s="1030" t="s">
        <v>1777</v>
      </c>
      <c r="D323" s="518" t="s">
        <v>935</v>
      </c>
      <c r="E323" s="1060" t="s">
        <v>168</v>
      </c>
      <c r="F323" s="1060" t="s">
        <v>1609</v>
      </c>
      <c r="G323" s="1053">
        <v>11307</v>
      </c>
      <c r="H323" s="1030" t="s">
        <v>2186</v>
      </c>
      <c r="I323" s="1060" t="s">
        <v>2187</v>
      </c>
      <c r="J323" s="1060" t="s">
        <v>1790</v>
      </c>
      <c r="K323" s="1054">
        <v>41871</v>
      </c>
      <c r="L323" s="1061">
        <v>64873.5</v>
      </c>
      <c r="M323" s="1053">
        <v>11392</v>
      </c>
      <c r="N323" s="1054">
        <v>41871</v>
      </c>
      <c r="O323" s="1059">
        <v>42004</v>
      </c>
      <c r="P323" s="1060" t="s">
        <v>2188</v>
      </c>
      <c r="Q323" s="1030"/>
      <c r="R323" s="1030"/>
      <c r="S323" s="1030"/>
      <c r="T323" s="1060" t="s">
        <v>2146</v>
      </c>
      <c r="U323" s="1030"/>
      <c r="V323" s="1030"/>
      <c r="W323" s="1030"/>
      <c r="X323" s="1030"/>
      <c r="Y323" s="1030"/>
      <c r="Z323" s="1030"/>
      <c r="AA323" s="1030"/>
      <c r="AB323" s="1030"/>
      <c r="AC323" s="1030"/>
      <c r="AD323" s="1030"/>
      <c r="AE323" s="1061">
        <v>64873.5</v>
      </c>
      <c r="AF323" s="1030"/>
      <c r="AG323" s="278">
        <v>47594.9</v>
      </c>
      <c r="AH323" s="604">
        <f t="shared" si="11"/>
        <v>47594.9</v>
      </c>
      <c r="AI323" s="1030"/>
      <c r="AJ323" s="1030"/>
      <c r="AK323" s="1030"/>
      <c r="AL323" s="1030"/>
      <c r="AM323" s="1030"/>
      <c r="AN323" s="1030"/>
      <c r="AO323" s="1030"/>
      <c r="AP323" s="1030"/>
      <c r="AQ323" s="1030"/>
      <c r="AR323" s="1030"/>
      <c r="AS323" s="1030"/>
      <c r="AT323" s="1030"/>
      <c r="AU323" s="1030"/>
      <c r="AV323" s="1030"/>
      <c r="AW323" s="1030"/>
      <c r="AX323" s="1030"/>
      <c r="AY323" s="1030"/>
      <c r="AZ323" s="1030"/>
      <c r="BA323" s="1030"/>
      <c r="BB323" s="1030"/>
      <c r="BC323" s="1030"/>
      <c r="BD323" s="1030"/>
    </row>
    <row r="324" spans="1:56" ht="51" x14ac:dyDescent="0.25">
      <c r="A324" s="1492">
        <v>201</v>
      </c>
      <c r="B324" s="1483" t="s">
        <v>2185</v>
      </c>
      <c r="C324" s="1030" t="s">
        <v>1777</v>
      </c>
      <c r="D324" s="518" t="s">
        <v>935</v>
      </c>
      <c r="E324" s="1060" t="s">
        <v>168</v>
      </c>
      <c r="F324" s="1060" t="s">
        <v>1609</v>
      </c>
      <c r="G324" s="1053">
        <v>11307</v>
      </c>
      <c r="H324" s="1030" t="s">
        <v>2189</v>
      </c>
      <c r="I324" s="1060" t="s">
        <v>2190</v>
      </c>
      <c r="J324" s="1060" t="s">
        <v>2191</v>
      </c>
      <c r="K324" s="1054">
        <v>41871</v>
      </c>
      <c r="L324" s="1061">
        <v>584183.75</v>
      </c>
      <c r="M324" s="1053">
        <v>11383</v>
      </c>
      <c r="N324" s="1054">
        <v>41871</v>
      </c>
      <c r="O324" s="1059">
        <v>42004</v>
      </c>
      <c r="P324" s="1060" t="s">
        <v>2188</v>
      </c>
      <c r="Q324" s="1030"/>
      <c r="R324" s="1030"/>
      <c r="S324" s="1030"/>
      <c r="T324" s="1060" t="s">
        <v>2146</v>
      </c>
      <c r="U324" s="1030"/>
      <c r="V324" s="1030"/>
      <c r="W324" s="1030"/>
      <c r="X324" s="1030"/>
      <c r="Y324" s="1030"/>
      <c r="Z324" s="1030"/>
      <c r="AA324" s="1030"/>
      <c r="AB324" s="1030"/>
      <c r="AC324" s="1030"/>
      <c r="AD324" s="1030"/>
      <c r="AE324" s="1061">
        <v>584183.75</v>
      </c>
      <c r="AF324" s="1030"/>
      <c r="AG324" s="278">
        <v>513698.3</v>
      </c>
      <c r="AH324" s="604">
        <f t="shared" si="11"/>
        <v>513698.3</v>
      </c>
      <c r="AI324" s="1030"/>
      <c r="AJ324" s="1030"/>
      <c r="AK324" s="1030"/>
      <c r="AL324" s="1030"/>
      <c r="AM324" s="1030"/>
      <c r="AN324" s="1030"/>
      <c r="AO324" s="1030"/>
      <c r="AP324" s="1030"/>
      <c r="AQ324" s="1030"/>
      <c r="AR324" s="1030"/>
      <c r="AS324" s="1030"/>
      <c r="AT324" s="1030"/>
      <c r="AU324" s="1030"/>
      <c r="AV324" s="1030"/>
      <c r="AW324" s="1030"/>
      <c r="AX324" s="1030"/>
      <c r="AY324" s="1030"/>
      <c r="AZ324" s="1030"/>
      <c r="BA324" s="1030"/>
      <c r="BB324" s="1030"/>
      <c r="BC324" s="1030"/>
      <c r="BD324" s="1030"/>
    </row>
    <row r="325" spans="1:56" ht="51" x14ac:dyDescent="0.25">
      <c r="A325" s="1492">
        <v>202</v>
      </c>
      <c r="B325" s="1483" t="s">
        <v>2185</v>
      </c>
      <c r="C325" s="1030" t="s">
        <v>1777</v>
      </c>
      <c r="D325" s="518" t="s">
        <v>935</v>
      </c>
      <c r="E325" s="1060" t="s">
        <v>168</v>
      </c>
      <c r="F325" s="1060" t="s">
        <v>1609</v>
      </c>
      <c r="G325" s="1053">
        <v>11307</v>
      </c>
      <c r="H325" s="1030" t="s">
        <v>2192</v>
      </c>
      <c r="I325" s="1060" t="s">
        <v>2193</v>
      </c>
      <c r="J325" s="1060" t="s">
        <v>1611</v>
      </c>
      <c r="K325" s="1054">
        <v>41871</v>
      </c>
      <c r="L325" s="1061">
        <v>436809.72</v>
      </c>
      <c r="M325" s="1053">
        <v>11383</v>
      </c>
      <c r="N325" s="1054">
        <v>41871</v>
      </c>
      <c r="O325" s="1059">
        <v>42004</v>
      </c>
      <c r="P325" s="1060" t="s">
        <v>2188</v>
      </c>
      <c r="Q325" s="1030"/>
      <c r="R325" s="1030"/>
      <c r="S325" s="1030"/>
      <c r="T325" s="1060" t="s">
        <v>2146</v>
      </c>
      <c r="U325" s="1030"/>
      <c r="V325" s="1030"/>
      <c r="W325" s="1030"/>
      <c r="X325" s="1030"/>
      <c r="Y325" s="1030"/>
      <c r="Z325" s="1030"/>
      <c r="AA325" s="1030"/>
      <c r="AB325" s="1030"/>
      <c r="AC325" s="1030"/>
      <c r="AD325" s="1030"/>
      <c r="AE325" s="1061">
        <v>436809.72</v>
      </c>
      <c r="AF325" s="1030"/>
      <c r="AG325" s="278">
        <v>344218.75</v>
      </c>
      <c r="AH325" s="604">
        <f t="shared" si="11"/>
        <v>344218.75</v>
      </c>
      <c r="AI325" s="1030"/>
      <c r="AJ325" s="1030"/>
      <c r="AK325" s="1030"/>
      <c r="AL325" s="1030"/>
      <c r="AM325" s="1030"/>
      <c r="AN325" s="1030"/>
      <c r="AO325" s="1030"/>
      <c r="AP325" s="1030"/>
      <c r="AQ325" s="1030"/>
      <c r="AR325" s="1030"/>
      <c r="AS325" s="1030"/>
      <c r="AT325" s="1030"/>
      <c r="AU325" s="1030"/>
      <c r="AV325" s="1030"/>
      <c r="AW325" s="1030"/>
      <c r="AX325" s="1030"/>
      <c r="AY325" s="1030"/>
      <c r="AZ325" s="1030"/>
      <c r="BA325" s="1030"/>
      <c r="BB325" s="1030"/>
      <c r="BC325" s="1030"/>
      <c r="BD325" s="1030"/>
    </row>
    <row r="326" spans="1:56" ht="51" x14ac:dyDescent="0.25">
      <c r="A326" s="1492">
        <v>203</v>
      </c>
      <c r="B326" s="1483" t="s">
        <v>2185</v>
      </c>
      <c r="C326" s="1030" t="s">
        <v>1777</v>
      </c>
      <c r="D326" s="518" t="s">
        <v>935</v>
      </c>
      <c r="E326" s="1060" t="s">
        <v>168</v>
      </c>
      <c r="F326" s="1060" t="s">
        <v>1609</v>
      </c>
      <c r="G326" s="1053">
        <v>11307</v>
      </c>
      <c r="H326" s="1030" t="s">
        <v>2194</v>
      </c>
      <c r="I326" s="1060" t="s">
        <v>2195</v>
      </c>
      <c r="J326" s="1060" t="s">
        <v>779</v>
      </c>
      <c r="K326" s="1054">
        <v>41871</v>
      </c>
      <c r="L326" s="1061">
        <v>276888.75</v>
      </c>
      <c r="M326" s="1053">
        <v>11383</v>
      </c>
      <c r="N326" s="1054">
        <v>41871</v>
      </c>
      <c r="O326" s="1059">
        <v>42004</v>
      </c>
      <c r="P326" s="1060" t="s">
        <v>2188</v>
      </c>
      <c r="Q326" s="1030"/>
      <c r="R326" s="1030"/>
      <c r="S326" s="1030"/>
      <c r="T326" s="1060" t="s">
        <v>2146</v>
      </c>
      <c r="U326" s="1030"/>
      <c r="V326" s="1030"/>
      <c r="W326" s="1030"/>
      <c r="X326" s="1030"/>
      <c r="Y326" s="1030"/>
      <c r="Z326" s="1030"/>
      <c r="AA326" s="1030"/>
      <c r="AB326" s="1030"/>
      <c r="AC326" s="1030"/>
      <c r="AD326" s="1030"/>
      <c r="AE326" s="1061">
        <v>276888.75</v>
      </c>
      <c r="AF326" s="1030"/>
      <c r="AG326" s="278">
        <v>203275.8</v>
      </c>
      <c r="AH326" s="604">
        <f t="shared" si="11"/>
        <v>203275.8</v>
      </c>
      <c r="AI326" s="1030"/>
      <c r="AJ326" s="1030"/>
      <c r="AK326" s="1030"/>
      <c r="AL326" s="1030"/>
      <c r="AM326" s="1030"/>
      <c r="AN326" s="1030"/>
      <c r="AO326" s="1030"/>
      <c r="AP326" s="1030"/>
      <c r="AQ326" s="1030"/>
      <c r="AR326" s="1030"/>
      <c r="AS326" s="1030"/>
      <c r="AT326" s="1030"/>
      <c r="AU326" s="1030"/>
      <c r="AV326" s="1030"/>
      <c r="AW326" s="1030"/>
      <c r="AX326" s="1030"/>
      <c r="AY326" s="1030"/>
      <c r="AZ326" s="1030"/>
      <c r="BA326" s="1030"/>
      <c r="BB326" s="1030"/>
      <c r="BC326" s="1030"/>
      <c r="BD326" s="1030"/>
    </row>
    <row r="327" spans="1:56" ht="51" x14ac:dyDescent="0.25">
      <c r="A327" s="1492">
        <v>204</v>
      </c>
      <c r="B327" s="1483" t="s">
        <v>2185</v>
      </c>
      <c r="C327" s="1030" t="s">
        <v>1777</v>
      </c>
      <c r="D327" s="518" t="s">
        <v>935</v>
      </c>
      <c r="E327" s="1060" t="s">
        <v>168</v>
      </c>
      <c r="F327" s="1060" t="s">
        <v>1609</v>
      </c>
      <c r="G327" s="1053">
        <v>11307</v>
      </c>
      <c r="H327" s="1030" t="s">
        <v>2196</v>
      </c>
      <c r="I327" s="1060" t="s">
        <v>2197</v>
      </c>
      <c r="J327" s="1060" t="s">
        <v>1785</v>
      </c>
      <c r="K327" s="1054">
        <v>41871</v>
      </c>
      <c r="L327" s="1061">
        <v>269396.5</v>
      </c>
      <c r="M327" s="1053">
        <v>11383</v>
      </c>
      <c r="N327" s="1054">
        <v>41871</v>
      </c>
      <c r="O327" s="1059">
        <v>42004</v>
      </c>
      <c r="P327" s="1060" t="s">
        <v>2188</v>
      </c>
      <c r="Q327" s="1030"/>
      <c r="R327" s="1030"/>
      <c r="S327" s="1030"/>
      <c r="T327" s="1060" t="s">
        <v>2146</v>
      </c>
      <c r="U327" s="1030"/>
      <c r="V327" s="1030"/>
      <c r="W327" s="1030"/>
      <c r="X327" s="1030"/>
      <c r="Y327" s="1030"/>
      <c r="Z327" s="1030"/>
      <c r="AA327" s="1030"/>
      <c r="AB327" s="1030"/>
      <c r="AC327" s="1030"/>
      <c r="AD327" s="1030"/>
      <c r="AE327" s="1061">
        <v>269396.5</v>
      </c>
      <c r="AF327" s="1030"/>
      <c r="AG327" s="278">
        <v>238449.91</v>
      </c>
      <c r="AH327" s="604">
        <f t="shared" si="11"/>
        <v>238449.91</v>
      </c>
      <c r="AI327" s="1030"/>
      <c r="AJ327" s="1030"/>
      <c r="AK327" s="1030"/>
      <c r="AL327" s="1030"/>
      <c r="AM327" s="1030"/>
      <c r="AN327" s="1030"/>
      <c r="AO327" s="1030"/>
      <c r="AP327" s="1030"/>
      <c r="AQ327" s="1030"/>
      <c r="AR327" s="1030"/>
      <c r="AS327" s="1030"/>
      <c r="AT327" s="1030"/>
      <c r="AU327" s="1030"/>
      <c r="AV327" s="1030"/>
      <c r="AW327" s="1030"/>
      <c r="AX327" s="1030"/>
      <c r="AY327" s="1030"/>
      <c r="AZ327" s="1030"/>
      <c r="BA327" s="1030"/>
      <c r="BB327" s="1030"/>
      <c r="BC327" s="1030"/>
      <c r="BD327" s="1030"/>
    </row>
    <row r="328" spans="1:56" ht="51" x14ac:dyDescent="0.25">
      <c r="A328" s="1492">
        <v>205</v>
      </c>
      <c r="B328" s="1483" t="s">
        <v>2185</v>
      </c>
      <c r="C328" s="1030" t="s">
        <v>1777</v>
      </c>
      <c r="D328" s="518" t="s">
        <v>935</v>
      </c>
      <c r="E328" s="1060" t="s">
        <v>168</v>
      </c>
      <c r="F328" s="1060" t="s">
        <v>1609</v>
      </c>
      <c r="G328" s="1053">
        <v>11307</v>
      </c>
      <c r="H328" s="1030" t="s">
        <v>2198</v>
      </c>
      <c r="I328" s="1060" t="s">
        <v>2199</v>
      </c>
      <c r="J328" s="1060" t="s">
        <v>1622</v>
      </c>
      <c r="K328" s="1054">
        <v>41871</v>
      </c>
      <c r="L328" s="1061">
        <v>62362.5</v>
      </c>
      <c r="M328" s="1053">
        <v>11383</v>
      </c>
      <c r="N328" s="1054">
        <v>41871</v>
      </c>
      <c r="O328" s="1059">
        <v>42004</v>
      </c>
      <c r="P328" s="1060" t="s">
        <v>2188</v>
      </c>
      <c r="Q328" s="1030"/>
      <c r="R328" s="1030"/>
      <c r="S328" s="1030"/>
      <c r="T328" s="1060" t="s">
        <v>2146</v>
      </c>
      <c r="U328" s="1030"/>
      <c r="V328" s="1030"/>
      <c r="W328" s="1030"/>
      <c r="X328" s="1030"/>
      <c r="Y328" s="1030"/>
      <c r="Z328" s="1030"/>
      <c r="AA328" s="1030"/>
      <c r="AB328" s="1030"/>
      <c r="AC328" s="1030"/>
      <c r="AD328" s="1030"/>
      <c r="AE328" s="1061">
        <v>62362.5</v>
      </c>
      <c r="AF328" s="1030"/>
      <c r="AG328" s="278">
        <v>2392.3200000000002</v>
      </c>
      <c r="AH328" s="604">
        <f t="shared" si="11"/>
        <v>2392.3200000000002</v>
      </c>
      <c r="AI328" s="1030"/>
      <c r="AJ328" s="1030"/>
      <c r="AK328" s="1030"/>
      <c r="AL328" s="1030"/>
      <c r="AM328" s="1030"/>
      <c r="AN328" s="1030"/>
      <c r="AO328" s="1030"/>
      <c r="AP328" s="1030"/>
      <c r="AQ328" s="1030"/>
      <c r="AR328" s="1030"/>
      <c r="AS328" s="1030"/>
      <c r="AT328" s="1030"/>
      <c r="AU328" s="1030"/>
      <c r="AV328" s="1030"/>
      <c r="AW328" s="1030"/>
      <c r="AX328" s="1030"/>
      <c r="AY328" s="1030"/>
      <c r="AZ328" s="1030"/>
      <c r="BA328" s="1030"/>
      <c r="BB328" s="1030"/>
      <c r="BC328" s="1030"/>
      <c r="BD328" s="1030"/>
    </row>
    <row r="329" spans="1:56" ht="51" x14ac:dyDescent="0.25">
      <c r="A329" s="1492">
        <v>206</v>
      </c>
      <c r="B329" s="1483" t="s">
        <v>2185</v>
      </c>
      <c r="C329" s="1030" t="s">
        <v>1777</v>
      </c>
      <c r="D329" s="518" t="s">
        <v>935</v>
      </c>
      <c r="E329" s="1060" t="s">
        <v>168</v>
      </c>
      <c r="F329" s="1060" t="s">
        <v>1609</v>
      </c>
      <c r="G329" s="1053">
        <v>11307</v>
      </c>
      <c r="H329" s="1030" t="s">
        <v>2200</v>
      </c>
      <c r="I329" s="1060" t="s">
        <v>2201</v>
      </c>
      <c r="J329" s="1060" t="s">
        <v>2202</v>
      </c>
      <c r="K329" s="1054">
        <v>41871</v>
      </c>
      <c r="L329" s="1061">
        <v>112755</v>
      </c>
      <c r="M329" s="1053">
        <v>11383</v>
      </c>
      <c r="N329" s="1054">
        <v>41871</v>
      </c>
      <c r="O329" s="1059">
        <v>42004</v>
      </c>
      <c r="P329" s="1060" t="s">
        <v>2188</v>
      </c>
      <c r="Q329" s="1030"/>
      <c r="R329" s="1030"/>
      <c r="S329" s="1030"/>
      <c r="T329" s="1060" t="s">
        <v>2146</v>
      </c>
      <c r="U329" s="1030"/>
      <c r="V329" s="1030"/>
      <c r="W329" s="1030"/>
      <c r="X329" s="1030"/>
      <c r="Y329" s="1030"/>
      <c r="Z329" s="1030"/>
      <c r="AA329" s="1030"/>
      <c r="AB329" s="1030"/>
      <c r="AC329" s="1030"/>
      <c r="AD329" s="1030"/>
      <c r="AE329" s="1061">
        <v>112755</v>
      </c>
      <c r="AF329" s="1030"/>
      <c r="AG329" s="278">
        <v>112464.1</v>
      </c>
      <c r="AH329" s="604">
        <f t="shared" si="11"/>
        <v>112464.1</v>
      </c>
      <c r="AI329" s="1030"/>
      <c r="AJ329" s="1030"/>
      <c r="AK329" s="1030"/>
      <c r="AL329" s="1030"/>
      <c r="AM329" s="1030"/>
      <c r="AN329" s="1030"/>
      <c r="AO329" s="1030"/>
      <c r="AP329" s="1030"/>
      <c r="AQ329" s="1030"/>
      <c r="AR329" s="1030"/>
      <c r="AS329" s="1030"/>
      <c r="AT329" s="1030"/>
      <c r="AU329" s="1030"/>
      <c r="AV329" s="1030"/>
      <c r="AW329" s="1030"/>
      <c r="AX329" s="1030"/>
      <c r="AY329" s="1030"/>
      <c r="AZ329" s="1030"/>
      <c r="BA329" s="1030"/>
      <c r="BB329" s="1030"/>
      <c r="BC329" s="1030"/>
      <c r="BD329" s="1030"/>
    </row>
    <row r="330" spans="1:56" ht="51" x14ac:dyDescent="0.25">
      <c r="A330" s="1492">
        <v>207</v>
      </c>
      <c r="B330" s="1486" t="s">
        <v>2185</v>
      </c>
      <c r="C330" s="1040" t="s">
        <v>1777</v>
      </c>
      <c r="D330" s="1124" t="s">
        <v>935</v>
      </c>
      <c r="E330" s="343" t="s">
        <v>168</v>
      </c>
      <c r="F330" s="1060" t="s">
        <v>1609</v>
      </c>
      <c r="G330" s="1053">
        <v>11307</v>
      </c>
      <c r="H330" s="1040" t="s">
        <v>2203</v>
      </c>
      <c r="I330" s="343" t="s">
        <v>2204</v>
      </c>
      <c r="J330" s="343" t="s">
        <v>2205</v>
      </c>
      <c r="K330" s="1044">
        <v>41871</v>
      </c>
      <c r="L330" s="1061">
        <v>54750</v>
      </c>
      <c r="M330" s="1053">
        <v>11383</v>
      </c>
      <c r="N330" s="1054">
        <v>41871</v>
      </c>
      <c r="O330" s="1059">
        <v>42004</v>
      </c>
      <c r="P330" s="1060" t="s">
        <v>2188</v>
      </c>
      <c r="Q330" s="1030"/>
      <c r="R330" s="1030"/>
      <c r="S330" s="1030"/>
      <c r="T330" s="1060" t="s">
        <v>2146</v>
      </c>
      <c r="U330" s="1030"/>
      <c r="V330" s="1030"/>
      <c r="W330" s="1030"/>
      <c r="X330" s="1030"/>
      <c r="Y330" s="1030"/>
      <c r="Z330" s="1030"/>
      <c r="AA330" s="1030"/>
      <c r="AB330" s="1030"/>
      <c r="AC330" s="1030"/>
      <c r="AD330" s="1030"/>
      <c r="AE330" s="1061">
        <v>54750</v>
      </c>
      <c r="AF330" s="1030"/>
      <c r="AG330" s="278">
        <v>54750</v>
      </c>
      <c r="AH330" s="604">
        <f t="shared" si="11"/>
        <v>54750</v>
      </c>
      <c r="AI330" s="1030"/>
      <c r="AJ330" s="1030"/>
      <c r="AK330" s="1030"/>
      <c r="AL330" s="1030"/>
      <c r="AM330" s="1030"/>
      <c r="AN330" s="1030"/>
      <c r="AO330" s="1030"/>
      <c r="AP330" s="1030"/>
      <c r="AQ330" s="1030"/>
      <c r="AR330" s="1030"/>
      <c r="AS330" s="1030"/>
      <c r="AT330" s="1030"/>
      <c r="AU330" s="1030"/>
      <c r="AV330" s="1030"/>
      <c r="AW330" s="1030"/>
      <c r="AX330" s="1030"/>
      <c r="AY330" s="1030"/>
      <c r="AZ330" s="1030"/>
      <c r="BA330" s="1030"/>
      <c r="BB330" s="1030"/>
      <c r="BC330" s="1030"/>
      <c r="BD330" s="1030"/>
    </row>
    <row r="331" spans="1:56" ht="22.5" customHeight="1" x14ac:dyDescent="0.25">
      <c r="A331" s="2284">
        <v>208</v>
      </c>
      <c r="B331" s="2080" t="s">
        <v>2206</v>
      </c>
      <c r="C331" s="1967" t="s">
        <v>505</v>
      </c>
      <c r="D331" s="1985" t="s">
        <v>935</v>
      </c>
      <c r="E331" s="1985" t="s">
        <v>168</v>
      </c>
      <c r="F331" s="1985" t="s">
        <v>2207</v>
      </c>
      <c r="G331" s="1994">
        <v>11336</v>
      </c>
      <c r="H331" s="1985" t="s">
        <v>773</v>
      </c>
      <c r="I331" s="1985" t="s">
        <v>2208</v>
      </c>
      <c r="J331" s="1985" t="s">
        <v>2209</v>
      </c>
      <c r="K331" s="1996">
        <v>41878</v>
      </c>
      <c r="L331" s="2002">
        <v>43950</v>
      </c>
      <c r="M331" s="1994">
        <v>11387</v>
      </c>
      <c r="N331" s="1996">
        <v>41878</v>
      </c>
      <c r="O331" s="1996">
        <v>42004</v>
      </c>
      <c r="P331" s="1985" t="s">
        <v>2137</v>
      </c>
      <c r="Q331" s="1985"/>
      <c r="R331" s="1985"/>
      <c r="S331" s="1985"/>
      <c r="T331" s="1985" t="s">
        <v>678</v>
      </c>
      <c r="U331" s="1030"/>
      <c r="V331" s="1030"/>
      <c r="W331" s="1030"/>
      <c r="X331" s="1030"/>
      <c r="Y331" s="1030"/>
      <c r="Z331" s="1030"/>
      <c r="AA331" s="1030"/>
      <c r="AB331" s="1030"/>
      <c r="AC331" s="1030"/>
      <c r="AD331" s="1030"/>
      <c r="AE331" s="2002">
        <f>43950-AD332+AC332</f>
        <v>48740</v>
      </c>
      <c r="AF331" s="1985"/>
      <c r="AG331" s="2282">
        <v>30570</v>
      </c>
      <c r="AH331" s="2282">
        <f t="shared" si="11"/>
        <v>30570</v>
      </c>
      <c r="AI331" s="1030"/>
      <c r="AJ331" s="1030"/>
      <c r="AK331" s="1030"/>
      <c r="AL331" s="1030"/>
      <c r="AM331" s="1030"/>
      <c r="AN331" s="1030"/>
      <c r="AO331" s="1030"/>
      <c r="AP331" s="1030"/>
      <c r="AQ331" s="1030"/>
      <c r="AR331" s="1030"/>
      <c r="AS331" s="1030"/>
      <c r="AT331" s="1030"/>
      <c r="AU331" s="1030"/>
      <c r="AV331" s="1030"/>
      <c r="AW331" s="1030"/>
      <c r="AX331" s="1030"/>
      <c r="AY331" s="1030"/>
      <c r="AZ331" s="1030"/>
      <c r="BA331" s="1030"/>
      <c r="BB331" s="1030"/>
      <c r="BC331" s="1030"/>
      <c r="BD331" s="1030"/>
    </row>
    <row r="332" spans="1:56" ht="63.75" x14ac:dyDescent="0.25">
      <c r="A332" s="2284"/>
      <c r="B332" s="2080"/>
      <c r="C332" s="1967"/>
      <c r="D332" s="1986"/>
      <c r="E332" s="1986"/>
      <c r="F332" s="1986"/>
      <c r="G332" s="1995"/>
      <c r="H332" s="1986"/>
      <c r="I332" s="1986"/>
      <c r="J332" s="1986"/>
      <c r="K332" s="1997"/>
      <c r="L332" s="2003"/>
      <c r="M332" s="1995"/>
      <c r="N332" s="1997"/>
      <c r="O332" s="1997"/>
      <c r="P332" s="1986"/>
      <c r="Q332" s="1986"/>
      <c r="R332" s="1986"/>
      <c r="S332" s="1986"/>
      <c r="T332" s="1986"/>
      <c r="U332" s="1030" t="s">
        <v>867</v>
      </c>
      <c r="V332" s="1054">
        <v>41974</v>
      </c>
      <c r="W332" s="1053">
        <v>11454</v>
      </c>
      <c r="X332" s="518" t="s">
        <v>2210</v>
      </c>
      <c r="Y332" s="1030"/>
      <c r="Z332" s="1030"/>
      <c r="AA332" s="1030">
        <v>25</v>
      </c>
      <c r="AB332" s="1030"/>
      <c r="AC332" s="278">
        <v>4790</v>
      </c>
      <c r="AD332" s="1030"/>
      <c r="AE332" s="2003"/>
      <c r="AF332" s="1986"/>
      <c r="AG332" s="2283"/>
      <c r="AH332" s="2283"/>
      <c r="AI332" s="1030"/>
      <c r="AJ332" s="1030"/>
      <c r="AK332" s="1030"/>
      <c r="AL332" s="1030"/>
      <c r="AM332" s="1030"/>
      <c r="AN332" s="1030"/>
      <c r="AO332" s="1030"/>
      <c r="AP332" s="1030"/>
      <c r="AQ332" s="1030"/>
      <c r="AR332" s="1030"/>
      <c r="AS332" s="1030"/>
      <c r="AT332" s="1030"/>
      <c r="AU332" s="1030"/>
      <c r="AV332" s="1030"/>
      <c r="AW332" s="1030"/>
      <c r="AX332" s="1030"/>
      <c r="AY332" s="1030"/>
      <c r="AZ332" s="1030"/>
      <c r="BA332" s="1030"/>
      <c r="BB332" s="1030"/>
      <c r="BC332" s="1030"/>
      <c r="BD332" s="1030"/>
    </row>
    <row r="333" spans="1:56" ht="25.5" x14ac:dyDescent="0.25">
      <c r="A333" s="1494">
        <v>209</v>
      </c>
      <c r="B333" s="1487" t="s">
        <v>2098</v>
      </c>
      <c r="C333" s="1038" t="s">
        <v>1210</v>
      </c>
      <c r="D333" s="1125" t="s">
        <v>935</v>
      </c>
      <c r="E333" s="1394" t="s">
        <v>168</v>
      </c>
      <c r="F333" s="114" t="s">
        <v>2211</v>
      </c>
      <c r="G333" s="1069">
        <v>11264</v>
      </c>
      <c r="H333" s="1038" t="s">
        <v>2212</v>
      </c>
      <c r="I333" s="1125" t="s">
        <v>406</v>
      </c>
      <c r="J333" s="1038" t="s">
        <v>407</v>
      </c>
      <c r="K333" s="1047">
        <v>41879</v>
      </c>
      <c r="L333" s="1121">
        <v>50610</v>
      </c>
      <c r="M333" s="1104">
        <v>11391</v>
      </c>
      <c r="N333" s="1047">
        <v>41879</v>
      </c>
      <c r="O333" s="1395">
        <v>42004</v>
      </c>
      <c r="P333" s="1394" t="s">
        <v>1534</v>
      </c>
      <c r="Q333" s="1038"/>
      <c r="R333" s="1038"/>
      <c r="S333" s="1038"/>
      <c r="T333" s="1389" t="s">
        <v>2054</v>
      </c>
      <c r="U333" s="1039"/>
      <c r="V333" s="1039"/>
      <c r="W333" s="1039"/>
      <c r="X333" s="1039"/>
      <c r="Y333" s="1039"/>
      <c r="Z333" s="1039"/>
      <c r="AA333" s="1039"/>
      <c r="AB333" s="1039"/>
      <c r="AC333" s="1039"/>
      <c r="AD333" s="1039"/>
      <c r="AE333" s="1121">
        <v>50610</v>
      </c>
      <c r="AF333" s="1039"/>
      <c r="AG333" s="1122">
        <v>9296</v>
      </c>
      <c r="AH333" s="604">
        <f t="shared" si="11"/>
        <v>9296</v>
      </c>
      <c r="AI333" s="1039"/>
      <c r="AJ333" s="1039"/>
      <c r="AK333" s="1039"/>
      <c r="AL333" s="1039"/>
      <c r="AM333" s="1039"/>
      <c r="AN333" s="1039"/>
      <c r="AO333" s="1039"/>
      <c r="AP333" s="1039"/>
      <c r="AQ333" s="1039"/>
      <c r="AR333" s="1039"/>
      <c r="AS333" s="1039"/>
      <c r="AT333" s="1039"/>
      <c r="AU333" s="1039"/>
      <c r="AV333" s="1039"/>
      <c r="AW333" s="1039"/>
      <c r="AX333" s="1039"/>
      <c r="AY333" s="1039"/>
      <c r="AZ333" s="1039"/>
      <c r="BA333" s="1039"/>
      <c r="BB333" s="1039"/>
      <c r="BC333" s="1039"/>
      <c r="BD333" s="1039"/>
    </row>
    <row r="334" spans="1:56" ht="25.5" x14ac:dyDescent="0.25">
      <c r="A334" s="1492">
        <v>210</v>
      </c>
      <c r="B334" s="1483" t="s">
        <v>2098</v>
      </c>
      <c r="C334" s="1030" t="s">
        <v>1210</v>
      </c>
      <c r="D334" s="518" t="s">
        <v>935</v>
      </c>
      <c r="E334" s="1060" t="s">
        <v>168</v>
      </c>
      <c r="F334" s="1060" t="s">
        <v>2211</v>
      </c>
      <c r="G334" s="1053">
        <v>11264</v>
      </c>
      <c r="H334" s="1030" t="s">
        <v>2213</v>
      </c>
      <c r="I334" s="1060" t="s">
        <v>2214</v>
      </c>
      <c r="J334" s="1060" t="s">
        <v>452</v>
      </c>
      <c r="K334" s="1054">
        <v>41879</v>
      </c>
      <c r="L334" s="1061">
        <v>32745</v>
      </c>
      <c r="M334" s="1053">
        <v>11387</v>
      </c>
      <c r="N334" s="1054">
        <v>41879</v>
      </c>
      <c r="O334" s="1059">
        <v>42004</v>
      </c>
      <c r="P334" s="1060" t="s">
        <v>1534</v>
      </c>
      <c r="Q334" s="1030"/>
      <c r="R334" s="1030"/>
      <c r="S334" s="1030"/>
      <c r="T334" s="1060" t="s">
        <v>2054</v>
      </c>
      <c r="U334" s="1030"/>
      <c r="V334" s="1030"/>
      <c r="W334" s="1030"/>
      <c r="X334" s="1030"/>
      <c r="Y334" s="1030"/>
      <c r="Z334" s="1030"/>
      <c r="AA334" s="1030"/>
      <c r="AB334" s="1030"/>
      <c r="AC334" s="1030"/>
      <c r="AD334" s="1030"/>
      <c r="AE334" s="1061">
        <v>32745</v>
      </c>
      <c r="AF334" s="1030"/>
      <c r="AG334" s="278"/>
      <c r="AH334" s="604">
        <f t="shared" si="11"/>
        <v>0</v>
      </c>
      <c r="AI334" s="1030"/>
      <c r="AJ334" s="1030"/>
      <c r="AK334" s="1030"/>
      <c r="AL334" s="1030"/>
      <c r="AM334" s="1030"/>
      <c r="AN334" s="1030"/>
      <c r="AO334" s="1030"/>
      <c r="AP334" s="1030"/>
      <c r="AQ334" s="1030"/>
      <c r="AR334" s="1030"/>
      <c r="AS334" s="1030"/>
      <c r="AT334" s="1030"/>
      <c r="AU334" s="1030"/>
      <c r="AV334" s="1030"/>
      <c r="AW334" s="1030"/>
      <c r="AX334" s="1030"/>
      <c r="AY334" s="1030"/>
      <c r="AZ334" s="1030"/>
      <c r="BA334" s="1030"/>
      <c r="BB334" s="1030"/>
      <c r="BC334" s="1030"/>
      <c r="BD334" s="1030"/>
    </row>
    <row r="335" spans="1:56" ht="25.5" x14ac:dyDescent="0.25">
      <c r="A335" s="1492">
        <v>211</v>
      </c>
      <c r="B335" s="1483" t="s">
        <v>2098</v>
      </c>
      <c r="C335" s="1030" t="s">
        <v>1210</v>
      </c>
      <c r="D335" s="518" t="s">
        <v>935</v>
      </c>
      <c r="E335" s="1060" t="s">
        <v>168</v>
      </c>
      <c r="F335" s="1060" t="s">
        <v>2211</v>
      </c>
      <c r="G335" s="1053">
        <v>11264</v>
      </c>
      <c r="H335" s="1030" t="s">
        <v>2215</v>
      </c>
      <c r="I335" s="1060" t="s">
        <v>2106</v>
      </c>
      <c r="J335" s="1060" t="s">
        <v>2107</v>
      </c>
      <c r="K335" s="1054">
        <v>41879</v>
      </c>
      <c r="L335" s="1061">
        <v>8900</v>
      </c>
      <c r="M335" s="1053">
        <v>11389</v>
      </c>
      <c r="N335" s="1054">
        <v>41879</v>
      </c>
      <c r="O335" s="1059">
        <v>42004</v>
      </c>
      <c r="P335" s="1060" t="s">
        <v>1534</v>
      </c>
      <c r="Q335" s="1030"/>
      <c r="R335" s="1030"/>
      <c r="S335" s="1030"/>
      <c r="T335" s="1060" t="s">
        <v>2054</v>
      </c>
      <c r="U335" s="1030"/>
      <c r="V335" s="1030"/>
      <c r="W335" s="1030"/>
      <c r="X335" s="1030"/>
      <c r="Y335" s="1030"/>
      <c r="Z335" s="1030"/>
      <c r="AA335" s="1030"/>
      <c r="AB335" s="1030"/>
      <c r="AC335" s="1030"/>
      <c r="AD335" s="1030"/>
      <c r="AE335" s="1061">
        <v>8900</v>
      </c>
      <c r="AF335" s="1030"/>
      <c r="AG335" s="278"/>
      <c r="AH335" s="604">
        <f t="shared" si="11"/>
        <v>0</v>
      </c>
      <c r="AI335" s="1030"/>
      <c r="AJ335" s="1030"/>
      <c r="AK335" s="1030"/>
      <c r="AL335" s="1030"/>
      <c r="AM335" s="1030"/>
      <c r="AN335" s="1030"/>
      <c r="AO335" s="1030"/>
      <c r="AP335" s="1030"/>
      <c r="AQ335" s="1030"/>
      <c r="AR335" s="1030"/>
      <c r="AS335" s="1030"/>
      <c r="AT335" s="1030"/>
      <c r="AU335" s="1030"/>
      <c r="AV335" s="1030"/>
      <c r="AW335" s="1030"/>
      <c r="AX335" s="1030"/>
      <c r="AY335" s="1030"/>
      <c r="AZ335" s="1030"/>
      <c r="BA335" s="1030"/>
      <c r="BB335" s="1030"/>
      <c r="BC335" s="1030"/>
      <c r="BD335" s="1030"/>
    </row>
    <row r="336" spans="1:56" ht="51" x14ac:dyDescent="0.25">
      <c r="A336" s="1492">
        <v>212</v>
      </c>
      <c r="B336" s="1483" t="s">
        <v>2185</v>
      </c>
      <c r="C336" s="1030" t="s">
        <v>1777</v>
      </c>
      <c r="D336" s="518" t="s">
        <v>935</v>
      </c>
      <c r="E336" s="1060" t="s">
        <v>168</v>
      </c>
      <c r="F336" s="518" t="s">
        <v>1609</v>
      </c>
      <c r="G336" s="1053">
        <v>11307</v>
      </c>
      <c r="H336" s="1030" t="s">
        <v>801</v>
      </c>
      <c r="I336" s="518" t="s">
        <v>2216</v>
      </c>
      <c r="J336" s="1030" t="s">
        <v>1790</v>
      </c>
      <c r="K336" s="1054">
        <v>41883</v>
      </c>
      <c r="L336" s="1162">
        <v>30562.5</v>
      </c>
      <c r="M336" s="1053">
        <v>11391</v>
      </c>
      <c r="N336" s="1054">
        <v>41883</v>
      </c>
      <c r="O336" s="1054">
        <v>42004</v>
      </c>
      <c r="P336" s="1060" t="s">
        <v>2188</v>
      </c>
      <c r="Q336" s="1030"/>
      <c r="R336" s="1030"/>
      <c r="S336" s="1030"/>
      <c r="T336" s="1060" t="s">
        <v>2146</v>
      </c>
      <c r="U336" s="1030"/>
      <c r="V336" s="1030"/>
      <c r="W336" s="1030"/>
      <c r="X336" s="1030"/>
      <c r="Y336" s="1030"/>
      <c r="Z336" s="1030"/>
      <c r="AA336" s="1030"/>
      <c r="AB336" s="1030"/>
      <c r="AC336" s="1030"/>
      <c r="AD336" s="1030"/>
      <c r="AE336" s="1162">
        <v>30562.5</v>
      </c>
      <c r="AF336" s="1030"/>
      <c r="AG336" s="278">
        <v>525</v>
      </c>
      <c r="AH336" s="604">
        <f t="shared" si="11"/>
        <v>525</v>
      </c>
      <c r="AI336" s="1030"/>
      <c r="AJ336" s="1030"/>
      <c r="AK336" s="1030"/>
      <c r="AL336" s="1030"/>
      <c r="AM336" s="1030"/>
      <c r="AN336" s="1030"/>
      <c r="AO336" s="1030"/>
      <c r="AP336" s="1030"/>
      <c r="AQ336" s="1030"/>
      <c r="AR336" s="1030"/>
      <c r="AS336" s="1030"/>
      <c r="AT336" s="1030"/>
      <c r="AU336" s="1030"/>
      <c r="AV336" s="1030"/>
      <c r="AW336" s="1030"/>
      <c r="AX336" s="1030"/>
      <c r="AY336" s="1030"/>
      <c r="AZ336" s="1030"/>
      <c r="BA336" s="1030"/>
      <c r="BB336" s="1030"/>
      <c r="BC336" s="1030"/>
      <c r="BD336" s="1030"/>
    </row>
    <row r="337" spans="1:56" ht="51" x14ac:dyDescent="0.25">
      <c r="A337" s="1492">
        <v>213</v>
      </c>
      <c r="B337" s="1483" t="s">
        <v>2185</v>
      </c>
      <c r="C337" s="1030" t="s">
        <v>1777</v>
      </c>
      <c r="D337" s="518" t="s">
        <v>935</v>
      </c>
      <c r="E337" s="1060" t="s">
        <v>168</v>
      </c>
      <c r="F337" s="518" t="s">
        <v>1609</v>
      </c>
      <c r="G337" s="1053">
        <v>11307</v>
      </c>
      <c r="H337" s="1030" t="s">
        <v>819</v>
      </c>
      <c r="I337" s="1060" t="s">
        <v>2190</v>
      </c>
      <c r="J337" s="1060" t="s">
        <v>2191</v>
      </c>
      <c r="K337" s="1396">
        <v>41883</v>
      </c>
      <c r="L337" s="1061">
        <v>10135</v>
      </c>
      <c r="M337" s="668">
        <v>11386</v>
      </c>
      <c r="N337" s="1054">
        <v>41883</v>
      </c>
      <c r="O337" s="1054">
        <v>42004</v>
      </c>
      <c r="P337" s="1060" t="s">
        <v>2188</v>
      </c>
      <c r="Q337" s="1030"/>
      <c r="R337" s="1030"/>
      <c r="S337" s="1030"/>
      <c r="T337" s="1060" t="s">
        <v>2146</v>
      </c>
      <c r="U337" s="1030"/>
      <c r="V337" s="1030"/>
      <c r="W337" s="1030"/>
      <c r="X337" s="1030"/>
      <c r="Y337" s="1030"/>
      <c r="Z337" s="1030"/>
      <c r="AA337" s="1030"/>
      <c r="AB337" s="1030"/>
      <c r="AC337" s="1030"/>
      <c r="AD337" s="1030"/>
      <c r="AE337" s="1061">
        <v>10135</v>
      </c>
      <c r="AF337" s="1030"/>
      <c r="AG337" s="278"/>
      <c r="AH337" s="604">
        <f t="shared" si="11"/>
        <v>0</v>
      </c>
      <c r="AI337" s="1030"/>
      <c r="AJ337" s="1030"/>
      <c r="AK337" s="1030"/>
      <c r="AL337" s="1030"/>
      <c r="AM337" s="1030"/>
      <c r="AN337" s="1030"/>
      <c r="AO337" s="1030"/>
      <c r="AP337" s="1030"/>
      <c r="AQ337" s="1030"/>
      <c r="AR337" s="1030"/>
      <c r="AS337" s="1030"/>
      <c r="AT337" s="1030"/>
      <c r="AU337" s="1030"/>
      <c r="AV337" s="1030"/>
      <c r="AW337" s="1030"/>
      <c r="AX337" s="1030"/>
      <c r="AY337" s="1030"/>
      <c r="AZ337" s="1030"/>
      <c r="BA337" s="1030"/>
      <c r="BB337" s="1030"/>
      <c r="BC337" s="1030"/>
      <c r="BD337" s="1030"/>
    </row>
    <row r="338" spans="1:56" ht="51" x14ac:dyDescent="0.25">
      <c r="A338" s="1492">
        <v>214</v>
      </c>
      <c r="B338" s="1483" t="s">
        <v>2185</v>
      </c>
      <c r="C338" s="1030" t="s">
        <v>1777</v>
      </c>
      <c r="D338" s="518" t="s">
        <v>935</v>
      </c>
      <c r="E338" s="1060" t="s">
        <v>168</v>
      </c>
      <c r="F338" s="518" t="s">
        <v>1609</v>
      </c>
      <c r="G338" s="1053">
        <v>11307</v>
      </c>
      <c r="H338" s="1030" t="s">
        <v>783</v>
      </c>
      <c r="I338" s="1060" t="s">
        <v>2193</v>
      </c>
      <c r="J338" s="1060" t="s">
        <v>1611</v>
      </c>
      <c r="K338" s="1396">
        <v>41883</v>
      </c>
      <c r="L338" s="1061">
        <v>26325</v>
      </c>
      <c r="M338" s="668">
        <v>11386</v>
      </c>
      <c r="N338" s="1054">
        <v>41883</v>
      </c>
      <c r="O338" s="1054">
        <v>42004</v>
      </c>
      <c r="P338" s="1060" t="s">
        <v>2188</v>
      </c>
      <c r="Q338" s="1030"/>
      <c r="R338" s="1030"/>
      <c r="S338" s="1030"/>
      <c r="T338" s="1060" t="s">
        <v>2146</v>
      </c>
      <c r="U338" s="1030"/>
      <c r="V338" s="1030"/>
      <c r="W338" s="1030"/>
      <c r="X338" s="1030"/>
      <c r="Y338" s="1030"/>
      <c r="Z338" s="1030"/>
      <c r="AA338" s="1030"/>
      <c r="AB338" s="1030"/>
      <c r="AC338" s="1030"/>
      <c r="AD338" s="1030"/>
      <c r="AE338" s="1061">
        <v>26325</v>
      </c>
      <c r="AF338" s="1030"/>
      <c r="AG338" s="278"/>
      <c r="AH338" s="604">
        <f t="shared" si="11"/>
        <v>0</v>
      </c>
      <c r="AI338" s="1030"/>
      <c r="AJ338" s="1030"/>
      <c r="AK338" s="1030"/>
      <c r="AL338" s="1030"/>
      <c r="AM338" s="1030"/>
      <c r="AN338" s="1030"/>
      <c r="AO338" s="1030"/>
      <c r="AP338" s="1030"/>
      <c r="AQ338" s="1030"/>
      <c r="AR338" s="1030"/>
      <c r="AS338" s="1030"/>
      <c r="AT338" s="1030"/>
      <c r="AU338" s="1030"/>
      <c r="AV338" s="1030"/>
      <c r="AW338" s="1030"/>
      <c r="AX338" s="1030"/>
      <c r="AY338" s="1030"/>
      <c r="AZ338" s="1030"/>
      <c r="BA338" s="1030"/>
      <c r="BB338" s="1030"/>
      <c r="BC338" s="1030"/>
      <c r="BD338" s="1030"/>
    </row>
    <row r="339" spans="1:56" ht="51" x14ac:dyDescent="0.25">
      <c r="A339" s="1492">
        <v>215</v>
      </c>
      <c r="B339" s="1483" t="s">
        <v>2217</v>
      </c>
      <c r="C339" s="1030" t="s">
        <v>1788</v>
      </c>
      <c r="D339" s="518" t="s">
        <v>935</v>
      </c>
      <c r="E339" s="1060" t="s">
        <v>311</v>
      </c>
      <c r="F339" s="1075" t="s">
        <v>2218</v>
      </c>
      <c r="G339" s="1053">
        <v>11316</v>
      </c>
      <c r="H339" s="1030" t="s">
        <v>2219</v>
      </c>
      <c r="I339" s="1060" t="s">
        <v>1335</v>
      </c>
      <c r="J339" s="1060" t="s">
        <v>759</v>
      </c>
      <c r="K339" s="1396">
        <v>41883</v>
      </c>
      <c r="L339" s="1061">
        <v>638592.96</v>
      </c>
      <c r="M339" s="668">
        <v>11386</v>
      </c>
      <c r="N339" s="1044">
        <v>41883</v>
      </c>
      <c r="O339" s="1044">
        <v>42248</v>
      </c>
      <c r="P339" s="343" t="s">
        <v>1534</v>
      </c>
      <c r="Q339" s="1040"/>
      <c r="R339" s="1040"/>
      <c r="S339" s="1040"/>
      <c r="T339" s="114" t="s">
        <v>2220</v>
      </c>
      <c r="U339" s="1040"/>
      <c r="V339" s="1030"/>
      <c r="W339" s="1030"/>
      <c r="X339" s="1030"/>
      <c r="Y339" s="1030"/>
      <c r="Z339" s="1030"/>
      <c r="AA339" s="1030"/>
      <c r="AB339" s="1030"/>
      <c r="AC339" s="1030"/>
      <c r="AD339" s="1030"/>
      <c r="AE339" s="1061">
        <v>638592.96</v>
      </c>
      <c r="AF339" s="1030"/>
      <c r="AG339" s="278">
        <v>232933.51</v>
      </c>
      <c r="AH339" s="604">
        <f t="shared" si="11"/>
        <v>232933.51</v>
      </c>
      <c r="AI339" s="1030"/>
      <c r="AJ339" s="1030"/>
      <c r="AK339" s="1030"/>
      <c r="AL339" s="1030"/>
      <c r="AM339" s="1030"/>
      <c r="AN339" s="1030"/>
      <c r="AO339" s="1030"/>
      <c r="AP339" s="1030"/>
      <c r="AQ339" s="1030"/>
      <c r="AR339" s="1030"/>
      <c r="AS339" s="1030"/>
      <c r="AT339" s="1030"/>
      <c r="AU339" s="1030"/>
      <c r="AV339" s="1030"/>
      <c r="AW339" s="1030"/>
      <c r="AX339" s="1030"/>
      <c r="AY339" s="1030"/>
      <c r="AZ339" s="1030"/>
      <c r="BA339" s="1030"/>
      <c r="BB339" s="1030"/>
      <c r="BC339" s="1030"/>
      <c r="BD339" s="1030"/>
    </row>
    <row r="340" spans="1:56" ht="51" x14ac:dyDescent="0.25">
      <c r="A340" s="1492">
        <v>216</v>
      </c>
      <c r="B340" s="1483" t="s">
        <v>2221</v>
      </c>
      <c r="C340" s="1030" t="s">
        <v>1715</v>
      </c>
      <c r="D340" s="518" t="s">
        <v>2222</v>
      </c>
      <c r="E340" s="1060" t="s">
        <v>311</v>
      </c>
      <c r="F340" s="518" t="s">
        <v>1609</v>
      </c>
      <c r="G340" s="1030"/>
      <c r="H340" s="1030" t="s">
        <v>2223</v>
      </c>
      <c r="I340" s="1060" t="s">
        <v>2201</v>
      </c>
      <c r="J340" s="1060" t="s">
        <v>2202</v>
      </c>
      <c r="K340" s="1054">
        <v>41884</v>
      </c>
      <c r="L340" s="278">
        <v>120000</v>
      </c>
      <c r="M340" s="1053">
        <v>11386</v>
      </c>
      <c r="N340" s="1054">
        <v>41884</v>
      </c>
      <c r="O340" s="1054">
        <v>42004</v>
      </c>
      <c r="P340" s="1030" t="s">
        <v>1354</v>
      </c>
      <c r="Q340" s="1030"/>
      <c r="R340" s="1030"/>
      <c r="S340" s="1030"/>
      <c r="T340" s="1060" t="s">
        <v>2146</v>
      </c>
      <c r="U340" s="1030"/>
      <c r="V340" s="1030"/>
      <c r="W340" s="1030"/>
      <c r="X340" s="1030"/>
      <c r="Y340" s="1030"/>
      <c r="Z340" s="1030"/>
      <c r="AA340" s="1030"/>
      <c r="AB340" s="1030"/>
      <c r="AC340" s="1030"/>
      <c r="AD340" s="1030"/>
      <c r="AE340" s="278">
        <v>120000</v>
      </c>
      <c r="AF340" s="1030"/>
      <c r="AG340" s="278">
        <v>120000</v>
      </c>
      <c r="AH340" s="604">
        <f t="shared" si="11"/>
        <v>120000</v>
      </c>
      <c r="AI340" s="1030"/>
      <c r="AJ340" s="1030"/>
      <c r="AK340" s="1030"/>
      <c r="AL340" s="1030"/>
      <c r="AM340" s="1030" t="s">
        <v>1311</v>
      </c>
      <c r="AN340" s="1030" t="s">
        <v>2224</v>
      </c>
      <c r="AO340" s="1053">
        <v>11384</v>
      </c>
      <c r="AP340" s="1054">
        <v>41884</v>
      </c>
      <c r="AQ340" s="1053">
        <v>11386</v>
      </c>
      <c r="AR340" s="1054">
        <v>41886</v>
      </c>
      <c r="AS340" s="1030"/>
      <c r="AT340" s="1030"/>
      <c r="AU340" s="1030"/>
      <c r="AV340" s="1030"/>
      <c r="AW340" s="1030"/>
      <c r="AX340" s="1030"/>
      <c r="AY340" s="1030"/>
      <c r="AZ340" s="1030"/>
      <c r="BA340" s="1030"/>
      <c r="BB340" s="1030"/>
      <c r="BC340" s="1030"/>
      <c r="BD340" s="1030"/>
    </row>
    <row r="341" spans="1:56" ht="89.25" x14ac:dyDescent="0.25">
      <c r="A341" s="1492">
        <v>217</v>
      </c>
      <c r="B341" s="1483" t="s">
        <v>2225</v>
      </c>
      <c r="C341" s="1030" t="s">
        <v>804</v>
      </c>
      <c r="D341" s="1030" t="s">
        <v>2168</v>
      </c>
      <c r="E341" s="1030" t="s">
        <v>311</v>
      </c>
      <c r="F341" s="1060" t="s">
        <v>2226</v>
      </c>
      <c r="G341" s="1053">
        <v>11337</v>
      </c>
      <c r="H341" s="1030" t="s">
        <v>2227</v>
      </c>
      <c r="I341" s="1060" t="s">
        <v>2228</v>
      </c>
      <c r="J341" s="1060" t="s">
        <v>1455</v>
      </c>
      <c r="K341" s="1054">
        <v>41893</v>
      </c>
      <c r="L341" s="1061">
        <v>756703.12</v>
      </c>
      <c r="M341" s="1053">
        <v>11393</v>
      </c>
      <c r="N341" s="1054">
        <v>41907</v>
      </c>
      <c r="O341" s="1054">
        <f>N341+210</f>
        <v>42117</v>
      </c>
      <c r="P341" s="1060" t="s">
        <v>2229</v>
      </c>
      <c r="Q341" s="1030"/>
      <c r="R341" s="1030"/>
      <c r="S341" s="1030" t="s">
        <v>593</v>
      </c>
      <c r="T341" s="1060" t="s">
        <v>1577</v>
      </c>
      <c r="U341" s="1030"/>
      <c r="V341" s="1030"/>
      <c r="W341" s="1030"/>
      <c r="X341" s="1030"/>
      <c r="Y341" s="1030"/>
      <c r="Z341" s="1030"/>
      <c r="AA341" s="1030"/>
      <c r="AB341" s="1030"/>
      <c r="AC341" s="1030"/>
      <c r="AD341" s="1030"/>
      <c r="AE341" s="1061">
        <v>756703.12</v>
      </c>
      <c r="AF341" s="1030"/>
      <c r="AG341" s="278">
        <v>105755.03</v>
      </c>
      <c r="AH341" s="604">
        <f t="shared" si="11"/>
        <v>105755.03</v>
      </c>
      <c r="AI341" s="1030"/>
      <c r="AJ341" s="1030"/>
      <c r="AK341" s="1030"/>
      <c r="AL341" s="1030"/>
      <c r="AM341" s="1030"/>
      <c r="AN341" s="1030"/>
      <c r="AO341" s="1030"/>
      <c r="AP341" s="1030"/>
      <c r="AQ341" s="1030"/>
      <c r="AR341" s="1030"/>
      <c r="AS341" s="1030" t="s">
        <v>2172</v>
      </c>
      <c r="AT341" s="95" t="s">
        <v>1457</v>
      </c>
      <c r="AU341" s="1054">
        <v>41911</v>
      </c>
      <c r="AV341" s="1054">
        <f>AU341+180</f>
        <v>42091</v>
      </c>
      <c r="AW341" s="1030"/>
      <c r="AX341" s="1030"/>
      <c r="AY341" s="1054">
        <v>41911</v>
      </c>
      <c r="AZ341" s="1030"/>
      <c r="BA341" s="1030"/>
      <c r="BB341" s="1030" t="s">
        <v>1807</v>
      </c>
      <c r="BC341" s="1030"/>
      <c r="BD341" s="1030"/>
    </row>
    <row r="342" spans="1:56" ht="25.5" x14ac:dyDescent="0.25">
      <c r="A342" s="1492">
        <v>218</v>
      </c>
      <c r="B342" s="2222" t="s">
        <v>2049</v>
      </c>
      <c r="C342" s="1985" t="s">
        <v>388</v>
      </c>
      <c r="D342" s="1985" t="s">
        <v>935</v>
      </c>
      <c r="E342" s="1985" t="s">
        <v>311</v>
      </c>
      <c r="F342" s="2233" t="s">
        <v>2050</v>
      </c>
      <c r="G342" s="1994">
        <v>11211</v>
      </c>
      <c r="H342" s="1030" t="s">
        <v>2230</v>
      </c>
      <c r="I342" s="343" t="s">
        <v>2231</v>
      </c>
      <c r="J342" s="343" t="s">
        <v>1620</v>
      </c>
      <c r="K342" s="1044">
        <v>41900</v>
      </c>
      <c r="L342" s="1381">
        <v>201143.16</v>
      </c>
      <c r="M342" s="1053">
        <v>11402</v>
      </c>
      <c r="N342" s="1054">
        <v>41900</v>
      </c>
      <c r="O342" s="1054">
        <v>42004</v>
      </c>
      <c r="P342" s="343" t="s">
        <v>1534</v>
      </c>
      <c r="Q342" s="1030"/>
      <c r="R342" s="1030"/>
      <c r="S342" s="1030"/>
      <c r="T342" s="1060" t="s">
        <v>2054</v>
      </c>
      <c r="U342" s="1030"/>
      <c r="V342" s="1030"/>
      <c r="W342" s="1030"/>
      <c r="X342" s="1030"/>
      <c r="Y342" s="1030"/>
      <c r="Z342" s="1030"/>
      <c r="AA342" s="1030"/>
      <c r="AB342" s="1030"/>
      <c r="AC342" s="1030"/>
      <c r="AD342" s="1030"/>
      <c r="AE342" s="1381">
        <v>201143.16</v>
      </c>
      <c r="AF342" s="1030"/>
      <c r="AG342" s="278">
        <v>21761</v>
      </c>
      <c r="AH342" s="604">
        <f t="shared" si="11"/>
        <v>21761</v>
      </c>
      <c r="AI342" s="1030"/>
      <c r="AJ342" s="1030"/>
      <c r="AK342" s="1030"/>
      <c r="AL342" s="1030"/>
      <c r="AM342" s="1030"/>
      <c r="AN342" s="1030"/>
      <c r="AO342" s="1030"/>
      <c r="AP342" s="1030"/>
      <c r="AQ342" s="1030"/>
      <c r="AR342" s="1030"/>
      <c r="AS342" s="1030"/>
      <c r="AT342" s="1030"/>
      <c r="AU342" s="1030"/>
      <c r="AV342" s="1030"/>
      <c r="AW342" s="1030"/>
      <c r="AX342" s="1030"/>
      <c r="AY342" s="1030"/>
      <c r="AZ342" s="1030"/>
      <c r="BA342" s="1030"/>
      <c r="BB342" s="1030"/>
      <c r="BC342" s="1030"/>
      <c r="BD342" s="1030"/>
    </row>
    <row r="343" spans="1:56" ht="25.5" x14ac:dyDescent="0.25">
      <c r="A343" s="1492">
        <v>219</v>
      </c>
      <c r="B343" s="2223"/>
      <c r="C343" s="2021"/>
      <c r="D343" s="2021"/>
      <c r="E343" s="2021"/>
      <c r="F343" s="2252"/>
      <c r="G343" s="2197"/>
      <c r="H343" s="1030" t="s">
        <v>2232</v>
      </c>
      <c r="I343" s="1060" t="s">
        <v>2233</v>
      </c>
      <c r="J343" s="1060" t="s">
        <v>470</v>
      </c>
      <c r="K343" s="1044">
        <v>41900</v>
      </c>
      <c r="L343" s="1061">
        <v>25787.3</v>
      </c>
      <c r="M343" s="1053">
        <v>11400</v>
      </c>
      <c r="N343" s="1054">
        <v>41900</v>
      </c>
      <c r="O343" s="1054">
        <v>42004</v>
      </c>
      <c r="P343" s="343" t="s">
        <v>1534</v>
      </c>
      <c r="Q343" s="1030"/>
      <c r="R343" s="1030"/>
      <c r="S343" s="1030"/>
      <c r="T343" s="1060" t="s">
        <v>2054</v>
      </c>
      <c r="U343" s="1030"/>
      <c r="V343" s="1030"/>
      <c r="W343" s="1030"/>
      <c r="X343" s="1030"/>
      <c r="Y343" s="1030"/>
      <c r="Z343" s="1030"/>
      <c r="AA343" s="1030"/>
      <c r="AB343" s="1030"/>
      <c r="AC343" s="1030"/>
      <c r="AD343" s="1030"/>
      <c r="AE343" s="1061">
        <v>25787.3</v>
      </c>
      <c r="AF343" s="1030"/>
      <c r="AG343" s="278">
        <v>24717.3</v>
      </c>
      <c r="AH343" s="604">
        <f t="shared" si="11"/>
        <v>24717.3</v>
      </c>
      <c r="AI343" s="1030"/>
      <c r="AJ343" s="1030"/>
      <c r="AK343" s="1030"/>
      <c r="AL343" s="1030"/>
      <c r="AM343" s="1030"/>
      <c r="AN343" s="1030"/>
      <c r="AO343" s="1030"/>
      <c r="AP343" s="1030"/>
      <c r="AQ343" s="1030"/>
      <c r="AR343" s="1030"/>
      <c r="AS343" s="1030"/>
      <c r="AT343" s="1030"/>
      <c r="AU343" s="1030"/>
      <c r="AV343" s="1030"/>
      <c r="AW343" s="1030"/>
      <c r="AX343" s="1030"/>
      <c r="AY343" s="1030"/>
      <c r="AZ343" s="1030"/>
      <c r="BA343" s="1030"/>
      <c r="BB343" s="1030"/>
      <c r="BC343" s="1030"/>
      <c r="BD343" s="1030"/>
    </row>
    <row r="344" spans="1:56" ht="25.5" x14ac:dyDescent="0.25">
      <c r="A344" s="1492">
        <v>220</v>
      </c>
      <c r="B344" s="2223"/>
      <c r="C344" s="2021"/>
      <c r="D344" s="2021"/>
      <c r="E344" s="2021"/>
      <c r="F344" s="2252"/>
      <c r="G344" s="2197"/>
      <c r="H344" s="1030" t="s">
        <v>389</v>
      </c>
      <c r="I344" s="1060" t="s">
        <v>2234</v>
      </c>
      <c r="J344" s="1060" t="s">
        <v>2059</v>
      </c>
      <c r="K344" s="1044">
        <v>41900</v>
      </c>
      <c r="L344" s="1061">
        <v>57455</v>
      </c>
      <c r="M344" s="1053">
        <v>11401</v>
      </c>
      <c r="N344" s="1054">
        <v>41900</v>
      </c>
      <c r="O344" s="1054">
        <v>42004</v>
      </c>
      <c r="P344" s="343" t="s">
        <v>1534</v>
      </c>
      <c r="Q344" s="1030"/>
      <c r="R344" s="1030"/>
      <c r="S344" s="1030"/>
      <c r="T344" s="1060" t="s">
        <v>2054</v>
      </c>
      <c r="U344" s="1030"/>
      <c r="V344" s="1030"/>
      <c r="W344" s="1030"/>
      <c r="X344" s="1030"/>
      <c r="Y344" s="1030"/>
      <c r="Z344" s="1030"/>
      <c r="AA344" s="1030"/>
      <c r="AB344" s="1030"/>
      <c r="AC344" s="1030"/>
      <c r="AD344" s="1030"/>
      <c r="AE344" s="1061">
        <v>57455</v>
      </c>
      <c r="AF344" s="1030"/>
      <c r="AG344" s="278"/>
      <c r="AH344" s="604">
        <f t="shared" si="11"/>
        <v>0</v>
      </c>
      <c r="AI344" s="1030"/>
      <c r="AJ344" s="1030"/>
      <c r="AK344" s="1030"/>
      <c r="AL344" s="1030"/>
      <c r="AM344" s="1030"/>
      <c r="AN344" s="1030"/>
      <c r="AO344" s="1030"/>
      <c r="AP344" s="1030"/>
      <c r="AQ344" s="1030"/>
      <c r="AR344" s="1030"/>
      <c r="AS344" s="1030"/>
      <c r="AT344" s="1030"/>
      <c r="AU344" s="1030"/>
      <c r="AV344" s="1030"/>
      <c r="AW344" s="1030"/>
      <c r="AX344" s="1030"/>
      <c r="AY344" s="1030"/>
      <c r="AZ344" s="1030"/>
      <c r="BA344" s="1030"/>
      <c r="BB344" s="1030"/>
      <c r="BC344" s="1030"/>
      <c r="BD344" s="1030"/>
    </row>
    <row r="345" spans="1:56" ht="25.5" x14ac:dyDescent="0.25">
      <c r="A345" s="1492">
        <v>221</v>
      </c>
      <c r="B345" s="2223"/>
      <c r="C345" s="2021"/>
      <c r="D345" s="2021"/>
      <c r="E345" s="2021"/>
      <c r="F345" s="2252"/>
      <c r="G345" s="2197"/>
      <c r="H345" s="1030" t="s">
        <v>2235</v>
      </c>
      <c r="I345" s="1060" t="s">
        <v>2236</v>
      </c>
      <c r="J345" s="1060" t="s">
        <v>2061</v>
      </c>
      <c r="K345" s="1044">
        <v>41900</v>
      </c>
      <c r="L345" s="1061">
        <v>10138</v>
      </c>
      <c r="M345" s="1053">
        <v>11404</v>
      </c>
      <c r="N345" s="1054">
        <v>41900</v>
      </c>
      <c r="O345" s="1054">
        <v>42004</v>
      </c>
      <c r="P345" s="343" t="s">
        <v>1534</v>
      </c>
      <c r="Q345" s="1030"/>
      <c r="R345" s="1030"/>
      <c r="S345" s="1030"/>
      <c r="T345" s="1060" t="s">
        <v>2054</v>
      </c>
      <c r="U345" s="1030"/>
      <c r="V345" s="1030"/>
      <c r="W345" s="1030"/>
      <c r="X345" s="1030"/>
      <c r="Y345" s="1030"/>
      <c r="Z345" s="1030"/>
      <c r="AA345" s="1030"/>
      <c r="AB345" s="1030"/>
      <c r="AC345" s="1030"/>
      <c r="AD345" s="1030"/>
      <c r="AE345" s="1061">
        <v>10138</v>
      </c>
      <c r="AF345" s="1030"/>
      <c r="AG345" s="278"/>
      <c r="AH345" s="604">
        <f t="shared" si="11"/>
        <v>0</v>
      </c>
      <c r="AI345" s="1030"/>
      <c r="AJ345" s="1030"/>
      <c r="AK345" s="1030"/>
      <c r="AL345" s="1030"/>
      <c r="AM345" s="1030"/>
      <c r="AN345" s="1030"/>
      <c r="AO345" s="1030"/>
      <c r="AP345" s="1030"/>
      <c r="AQ345" s="1030"/>
      <c r="AR345" s="1030"/>
      <c r="AS345" s="1030"/>
      <c r="AT345" s="1030"/>
      <c r="AU345" s="1030"/>
      <c r="AV345" s="1030"/>
      <c r="AW345" s="1030"/>
      <c r="AX345" s="1030"/>
      <c r="AY345" s="1030"/>
      <c r="AZ345" s="1030"/>
      <c r="BA345" s="1030"/>
      <c r="BB345" s="1030"/>
      <c r="BC345" s="1030"/>
      <c r="BD345" s="1030"/>
    </row>
    <row r="346" spans="1:56" ht="38.25" x14ac:dyDescent="0.25">
      <c r="A346" s="1492">
        <v>222</v>
      </c>
      <c r="B346" s="2223"/>
      <c r="C346" s="2021"/>
      <c r="D346" s="2021"/>
      <c r="E346" s="2021"/>
      <c r="F346" s="2252"/>
      <c r="G346" s="2197"/>
      <c r="H346" s="1030" t="s">
        <v>2237</v>
      </c>
      <c r="I346" s="1060" t="s">
        <v>2238</v>
      </c>
      <c r="J346" s="1060" t="s">
        <v>2064</v>
      </c>
      <c r="K346" s="1044">
        <v>41900</v>
      </c>
      <c r="L346" s="1061">
        <v>42432</v>
      </c>
      <c r="M346" s="1053">
        <v>11401</v>
      </c>
      <c r="N346" s="1054">
        <v>41900</v>
      </c>
      <c r="O346" s="1054">
        <v>42004</v>
      </c>
      <c r="P346" s="343" t="s">
        <v>1534</v>
      </c>
      <c r="Q346" s="1030"/>
      <c r="R346" s="1030"/>
      <c r="S346" s="1030"/>
      <c r="T346" s="1060" t="s">
        <v>2054</v>
      </c>
      <c r="U346" s="1030"/>
      <c r="V346" s="1030"/>
      <c r="W346" s="1030"/>
      <c r="X346" s="1030"/>
      <c r="Y346" s="1030"/>
      <c r="Z346" s="1030"/>
      <c r="AA346" s="1030"/>
      <c r="AB346" s="1030"/>
      <c r="AC346" s="1030"/>
      <c r="AD346" s="1030"/>
      <c r="AE346" s="1061">
        <v>42432</v>
      </c>
      <c r="AF346" s="1030"/>
      <c r="AG346" s="278">
        <v>3075</v>
      </c>
      <c r="AH346" s="604">
        <f t="shared" si="11"/>
        <v>3075</v>
      </c>
      <c r="AI346" s="1030"/>
      <c r="AJ346" s="1030"/>
      <c r="AK346" s="1030"/>
      <c r="AL346" s="1030"/>
      <c r="AM346" s="1030"/>
      <c r="AN346" s="1030"/>
      <c r="AO346" s="1030"/>
      <c r="AP346" s="1030"/>
      <c r="AQ346" s="1030"/>
      <c r="AR346" s="1030"/>
      <c r="AS346" s="1030"/>
      <c r="AT346" s="1030"/>
      <c r="AU346" s="1030"/>
      <c r="AV346" s="1030"/>
      <c r="AW346" s="1030"/>
      <c r="AX346" s="1030"/>
      <c r="AY346" s="1030"/>
      <c r="AZ346" s="1030"/>
      <c r="BA346" s="1030"/>
      <c r="BB346" s="1030"/>
      <c r="BC346" s="1030"/>
      <c r="BD346" s="1030"/>
    </row>
    <row r="347" spans="1:56" ht="38.25" x14ac:dyDescent="0.25">
      <c r="A347" s="1492">
        <v>223</v>
      </c>
      <c r="B347" s="2223"/>
      <c r="C347" s="2021"/>
      <c r="D347" s="2021"/>
      <c r="E347" s="2021"/>
      <c r="F347" s="2252"/>
      <c r="G347" s="2197"/>
      <c r="H347" s="1030" t="s">
        <v>2239</v>
      </c>
      <c r="I347" s="1060" t="s">
        <v>2240</v>
      </c>
      <c r="J347" s="1060" t="s">
        <v>2067</v>
      </c>
      <c r="K347" s="1044">
        <v>41900</v>
      </c>
      <c r="L347" s="1061">
        <v>22287</v>
      </c>
      <c r="M347" s="1053">
        <v>11400</v>
      </c>
      <c r="N347" s="1054">
        <v>41900</v>
      </c>
      <c r="O347" s="1054">
        <v>42004</v>
      </c>
      <c r="P347" s="343" t="s">
        <v>1534</v>
      </c>
      <c r="Q347" s="1030"/>
      <c r="R347" s="1030"/>
      <c r="S347" s="1030"/>
      <c r="T347" s="1060" t="s">
        <v>2054</v>
      </c>
      <c r="U347" s="1030"/>
      <c r="V347" s="1030"/>
      <c r="W347" s="1030"/>
      <c r="X347" s="1030"/>
      <c r="Y347" s="1030"/>
      <c r="Z347" s="1030"/>
      <c r="AA347" s="1030"/>
      <c r="AB347" s="1030"/>
      <c r="AC347" s="1030"/>
      <c r="AD347" s="1030"/>
      <c r="AE347" s="1061">
        <v>22287</v>
      </c>
      <c r="AF347" s="1030"/>
      <c r="AG347" s="278"/>
      <c r="AH347" s="604">
        <f t="shared" si="11"/>
        <v>0</v>
      </c>
      <c r="AI347" s="1030"/>
      <c r="AJ347" s="1030"/>
      <c r="AK347" s="1030"/>
      <c r="AL347" s="1030"/>
      <c r="AM347" s="1030"/>
      <c r="AN347" s="1030"/>
      <c r="AO347" s="1030"/>
      <c r="AP347" s="1030"/>
      <c r="AQ347" s="1030"/>
      <c r="AR347" s="1030"/>
      <c r="AS347" s="1030"/>
      <c r="AT347" s="1030"/>
      <c r="AU347" s="1030"/>
      <c r="AV347" s="1030"/>
      <c r="AW347" s="1030"/>
      <c r="AX347" s="1030"/>
      <c r="AY347" s="1030"/>
      <c r="AZ347" s="1030"/>
      <c r="BA347" s="1030"/>
      <c r="BB347" s="1030"/>
      <c r="BC347" s="1030"/>
      <c r="BD347" s="1030"/>
    </row>
    <row r="348" spans="1:56" ht="25.5" x14ac:dyDescent="0.25">
      <c r="A348" s="1492">
        <v>224</v>
      </c>
      <c r="B348" s="2223"/>
      <c r="C348" s="2021"/>
      <c r="D348" s="2021"/>
      <c r="E348" s="2021"/>
      <c r="F348" s="2252"/>
      <c r="G348" s="2197"/>
      <c r="H348" s="1030" t="s">
        <v>2241</v>
      </c>
      <c r="I348" s="1060" t="s">
        <v>2242</v>
      </c>
      <c r="J348" s="1060" t="s">
        <v>467</v>
      </c>
      <c r="K348" s="1044">
        <v>41900</v>
      </c>
      <c r="L348" s="1061">
        <v>40540</v>
      </c>
      <c r="M348" s="1053">
        <v>11402</v>
      </c>
      <c r="N348" s="1054">
        <v>41900</v>
      </c>
      <c r="O348" s="1054">
        <v>42004</v>
      </c>
      <c r="P348" s="343" t="s">
        <v>1534</v>
      </c>
      <c r="Q348" s="1030"/>
      <c r="R348" s="1030"/>
      <c r="S348" s="1030"/>
      <c r="T348" s="1060" t="s">
        <v>2054</v>
      </c>
      <c r="U348" s="1030"/>
      <c r="V348" s="1030"/>
      <c r="W348" s="1030"/>
      <c r="X348" s="1030"/>
      <c r="Y348" s="1030"/>
      <c r="Z348" s="1030"/>
      <c r="AA348" s="1030"/>
      <c r="AB348" s="1030"/>
      <c r="AC348" s="1030"/>
      <c r="AD348" s="1030"/>
      <c r="AE348" s="1061">
        <v>40540</v>
      </c>
      <c r="AF348" s="1030"/>
      <c r="AG348" s="278">
        <v>40540</v>
      </c>
      <c r="AH348" s="604">
        <f t="shared" si="11"/>
        <v>40540</v>
      </c>
      <c r="AI348" s="1030"/>
      <c r="AJ348" s="1030"/>
      <c r="AK348" s="1030"/>
      <c r="AL348" s="1030"/>
      <c r="AM348" s="1030"/>
      <c r="AN348" s="1030"/>
      <c r="AO348" s="1030"/>
      <c r="AP348" s="1030"/>
      <c r="AQ348" s="1030"/>
      <c r="AR348" s="1030"/>
      <c r="AS348" s="1030"/>
      <c r="AT348" s="1030"/>
      <c r="AU348" s="1030"/>
      <c r="AV348" s="1030"/>
      <c r="AW348" s="1030"/>
      <c r="AX348" s="1030"/>
      <c r="AY348" s="1030"/>
      <c r="AZ348" s="1030"/>
      <c r="BA348" s="1030"/>
      <c r="BB348" s="1030"/>
      <c r="BC348" s="1030"/>
      <c r="BD348" s="1030"/>
    </row>
    <row r="349" spans="1:56" ht="38.25" x14ac:dyDescent="0.25">
      <c r="A349" s="1492">
        <v>225</v>
      </c>
      <c r="B349" s="2224"/>
      <c r="C349" s="1986"/>
      <c r="D349" s="1986"/>
      <c r="E349" s="1986"/>
      <c r="F349" s="2234"/>
      <c r="G349" s="1995"/>
      <c r="H349" s="1030" t="s">
        <v>2243</v>
      </c>
      <c r="I349" s="1060" t="s">
        <v>2244</v>
      </c>
      <c r="J349" s="1060" t="s">
        <v>2072</v>
      </c>
      <c r="K349" s="1044">
        <v>41900</v>
      </c>
      <c r="L349" s="585">
        <v>127639</v>
      </c>
      <c r="M349" s="1046">
        <v>11400</v>
      </c>
      <c r="N349" s="1044">
        <v>41900</v>
      </c>
      <c r="O349" s="1044">
        <v>42004</v>
      </c>
      <c r="P349" s="343" t="s">
        <v>1534</v>
      </c>
      <c r="Q349" s="1040"/>
      <c r="R349" s="1040"/>
      <c r="S349" s="1040"/>
      <c r="T349" s="1060" t="s">
        <v>2054</v>
      </c>
      <c r="U349" s="1030"/>
      <c r="V349" s="1030"/>
      <c r="W349" s="1030"/>
      <c r="X349" s="1030"/>
      <c r="Y349" s="1030"/>
      <c r="Z349" s="1030"/>
      <c r="AA349" s="1030"/>
      <c r="AB349" s="1030"/>
      <c r="AC349" s="1030"/>
      <c r="AD349" s="1030"/>
      <c r="AE349" s="585">
        <v>127639</v>
      </c>
      <c r="AF349" s="1030"/>
      <c r="AG349" s="278"/>
      <c r="AH349" s="604">
        <f t="shared" si="11"/>
        <v>0</v>
      </c>
      <c r="AI349" s="1030"/>
      <c r="AJ349" s="1030"/>
      <c r="AK349" s="1030"/>
      <c r="AL349" s="1030"/>
      <c r="AM349" s="1030"/>
      <c r="AN349" s="1030"/>
      <c r="AO349" s="1030"/>
      <c r="AP349" s="1030"/>
      <c r="AQ349" s="1030"/>
      <c r="AR349" s="1030"/>
      <c r="AS349" s="1030"/>
      <c r="AT349" s="1030"/>
      <c r="AU349" s="1030"/>
      <c r="AV349" s="1030"/>
      <c r="AW349" s="1030"/>
      <c r="AX349" s="1030"/>
      <c r="AY349" s="1030"/>
      <c r="AZ349" s="1030"/>
      <c r="BA349" s="1030"/>
      <c r="BB349" s="1030"/>
      <c r="BC349" s="1030"/>
      <c r="BD349" s="1030"/>
    </row>
    <row r="350" spans="1:56" ht="153" x14ac:dyDescent="0.25">
      <c r="A350" s="1492">
        <v>226</v>
      </c>
      <c r="B350" s="1483" t="s">
        <v>2245</v>
      </c>
      <c r="C350" s="1030" t="s">
        <v>802</v>
      </c>
      <c r="D350" s="1030" t="s">
        <v>2222</v>
      </c>
      <c r="E350" s="1030"/>
      <c r="F350" s="114" t="s">
        <v>2246</v>
      </c>
      <c r="G350" s="1030"/>
      <c r="H350" s="1030" t="s">
        <v>2247</v>
      </c>
      <c r="I350" s="1060" t="s">
        <v>2248</v>
      </c>
      <c r="J350" s="1030" t="s">
        <v>2249</v>
      </c>
      <c r="K350" s="1054">
        <v>41901</v>
      </c>
      <c r="L350" s="278">
        <v>30360</v>
      </c>
      <c r="M350" s="1053">
        <v>11401</v>
      </c>
      <c r="N350" s="1054">
        <v>41901</v>
      </c>
      <c r="O350" s="1054">
        <v>42004</v>
      </c>
      <c r="P350" s="1060" t="s">
        <v>2250</v>
      </c>
      <c r="Q350" s="1030"/>
      <c r="R350" s="1030"/>
      <c r="S350" s="1030"/>
      <c r="T350" s="1060" t="s">
        <v>685</v>
      </c>
      <c r="U350" s="1030"/>
      <c r="V350" s="1030"/>
      <c r="W350" s="1030"/>
      <c r="X350" s="1030"/>
      <c r="Y350" s="1030"/>
      <c r="Z350" s="1030"/>
      <c r="AA350" s="1030"/>
      <c r="AB350" s="1030"/>
      <c r="AC350" s="1030"/>
      <c r="AD350" s="1030"/>
      <c r="AE350" s="278">
        <v>30360</v>
      </c>
      <c r="AF350" s="1030"/>
      <c r="AG350" s="278">
        <v>30360</v>
      </c>
      <c r="AH350" s="604">
        <f t="shared" si="11"/>
        <v>30360</v>
      </c>
      <c r="AI350" s="1030"/>
      <c r="AJ350" s="1030"/>
      <c r="AK350" s="1030"/>
      <c r="AL350" s="1030"/>
      <c r="AM350" s="1030" t="s">
        <v>1311</v>
      </c>
      <c r="AN350" s="1030" t="s">
        <v>2251</v>
      </c>
      <c r="AO350" s="1053">
        <v>11391</v>
      </c>
      <c r="AP350" s="1054">
        <v>41894</v>
      </c>
      <c r="AQ350" s="1053" t="s">
        <v>2252</v>
      </c>
      <c r="AR350" s="1054">
        <v>41900</v>
      </c>
      <c r="AS350" s="1030"/>
      <c r="AT350" s="1030"/>
      <c r="AU350" s="1030"/>
      <c r="AV350" s="1030"/>
      <c r="AW350" s="1030"/>
      <c r="AX350" s="1030"/>
      <c r="AY350" s="1030"/>
      <c r="AZ350" s="1030"/>
      <c r="BA350" s="1030"/>
      <c r="BB350" s="1030"/>
      <c r="BC350" s="1030"/>
      <c r="BD350" s="1030"/>
    </row>
    <row r="351" spans="1:56" ht="25.5" x14ac:dyDescent="0.25">
      <c r="A351" s="1492">
        <v>227</v>
      </c>
      <c r="B351" s="1483" t="s">
        <v>2253</v>
      </c>
      <c r="C351" s="1030" t="s">
        <v>1824</v>
      </c>
      <c r="D351" s="1030" t="s">
        <v>935</v>
      </c>
      <c r="E351" s="1030" t="s">
        <v>311</v>
      </c>
      <c r="F351" s="1060" t="s">
        <v>2254</v>
      </c>
      <c r="G351" s="1053">
        <v>11351</v>
      </c>
      <c r="H351" s="1030" t="s">
        <v>2255</v>
      </c>
      <c r="I351" s="1060" t="s">
        <v>2256</v>
      </c>
      <c r="J351" s="1060" t="s">
        <v>2257</v>
      </c>
      <c r="K351" s="1059">
        <v>41905</v>
      </c>
      <c r="L351" s="1061">
        <v>36376</v>
      </c>
      <c r="M351" s="1053">
        <v>11401</v>
      </c>
      <c r="N351" s="1059">
        <v>41905</v>
      </c>
      <c r="O351" s="1054">
        <v>42004</v>
      </c>
      <c r="P351" s="1060" t="s">
        <v>1534</v>
      </c>
      <c r="Q351" s="1060"/>
      <c r="R351" s="1060"/>
      <c r="S351" s="1060"/>
      <c r="T351" s="1060" t="s">
        <v>1946</v>
      </c>
      <c r="U351" s="1060"/>
      <c r="V351" s="1060"/>
      <c r="W351" s="1060"/>
      <c r="X351" s="1060"/>
      <c r="Y351" s="1060"/>
      <c r="Z351" s="1060"/>
      <c r="AA351" s="1060"/>
      <c r="AB351" s="1060"/>
      <c r="AC351" s="1060"/>
      <c r="AD351" s="1060"/>
      <c r="AE351" s="1061">
        <v>36376</v>
      </c>
      <c r="AF351" s="1060"/>
      <c r="AG351" s="278">
        <v>36376</v>
      </c>
      <c r="AH351" s="604">
        <f t="shared" si="11"/>
        <v>36376</v>
      </c>
      <c r="AI351" s="1060"/>
      <c r="AJ351" s="1060"/>
      <c r="AK351" s="1060"/>
      <c r="AL351" s="1060"/>
      <c r="AM351" s="1060"/>
      <c r="AN351" s="1060"/>
      <c r="AO351" s="1060"/>
      <c r="AP351" s="1060"/>
      <c r="AQ351" s="1060"/>
      <c r="AR351" s="1060"/>
      <c r="AS351" s="1060"/>
      <c r="AT351" s="1060"/>
      <c r="AU351" s="1060"/>
      <c r="AV351" s="1060"/>
      <c r="AW351" s="1060"/>
      <c r="AX351" s="1060"/>
      <c r="AY351" s="1060"/>
      <c r="AZ351" s="1060"/>
      <c r="BA351" s="1060"/>
      <c r="BB351" s="1060"/>
      <c r="BC351" s="1060"/>
      <c r="BD351" s="1060"/>
    </row>
    <row r="352" spans="1:56" ht="89.25" x14ac:dyDescent="0.25">
      <c r="A352" s="1492">
        <v>228</v>
      </c>
      <c r="B352" s="1486" t="s">
        <v>2258</v>
      </c>
      <c r="C352" s="1040" t="s">
        <v>2259</v>
      </c>
      <c r="D352" s="1040" t="s">
        <v>2168</v>
      </c>
      <c r="E352" s="1040" t="s">
        <v>2260</v>
      </c>
      <c r="F352" s="343" t="s">
        <v>2261</v>
      </c>
      <c r="G352" s="1046">
        <v>11185</v>
      </c>
      <c r="H352" s="1040" t="s">
        <v>2262</v>
      </c>
      <c r="I352" s="343" t="s">
        <v>2263</v>
      </c>
      <c r="J352" s="343" t="s">
        <v>2264</v>
      </c>
      <c r="K352" s="590">
        <v>41906</v>
      </c>
      <c r="L352" s="1061">
        <v>4410</v>
      </c>
      <c r="M352" s="1046">
        <v>11402</v>
      </c>
      <c r="N352" s="590">
        <v>41906</v>
      </c>
      <c r="O352" s="590">
        <v>41997</v>
      </c>
      <c r="P352" s="343" t="s">
        <v>2265</v>
      </c>
      <c r="Q352" s="343" t="s">
        <v>1843</v>
      </c>
      <c r="R352" s="1061">
        <v>4410</v>
      </c>
      <c r="S352" s="343"/>
      <c r="T352" s="1060" t="s">
        <v>1814</v>
      </c>
      <c r="U352" s="1060"/>
      <c r="V352" s="343"/>
      <c r="W352" s="343"/>
      <c r="X352" s="343"/>
      <c r="Y352" s="343"/>
      <c r="Z352" s="343"/>
      <c r="AA352" s="343"/>
      <c r="AB352" s="343"/>
      <c r="AC352" s="343"/>
      <c r="AD352" s="343"/>
      <c r="AE352" s="1061">
        <v>4410</v>
      </c>
      <c r="AF352" s="343"/>
      <c r="AG352" s="1120">
        <v>4410</v>
      </c>
      <c r="AH352" s="604">
        <f t="shared" si="11"/>
        <v>4410</v>
      </c>
      <c r="AI352" s="343"/>
      <c r="AJ352" s="343"/>
      <c r="AK352" s="343"/>
      <c r="AL352" s="343"/>
      <c r="AM352" s="343"/>
      <c r="AN352" s="343"/>
      <c r="AO352" s="343"/>
      <c r="AP352" s="343"/>
      <c r="AQ352" s="343"/>
      <c r="AR352" s="343"/>
      <c r="AS352" s="343"/>
      <c r="AT352" s="343"/>
      <c r="AU352" s="343"/>
      <c r="AV352" s="1397" t="s">
        <v>7546</v>
      </c>
      <c r="AW352" s="343"/>
      <c r="AX352" s="343"/>
      <c r="AY352" s="343"/>
      <c r="AZ352" s="343"/>
      <c r="BA352" s="343"/>
      <c r="BB352" s="343"/>
      <c r="BC352" s="343"/>
      <c r="BD352" s="343"/>
    </row>
    <row r="353" spans="1:56" ht="89.25" x14ac:dyDescent="0.25">
      <c r="A353" s="1492">
        <v>229</v>
      </c>
      <c r="B353" s="1483" t="s">
        <v>2258</v>
      </c>
      <c r="C353" s="1030" t="s">
        <v>2259</v>
      </c>
      <c r="D353" s="1030" t="s">
        <v>2168</v>
      </c>
      <c r="E353" s="1030" t="s">
        <v>2260</v>
      </c>
      <c r="F353" s="1060" t="s">
        <v>2261</v>
      </c>
      <c r="G353" s="1053">
        <v>11185</v>
      </c>
      <c r="H353" s="1030" t="s">
        <v>2266</v>
      </c>
      <c r="I353" s="1060" t="s">
        <v>2267</v>
      </c>
      <c r="J353" s="1060" t="s">
        <v>2268</v>
      </c>
      <c r="K353" s="1059">
        <v>41906</v>
      </c>
      <c r="L353" s="1061">
        <v>5225</v>
      </c>
      <c r="M353" s="1053">
        <v>11402</v>
      </c>
      <c r="N353" s="1059">
        <v>41906</v>
      </c>
      <c r="O353" s="1059">
        <v>41997</v>
      </c>
      <c r="P353" s="1060" t="s">
        <v>2265</v>
      </c>
      <c r="Q353" s="1060" t="s">
        <v>1843</v>
      </c>
      <c r="R353" s="1061">
        <v>5225</v>
      </c>
      <c r="S353" s="1060"/>
      <c r="T353" s="1060" t="s">
        <v>1814</v>
      </c>
      <c r="U353" s="1060"/>
      <c r="V353" s="1060"/>
      <c r="W353" s="1060"/>
      <c r="X353" s="1060"/>
      <c r="Y353" s="1060"/>
      <c r="Z353" s="1060"/>
      <c r="AA353" s="1060"/>
      <c r="AB353" s="1060"/>
      <c r="AC353" s="1060"/>
      <c r="AD353" s="1060"/>
      <c r="AE353" s="1061">
        <v>5225</v>
      </c>
      <c r="AF353" s="1060"/>
      <c r="AG353" s="278">
        <v>5225</v>
      </c>
      <c r="AH353" s="604">
        <f t="shared" si="11"/>
        <v>5225</v>
      </c>
      <c r="AI353" s="1060"/>
      <c r="AJ353" s="1060"/>
      <c r="AK353" s="1060"/>
      <c r="AL353" s="1060"/>
      <c r="AM353" s="1060"/>
      <c r="AN353" s="1060"/>
      <c r="AO353" s="1060"/>
      <c r="AP353" s="1060"/>
      <c r="AQ353" s="1060"/>
      <c r="AR353" s="1060"/>
      <c r="AS353" s="1060"/>
      <c r="AT353" s="1060"/>
      <c r="AU353" s="1060"/>
      <c r="AV353" s="1398" t="s">
        <v>7546</v>
      </c>
      <c r="AW353" s="1060"/>
      <c r="AX353" s="1060"/>
      <c r="AY353" s="1060"/>
      <c r="AZ353" s="1060"/>
      <c r="BA353" s="1060"/>
      <c r="BB353" s="1060"/>
      <c r="BC353" s="1060"/>
      <c r="BD353" s="1060"/>
    </row>
    <row r="354" spans="1:56" ht="63.75" x14ac:dyDescent="0.25">
      <c r="A354" s="1492">
        <v>230</v>
      </c>
      <c r="B354" s="1483" t="s">
        <v>2269</v>
      </c>
      <c r="C354" s="1030" t="s">
        <v>1750</v>
      </c>
      <c r="D354" s="1030" t="s">
        <v>2222</v>
      </c>
      <c r="E354" s="1060" t="s">
        <v>2141</v>
      </c>
      <c r="F354" s="1060" t="s">
        <v>2270</v>
      </c>
      <c r="G354" s="1060"/>
      <c r="H354" s="1030" t="s">
        <v>2271</v>
      </c>
      <c r="I354" s="1060" t="s">
        <v>2272</v>
      </c>
      <c r="J354" s="1060" t="s">
        <v>2273</v>
      </c>
      <c r="K354" s="1059">
        <v>41906</v>
      </c>
      <c r="L354" s="1061">
        <v>2100</v>
      </c>
      <c r="M354" s="1053">
        <v>11403</v>
      </c>
      <c r="N354" s="1059">
        <v>41906</v>
      </c>
      <c r="O354" s="1059">
        <v>41997</v>
      </c>
      <c r="P354" s="1060" t="s">
        <v>2120</v>
      </c>
      <c r="Q354" s="1060" t="s">
        <v>1843</v>
      </c>
      <c r="R354" s="1061">
        <v>2100</v>
      </c>
      <c r="S354" s="1060"/>
      <c r="T354" s="1060" t="s">
        <v>1814</v>
      </c>
      <c r="U354" s="1060"/>
      <c r="V354" s="1060"/>
      <c r="W354" s="1060"/>
      <c r="X354" s="1060"/>
      <c r="Y354" s="1060"/>
      <c r="Z354" s="1060"/>
      <c r="AA354" s="1060"/>
      <c r="AB354" s="1060"/>
      <c r="AC354" s="1060"/>
      <c r="AD354" s="1060"/>
      <c r="AE354" s="1061">
        <v>2100</v>
      </c>
      <c r="AF354" s="1060"/>
      <c r="AG354" s="278">
        <v>2100</v>
      </c>
      <c r="AH354" s="604">
        <f t="shared" si="11"/>
        <v>2100</v>
      </c>
      <c r="AI354" s="1060"/>
      <c r="AJ354" s="1060"/>
      <c r="AK354" s="1060"/>
      <c r="AL354" s="1060"/>
      <c r="AM354" s="1030" t="s">
        <v>1311</v>
      </c>
      <c r="AN354" s="1985" t="s">
        <v>2274</v>
      </c>
      <c r="AO354" s="1994">
        <v>11362</v>
      </c>
      <c r="AP354" s="1996">
        <v>41852</v>
      </c>
      <c r="AQ354" s="1994">
        <v>11365</v>
      </c>
      <c r="AR354" s="1996">
        <v>41858</v>
      </c>
      <c r="AS354" s="1060"/>
      <c r="AT354" s="1060"/>
      <c r="AU354" s="1060"/>
      <c r="AV354" s="1060"/>
      <c r="AW354" s="1060"/>
      <c r="AX354" s="1060"/>
      <c r="AY354" s="1060"/>
      <c r="AZ354" s="1060"/>
      <c r="BA354" s="1060"/>
      <c r="BB354" s="1060"/>
      <c r="BC354" s="1060"/>
      <c r="BD354" s="1060"/>
    </row>
    <row r="355" spans="1:56" ht="63.75" x14ac:dyDescent="0.25">
      <c r="A355" s="1492">
        <v>231</v>
      </c>
      <c r="B355" s="1483" t="s">
        <v>2269</v>
      </c>
      <c r="C355" s="1030" t="s">
        <v>1750</v>
      </c>
      <c r="D355" s="1030" t="s">
        <v>2222</v>
      </c>
      <c r="E355" s="1060" t="s">
        <v>2141</v>
      </c>
      <c r="F355" s="1060" t="s">
        <v>2270</v>
      </c>
      <c r="G355" s="1060"/>
      <c r="H355" s="1030" t="s">
        <v>2275</v>
      </c>
      <c r="I355" s="1060" t="s">
        <v>7547</v>
      </c>
      <c r="J355" s="1060" t="s">
        <v>2276</v>
      </c>
      <c r="K355" s="1059">
        <v>41906</v>
      </c>
      <c r="L355" s="1061">
        <v>3150</v>
      </c>
      <c r="M355" s="1053">
        <v>11402</v>
      </c>
      <c r="N355" s="1059">
        <v>41906</v>
      </c>
      <c r="O355" s="1059">
        <v>41997</v>
      </c>
      <c r="P355" s="1060" t="s">
        <v>2120</v>
      </c>
      <c r="Q355" s="1060" t="s">
        <v>1843</v>
      </c>
      <c r="R355" s="1061">
        <v>3150</v>
      </c>
      <c r="S355" s="1060"/>
      <c r="T355" s="1060" t="s">
        <v>1814</v>
      </c>
      <c r="U355" s="1060"/>
      <c r="V355" s="1060"/>
      <c r="W355" s="1060"/>
      <c r="X355" s="1060"/>
      <c r="Y355" s="1060"/>
      <c r="Z355" s="1060"/>
      <c r="AA355" s="1060"/>
      <c r="AB355" s="1060"/>
      <c r="AC355" s="1060"/>
      <c r="AD355" s="1060"/>
      <c r="AE355" s="1061">
        <v>3150</v>
      </c>
      <c r="AF355" s="1060"/>
      <c r="AG355" s="278">
        <v>3150</v>
      </c>
      <c r="AH355" s="604">
        <f t="shared" si="11"/>
        <v>3150</v>
      </c>
      <c r="AI355" s="1060"/>
      <c r="AJ355" s="1060"/>
      <c r="AK355" s="1060"/>
      <c r="AL355" s="1060"/>
      <c r="AM355" s="1030" t="s">
        <v>1311</v>
      </c>
      <c r="AN355" s="2021"/>
      <c r="AO355" s="2021"/>
      <c r="AP355" s="2021"/>
      <c r="AQ355" s="2021"/>
      <c r="AR355" s="2021"/>
      <c r="AS355" s="1060"/>
      <c r="AT355" s="1060"/>
      <c r="AU355" s="1060"/>
      <c r="AV355" s="1060"/>
      <c r="AW355" s="1060"/>
      <c r="AX355" s="1060"/>
      <c r="AY355" s="1060"/>
      <c r="AZ355" s="1060"/>
      <c r="BA355" s="1060"/>
      <c r="BB355" s="1060"/>
      <c r="BC355" s="1060"/>
      <c r="BD355" s="1060"/>
    </row>
    <row r="356" spans="1:56" ht="63.75" x14ac:dyDescent="0.25">
      <c r="A356" s="1492">
        <v>232</v>
      </c>
      <c r="B356" s="1483" t="s">
        <v>2269</v>
      </c>
      <c r="C356" s="1030" t="s">
        <v>1750</v>
      </c>
      <c r="D356" s="1030" t="s">
        <v>2222</v>
      </c>
      <c r="E356" s="1060" t="s">
        <v>2141</v>
      </c>
      <c r="F356" s="1060" t="s">
        <v>2270</v>
      </c>
      <c r="G356" s="1060"/>
      <c r="H356" s="1030" t="s">
        <v>2277</v>
      </c>
      <c r="I356" s="1060" t="s">
        <v>2278</v>
      </c>
      <c r="J356" s="1060" t="s">
        <v>2279</v>
      </c>
      <c r="K356" s="1059">
        <v>41906</v>
      </c>
      <c r="L356" s="1061">
        <v>3500</v>
      </c>
      <c r="M356" s="1053">
        <v>11402</v>
      </c>
      <c r="N356" s="1059">
        <v>41906</v>
      </c>
      <c r="O356" s="1059">
        <v>41997</v>
      </c>
      <c r="P356" s="1060" t="s">
        <v>2120</v>
      </c>
      <c r="Q356" s="1060" t="s">
        <v>1843</v>
      </c>
      <c r="R356" s="1061">
        <v>3500</v>
      </c>
      <c r="S356" s="1060"/>
      <c r="T356" s="1060" t="s">
        <v>1814</v>
      </c>
      <c r="U356" s="1060"/>
      <c r="V356" s="1060"/>
      <c r="W356" s="1060"/>
      <c r="X356" s="1060"/>
      <c r="Y356" s="1060"/>
      <c r="Z356" s="1060"/>
      <c r="AA356" s="1060"/>
      <c r="AB356" s="1060"/>
      <c r="AC356" s="1060"/>
      <c r="AD356" s="1060"/>
      <c r="AE356" s="1061">
        <v>3500</v>
      </c>
      <c r="AF356" s="1060"/>
      <c r="AG356" s="278">
        <v>3500</v>
      </c>
      <c r="AH356" s="604">
        <f t="shared" si="11"/>
        <v>3500</v>
      </c>
      <c r="AI356" s="1060"/>
      <c r="AJ356" s="1060"/>
      <c r="AK356" s="1060"/>
      <c r="AL356" s="1060"/>
      <c r="AM356" s="1030" t="s">
        <v>1311</v>
      </c>
      <c r="AN356" s="2021"/>
      <c r="AO356" s="2021"/>
      <c r="AP356" s="2021"/>
      <c r="AQ356" s="2021"/>
      <c r="AR356" s="2021"/>
      <c r="AS356" s="1060"/>
      <c r="AT356" s="1060"/>
      <c r="AU356" s="1060"/>
      <c r="AV356" s="1060"/>
      <c r="AW356" s="1060"/>
      <c r="AX356" s="1060"/>
      <c r="AY356" s="1060"/>
      <c r="AZ356" s="1060"/>
      <c r="BA356" s="1060"/>
      <c r="BB356" s="1060"/>
      <c r="BC356" s="1060"/>
      <c r="BD356" s="1060"/>
    </row>
    <row r="357" spans="1:56" ht="63.75" x14ac:dyDescent="0.25">
      <c r="A357" s="1492">
        <v>233</v>
      </c>
      <c r="B357" s="1483" t="s">
        <v>2269</v>
      </c>
      <c r="C357" s="1030" t="s">
        <v>1750</v>
      </c>
      <c r="D357" s="1030" t="s">
        <v>2222</v>
      </c>
      <c r="E357" s="1060" t="s">
        <v>2141</v>
      </c>
      <c r="F357" s="1060" t="s">
        <v>2270</v>
      </c>
      <c r="G357" s="1060"/>
      <c r="H357" s="1030" t="s">
        <v>1187</v>
      </c>
      <c r="I357" s="1060" t="s">
        <v>2280</v>
      </c>
      <c r="J357" s="1060" t="s">
        <v>2281</v>
      </c>
      <c r="K357" s="1059">
        <v>41906</v>
      </c>
      <c r="L357" s="1061">
        <v>4387.5</v>
      </c>
      <c r="M357" s="1053">
        <v>11402</v>
      </c>
      <c r="N357" s="1059">
        <v>41906</v>
      </c>
      <c r="O357" s="1059">
        <v>41997</v>
      </c>
      <c r="P357" s="1060" t="s">
        <v>2120</v>
      </c>
      <c r="Q357" s="1060" t="s">
        <v>1843</v>
      </c>
      <c r="R357" s="1061">
        <v>4387.5</v>
      </c>
      <c r="S357" s="1060"/>
      <c r="T357" s="1060" t="s">
        <v>1814</v>
      </c>
      <c r="U357" s="1060"/>
      <c r="V357" s="1060"/>
      <c r="W357" s="1060"/>
      <c r="X357" s="1060"/>
      <c r="Y357" s="1060"/>
      <c r="Z357" s="1060"/>
      <c r="AA357" s="1060"/>
      <c r="AB357" s="1060"/>
      <c r="AC357" s="1060"/>
      <c r="AD357" s="1060"/>
      <c r="AE357" s="1061">
        <v>4387.5</v>
      </c>
      <c r="AF357" s="1060"/>
      <c r="AG357" s="278">
        <v>4387.5</v>
      </c>
      <c r="AH357" s="604">
        <f t="shared" si="11"/>
        <v>4387.5</v>
      </c>
      <c r="AI357" s="1060"/>
      <c r="AJ357" s="1060"/>
      <c r="AK357" s="1060"/>
      <c r="AL357" s="1060"/>
      <c r="AM357" s="1030" t="s">
        <v>1311</v>
      </c>
      <c r="AN357" s="1986"/>
      <c r="AO357" s="1986"/>
      <c r="AP357" s="1986"/>
      <c r="AQ357" s="1986"/>
      <c r="AR357" s="1986"/>
      <c r="AS357" s="1060"/>
      <c r="AT357" s="1060"/>
      <c r="AU357" s="1060"/>
      <c r="AV357" s="1060"/>
      <c r="AW357" s="1060"/>
      <c r="AX357" s="1060"/>
      <c r="AY357" s="1060"/>
      <c r="AZ357" s="1060"/>
      <c r="BA357" s="1060"/>
      <c r="BB357" s="1060"/>
      <c r="BC357" s="1060"/>
      <c r="BD357" s="1060"/>
    </row>
    <row r="358" spans="1:56" ht="89.25" x14ac:dyDescent="0.25">
      <c r="A358" s="1492">
        <v>234</v>
      </c>
      <c r="B358" s="26" t="s">
        <v>1836</v>
      </c>
      <c r="C358" s="1030" t="s">
        <v>1837</v>
      </c>
      <c r="D358" s="1060" t="s">
        <v>935</v>
      </c>
      <c r="E358" s="1030" t="s">
        <v>311</v>
      </c>
      <c r="F358" s="1060" t="s">
        <v>1838</v>
      </c>
      <c r="G358" s="1053">
        <v>11145</v>
      </c>
      <c r="H358" s="1060" t="s">
        <v>2282</v>
      </c>
      <c r="I358" s="1060" t="s">
        <v>2283</v>
      </c>
      <c r="J358" s="1060" t="s">
        <v>2284</v>
      </c>
      <c r="K358" s="1054">
        <v>41912</v>
      </c>
      <c r="L358" s="1061">
        <v>15460.65</v>
      </c>
      <c r="M358" s="1053">
        <v>11409</v>
      </c>
      <c r="N358" s="1054">
        <v>41912</v>
      </c>
      <c r="O358" s="1059">
        <v>42004</v>
      </c>
      <c r="P358" s="1060" t="s">
        <v>1842</v>
      </c>
      <c r="Q358" s="1030" t="s">
        <v>1843</v>
      </c>
      <c r="R358" s="1061">
        <v>15460.65</v>
      </c>
      <c r="S358" s="1030"/>
      <c r="T358" s="1060" t="s">
        <v>685</v>
      </c>
      <c r="U358" s="1030"/>
      <c r="V358" s="1030"/>
      <c r="W358" s="1030"/>
      <c r="X358" s="1030"/>
      <c r="Y358" s="1030"/>
      <c r="Z358" s="1030"/>
      <c r="AA358" s="1030"/>
      <c r="AB358" s="1030"/>
      <c r="AC358" s="1030"/>
      <c r="AD358" s="1030"/>
      <c r="AE358" s="1162">
        <f>L358-AD358+AC358</f>
        <v>15460.65</v>
      </c>
      <c r="AF358" s="1030"/>
      <c r="AG358" s="278">
        <v>13343.3</v>
      </c>
      <c r="AH358" s="1030">
        <f t="shared" si="11"/>
        <v>13343.3</v>
      </c>
      <c r="AI358" s="1030"/>
      <c r="AJ358" s="1030"/>
      <c r="AK358" s="1030"/>
      <c r="AL358" s="1030"/>
      <c r="AM358" s="1030"/>
      <c r="AN358" s="1030"/>
      <c r="AO358" s="1030"/>
      <c r="AP358" s="1030"/>
      <c r="AQ358" s="1030"/>
      <c r="AR358" s="1030"/>
      <c r="AS358" s="1030"/>
      <c r="AT358" s="95"/>
      <c r="AU358" s="1030"/>
      <c r="AV358" s="1030"/>
      <c r="AW358" s="1030"/>
      <c r="AX358" s="1030"/>
      <c r="AY358" s="1030"/>
      <c r="AZ358" s="1030"/>
      <c r="BA358" s="1030"/>
      <c r="BB358" s="1030"/>
      <c r="BC358" s="1030"/>
      <c r="BD358" s="1030"/>
    </row>
    <row r="359" spans="1:56" ht="76.5" x14ac:dyDescent="0.25">
      <c r="A359" s="1492">
        <v>235</v>
      </c>
      <c r="B359" s="1488" t="s">
        <v>2285</v>
      </c>
      <c r="C359" s="1040" t="s">
        <v>798</v>
      </c>
      <c r="D359" s="343" t="s">
        <v>2168</v>
      </c>
      <c r="E359" s="1040" t="s">
        <v>2286</v>
      </c>
      <c r="F359" s="343" t="s">
        <v>2287</v>
      </c>
      <c r="G359" s="1046">
        <v>11325</v>
      </c>
      <c r="H359" s="343" t="s">
        <v>2288</v>
      </c>
      <c r="I359" s="343" t="s">
        <v>2289</v>
      </c>
      <c r="J359" s="343" t="s">
        <v>2290</v>
      </c>
      <c r="K359" s="590">
        <v>41913</v>
      </c>
      <c r="L359" s="585">
        <v>980000</v>
      </c>
      <c r="M359" s="1046">
        <v>11410</v>
      </c>
      <c r="N359" s="590">
        <v>41913</v>
      </c>
      <c r="O359" s="590">
        <v>42278</v>
      </c>
      <c r="P359" s="343" t="s">
        <v>1534</v>
      </c>
      <c r="Q359" s="1040"/>
      <c r="R359" s="1040"/>
      <c r="S359" s="1040"/>
      <c r="T359" s="343" t="s">
        <v>2220</v>
      </c>
      <c r="U359" s="1040"/>
      <c r="V359" s="1040"/>
      <c r="W359" s="1040"/>
      <c r="X359" s="1040"/>
      <c r="Y359" s="1040"/>
      <c r="Z359" s="1040"/>
      <c r="AA359" s="1040"/>
      <c r="AB359" s="1040"/>
      <c r="AC359" s="1040"/>
      <c r="AD359" s="1040"/>
      <c r="AE359" s="1163">
        <f>L359-AD359+AC359</f>
        <v>980000</v>
      </c>
      <c r="AF359" s="1040"/>
      <c r="AG359" s="1120">
        <v>184943.96</v>
      </c>
      <c r="AH359" s="1399">
        <f t="shared" ref="AH359:AH362" si="12">AF359+AG359</f>
        <v>184943.96</v>
      </c>
      <c r="AI359" s="284"/>
      <c r="AJ359" s="285"/>
      <c r="AK359" s="285"/>
      <c r="AL359" s="286"/>
      <c r="AM359" s="284"/>
      <c r="AN359" s="287"/>
      <c r="AO359" s="287"/>
      <c r="AP359" s="287"/>
      <c r="AQ359" s="287"/>
      <c r="AR359" s="288"/>
      <c r="AS359" s="114" t="s">
        <v>2291</v>
      </c>
      <c r="AT359" s="727" t="s">
        <v>1457</v>
      </c>
      <c r="AU359" s="590">
        <v>41913</v>
      </c>
      <c r="AV359" s="590">
        <v>42278</v>
      </c>
      <c r="AW359" s="1040"/>
      <c r="AX359" s="1040"/>
      <c r="AY359" s="1044">
        <v>41922</v>
      </c>
      <c r="AZ359" s="1040"/>
      <c r="BA359" s="1040"/>
      <c r="BB359" s="1040"/>
      <c r="BC359" s="1040"/>
      <c r="BD359" s="1072"/>
    </row>
    <row r="360" spans="1:56" ht="25.5" x14ac:dyDescent="0.25">
      <c r="A360" s="1492">
        <v>236</v>
      </c>
      <c r="B360" s="2080" t="s">
        <v>2292</v>
      </c>
      <c r="C360" s="1967" t="s">
        <v>1797</v>
      </c>
      <c r="D360" s="1967" t="s">
        <v>2293</v>
      </c>
      <c r="E360" s="1967" t="s">
        <v>311</v>
      </c>
      <c r="F360" s="2233" t="s">
        <v>2294</v>
      </c>
      <c r="G360" s="1967"/>
      <c r="H360" s="1060" t="s">
        <v>2295</v>
      </c>
      <c r="I360" s="1060" t="s">
        <v>2296</v>
      </c>
      <c r="J360" s="1060" t="s">
        <v>2191</v>
      </c>
      <c r="K360" s="1054">
        <v>41914</v>
      </c>
      <c r="L360" s="1061">
        <v>385280</v>
      </c>
      <c r="M360" s="1053">
        <v>11410</v>
      </c>
      <c r="N360" s="1054">
        <v>41914</v>
      </c>
      <c r="O360" s="1059">
        <v>42004</v>
      </c>
      <c r="P360" s="1967" t="s">
        <v>2297</v>
      </c>
      <c r="Q360" s="1030"/>
      <c r="R360" s="1030"/>
      <c r="S360" s="1030"/>
      <c r="T360" s="1967" t="s">
        <v>2146</v>
      </c>
      <c r="U360" s="1030"/>
      <c r="V360" s="1030"/>
      <c r="W360" s="1030"/>
      <c r="X360" s="1030"/>
      <c r="Y360" s="1030"/>
      <c r="Z360" s="1030"/>
      <c r="AA360" s="1030"/>
      <c r="AB360" s="1030"/>
      <c r="AC360" s="1030"/>
      <c r="AD360" s="1030"/>
      <c r="AE360" s="1162">
        <f t="shared" ref="AE360:AE365" si="13">L360-AD360+AC360</f>
        <v>385280</v>
      </c>
      <c r="AF360" s="1030"/>
      <c r="AG360" s="278">
        <v>306658.71999999997</v>
      </c>
      <c r="AH360" s="107">
        <f t="shared" si="12"/>
        <v>306658.71999999997</v>
      </c>
      <c r="AI360" s="107"/>
      <c r="AJ360" s="107"/>
      <c r="AK360" s="107"/>
      <c r="AL360" s="107"/>
      <c r="AM360" s="2279" t="s">
        <v>1311</v>
      </c>
      <c r="AN360" s="1985" t="s">
        <v>2298</v>
      </c>
      <c r="AO360" s="1994">
        <v>11394</v>
      </c>
      <c r="AP360" s="1996">
        <v>41899</v>
      </c>
      <c r="AQ360" s="1994">
        <v>11398</v>
      </c>
      <c r="AR360" s="1996">
        <v>41905</v>
      </c>
      <c r="AS360" s="1030"/>
      <c r="AT360" s="1030"/>
      <c r="AU360" s="1030"/>
      <c r="AV360" s="1030"/>
      <c r="AW360" s="1030"/>
      <c r="AX360" s="1030"/>
      <c r="AY360" s="1030"/>
      <c r="AZ360" s="1030"/>
      <c r="BA360" s="1030"/>
      <c r="BB360" s="1030"/>
      <c r="BC360" s="1030"/>
      <c r="BD360" s="1030"/>
    </row>
    <row r="361" spans="1:56" ht="25.5" x14ac:dyDescent="0.25">
      <c r="A361" s="1492">
        <v>237</v>
      </c>
      <c r="B361" s="2080"/>
      <c r="C361" s="1967"/>
      <c r="D361" s="1967"/>
      <c r="E361" s="1967"/>
      <c r="F361" s="2252"/>
      <c r="G361" s="1967"/>
      <c r="H361" s="1060" t="s">
        <v>2299</v>
      </c>
      <c r="I361" s="1060" t="s">
        <v>2300</v>
      </c>
      <c r="J361" s="1060" t="s">
        <v>1611</v>
      </c>
      <c r="K361" s="1054">
        <v>41914</v>
      </c>
      <c r="L361" s="1061">
        <v>52175</v>
      </c>
      <c r="M361" s="1053">
        <v>11410</v>
      </c>
      <c r="N361" s="1054">
        <v>41914</v>
      </c>
      <c r="O361" s="1059">
        <v>42004</v>
      </c>
      <c r="P361" s="1967"/>
      <c r="Q361" s="1030"/>
      <c r="R361" s="1030"/>
      <c r="S361" s="1030"/>
      <c r="T361" s="1967"/>
      <c r="U361" s="1030"/>
      <c r="V361" s="1030"/>
      <c r="W361" s="1030"/>
      <c r="X361" s="1030"/>
      <c r="Y361" s="1030"/>
      <c r="Z361" s="1030"/>
      <c r="AA361" s="1030"/>
      <c r="AB361" s="1030"/>
      <c r="AC361" s="1030"/>
      <c r="AD361" s="1030"/>
      <c r="AE361" s="1162">
        <f t="shared" si="13"/>
        <v>52175</v>
      </c>
      <c r="AF361" s="1030"/>
      <c r="AG361" s="278">
        <v>41525</v>
      </c>
      <c r="AH361" s="107">
        <f t="shared" si="12"/>
        <v>41525</v>
      </c>
      <c r="AI361" s="107"/>
      <c r="AJ361" s="107"/>
      <c r="AK361" s="107"/>
      <c r="AL361" s="107"/>
      <c r="AM361" s="2280"/>
      <c r="AN361" s="2021"/>
      <c r="AO361" s="2197"/>
      <c r="AP361" s="2033"/>
      <c r="AQ361" s="2197"/>
      <c r="AR361" s="2033"/>
      <c r="AS361" s="1030"/>
      <c r="AT361" s="1030"/>
      <c r="AU361" s="1030"/>
      <c r="AV361" s="1030"/>
      <c r="AW361" s="1030"/>
      <c r="AX361" s="1030"/>
      <c r="AY361" s="1030"/>
      <c r="AZ361" s="1030"/>
      <c r="BA361" s="1030"/>
      <c r="BB361" s="1030"/>
      <c r="BC361" s="1030"/>
      <c r="BD361" s="1030"/>
    </row>
    <row r="362" spans="1:56" ht="38.25" x14ac:dyDescent="0.25">
      <c r="A362" s="1492">
        <v>238</v>
      </c>
      <c r="B362" s="2080"/>
      <c r="C362" s="1967"/>
      <c r="D362" s="1967"/>
      <c r="E362" s="1967"/>
      <c r="F362" s="2252"/>
      <c r="G362" s="1967"/>
      <c r="H362" s="1060" t="s">
        <v>2301</v>
      </c>
      <c r="I362" s="1060" t="s">
        <v>2195</v>
      </c>
      <c r="J362" s="1060" t="s">
        <v>779</v>
      </c>
      <c r="K362" s="1054">
        <v>41914</v>
      </c>
      <c r="L362" s="1061">
        <v>391711</v>
      </c>
      <c r="M362" s="1053">
        <v>11410</v>
      </c>
      <c r="N362" s="1054">
        <v>41914</v>
      </c>
      <c r="O362" s="1059">
        <v>42004</v>
      </c>
      <c r="P362" s="1967"/>
      <c r="Q362" s="1030"/>
      <c r="R362" s="1030"/>
      <c r="S362" s="1030"/>
      <c r="T362" s="1967"/>
      <c r="U362" s="1030"/>
      <c r="V362" s="1030"/>
      <c r="W362" s="1030"/>
      <c r="X362" s="1030"/>
      <c r="Y362" s="1030"/>
      <c r="Z362" s="1030"/>
      <c r="AA362" s="1030"/>
      <c r="AB362" s="1030"/>
      <c r="AC362" s="1030"/>
      <c r="AD362" s="1030"/>
      <c r="AE362" s="1162">
        <f t="shared" si="13"/>
        <v>391711</v>
      </c>
      <c r="AF362" s="1030"/>
      <c r="AG362" s="278">
        <v>389514.99</v>
      </c>
      <c r="AH362" s="613">
        <f t="shared" si="12"/>
        <v>389514.99</v>
      </c>
      <c r="AI362" s="107"/>
      <c r="AJ362" s="107"/>
      <c r="AK362" s="107"/>
      <c r="AL362" s="107"/>
      <c r="AM362" s="2280"/>
      <c r="AN362" s="2021"/>
      <c r="AO362" s="2197"/>
      <c r="AP362" s="2033"/>
      <c r="AQ362" s="2197"/>
      <c r="AR362" s="2033"/>
      <c r="AS362" s="1030"/>
      <c r="AT362" s="1030"/>
      <c r="AU362" s="1030"/>
      <c r="AV362" s="1030"/>
      <c r="AW362" s="1030"/>
      <c r="AX362" s="1030"/>
      <c r="AY362" s="1030"/>
      <c r="AZ362" s="1030"/>
      <c r="BA362" s="1030"/>
      <c r="BB362" s="1030"/>
      <c r="BC362" s="1030"/>
      <c r="BD362" s="1030"/>
    </row>
    <row r="363" spans="1:56" ht="38.25" x14ac:dyDescent="0.25">
      <c r="A363" s="1492">
        <v>239</v>
      </c>
      <c r="B363" s="2080"/>
      <c r="C363" s="1967"/>
      <c r="D363" s="1967"/>
      <c r="E363" s="1967"/>
      <c r="F363" s="2234"/>
      <c r="G363" s="1967"/>
      <c r="H363" s="1060" t="s">
        <v>2302</v>
      </c>
      <c r="I363" s="1060" t="s">
        <v>2303</v>
      </c>
      <c r="J363" s="1060" t="s">
        <v>1624</v>
      </c>
      <c r="K363" s="1054">
        <v>41914</v>
      </c>
      <c r="L363" s="1061">
        <v>48192</v>
      </c>
      <c r="M363" s="1053">
        <v>14410</v>
      </c>
      <c r="N363" s="1054">
        <v>41914</v>
      </c>
      <c r="O363" s="1059">
        <v>42004</v>
      </c>
      <c r="P363" s="1967"/>
      <c r="Q363" s="1030"/>
      <c r="R363" s="1030"/>
      <c r="S363" s="1030"/>
      <c r="T363" s="1967"/>
      <c r="U363" s="1030"/>
      <c r="V363" s="1030"/>
      <c r="W363" s="1030"/>
      <c r="X363" s="1030"/>
      <c r="Y363" s="1030"/>
      <c r="Z363" s="1030"/>
      <c r="AA363" s="1030"/>
      <c r="AB363" s="1030"/>
      <c r="AC363" s="1030"/>
      <c r="AD363" s="1030"/>
      <c r="AE363" s="1162">
        <f t="shared" si="13"/>
        <v>48192</v>
      </c>
      <c r="AF363" s="1030"/>
      <c r="AG363" s="278">
        <v>48192</v>
      </c>
      <c r="AH363" s="613">
        <f>AF363+AG363</f>
        <v>48192</v>
      </c>
      <c r="AI363" s="107"/>
      <c r="AJ363" s="107"/>
      <c r="AK363" s="107"/>
      <c r="AL363" s="107"/>
      <c r="AM363" s="2281"/>
      <c r="AN363" s="1986"/>
      <c r="AO363" s="1995"/>
      <c r="AP363" s="1997"/>
      <c r="AQ363" s="1995"/>
      <c r="AR363" s="1997"/>
      <c r="AS363" s="1030"/>
      <c r="AT363" s="1030"/>
      <c r="AU363" s="1030"/>
      <c r="AV363" s="1030"/>
      <c r="AW363" s="1030"/>
      <c r="AX363" s="1030"/>
      <c r="AY363" s="1030"/>
      <c r="AZ363" s="1030"/>
      <c r="BA363" s="1030"/>
      <c r="BB363" s="1030"/>
      <c r="BC363" s="1030"/>
      <c r="BD363" s="1030"/>
    </row>
    <row r="364" spans="1:56" ht="38.25" x14ac:dyDescent="0.25">
      <c r="A364" s="1492">
        <v>240</v>
      </c>
      <c r="B364" s="26" t="s">
        <v>2131</v>
      </c>
      <c r="C364" s="1030" t="s">
        <v>1081</v>
      </c>
      <c r="D364" s="1060" t="s">
        <v>935</v>
      </c>
      <c r="E364" s="1060" t="s">
        <v>168</v>
      </c>
      <c r="F364" s="1060" t="s">
        <v>2132</v>
      </c>
      <c r="G364" s="1053">
        <v>11297</v>
      </c>
      <c r="H364" s="1060" t="s">
        <v>2304</v>
      </c>
      <c r="I364" s="1060" t="s">
        <v>2305</v>
      </c>
      <c r="J364" s="1060" t="s">
        <v>789</v>
      </c>
      <c r="K364" s="1059">
        <v>41922</v>
      </c>
      <c r="L364" s="1381">
        <v>15912</v>
      </c>
      <c r="M364" s="1053">
        <v>11416</v>
      </c>
      <c r="N364" s="1059">
        <v>41922</v>
      </c>
      <c r="O364" s="1387">
        <v>42004</v>
      </c>
      <c r="P364" s="1060" t="s">
        <v>1534</v>
      </c>
      <c r="Q364" s="1060"/>
      <c r="R364" s="1060"/>
      <c r="S364" s="1060"/>
      <c r="T364" s="1060" t="s">
        <v>719</v>
      </c>
      <c r="U364" s="1060"/>
      <c r="V364" s="1060"/>
      <c r="W364" s="1060"/>
      <c r="X364" s="1060"/>
      <c r="Y364" s="1060"/>
      <c r="Z364" s="1060"/>
      <c r="AA364" s="1060"/>
      <c r="AB364" s="1060"/>
      <c r="AC364" s="1060"/>
      <c r="AD364" s="1060"/>
      <c r="AE364" s="597">
        <f t="shared" si="13"/>
        <v>15912</v>
      </c>
      <c r="AF364" s="1060"/>
      <c r="AG364" s="266"/>
      <c r="AH364" s="613">
        <f t="shared" ref="AH364:AH382" si="14">AF364+AG364</f>
        <v>0</v>
      </c>
      <c r="AI364" s="1400"/>
      <c r="AJ364" s="1376"/>
      <c r="AK364" s="1376"/>
      <c r="AL364" s="1401"/>
      <c r="AM364" s="1400"/>
      <c r="AN364" s="1402"/>
      <c r="AO364" s="1402"/>
      <c r="AP364" s="1402"/>
      <c r="AQ364" s="1402"/>
      <c r="AR364" s="1403"/>
      <c r="AS364" s="26"/>
      <c r="AT364" s="1060"/>
      <c r="AU364" s="1060"/>
      <c r="AV364" s="1060"/>
      <c r="AW364" s="1060"/>
      <c r="AX364" s="1060"/>
      <c r="AY364" s="1060"/>
      <c r="AZ364" s="1060"/>
      <c r="BA364" s="1060"/>
      <c r="BB364" s="1060"/>
      <c r="BC364" s="1060"/>
      <c r="BD364" s="65"/>
    </row>
    <row r="365" spans="1:56" ht="38.25" x14ac:dyDescent="0.25">
      <c r="A365" s="1492">
        <v>241</v>
      </c>
      <c r="B365" s="26" t="s">
        <v>2306</v>
      </c>
      <c r="C365" s="1030" t="s">
        <v>2007</v>
      </c>
      <c r="D365" s="1060" t="s">
        <v>935</v>
      </c>
      <c r="E365" s="1060" t="s">
        <v>168</v>
      </c>
      <c r="F365" s="1060" t="s">
        <v>2307</v>
      </c>
      <c r="G365" s="1053">
        <v>11399</v>
      </c>
      <c r="H365" s="1060" t="s">
        <v>2308</v>
      </c>
      <c r="I365" s="1060" t="s">
        <v>2309</v>
      </c>
      <c r="J365" s="1060" t="s">
        <v>2310</v>
      </c>
      <c r="K365" s="1059">
        <v>41936</v>
      </c>
      <c r="L365" s="1061">
        <v>98290</v>
      </c>
      <c r="M365" s="1053">
        <v>11427</v>
      </c>
      <c r="N365" s="1059">
        <v>41936</v>
      </c>
      <c r="O365" s="1059">
        <v>42301</v>
      </c>
      <c r="P365" s="1060" t="s">
        <v>2137</v>
      </c>
      <c r="Q365" s="1060"/>
      <c r="R365" s="1060"/>
      <c r="S365" s="1060"/>
      <c r="T365" s="1060" t="s">
        <v>685</v>
      </c>
      <c r="U365" s="1060"/>
      <c r="V365" s="1060"/>
      <c r="W365" s="1060"/>
      <c r="X365" s="1060"/>
      <c r="Y365" s="1060"/>
      <c r="Z365" s="1060"/>
      <c r="AA365" s="1060"/>
      <c r="AB365" s="1060"/>
      <c r="AC365" s="1060"/>
      <c r="AD365" s="1060"/>
      <c r="AE365" s="597">
        <f t="shared" si="13"/>
        <v>98290</v>
      </c>
      <c r="AF365" s="1060"/>
      <c r="AG365" s="266">
        <v>98290</v>
      </c>
      <c r="AH365" s="613">
        <f t="shared" si="14"/>
        <v>98290</v>
      </c>
      <c r="AI365" s="1400"/>
      <c r="AJ365" s="1376"/>
      <c r="AK365" s="1376"/>
      <c r="AL365" s="1401"/>
      <c r="AM365" s="1400"/>
      <c r="AN365" s="1402"/>
      <c r="AO365" s="1402"/>
      <c r="AP365" s="1402"/>
      <c r="AQ365" s="1402"/>
      <c r="AR365" s="1403"/>
      <c r="AS365" s="26"/>
      <c r="AT365" s="1060"/>
      <c r="AU365" s="1060"/>
      <c r="AV365" s="1060"/>
      <c r="AW365" s="1060"/>
      <c r="AX365" s="1060"/>
      <c r="AY365" s="1060"/>
      <c r="AZ365" s="1060"/>
      <c r="BA365" s="1060"/>
      <c r="BB365" s="1060"/>
      <c r="BC365" s="1060"/>
      <c r="BD365" s="65"/>
    </row>
    <row r="366" spans="1:56" ht="76.5" x14ac:dyDescent="0.25">
      <c r="A366" s="1492">
        <v>242</v>
      </c>
      <c r="B366" s="1489" t="s">
        <v>2311</v>
      </c>
      <c r="C366" s="1060" t="s">
        <v>724</v>
      </c>
      <c r="D366" s="518" t="s">
        <v>2312</v>
      </c>
      <c r="E366" s="28"/>
      <c r="F366" s="1060" t="s">
        <v>2313</v>
      </c>
      <c r="G366" s="28"/>
      <c r="H366" s="28" t="s">
        <v>2314</v>
      </c>
      <c r="I366" s="1060" t="s">
        <v>2315</v>
      </c>
      <c r="J366" s="1060" t="s">
        <v>515</v>
      </c>
      <c r="K366" s="38">
        <v>41935</v>
      </c>
      <c r="L366" s="1404">
        <v>238000</v>
      </c>
      <c r="M366" s="100">
        <v>11428</v>
      </c>
      <c r="N366" s="38">
        <v>41935</v>
      </c>
      <c r="O366" s="38">
        <v>42004</v>
      </c>
      <c r="P366" s="28" t="s">
        <v>1354</v>
      </c>
      <c r="Q366" s="28"/>
      <c r="R366" s="28"/>
      <c r="S366" s="28"/>
      <c r="T366" s="28" t="s">
        <v>678</v>
      </c>
      <c r="U366" s="28"/>
      <c r="V366" s="28"/>
      <c r="W366" s="28"/>
      <c r="X366" s="28"/>
      <c r="Y366" s="28"/>
      <c r="Z366" s="28"/>
      <c r="AA366" s="28"/>
      <c r="AB366" s="28"/>
      <c r="AC366" s="28"/>
      <c r="AD366" s="28"/>
      <c r="AE366" s="1405">
        <f>L366-AD366+AC366</f>
        <v>238000</v>
      </c>
      <c r="AF366" s="28"/>
      <c r="AG366" s="1404"/>
      <c r="AH366" s="613">
        <f t="shared" si="14"/>
        <v>0</v>
      </c>
      <c r="AI366" s="28" t="s">
        <v>967</v>
      </c>
      <c r="AJ366" s="100">
        <v>11166</v>
      </c>
      <c r="AK366" s="1060" t="s">
        <v>2316</v>
      </c>
      <c r="AL366" s="28"/>
      <c r="AM366" s="28"/>
      <c r="AN366" s="28"/>
      <c r="AO366" s="28"/>
      <c r="AP366" s="28"/>
      <c r="AQ366" s="28"/>
      <c r="AR366" s="28"/>
      <c r="AS366" s="28"/>
      <c r="AT366" s="28"/>
      <c r="AU366" s="28"/>
      <c r="AV366" s="28"/>
      <c r="AW366" s="28"/>
      <c r="AX366" s="28"/>
      <c r="AY366" s="28"/>
      <c r="AZ366" s="28"/>
      <c r="BA366" s="28"/>
      <c r="BB366" s="28"/>
      <c r="BC366" s="28"/>
      <c r="BD366" s="28"/>
    </row>
    <row r="367" spans="1:56" ht="51" x14ac:dyDescent="0.25">
      <c r="A367" s="1492">
        <v>243</v>
      </c>
      <c r="B367" s="2194" t="s">
        <v>2185</v>
      </c>
      <c r="C367" s="1985" t="s">
        <v>1777</v>
      </c>
      <c r="D367" s="1985" t="s">
        <v>935</v>
      </c>
      <c r="E367" s="1985" t="s">
        <v>168</v>
      </c>
      <c r="F367" s="1985" t="s">
        <v>1609</v>
      </c>
      <c r="G367" s="1994">
        <v>11307</v>
      </c>
      <c r="H367" s="28" t="s">
        <v>2317</v>
      </c>
      <c r="I367" s="1060" t="s">
        <v>2190</v>
      </c>
      <c r="J367" s="1060" t="s">
        <v>2191</v>
      </c>
      <c r="K367" s="38">
        <v>41946</v>
      </c>
      <c r="L367" s="1404">
        <v>295397.5</v>
      </c>
      <c r="M367" s="100">
        <v>11430</v>
      </c>
      <c r="N367" s="38">
        <v>41946</v>
      </c>
      <c r="O367" s="38">
        <v>42004</v>
      </c>
      <c r="P367" s="1060" t="s">
        <v>2188</v>
      </c>
      <c r="Q367" s="1030"/>
      <c r="R367" s="1030"/>
      <c r="S367" s="1030"/>
      <c r="T367" s="1060" t="s">
        <v>2146</v>
      </c>
      <c r="U367" s="28"/>
      <c r="V367" s="28"/>
      <c r="W367" s="28"/>
      <c r="X367" s="28"/>
      <c r="Y367" s="28"/>
      <c r="Z367" s="28"/>
      <c r="AA367" s="28"/>
      <c r="AB367" s="28"/>
      <c r="AC367" s="28"/>
      <c r="AD367" s="28"/>
      <c r="AE367" s="1405">
        <f t="shared" ref="AE367:AE396" si="15">L367-AD367+AC367</f>
        <v>295397.5</v>
      </c>
      <c r="AF367" s="28"/>
      <c r="AG367" s="1404">
        <v>267235</v>
      </c>
      <c r="AH367" s="613">
        <f t="shared" si="14"/>
        <v>267235</v>
      </c>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row>
    <row r="368" spans="1:56" ht="51" x14ac:dyDescent="0.25">
      <c r="A368" s="1492">
        <v>244</v>
      </c>
      <c r="B368" s="2195"/>
      <c r="C368" s="2021"/>
      <c r="D368" s="2021"/>
      <c r="E368" s="2021"/>
      <c r="F368" s="2021"/>
      <c r="G368" s="2197"/>
      <c r="H368" s="28" t="s">
        <v>2318</v>
      </c>
      <c r="I368" s="1060" t="s">
        <v>2193</v>
      </c>
      <c r="J368" s="1060" t="s">
        <v>1611</v>
      </c>
      <c r="K368" s="38">
        <v>41946</v>
      </c>
      <c r="L368" s="1404">
        <v>309872.5</v>
      </c>
      <c r="M368" s="100">
        <v>11430</v>
      </c>
      <c r="N368" s="38">
        <v>41946</v>
      </c>
      <c r="O368" s="38">
        <v>42004</v>
      </c>
      <c r="P368" s="1060" t="s">
        <v>2188</v>
      </c>
      <c r="Q368" s="28"/>
      <c r="R368" s="28"/>
      <c r="S368" s="28"/>
      <c r="T368" s="1060" t="s">
        <v>2146</v>
      </c>
      <c r="U368" s="28"/>
      <c r="V368" s="28"/>
      <c r="W368" s="28"/>
      <c r="X368" s="28"/>
      <c r="Y368" s="28"/>
      <c r="Z368" s="28"/>
      <c r="AA368" s="28"/>
      <c r="AB368" s="28"/>
      <c r="AC368" s="28"/>
      <c r="AD368" s="28"/>
      <c r="AE368" s="1405">
        <f t="shared" si="15"/>
        <v>309872.5</v>
      </c>
      <c r="AF368" s="28"/>
      <c r="AG368" s="1404">
        <v>242019</v>
      </c>
      <c r="AH368" s="613">
        <f>AF368+AG368</f>
        <v>242019</v>
      </c>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row>
    <row r="369" spans="1:56" ht="51" x14ac:dyDescent="0.25">
      <c r="A369" s="1492">
        <v>245</v>
      </c>
      <c r="B369" s="2195"/>
      <c r="C369" s="2021"/>
      <c r="D369" s="2021"/>
      <c r="E369" s="2021"/>
      <c r="F369" s="2021"/>
      <c r="G369" s="2197"/>
      <c r="H369" s="28" t="s">
        <v>2319</v>
      </c>
      <c r="I369" s="1060" t="s">
        <v>2195</v>
      </c>
      <c r="J369" s="1060" t="s">
        <v>779</v>
      </c>
      <c r="K369" s="38">
        <v>41946</v>
      </c>
      <c r="L369" s="1406">
        <v>217995</v>
      </c>
      <c r="M369" s="100">
        <v>11430</v>
      </c>
      <c r="N369" s="38">
        <v>41946</v>
      </c>
      <c r="O369" s="38">
        <v>42004</v>
      </c>
      <c r="P369" s="1060" t="s">
        <v>2188</v>
      </c>
      <c r="Q369" s="28"/>
      <c r="R369" s="28"/>
      <c r="S369" s="28"/>
      <c r="T369" s="1060" t="s">
        <v>2146</v>
      </c>
      <c r="U369" s="28"/>
      <c r="V369" s="28"/>
      <c r="W369" s="28"/>
      <c r="X369" s="28"/>
      <c r="Y369" s="28"/>
      <c r="Z369" s="28"/>
      <c r="AA369" s="28"/>
      <c r="AB369" s="28"/>
      <c r="AC369" s="28"/>
      <c r="AD369" s="28"/>
      <c r="AE369" s="1405">
        <f t="shared" si="15"/>
        <v>217995</v>
      </c>
      <c r="AF369" s="28"/>
      <c r="AG369" s="1404">
        <v>67863.740000000005</v>
      </c>
      <c r="AH369" s="613">
        <f t="shared" si="14"/>
        <v>67863.740000000005</v>
      </c>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row>
    <row r="370" spans="1:56" ht="51" x14ac:dyDescent="0.25">
      <c r="A370" s="1492">
        <v>246</v>
      </c>
      <c r="B370" s="2195"/>
      <c r="C370" s="2021"/>
      <c r="D370" s="2021"/>
      <c r="E370" s="2021"/>
      <c r="F370" s="2021"/>
      <c r="G370" s="2197"/>
      <c r="H370" s="28" t="s">
        <v>2320</v>
      </c>
      <c r="I370" s="1060" t="s">
        <v>2197</v>
      </c>
      <c r="J370" s="1060" t="s">
        <v>1785</v>
      </c>
      <c r="K370" s="38">
        <v>41946</v>
      </c>
      <c r="L370" s="1404">
        <v>133622</v>
      </c>
      <c r="M370" s="100">
        <v>11430</v>
      </c>
      <c r="N370" s="38">
        <v>41946</v>
      </c>
      <c r="O370" s="38">
        <v>42004</v>
      </c>
      <c r="P370" s="1060" t="s">
        <v>2188</v>
      </c>
      <c r="Q370" s="28"/>
      <c r="R370" s="28"/>
      <c r="S370" s="28"/>
      <c r="T370" s="1060" t="s">
        <v>2146</v>
      </c>
      <c r="U370" s="28"/>
      <c r="V370" s="28"/>
      <c r="W370" s="28"/>
      <c r="X370" s="28"/>
      <c r="Y370" s="28"/>
      <c r="Z370" s="28"/>
      <c r="AA370" s="28"/>
      <c r="AB370" s="28"/>
      <c r="AC370" s="28"/>
      <c r="AD370" s="28"/>
      <c r="AE370" s="1405">
        <f t="shared" si="15"/>
        <v>133622</v>
      </c>
      <c r="AF370" s="28"/>
      <c r="AG370" s="1404">
        <v>110663.97</v>
      </c>
      <c r="AH370" s="613">
        <f t="shared" si="14"/>
        <v>110663.97</v>
      </c>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row>
    <row r="371" spans="1:56" ht="51" x14ac:dyDescent="0.25">
      <c r="A371" s="1492">
        <v>247</v>
      </c>
      <c r="B371" s="2195"/>
      <c r="C371" s="2021"/>
      <c r="D371" s="2021"/>
      <c r="E371" s="2021"/>
      <c r="F371" s="2021"/>
      <c r="G371" s="2197"/>
      <c r="H371" s="28" t="s">
        <v>2321</v>
      </c>
      <c r="I371" s="1060" t="s">
        <v>2201</v>
      </c>
      <c r="J371" s="1060" t="s">
        <v>2202</v>
      </c>
      <c r="K371" s="38">
        <v>41946</v>
      </c>
      <c r="L371" s="1404">
        <v>129075</v>
      </c>
      <c r="M371" s="100">
        <v>11430</v>
      </c>
      <c r="N371" s="38">
        <v>41946</v>
      </c>
      <c r="O371" s="38">
        <v>42004</v>
      </c>
      <c r="P371" s="1060" t="s">
        <v>2188</v>
      </c>
      <c r="Q371" s="28"/>
      <c r="R371" s="28"/>
      <c r="S371" s="28"/>
      <c r="T371" s="1060" t="s">
        <v>2146</v>
      </c>
      <c r="U371" s="28"/>
      <c r="V371" s="28"/>
      <c r="W371" s="28"/>
      <c r="X371" s="28"/>
      <c r="Y371" s="28"/>
      <c r="Z371" s="28"/>
      <c r="AA371" s="28"/>
      <c r="AB371" s="28"/>
      <c r="AC371" s="28"/>
      <c r="AD371" s="28"/>
      <c r="AE371" s="1405">
        <f t="shared" si="15"/>
        <v>129075</v>
      </c>
      <c r="AF371" s="28"/>
      <c r="AG371" s="1404">
        <v>129064.8</v>
      </c>
      <c r="AH371" s="613">
        <f t="shared" si="14"/>
        <v>129064.8</v>
      </c>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row>
    <row r="372" spans="1:56" ht="51" x14ac:dyDescent="0.25">
      <c r="A372" s="1492">
        <v>248</v>
      </c>
      <c r="B372" s="2196"/>
      <c r="C372" s="1986"/>
      <c r="D372" s="1986"/>
      <c r="E372" s="1986"/>
      <c r="F372" s="1986"/>
      <c r="G372" s="1995"/>
      <c r="H372" s="28" t="s">
        <v>2322</v>
      </c>
      <c r="I372" s="1060" t="s">
        <v>2204</v>
      </c>
      <c r="J372" s="1060" t="s">
        <v>2205</v>
      </c>
      <c r="K372" s="38">
        <v>41946</v>
      </c>
      <c r="L372" s="1404">
        <v>51562.5</v>
      </c>
      <c r="M372" s="100">
        <v>11430</v>
      </c>
      <c r="N372" s="38">
        <v>41946</v>
      </c>
      <c r="O372" s="38">
        <v>42004</v>
      </c>
      <c r="P372" s="1060" t="s">
        <v>2188</v>
      </c>
      <c r="Q372" s="28"/>
      <c r="R372" s="28"/>
      <c r="S372" s="28"/>
      <c r="T372" s="1060" t="s">
        <v>2146</v>
      </c>
      <c r="U372" s="28"/>
      <c r="V372" s="28"/>
      <c r="W372" s="28"/>
      <c r="X372" s="28"/>
      <c r="Y372" s="28"/>
      <c r="Z372" s="28"/>
      <c r="AA372" s="28"/>
      <c r="AB372" s="28"/>
      <c r="AC372" s="28"/>
      <c r="AD372" s="28"/>
      <c r="AE372" s="1405">
        <f t="shared" si="15"/>
        <v>51562.5</v>
      </c>
      <c r="AF372" s="28"/>
      <c r="AG372" s="1404">
        <v>33000</v>
      </c>
      <c r="AH372" s="613">
        <f>AF372+AG372</f>
        <v>33000</v>
      </c>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row>
    <row r="373" spans="1:56" ht="127.5" x14ac:dyDescent="0.25">
      <c r="A373" s="1492">
        <v>249</v>
      </c>
      <c r="B373" s="34" t="s">
        <v>2323</v>
      </c>
      <c r="C373" s="28" t="s">
        <v>716</v>
      </c>
      <c r="D373" s="1060" t="s">
        <v>2324</v>
      </c>
      <c r="E373" s="1060" t="s">
        <v>168</v>
      </c>
      <c r="F373" s="1060" t="s">
        <v>2325</v>
      </c>
      <c r="G373" s="100">
        <v>11306</v>
      </c>
      <c r="H373" s="28" t="s">
        <v>2326</v>
      </c>
      <c r="I373" s="28" t="s">
        <v>2327</v>
      </c>
      <c r="J373" s="28" t="s">
        <v>2328</v>
      </c>
      <c r="K373" s="38">
        <v>41953</v>
      </c>
      <c r="L373" s="32">
        <v>57780</v>
      </c>
      <c r="M373" s="100">
        <v>11435</v>
      </c>
      <c r="N373" s="38">
        <v>41953</v>
      </c>
      <c r="O373" s="38">
        <v>42004</v>
      </c>
      <c r="P373" s="28" t="s">
        <v>1354</v>
      </c>
      <c r="Q373" s="28"/>
      <c r="R373" s="28"/>
      <c r="S373" s="28"/>
      <c r="T373" s="28" t="s">
        <v>685</v>
      </c>
      <c r="U373" s="28"/>
      <c r="V373" s="28"/>
      <c r="W373" s="28"/>
      <c r="X373" s="28"/>
      <c r="Y373" s="28"/>
      <c r="Z373" s="28"/>
      <c r="AA373" s="28"/>
      <c r="AB373" s="28"/>
      <c r="AC373" s="28"/>
      <c r="AD373" s="28"/>
      <c r="AE373" s="1404">
        <f t="shared" si="15"/>
        <v>57780</v>
      </c>
      <c r="AF373" s="28"/>
      <c r="AG373" s="1404">
        <v>57780</v>
      </c>
      <c r="AH373" s="613">
        <f t="shared" si="14"/>
        <v>57780</v>
      </c>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row>
    <row r="374" spans="1:56" ht="90" x14ac:dyDescent="0.25">
      <c r="A374" s="1492">
        <v>250</v>
      </c>
      <c r="B374" s="34" t="s">
        <v>2329</v>
      </c>
      <c r="C374" s="28" t="s">
        <v>1880</v>
      </c>
      <c r="D374" s="28" t="s">
        <v>1331</v>
      </c>
      <c r="E374" s="1060" t="s">
        <v>168</v>
      </c>
      <c r="F374" s="1407" t="s">
        <v>2330</v>
      </c>
      <c r="G374" s="100">
        <v>11395</v>
      </c>
      <c r="H374" s="28" t="s">
        <v>2331</v>
      </c>
      <c r="I374" s="28" t="s">
        <v>2332</v>
      </c>
      <c r="J374" s="28" t="s">
        <v>2333</v>
      </c>
      <c r="K374" s="38">
        <v>41954</v>
      </c>
      <c r="L374" s="32">
        <v>12580</v>
      </c>
      <c r="M374" s="100">
        <v>11443</v>
      </c>
      <c r="N374" s="38">
        <v>41954</v>
      </c>
      <c r="O374" s="38">
        <v>42319</v>
      </c>
      <c r="P374" s="1060" t="s">
        <v>2334</v>
      </c>
      <c r="Q374" s="573"/>
      <c r="R374" s="573"/>
      <c r="S374" s="573"/>
      <c r="T374" s="28" t="s">
        <v>685</v>
      </c>
      <c r="U374" s="573"/>
      <c r="V374" s="573"/>
      <c r="W374" s="573"/>
      <c r="X374" s="573"/>
      <c r="Y374" s="573"/>
      <c r="Z374" s="573"/>
      <c r="AA374" s="573"/>
      <c r="AB374" s="573"/>
      <c r="AC374" s="573"/>
      <c r="AD374" s="573"/>
      <c r="AE374" s="1404">
        <f t="shared" si="15"/>
        <v>12580</v>
      </c>
      <c r="AF374" s="573"/>
      <c r="AG374" s="1408"/>
      <c r="AH374" s="613">
        <f t="shared" si="14"/>
        <v>0</v>
      </c>
      <c r="AI374" s="573"/>
      <c r="AJ374" s="573"/>
      <c r="AK374" s="573"/>
      <c r="AL374" s="573"/>
      <c r="AM374" s="573"/>
      <c r="AN374" s="573"/>
      <c r="AO374" s="573"/>
      <c r="AP374" s="573"/>
      <c r="AQ374" s="573"/>
      <c r="AR374" s="573"/>
      <c r="AS374" s="573"/>
      <c r="AT374" s="573"/>
      <c r="AU374" s="573"/>
      <c r="AV374" s="573"/>
      <c r="AW374" s="573"/>
      <c r="AX374" s="573"/>
      <c r="AY374" s="573"/>
      <c r="AZ374" s="573"/>
      <c r="BA374" s="573"/>
      <c r="BB374" s="573"/>
      <c r="BC374" s="573"/>
      <c r="BD374" s="573"/>
    </row>
    <row r="375" spans="1:56" ht="51" x14ac:dyDescent="0.25">
      <c r="A375" s="1492">
        <v>251</v>
      </c>
      <c r="B375" s="34" t="s">
        <v>1716</v>
      </c>
      <c r="C375" s="28" t="s">
        <v>1717</v>
      </c>
      <c r="D375" s="28" t="s">
        <v>935</v>
      </c>
      <c r="E375" s="1060" t="s">
        <v>168</v>
      </c>
      <c r="F375" s="1060" t="s">
        <v>1718</v>
      </c>
      <c r="G375" s="100">
        <v>11184</v>
      </c>
      <c r="H375" s="28" t="s">
        <v>2335</v>
      </c>
      <c r="I375" s="28" t="s">
        <v>1678</v>
      </c>
      <c r="J375" s="28" t="s">
        <v>470</v>
      </c>
      <c r="K375" s="38">
        <v>41956</v>
      </c>
      <c r="L375" s="32">
        <v>115765</v>
      </c>
      <c r="M375" s="100">
        <v>11348</v>
      </c>
      <c r="N375" s="38">
        <v>41956</v>
      </c>
      <c r="O375" s="38">
        <v>42004</v>
      </c>
      <c r="P375" s="1060" t="s">
        <v>2336</v>
      </c>
      <c r="Q375" s="28"/>
      <c r="R375" s="28"/>
      <c r="S375" s="28"/>
      <c r="T375" s="28" t="s">
        <v>719</v>
      </c>
      <c r="U375" s="28"/>
      <c r="V375" s="28"/>
      <c r="W375" s="28"/>
      <c r="X375" s="28"/>
      <c r="Y375" s="28"/>
      <c r="Z375" s="28"/>
      <c r="AA375" s="28"/>
      <c r="AB375" s="28"/>
      <c r="AC375" s="28"/>
      <c r="AD375" s="28"/>
      <c r="AE375" s="1404">
        <f t="shared" si="15"/>
        <v>115765</v>
      </c>
      <c r="AF375" s="28"/>
      <c r="AG375" s="1404">
        <v>115765</v>
      </c>
      <c r="AH375" s="613">
        <f>AF375+AG375</f>
        <v>115765</v>
      </c>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row>
    <row r="376" spans="1:56" ht="51" x14ac:dyDescent="0.25">
      <c r="A376" s="1492">
        <v>252</v>
      </c>
      <c r="B376" s="34" t="s">
        <v>1726</v>
      </c>
      <c r="C376" s="28" t="s">
        <v>1374</v>
      </c>
      <c r="D376" s="28" t="s">
        <v>935</v>
      </c>
      <c r="E376" s="1060" t="s">
        <v>168</v>
      </c>
      <c r="F376" s="1060" t="s">
        <v>1727</v>
      </c>
      <c r="G376" s="100">
        <v>11184</v>
      </c>
      <c r="H376" s="28" t="s">
        <v>2337</v>
      </c>
      <c r="I376" s="28" t="s">
        <v>1678</v>
      </c>
      <c r="J376" s="28" t="s">
        <v>470</v>
      </c>
      <c r="K376" s="38">
        <v>41956</v>
      </c>
      <c r="L376" s="32">
        <v>40000</v>
      </c>
      <c r="M376" s="100">
        <v>11348</v>
      </c>
      <c r="N376" s="38">
        <v>41956</v>
      </c>
      <c r="O376" s="38">
        <v>42004</v>
      </c>
      <c r="P376" s="1060" t="s">
        <v>2336</v>
      </c>
      <c r="Q376" s="28"/>
      <c r="R376" s="28"/>
      <c r="S376" s="28"/>
      <c r="T376" s="28" t="s">
        <v>719</v>
      </c>
      <c r="U376" s="28"/>
      <c r="V376" s="28"/>
      <c r="W376" s="28"/>
      <c r="X376" s="28"/>
      <c r="Y376" s="28"/>
      <c r="Z376" s="28"/>
      <c r="AA376" s="28"/>
      <c r="AB376" s="28"/>
      <c r="AC376" s="28"/>
      <c r="AD376" s="28"/>
      <c r="AE376" s="1404">
        <f t="shared" si="15"/>
        <v>40000</v>
      </c>
      <c r="AF376" s="28"/>
      <c r="AG376" s="1404">
        <v>40000</v>
      </c>
      <c r="AH376" s="613">
        <f t="shared" si="14"/>
        <v>40000</v>
      </c>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row>
    <row r="377" spans="1:56" ht="38.25" x14ac:dyDescent="0.25">
      <c r="A377" s="1492">
        <v>253</v>
      </c>
      <c r="B377" s="34" t="s">
        <v>2338</v>
      </c>
      <c r="C377" s="28" t="s">
        <v>381</v>
      </c>
      <c r="D377" s="28" t="s">
        <v>935</v>
      </c>
      <c r="E377" s="1060" t="s">
        <v>168</v>
      </c>
      <c r="F377" s="1060" t="s">
        <v>1714</v>
      </c>
      <c r="G377" s="100">
        <v>11211</v>
      </c>
      <c r="H377" s="28" t="s">
        <v>2339</v>
      </c>
      <c r="I377" s="28" t="s">
        <v>1678</v>
      </c>
      <c r="J377" s="28" t="s">
        <v>470</v>
      </c>
      <c r="K377" s="38">
        <v>41957</v>
      </c>
      <c r="L377" s="32">
        <v>33406.300000000003</v>
      </c>
      <c r="M377" s="100">
        <v>11348</v>
      </c>
      <c r="N377" s="38">
        <v>41957</v>
      </c>
      <c r="O377" s="38">
        <v>42004</v>
      </c>
      <c r="P377" s="1060" t="s">
        <v>2336</v>
      </c>
      <c r="Q377" s="28"/>
      <c r="R377" s="28"/>
      <c r="S377" s="28"/>
      <c r="T377" s="28" t="s">
        <v>719</v>
      </c>
      <c r="U377" s="28"/>
      <c r="V377" s="28"/>
      <c r="W377" s="28"/>
      <c r="X377" s="28"/>
      <c r="Y377" s="28"/>
      <c r="Z377" s="28"/>
      <c r="AA377" s="28"/>
      <c r="AB377" s="28"/>
      <c r="AC377" s="28"/>
      <c r="AD377" s="28"/>
      <c r="AE377" s="1404">
        <f t="shared" si="15"/>
        <v>33406.300000000003</v>
      </c>
      <c r="AF377" s="28"/>
      <c r="AG377" s="1404">
        <v>33406.300000000003</v>
      </c>
      <c r="AH377" s="613">
        <f t="shared" si="14"/>
        <v>33406.300000000003</v>
      </c>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row>
    <row r="378" spans="1:56" ht="51" x14ac:dyDescent="0.25">
      <c r="A378" s="1492">
        <v>254</v>
      </c>
      <c r="B378" s="1081" t="s">
        <v>2185</v>
      </c>
      <c r="C378" s="28" t="s">
        <v>1777</v>
      </c>
      <c r="D378" s="1031" t="s">
        <v>1331</v>
      </c>
      <c r="E378" s="1030" t="s">
        <v>168</v>
      </c>
      <c r="F378" s="1030" t="s">
        <v>1609</v>
      </c>
      <c r="G378" s="1053">
        <v>11307</v>
      </c>
      <c r="H378" s="1031" t="s">
        <v>2340</v>
      </c>
      <c r="I378" s="1060" t="s">
        <v>2190</v>
      </c>
      <c r="J378" s="1060" t="s">
        <v>2191</v>
      </c>
      <c r="K378" s="1054">
        <v>41974</v>
      </c>
      <c r="L378" s="1056">
        <v>87802.5</v>
      </c>
      <c r="M378" s="1053">
        <v>11453</v>
      </c>
      <c r="N378" s="1054">
        <v>41974</v>
      </c>
      <c r="O378" s="1059">
        <v>42004</v>
      </c>
      <c r="P378" s="1060" t="s">
        <v>2188</v>
      </c>
      <c r="Q378" s="1030"/>
      <c r="R378" s="1030"/>
      <c r="S378" s="1030"/>
      <c r="T378" s="1060" t="s">
        <v>2146</v>
      </c>
      <c r="U378" s="1030"/>
      <c r="V378" s="1030"/>
      <c r="W378" s="1030"/>
      <c r="X378" s="1030"/>
      <c r="Y378" s="1030"/>
      <c r="Z378" s="1030"/>
      <c r="AA378" s="1030"/>
      <c r="AB378" s="1030"/>
      <c r="AC378" s="1030"/>
      <c r="AD378" s="1030"/>
      <c r="AE378" s="1404">
        <f t="shared" si="15"/>
        <v>87802.5</v>
      </c>
      <c r="AF378" s="1030"/>
      <c r="AG378" s="278"/>
      <c r="AH378" s="613">
        <f>AF378+AG378</f>
        <v>0</v>
      </c>
      <c r="AI378" s="1030"/>
      <c r="AJ378" s="1030"/>
      <c r="AK378" s="1030"/>
      <c r="AL378" s="1030"/>
      <c r="AM378" s="1071"/>
      <c r="AN378" s="1071"/>
      <c r="AO378" s="1071"/>
      <c r="AP378" s="1071"/>
      <c r="AQ378" s="1071"/>
      <c r="AR378" s="1071"/>
      <c r="AS378" s="1071"/>
      <c r="AT378" s="1071"/>
      <c r="AU378" s="1071"/>
      <c r="AV378" s="1071"/>
      <c r="AW378" s="1071"/>
      <c r="AX378" s="1071"/>
      <c r="AY378" s="1071"/>
      <c r="AZ378" s="1071"/>
      <c r="BA378" s="1071"/>
      <c r="BB378" s="1071"/>
      <c r="BC378" s="1071"/>
      <c r="BD378" s="1071"/>
    </row>
    <row r="379" spans="1:56" ht="38.25" x14ac:dyDescent="0.25">
      <c r="A379" s="1492">
        <v>255</v>
      </c>
      <c r="B379" s="1081" t="s">
        <v>2341</v>
      </c>
      <c r="C379" s="28" t="s">
        <v>1938</v>
      </c>
      <c r="D379" s="1031" t="s">
        <v>1331</v>
      </c>
      <c r="E379" s="1030" t="s">
        <v>168</v>
      </c>
      <c r="F379" s="518" t="s">
        <v>2342</v>
      </c>
      <c r="G379" s="1053">
        <v>11426</v>
      </c>
      <c r="H379" s="1031" t="s">
        <v>2343</v>
      </c>
      <c r="I379" s="1060" t="s">
        <v>2315</v>
      </c>
      <c r="J379" s="1060" t="s">
        <v>515</v>
      </c>
      <c r="K379" s="1054">
        <v>41974</v>
      </c>
      <c r="L379" s="1056">
        <v>120000</v>
      </c>
      <c r="M379" s="1053">
        <v>11452</v>
      </c>
      <c r="N379" s="1054">
        <v>41974</v>
      </c>
      <c r="O379" s="1059">
        <v>42004</v>
      </c>
      <c r="P379" s="1060" t="s">
        <v>1320</v>
      </c>
      <c r="Q379" s="1030"/>
      <c r="R379" s="1030"/>
      <c r="S379" s="1030"/>
      <c r="T379" s="1060" t="s">
        <v>408</v>
      </c>
      <c r="U379" s="1030"/>
      <c r="V379" s="1030"/>
      <c r="W379" s="1030"/>
      <c r="X379" s="1030"/>
      <c r="Y379" s="1030"/>
      <c r="Z379" s="1030"/>
      <c r="AA379" s="1030"/>
      <c r="AB379" s="1030"/>
      <c r="AC379" s="1030"/>
      <c r="AD379" s="1030"/>
      <c r="AE379" s="1404">
        <f t="shared" si="15"/>
        <v>120000</v>
      </c>
      <c r="AF379" s="1030"/>
      <c r="AG379" s="278"/>
      <c r="AH379" s="613">
        <f t="shared" si="14"/>
        <v>0</v>
      </c>
      <c r="AI379" s="1030"/>
      <c r="AJ379" s="1030"/>
      <c r="AK379" s="1030"/>
      <c r="AL379" s="1030"/>
      <c r="AM379" s="1071"/>
      <c r="AN379" s="1071"/>
      <c r="AO379" s="1071"/>
      <c r="AP379" s="1071"/>
      <c r="AQ379" s="1071"/>
      <c r="AR379" s="1071"/>
      <c r="AS379" s="1071"/>
      <c r="AT379" s="1071"/>
      <c r="AU379" s="1071"/>
      <c r="AV379" s="1071"/>
      <c r="AW379" s="1071"/>
      <c r="AX379" s="1071"/>
      <c r="AY379" s="1071"/>
      <c r="AZ379" s="1071"/>
      <c r="BA379" s="1071"/>
      <c r="BB379" s="1071"/>
      <c r="BC379" s="1071"/>
      <c r="BD379" s="1071"/>
    </row>
    <row r="380" spans="1:56" ht="90" x14ac:dyDescent="0.25">
      <c r="A380" s="1492">
        <v>256</v>
      </c>
      <c r="B380" s="34" t="s">
        <v>2329</v>
      </c>
      <c r="C380" s="28" t="s">
        <v>1880</v>
      </c>
      <c r="D380" s="28" t="s">
        <v>1331</v>
      </c>
      <c r="E380" s="1060" t="s">
        <v>168</v>
      </c>
      <c r="F380" s="1407" t="s">
        <v>2330</v>
      </c>
      <c r="G380" s="100">
        <v>11395</v>
      </c>
      <c r="H380" s="1031" t="s">
        <v>2344</v>
      </c>
      <c r="I380" s="1060" t="s">
        <v>2345</v>
      </c>
      <c r="J380" s="1060" t="s">
        <v>743</v>
      </c>
      <c r="K380" s="1054">
        <v>41975</v>
      </c>
      <c r="L380" s="1056">
        <v>6950.3</v>
      </c>
      <c r="M380" s="1053">
        <v>11452</v>
      </c>
      <c r="N380" s="1054">
        <v>41975</v>
      </c>
      <c r="O380" s="1059">
        <v>42340</v>
      </c>
      <c r="P380" s="1060" t="s">
        <v>1320</v>
      </c>
      <c r="Q380" s="1030"/>
      <c r="R380" s="1030"/>
      <c r="S380" s="1030"/>
      <c r="T380" s="1060" t="s">
        <v>685</v>
      </c>
      <c r="U380" s="1030"/>
      <c r="V380" s="1030"/>
      <c r="W380" s="1030"/>
      <c r="X380" s="1030"/>
      <c r="Y380" s="1030"/>
      <c r="Z380" s="1030"/>
      <c r="AA380" s="1030"/>
      <c r="AB380" s="1030"/>
      <c r="AC380" s="1030"/>
      <c r="AD380" s="1030"/>
      <c r="AE380" s="1404">
        <f t="shared" si="15"/>
        <v>6950.3</v>
      </c>
      <c r="AF380" s="1030"/>
      <c r="AG380" s="278"/>
      <c r="AH380" s="613">
        <f t="shared" si="14"/>
        <v>0</v>
      </c>
      <c r="AI380" s="1030"/>
      <c r="AJ380" s="1030"/>
      <c r="AK380" s="1030"/>
      <c r="AL380" s="1030"/>
      <c r="AM380" s="1071"/>
      <c r="AN380" s="1071"/>
      <c r="AO380" s="1071"/>
      <c r="AP380" s="1071"/>
      <c r="AQ380" s="1071"/>
      <c r="AR380" s="1071"/>
      <c r="AS380" s="1071"/>
      <c r="AT380" s="1071"/>
      <c r="AU380" s="1071"/>
      <c r="AV380" s="1071"/>
      <c r="AW380" s="1071"/>
      <c r="AX380" s="1071"/>
      <c r="AY380" s="1071"/>
      <c r="AZ380" s="1071"/>
      <c r="BA380" s="1071"/>
      <c r="BB380" s="1071"/>
      <c r="BC380" s="1071"/>
      <c r="BD380" s="1071"/>
    </row>
    <row r="381" spans="1:56" ht="90" x14ac:dyDescent="0.25">
      <c r="A381" s="1492">
        <v>257</v>
      </c>
      <c r="B381" s="34" t="s">
        <v>2329</v>
      </c>
      <c r="C381" s="28" t="s">
        <v>1880</v>
      </c>
      <c r="D381" s="28" t="s">
        <v>1331</v>
      </c>
      <c r="E381" s="1060" t="s">
        <v>168</v>
      </c>
      <c r="F381" s="1407" t="s">
        <v>2330</v>
      </c>
      <c r="G381" s="100">
        <v>11395</v>
      </c>
      <c r="H381" s="1031" t="s">
        <v>2346</v>
      </c>
      <c r="I381" s="1060" t="s">
        <v>2347</v>
      </c>
      <c r="J381" s="1060" t="s">
        <v>343</v>
      </c>
      <c r="K381" s="1054">
        <v>41975</v>
      </c>
      <c r="L381" s="1056">
        <v>600</v>
      </c>
      <c r="M381" s="1053">
        <v>11456</v>
      </c>
      <c r="N381" s="1054">
        <v>41975</v>
      </c>
      <c r="O381" s="1059">
        <v>42340</v>
      </c>
      <c r="P381" s="1060" t="s">
        <v>1320</v>
      </c>
      <c r="Q381" s="1030"/>
      <c r="R381" s="1030"/>
      <c r="S381" s="1030"/>
      <c r="T381" s="1060" t="s">
        <v>685</v>
      </c>
      <c r="U381" s="1030"/>
      <c r="V381" s="1030"/>
      <c r="W381" s="1030"/>
      <c r="X381" s="1030"/>
      <c r="Y381" s="1030"/>
      <c r="Z381" s="1030"/>
      <c r="AA381" s="1030"/>
      <c r="AB381" s="1030"/>
      <c r="AC381" s="1030"/>
      <c r="AD381" s="1030"/>
      <c r="AE381" s="1404">
        <f t="shared" si="15"/>
        <v>600</v>
      </c>
      <c r="AF381" s="1030"/>
      <c r="AG381" s="278"/>
      <c r="AH381" s="613">
        <f t="shared" si="14"/>
        <v>0</v>
      </c>
      <c r="AI381" s="1030"/>
      <c r="AJ381" s="1030"/>
      <c r="AK381" s="1030"/>
      <c r="AL381" s="1030"/>
      <c r="AM381" s="1071"/>
      <c r="AN381" s="1071"/>
      <c r="AO381" s="1071"/>
      <c r="AP381" s="1071"/>
      <c r="AQ381" s="1071"/>
      <c r="AR381" s="1071"/>
      <c r="AS381" s="1071"/>
      <c r="AT381" s="1071"/>
      <c r="AU381" s="1071"/>
      <c r="AV381" s="1071"/>
      <c r="AW381" s="1071"/>
      <c r="AX381" s="1071"/>
      <c r="AY381" s="1071"/>
      <c r="AZ381" s="1071"/>
      <c r="BA381" s="1071"/>
      <c r="BB381" s="1071"/>
      <c r="BC381" s="1071"/>
      <c r="BD381" s="1071"/>
    </row>
    <row r="382" spans="1:56" ht="90" x14ac:dyDescent="0.25">
      <c r="A382" s="1492">
        <v>258</v>
      </c>
      <c r="B382" s="34" t="s">
        <v>2329</v>
      </c>
      <c r="C382" s="28" t="s">
        <v>1880</v>
      </c>
      <c r="D382" s="28" t="s">
        <v>1331</v>
      </c>
      <c r="E382" s="1060" t="s">
        <v>168</v>
      </c>
      <c r="F382" s="1407" t="s">
        <v>2330</v>
      </c>
      <c r="G382" s="100">
        <v>11395</v>
      </c>
      <c r="H382" s="1031" t="s">
        <v>2348</v>
      </c>
      <c r="I382" s="1060" t="s">
        <v>2349</v>
      </c>
      <c r="J382" s="1060" t="s">
        <v>2350</v>
      </c>
      <c r="K382" s="1054">
        <v>41975</v>
      </c>
      <c r="L382" s="1056">
        <v>2499.5</v>
      </c>
      <c r="M382" s="1053">
        <v>11461</v>
      </c>
      <c r="N382" s="1054">
        <v>41975</v>
      </c>
      <c r="O382" s="1059">
        <v>42340</v>
      </c>
      <c r="P382" s="1060" t="s">
        <v>1320</v>
      </c>
      <c r="Q382" s="1030"/>
      <c r="R382" s="1030"/>
      <c r="S382" s="1030"/>
      <c r="T382" s="1060" t="s">
        <v>685</v>
      </c>
      <c r="U382" s="1030"/>
      <c r="V382" s="1030"/>
      <c r="W382" s="1030"/>
      <c r="X382" s="1030"/>
      <c r="Y382" s="1030"/>
      <c r="Z382" s="1030"/>
      <c r="AA382" s="1030"/>
      <c r="AB382" s="1030"/>
      <c r="AC382" s="1030"/>
      <c r="AD382" s="1030"/>
      <c r="AE382" s="1404">
        <f t="shared" si="15"/>
        <v>2499.5</v>
      </c>
      <c r="AF382" s="1030"/>
      <c r="AG382" s="278"/>
      <c r="AH382" s="613">
        <f t="shared" si="14"/>
        <v>0</v>
      </c>
      <c r="AI382" s="1030"/>
      <c r="AJ382" s="1030"/>
      <c r="AK382" s="1030"/>
      <c r="AL382" s="1030"/>
      <c r="AM382" s="1071"/>
      <c r="AN382" s="1071"/>
      <c r="AO382" s="1071"/>
      <c r="AP382" s="1071"/>
      <c r="AQ382" s="1071"/>
      <c r="AR382" s="1071"/>
      <c r="AS382" s="1071"/>
      <c r="AT382" s="1071"/>
      <c r="AU382" s="1071"/>
      <c r="AV382" s="1071"/>
      <c r="AW382" s="1071"/>
      <c r="AX382" s="1071"/>
      <c r="AY382" s="1071"/>
      <c r="AZ382" s="1071"/>
      <c r="BA382" s="1071"/>
      <c r="BB382" s="1071"/>
      <c r="BC382" s="1071"/>
      <c r="BD382" s="1071"/>
    </row>
    <row r="383" spans="1:56" ht="76.5" x14ac:dyDescent="0.25">
      <c r="A383" s="1492">
        <v>259</v>
      </c>
      <c r="B383" s="1081" t="s">
        <v>2351</v>
      </c>
      <c r="C383" s="28" t="s">
        <v>2352</v>
      </c>
      <c r="D383" s="1031" t="s">
        <v>2353</v>
      </c>
      <c r="E383" s="1060" t="s">
        <v>168</v>
      </c>
      <c r="F383" s="1030" t="s">
        <v>2354</v>
      </c>
      <c r="G383" s="1409" t="s">
        <v>2355</v>
      </c>
      <c r="H383" s="1031" t="s">
        <v>2356</v>
      </c>
      <c r="I383" s="1060" t="s">
        <v>2357</v>
      </c>
      <c r="J383" s="1060" t="s">
        <v>407</v>
      </c>
      <c r="K383" s="1054">
        <v>41976</v>
      </c>
      <c r="L383" s="1056">
        <v>29957</v>
      </c>
      <c r="M383" s="1053">
        <v>11452</v>
      </c>
      <c r="N383" s="1054">
        <v>41976</v>
      </c>
      <c r="O383" s="1059">
        <v>42004</v>
      </c>
      <c r="P383" s="1060" t="s">
        <v>1320</v>
      </c>
      <c r="Q383" s="1030"/>
      <c r="R383" s="1030"/>
      <c r="S383" s="1030"/>
      <c r="T383" s="1060" t="s">
        <v>2054</v>
      </c>
      <c r="U383" s="1030"/>
      <c r="V383" s="1030"/>
      <c r="W383" s="1030"/>
      <c r="X383" s="1030"/>
      <c r="Y383" s="1030"/>
      <c r="Z383" s="1030"/>
      <c r="AA383" s="1030"/>
      <c r="AB383" s="1030"/>
      <c r="AC383" s="1030"/>
      <c r="AD383" s="1030"/>
      <c r="AE383" s="1404">
        <f t="shared" si="15"/>
        <v>29957</v>
      </c>
      <c r="AF383" s="1030"/>
      <c r="AG383" s="278">
        <v>24807</v>
      </c>
      <c r="AH383" s="613">
        <f>AF383+AG383</f>
        <v>24807</v>
      </c>
      <c r="AI383" s="1030"/>
      <c r="AJ383" s="1"/>
      <c r="AK383" s="1030" t="s">
        <v>2358</v>
      </c>
      <c r="AL383" s="1053">
        <v>11327</v>
      </c>
      <c r="AM383" s="1071"/>
      <c r="AN383" s="1030"/>
      <c r="AO383" s="1071"/>
      <c r="AP383" s="1071"/>
      <c r="AQ383" s="1071"/>
      <c r="AR383" s="1071"/>
      <c r="AS383" s="1071"/>
      <c r="AT383" s="1071"/>
      <c r="AU383" s="1071"/>
      <c r="AV383" s="1071"/>
      <c r="AW383" s="1071"/>
      <c r="AX383" s="1071"/>
      <c r="AY383" s="1071"/>
      <c r="AZ383" s="1071"/>
      <c r="BA383" s="1071"/>
      <c r="BB383" s="1071"/>
      <c r="BC383" s="1071"/>
      <c r="BD383" s="1071"/>
    </row>
    <row r="384" spans="1:56" ht="51" x14ac:dyDescent="0.25">
      <c r="A384" s="1492">
        <v>260</v>
      </c>
      <c r="B384" s="2194" t="s">
        <v>2185</v>
      </c>
      <c r="C384" s="1985" t="s">
        <v>1777</v>
      </c>
      <c r="D384" s="1985" t="s">
        <v>935</v>
      </c>
      <c r="E384" s="1985" t="s">
        <v>168</v>
      </c>
      <c r="F384" s="1985" t="s">
        <v>1609</v>
      </c>
      <c r="G384" s="1994">
        <v>11307</v>
      </c>
      <c r="H384" s="1031" t="s">
        <v>2359</v>
      </c>
      <c r="I384" s="1060" t="s">
        <v>2190</v>
      </c>
      <c r="J384" s="1060" t="s">
        <v>2191</v>
      </c>
      <c r="K384" s="1054">
        <v>41984</v>
      </c>
      <c r="L384" s="1410">
        <v>175710</v>
      </c>
      <c r="M384" s="1053">
        <v>11459</v>
      </c>
      <c r="N384" s="1054">
        <v>41984</v>
      </c>
      <c r="O384" s="1059">
        <v>42004</v>
      </c>
      <c r="P384" s="1060" t="s">
        <v>2188</v>
      </c>
      <c r="Q384" s="1030"/>
      <c r="R384" s="1030"/>
      <c r="S384" s="1030"/>
      <c r="T384" s="1060" t="s">
        <v>2146</v>
      </c>
      <c r="U384" s="1030"/>
      <c r="V384" s="1030"/>
      <c r="W384" s="1030"/>
      <c r="X384" s="1030"/>
      <c r="Y384" s="1030"/>
      <c r="Z384" s="1030"/>
      <c r="AA384" s="1030"/>
      <c r="AB384" s="1030"/>
      <c r="AC384" s="1030"/>
      <c r="AD384" s="1030"/>
      <c r="AE384" s="1404">
        <f t="shared" si="15"/>
        <v>175710</v>
      </c>
      <c r="AF384" s="1030"/>
      <c r="AG384" s="278"/>
      <c r="AH384" s="613">
        <f>AF384+AG384</f>
        <v>0</v>
      </c>
      <c r="AI384" s="1030"/>
      <c r="AJ384" s="1030"/>
      <c r="AK384" s="1030"/>
      <c r="AL384" s="1030"/>
      <c r="AM384" s="1071"/>
      <c r="AN384" s="1071"/>
      <c r="AO384" s="1071"/>
      <c r="AP384" s="1071"/>
      <c r="AQ384" s="1071"/>
      <c r="AR384" s="1071"/>
      <c r="AS384" s="1071"/>
      <c r="AT384" s="1071"/>
      <c r="AU384" s="1071"/>
      <c r="AV384" s="1071"/>
      <c r="AW384" s="1071"/>
      <c r="AX384" s="1071"/>
      <c r="AY384" s="1071"/>
      <c r="AZ384" s="1071"/>
      <c r="BA384" s="1071"/>
      <c r="BB384" s="1071"/>
      <c r="BC384" s="1071"/>
      <c r="BD384" s="1071"/>
    </row>
    <row r="385" spans="1:56" ht="51" x14ac:dyDescent="0.25">
      <c r="A385" s="1492">
        <v>261</v>
      </c>
      <c r="B385" s="2195"/>
      <c r="C385" s="2021"/>
      <c r="D385" s="2021"/>
      <c r="E385" s="2021"/>
      <c r="F385" s="2021"/>
      <c r="G385" s="2197"/>
      <c r="H385" s="1031" t="s">
        <v>702</v>
      </c>
      <c r="I385" s="1060" t="s">
        <v>2193</v>
      </c>
      <c r="J385" s="1060" t="s">
        <v>1611</v>
      </c>
      <c r="K385" s="1054">
        <v>41984</v>
      </c>
      <c r="L385" s="1162">
        <v>38506.25</v>
      </c>
      <c r="M385" s="1053">
        <v>11460</v>
      </c>
      <c r="N385" s="1054">
        <v>41984</v>
      </c>
      <c r="O385" s="1059">
        <v>42004</v>
      </c>
      <c r="P385" s="1060" t="s">
        <v>2188</v>
      </c>
      <c r="Q385" s="1030"/>
      <c r="R385" s="1030"/>
      <c r="S385" s="1030"/>
      <c r="T385" s="1060" t="s">
        <v>2146</v>
      </c>
      <c r="U385" s="1030"/>
      <c r="V385" s="1030"/>
      <c r="W385" s="1030"/>
      <c r="X385" s="1030"/>
      <c r="Y385" s="1030"/>
      <c r="Z385" s="1030"/>
      <c r="AA385" s="1030"/>
      <c r="AB385" s="1030"/>
      <c r="AC385" s="1030"/>
      <c r="AD385" s="1030"/>
      <c r="AE385" s="1404">
        <f t="shared" si="15"/>
        <v>38506.25</v>
      </c>
      <c r="AF385" s="1030"/>
      <c r="AG385" s="278"/>
      <c r="AH385" s="613">
        <f t="shared" ref="AH385:AH388" si="16">AF385+AG385</f>
        <v>0</v>
      </c>
      <c r="AI385" s="1030"/>
      <c r="AJ385" s="1030"/>
      <c r="AK385" s="1030"/>
      <c r="AL385" s="1030"/>
      <c r="AM385" s="1071"/>
      <c r="AN385" s="1071"/>
      <c r="AO385" s="1071"/>
      <c r="AP385" s="1071"/>
      <c r="AQ385" s="1071"/>
      <c r="AR385" s="1071"/>
      <c r="AS385" s="1071"/>
      <c r="AT385" s="1071"/>
      <c r="AU385" s="1071"/>
      <c r="AV385" s="1071"/>
      <c r="AW385" s="1071"/>
      <c r="AX385" s="1071"/>
      <c r="AY385" s="1071"/>
      <c r="AZ385" s="1071"/>
      <c r="BA385" s="1071"/>
      <c r="BB385" s="1071"/>
      <c r="BC385" s="1071"/>
      <c r="BD385" s="1071"/>
    </row>
    <row r="386" spans="1:56" ht="51" x14ac:dyDescent="0.25">
      <c r="A386" s="1492">
        <v>262</v>
      </c>
      <c r="B386" s="2195"/>
      <c r="C386" s="2021"/>
      <c r="D386" s="2021"/>
      <c r="E386" s="2021"/>
      <c r="F386" s="2021"/>
      <c r="G386" s="2197"/>
      <c r="H386" s="1031" t="s">
        <v>2360</v>
      </c>
      <c r="I386" s="1060" t="s">
        <v>2195</v>
      </c>
      <c r="J386" s="1060" t="s">
        <v>779</v>
      </c>
      <c r="K386" s="1054">
        <v>41984</v>
      </c>
      <c r="L386" s="1162">
        <v>65317.75</v>
      </c>
      <c r="M386" s="1053">
        <v>11461</v>
      </c>
      <c r="N386" s="1054">
        <v>41984</v>
      </c>
      <c r="O386" s="1059">
        <v>42004</v>
      </c>
      <c r="P386" s="1060" t="s">
        <v>2188</v>
      </c>
      <c r="Q386" s="1030"/>
      <c r="R386" s="1030"/>
      <c r="S386" s="1030"/>
      <c r="T386" s="1060" t="s">
        <v>2146</v>
      </c>
      <c r="U386" s="1030"/>
      <c r="V386" s="1030"/>
      <c r="W386" s="1030"/>
      <c r="X386" s="1030"/>
      <c r="Y386" s="1030"/>
      <c r="Z386" s="1030"/>
      <c r="AA386" s="1030"/>
      <c r="AB386" s="1030"/>
      <c r="AC386" s="1030"/>
      <c r="AD386" s="1030"/>
      <c r="AE386" s="1404">
        <f t="shared" si="15"/>
        <v>65317.75</v>
      </c>
      <c r="AF386" s="1030"/>
      <c r="AG386" s="278"/>
      <c r="AH386" s="613">
        <f t="shared" si="16"/>
        <v>0</v>
      </c>
      <c r="AI386" s="1030"/>
      <c r="AJ386" s="1030"/>
      <c r="AK386" s="1030"/>
      <c r="AL386" s="1030"/>
      <c r="AM386" s="1071"/>
      <c r="AN386" s="1071"/>
      <c r="AO386" s="1071"/>
      <c r="AP386" s="1071"/>
      <c r="AQ386" s="1071"/>
      <c r="AR386" s="1071"/>
      <c r="AS386" s="1071"/>
      <c r="AT386" s="1071"/>
      <c r="AU386" s="1071"/>
      <c r="AV386" s="1071"/>
      <c r="AW386" s="1071"/>
      <c r="AX386" s="1071"/>
      <c r="AY386" s="1071"/>
      <c r="AZ386" s="1071"/>
      <c r="BA386" s="1071"/>
      <c r="BB386" s="1071"/>
      <c r="BC386" s="1071"/>
      <c r="BD386" s="1071"/>
    </row>
    <row r="387" spans="1:56" ht="51" x14ac:dyDescent="0.25">
      <c r="A387" s="1492">
        <v>263</v>
      </c>
      <c r="B387" s="2195"/>
      <c r="C387" s="2021"/>
      <c r="D387" s="2021"/>
      <c r="E387" s="2021"/>
      <c r="F387" s="2021"/>
      <c r="G387" s="2197"/>
      <c r="H387" s="1031" t="s">
        <v>2361</v>
      </c>
      <c r="I387" s="343" t="s">
        <v>2204</v>
      </c>
      <c r="J387" s="343" t="s">
        <v>2205</v>
      </c>
      <c r="K387" s="1054">
        <v>41984</v>
      </c>
      <c r="L387" s="1162">
        <v>20750</v>
      </c>
      <c r="M387" s="1053">
        <v>11461</v>
      </c>
      <c r="N387" s="1054">
        <v>41984</v>
      </c>
      <c r="O387" s="1059">
        <v>42004</v>
      </c>
      <c r="P387" s="1060" t="s">
        <v>2188</v>
      </c>
      <c r="Q387" s="1030"/>
      <c r="R387" s="1030"/>
      <c r="S387" s="1030"/>
      <c r="T387" s="1060" t="s">
        <v>2146</v>
      </c>
      <c r="U387" s="1030"/>
      <c r="V387" s="1030"/>
      <c r="W387" s="1030"/>
      <c r="X387" s="1030"/>
      <c r="Y387" s="1030"/>
      <c r="Z387" s="1030"/>
      <c r="AA387" s="1030"/>
      <c r="AB387" s="1030"/>
      <c r="AC387" s="1030"/>
      <c r="AD387" s="1030"/>
      <c r="AE387" s="1404">
        <f t="shared" si="15"/>
        <v>20750</v>
      </c>
      <c r="AF387" s="1030"/>
      <c r="AG387" s="278"/>
      <c r="AH387" s="613">
        <f t="shared" si="16"/>
        <v>0</v>
      </c>
      <c r="AI387" s="1030"/>
      <c r="AJ387" s="1030"/>
      <c r="AK387" s="1030"/>
      <c r="AL387" s="1030"/>
      <c r="AM387" s="1071"/>
      <c r="AN387" s="1071"/>
      <c r="AO387" s="1071"/>
      <c r="AP387" s="1071"/>
      <c r="AQ387" s="1071"/>
      <c r="AR387" s="1071"/>
      <c r="AS387" s="1071"/>
      <c r="AT387" s="1071"/>
      <c r="AU387" s="1071"/>
      <c r="AV387" s="1071"/>
      <c r="AW387" s="1071"/>
      <c r="AX387" s="1071"/>
      <c r="AY387" s="1071"/>
      <c r="AZ387" s="1071"/>
      <c r="BA387" s="1071"/>
      <c r="BB387" s="1071"/>
      <c r="BC387" s="1071"/>
      <c r="BD387" s="1071"/>
    </row>
    <row r="388" spans="1:56" ht="51" x14ac:dyDescent="0.25">
      <c r="A388" s="1492">
        <v>264</v>
      </c>
      <c r="B388" s="2195"/>
      <c r="C388" s="2021"/>
      <c r="D388" s="2021"/>
      <c r="E388" s="2021"/>
      <c r="F388" s="2021"/>
      <c r="G388" s="2197"/>
      <c r="H388" s="1031" t="s">
        <v>2362</v>
      </c>
      <c r="I388" s="1060" t="s">
        <v>2197</v>
      </c>
      <c r="J388" s="1060" t="s">
        <v>1785</v>
      </c>
      <c r="K388" s="1054">
        <v>41984</v>
      </c>
      <c r="L388" s="1162">
        <v>32585</v>
      </c>
      <c r="M388" s="1053">
        <v>11459</v>
      </c>
      <c r="N388" s="1054">
        <v>41984</v>
      </c>
      <c r="O388" s="1059">
        <v>42004</v>
      </c>
      <c r="P388" s="1060" t="s">
        <v>2188</v>
      </c>
      <c r="Q388" s="1030"/>
      <c r="R388" s="1030"/>
      <c r="S388" s="1030"/>
      <c r="T388" s="1060" t="s">
        <v>2146</v>
      </c>
      <c r="U388" s="1030"/>
      <c r="V388" s="1030"/>
      <c r="W388" s="1030"/>
      <c r="X388" s="1030"/>
      <c r="Y388" s="1030"/>
      <c r="Z388" s="1030"/>
      <c r="AA388" s="1030"/>
      <c r="AB388" s="1030"/>
      <c r="AC388" s="1030"/>
      <c r="AD388" s="1030"/>
      <c r="AE388" s="1404">
        <f t="shared" si="15"/>
        <v>32585</v>
      </c>
      <c r="AF388" s="1030"/>
      <c r="AG388" s="278"/>
      <c r="AH388" s="613">
        <f t="shared" si="16"/>
        <v>0</v>
      </c>
      <c r="AI388" s="1030"/>
      <c r="AJ388" s="1030"/>
      <c r="AK388" s="1030"/>
      <c r="AL388" s="1030"/>
      <c r="AM388" s="1071"/>
      <c r="AN388" s="1071"/>
      <c r="AO388" s="1071"/>
      <c r="AP388" s="1071"/>
      <c r="AQ388" s="1071"/>
      <c r="AR388" s="1071"/>
      <c r="AS388" s="1071"/>
      <c r="AT388" s="1071"/>
      <c r="AU388" s="1071"/>
      <c r="AV388" s="1071"/>
      <c r="AW388" s="1071"/>
      <c r="AX388" s="1071"/>
      <c r="AY388" s="1071"/>
      <c r="AZ388" s="1071"/>
      <c r="BA388" s="1071"/>
      <c r="BB388" s="1071"/>
      <c r="BC388" s="1071"/>
      <c r="BD388" s="1071"/>
    </row>
    <row r="389" spans="1:56" ht="51" x14ac:dyDescent="0.25">
      <c r="A389" s="1492">
        <v>265</v>
      </c>
      <c r="B389" s="2195"/>
      <c r="C389" s="2021"/>
      <c r="D389" s="2021"/>
      <c r="E389" s="2021"/>
      <c r="F389" s="2021"/>
      <c r="G389" s="2197"/>
      <c r="H389" s="1031" t="s">
        <v>2363</v>
      </c>
      <c r="I389" s="1060" t="s">
        <v>2201</v>
      </c>
      <c r="J389" s="1060" t="s">
        <v>2202</v>
      </c>
      <c r="K389" s="1054">
        <v>41984</v>
      </c>
      <c r="L389" s="1162">
        <v>2524</v>
      </c>
      <c r="M389" s="1053">
        <v>11462</v>
      </c>
      <c r="N389" s="1054">
        <v>41984</v>
      </c>
      <c r="O389" s="1059">
        <v>42004</v>
      </c>
      <c r="P389" s="1060" t="s">
        <v>2188</v>
      </c>
      <c r="Q389" s="1030"/>
      <c r="R389" s="1030"/>
      <c r="S389" s="1030"/>
      <c r="T389" s="1060" t="s">
        <v>2146</v>
      </c>
      <c r="U389" s="1030"/>
      <c r="V389" s="1030"/>
      <c r="W389" s="1030"/>
      <c r="X389" s="1030"/>
      <c r="Y389" s="1030"/>
      <c r="Z389" s="1030"/>
      <c r="AA389" s="1030"/>
      <c r="AB389" s="1030"/>
      <c r="AC389" s="1030"/>
      <c r="AD389" s="1030"/>
      <c r="AE389" s="1404">
        <f t="shared" si="15"/>
        <v>2524</v>
      </c>
      <c r="AF389" s="1030"/>
      <c r="AG389" s="278"/>
      <c r="AH389" s="613">
        <f>AF389+AG389</f>
        <v>0</v>
      </c>
      <c r="AI389" s="1030"/>
      <c r="AJ389" s="1030"/>
      <c r="AK389" s="1030"/>
      <c r="AL389" s="1030"/>
      <c r="AM389" s="1071"/>
      <c r="AN389" s="1071"/>
      <c r="AO389" s="1071"/>
      <c r="AP389" s="1071"/>
      <c r="AQ389" s="1071"/>
      <c r="AR389" s="1071"/>
      <c r="AS389" s="1071"/>
      <c r="AT389" s="1071"/>
      <c r="AU389" s="1071"/>
      <c r="AV389" s="1071"/>
      <c r="AW389" s="1071"/>
      <c r="AX389" s="1071"/>
      <c r="AY389" s="1071"/>
      <c r="AZ389" s="1071"/>
      <c r="BA389" s="1071"/>
      <c r="BB389" s="1071"/>
      <c r="BC389" s="1071"/>
      <c r="BD389" s="1071"/>
    </row>
    <row r="390" spans="1:56" ht="51" x14ac:dyDescent="0.25">
      <c r="A390" s="1492">
        <v>266</v>
      </c>
      <c r="B390" s="2196"/>
      <c r="C390" s="1986"/>
      <c r="D390" s="1986"/>
      <c r="E390" s="1986"/>
      <c r="F390" s="1986"/>
      <c r="G390" s="1995"/>
      <c r="H390" s="1031" t="s">
        <v>2364</v>
      </c>
      <c r="I390" s="1060" t="s">
        <v>2187</v>
      </c>
      <c r="J390" s="1060" t="s">
        <v>1790</v>
      </c>
      <c r="K390" s="1054">
        <v>41984</v>
      </c>
      <c r="L390" s="1162">
        <v>28076</v>
      </c>
      <c r="M390" s="1053">
        <v>11460</v>
      </c>
      <c r="N390" s="1054">
        <v>41984</v>
      </c>
      <c r="O390" s="1059">
        <v>42004</v>
      </c>
      <c r="P390" s="1060" t="s">
        <v>2188</v>
      </c>
      <c r="Q390" s="1030"/>
      <c r="R390" s="1030"/>
      <c r="S390" s="1030"/>
      <c r="T390" s="1060" t="s">
        <v>2146</v>
      </c>
      <c r="U390" s="1030"/>
      <c r="V390" s="1030"/>
      <c r="W390" s="1030"/>
      <c r="X390" s="1030"/>
      <c r="Y390" s="1030"/>
      <c r="Z390" s="1030"/>
      <c r="AA390" s="1030"/>
      <c r="AB390" s="1030"/>
      <c r="AC390" s="1030"/>
      <c r="AD390" s="1030"/>
      <c r="AE390" s="1404">
        <f t="shared" si="15"/>
        <v>28076</v>
      </c>
      <c r="AF390" s="1030"/>
      <c r="AG390" s="278"/>
      <c r="AH390" s="613">
        <f>AF390+AG390</f>
        <v>0</v>
      </c>
      <c r="AI390" s="1030"/>
      <c r="AJ390" s="1030"/>
      <c r="AK390" s="1030"/>
      <c r="AL390" s="1030"/>
      <c r="AM390" s="1071"/>
      <c r="AN390" s="1071"/>
      <c r="AO390" s="1071"/>
      <c r="AP390" s="1071"/>
      <c r="AQ390" s="1071"/>
      <c r="AR390" s="1071"/>
      <c r="AS390" s="1071"/>
      <c r="AT390" s="1071"/>
      <c r="AU390" s="1071"/>
      <c r="AV390" s="1071"/>
      <c r="AW390" s="1071"/>
      <c r="AX390" s="1071"/>
      <c r="AY390" s="1071"/>
      <c r="AZ390" s="1071"/>
      <c r="BA390" s="1071"/>
      <c r="BB390" s="1071"/>
      <c r="BC390" s="1071"/>
      <c r="BD390" s="1071"/>
    </row>
    <row r="391" spans="1:56" ht="38.25" x14ac:dyDescent="0.25">
      <c r="A391" s="1493">
        <v>267</v>
      </c>
      <c r="B391" s="1483" t="s">
        <v>1713</v>
      </c>
      <c r="C391" s="1030" t="s">
        <v>381</v>
      </c>
      <c r="D391" s="518" t="s">
        <v>1548</v>
      </c>
      <c r="E391" s="1060" t="s">
        <v>1358</v>
      </c>
      <c r="F391" s="518" t="s">
        <v>1714</v>
      </c>
      <c r="G391" s="1178">
        <v>11211</v>
      </c>
      <c r="H391" s="1031" t="s">
        <v>2365</v>
      </c>
      <c r="I391" s="518" t="s">
        <v>1678</v>
      </c>
      <c r="J391" s="1060" t="s">
        <v>470</v>
      </c>
      <c r="K391" s="1054">
        <v>41991</v>
      </c>
      <c r="L391" s="1056">
        <v>131471.25</v>
      </c>
      <c r="M391" s="1053">
        <v>11462</v>
      </c>
      <c r="N391" s="1054">
        <v>41991</v>
      </c>
      <c r="O391" s="1059">
        <v>42004</v>
      </c>
      <c r="P391" s="1060" t="s">
        <v>1320</v>
      </c>
      <c r="Q391" s="1060"/>
      <c r="R391" s="1030"/>
      <c r="S391" s="1030"/>
      <c r="T391" s="1060" t="s">
        <v>719</v>
      </c>
      <c r="U391" s="1030"/>
      <c r="V391" s="1030"/>
      <c r="W391" s="1030"/>
      <c r="X391" s="1030"/>
      <c r="Y391" s="1030"/>
      <c r="Z391" s="1030"/>
      <c r="AA391" s="1030"/>
      <c r="AB391" s="1030"/>
      <c r="AC391" s="1030"/>
      <c r="AD391" s="1030"/>
      <c r="AE391" s="1404">
        <f t="shared" si="15"/>
        <v>131471.25</v>
      </c>
      <c r="AF391" s="1030"/>
      <c r="AG391" s="278">
        <v>131471.25</v>
      </c>
      <c r="AH391" s="613">
        <f t="shared" ref="AH391:AH396" si="17">AF391+AG391</f>
        <v>131471.25</v>
      </c>
      <c r="AI391" s="1030"/>
      <c r="AJ391" s="1030"/>
      <c r="AK391" s="1030"/>
      <c r="AL391" s="1030"/>
      <c r="AM391" s="1071"/>
      <c r="AN391" s="1071"/>
      <c r="AO391" s="1071"/>
      <c r="AP391" s="1071"/>
      <c r="AQ391" s="1071"/>
      <c r="AR391" s="1071"/>
      <c r="AS391" s="1071"/>
      <c r="AT391" s="1071"/>
      <c r="AU391" s="1071"/>
      <c r="AV391" s="1071"/>
      <c r="AW391" s="1071"/>
      <c r="AX391" s="1071"/>
      <c r="AY391" s="1071"/>
      <c r="AZ391" s="1071"/>
      <c r="BA391" s="1071"/>
      <c r="BB391" s="1071"/>
      <c r="BC391" s="1071"/>
      <c r="BD391" s="1071"/>
    </row>
    <row r="392" spans="1:56" ht="51" x14ac:dyDescent="0.25">
      <c r="A392" s="1493">
        <v>268</v>
      </c>
      <c r="B392" s="1483" t="s">
        <v>1716</v>
      </c>
      <c r="C392" s="1030" t="s">
        <v>1717</v>
      </c>
      <c r="D392" s="518" t="s">
        <v>1548</v>
      </c>
      <c r="E392" s="1060" t="s">
        <v>1358</v>
      </c>
      <c r="F392" s="518" t="s">
        <v>1718</v>
      </c>
      <c r="G392" s="1178">
        <v>11184</v>
      </c>
      <c r="H392" s="1031" t="s">
        <v>2366</v>
      </c>
      <c r="I392" s="518" t="s">
        <v>1678</v>
      </c>
      <c r="J392" s="1060" t="s">
        <v>470</v>
      </c>
      <c r="K392" s="1054">
        <v>41991</v>
      </c>
      <c r="L392" s="1056">
        <v>130100.75</v>
      </c>
      <c r="M392" s="1053">
        <v>11462</v>
      </c>
      <c r="N392" s="1054">
        <v>41991</v>
      </c>
      <c r="O392" s="1059">
        <v>42004</v>
      </c>
      <c r="P392" s="1060" t="s">
        <v>1320</v>
      </c>
      <c r="Q392" s="1060"/>
      <c r="R392" s="1030"/>
      <c r="S392" s="1030"/>
      <c r="T392" s="1060" t="s">
        <v>719</v>
      </c>
      <c r="U392" s="1030"/>
      <c r="V392" s="1030"/>
      <c r="W392" s="1030"/>
      <c r="X392" s="1030"/>
      <c r="Y392" s="1030"/>
      <c r="Z392" s="1030"/>
      <c r="AA392" s="1030"/>
      <c r="AB392" s="1030"/>
      <c r="AC392" s="1030"/>
      <c r="AD392" s="1030"/>
      <c r="AE392" s="1404">
        <f t="shared" si="15"/>
        <v>130100.75</v>
      </c>
      <c r="AF392" s="1030"/>
      <c r="AG392" s="278">
        <v>130100.75</v>
      </c>
      <c r="AH392" s="613">
        <f t="shared" si="17"/>
        <v>130100.75</v>
      </c>
      <c r="AI392" s="1030"/>
      <c r="AJ392" s="1030"/>
      <c r="AK392" s="1030"/>
      <c r="AL392" s="1030"/>
      <c r="AM392" s="1071"/>
      <c r="AN392" s="1071"/>
      <c r="AO392" s="1071"/>
      <c r="AP392" s="1071"/>
      <c r="AQ392" s="1071"/>
      <c r="AR392" s="1071"/>
      <c r="AS392" s="1071"/>
      <c r="AT392" s="1071"/>
      <c r="AU392" s="1071"/>
      <c r="AV392" s="1071"/>
      <c r="AW392" s="1071"/>
      <c r="AX392" s="1071"/>
      <c r="AY392" s="1071"/>
      <c r="AZ392" s="1071"/>
      <c r="BA392" s="1071"/>
      <c r="BB392" s="1071"/>
      <c r="BC392" s="1071"/>
      <c r="BD392" s="1071"/>
    </row>
    <row r="393" spans="1:56" ht="51" x14ac:dyDescent="0.25">
      <c r="A393" s="1493">
        <v>269</v>
      </c>
      <c r="B393" s="1483" t="s">
        <v>1726</v>
      </c>
      <c r="C393" s="1030" t="s">
        <v>1374</v>
      </c>
      <c r="D393" s="518" t="s">
        <v>1548</v>
      </c>
      <c r="E393" s="1060" t="s">
        <v>1358</v>
      </c>
      <c r="F393" s="518" t="s">
        <v>1727</v>
      </c>
      <c r="G393" s="1178">
        <v>11184</v>
      </c>
      <c r="H393" s="1031" t="s">
        <v>2367</v>
      </c>
      <c r="I393" s="518" t="s">
        <v>1678</v>
      </c>
      <c r="J393" s="1060" t="s">
        <v>470</v>
      </c>
      <c r="K393" s="1054">
        <v>41991</v>
      </c>
      <c r="L393" s="1056">
        <v>90000</v>
      </c>
      <c r="M393" s="1053">
        <v>11462</v>
      </c>
      <c r="N393" s="1054">
        <v>41991</v>
      </c>
      <c r="O393" s="1059">
        <v>42004</v>
      </c>
      <c r="P393" s="1060" t="s">
        <v>1320</v>
      </c>
      <c r="Q393" s="1060"/>
      <c r="R393" s="1030"/>
      <c r="S393" s="1030"/>
      <c r="T393" s="1060" t="s">
        <v>719</v>
      </c>
      <c r="U393" s="600"/>
      <c r="V393" s="600"/>
      <c r="W393" s="600"/>
      <c r="X393" s="600"/>
      <c r="Y393" s="600"/>
      <c r="Z393" s="600"/>
      <c r="AA393" s="600"/>
      <c r="AB393" s="600"/>
      <c r="AC393" s="600"/>
      <c r="AD393" s="600"/>
      <c r="AE393" s="1404">
        <f t="shared" si="15"/>
        <v>90000</v>
      </c>
      <c r="AF393" s="600"/>
      <c r="AG393" s="1411">
        <v>90000</v>
      </c>
      <c r="AH393" s="613">
        <f t="shared" si="17"/>
        <v>90000</v>
      </c>
      <c r="AI393" s="600"/>
      <c r="AJ393" s="600"/>
      <c r="AK393" s="600"/>
      <c r="AL393" s="600"/>
      <c r="AM393" s="1159"/>
      <c r="AN393" s="1159"/>
      <c r="AO393" s="1159"/>
      <c r="AP393" s="1159"/>
      <c r="AQ393" s="1159"/>
      <c r="AR393" s="1159"/>
      <c r="AS393" s="1159"/>
      <c r="AT393" s="1159"/>
      <c r="AU393" s="1159"/>
      <c r="AV393" s="1159"/>
      <c r="AW393" s="1159"/>
      <c r="AX393" s="1159"/>
      <c r="AY393" s="1159"/>
      <c r="AZ393" s="1159"/>
      <c r="BA393" s="1159"/>
      <c r="BB393" s="1159"/>
      <c r="BC393" s="1159"/>
      <c r="BD393" s="1159"/>
    </row>
    <row r="394" spans="1:56" ht="51" x14ac:dyDescent="0.25">
      <c r="A394" s="1493">
        <v>270</v>
      </c>
      <c r="B394" s="2194" t="s">
        <v>2185</v>
      </c>
      <c r="C394" s="1985" t="s">
        <v>1777</v>
      </c>
      <c r="D394" s="1991" t="s">
        <v>935</v>
      </c>
      <c r="E394" s="1985" t="s">
        <v>168</v>
      </c>
      <c r="F394" s="1985" t="s">
        <v>1609</v>
      </c>
      <c r="G394" s="1994">
        <v>11307</v>
      </c>
      <c r="H394" s="1031" t="s">
        <v>2368</v>
      </c>
      <c r="I394" s="1060" t="s">
        <v>2193</v>
      </c>
      <c r="J394" s="1060" t="s">
        <v>1611</v>
      </c>
      <c r="K394" s="1059">
        <v>42003</v>
      </c>
      <c r="L394" s="1056">
        <v>12856.25</v>
      </c>
      <c r="M394" s="1053">
        <v>11473</v>
      </c>
      <c r="N394" s="1059">
        <v>42003</v>
      </c>
      <c r="O394" s="1059">
        <v>42004</v>
      </c>
      <c r="P394" s="1060" t="s">
        <v>2188</v>
      </c>
      <c r="Q394" s="600"/>
      <c r="R394" s="600"/>
      <c r="S394" s="600"/>
      <c r="T394" s="1060" t="s">
        <v>2146</v>
      </c>
      <c r="U394" s="600"/>
      <c r="V394" s="600"/>
      <c r="W394" s="600"/>
      <c r="X394" s="600"/>
      <c r="Y394" s="600"/>
      <c r="Z394" s="600"/>
      <c r="AA394" s="600"/>
      <c r="AB394" s="600"/>
      <c r="AC394" s="600"/>
      <c r="AD394" s="600"/>
      <c r="AE394" s="1404">
        <f t="shared" si="15"/>
        <v>12856.25</v>
      </c>
      <c r="AF394" s="600"/>
      <c r="AG394" s="1411"/>
      <c r="AH394" s="613">
        <f t="shared" si="17"/>
        <v>0</v>
      </c>
      <c r="AI394" s="600"/>
      <c r="AJ394" s="600"/>
      <c r="AK394" s="600"/>
      <c r="AL394" s="600"/>
      <c r="AM394" s="1159"/>
      <c r="AN394" s="1159"/>
      <c r="AO394" s="1159"/>
      <c r="AP394" s="1159"/>
      <c r="AQ394" s="1159"/>
      <c r="AR394" s="1159"/>
      <c r="AS394" s="1159"/>
      <c r="AT394" s="1159"/>
      <c r="AU394" s="1159"/>
      <c r="AV394" s="1159"/>
      <c r="AW394" s="1159"/>
      <c r="AX394" s="1159"/>
      <c r="AY394" s="1159"/>
      <c r="AZ394" s="1159"/>
      <c r="BA394" s="1159"/>
      <c r="BB394" s="1159"/>
      <c r="BC394" s="1159"/>
      <c r="BD394" s="1159"/>
    </row>
    <row r="395" spans="1:56" ht="51" x14ac:dyDescent="0.25">
      <c r="A395" s="1493">
        <v>271</v>
      </c>
      <c r="B395" s="2195"/>
      <c r="C395" s="2021"/>
      <c r="D395" s="2176"/>
      <c r="E395" s="2021"/>
      <c r="F395" s="2021"/>
      <c r="G395" s="2197"/>
      <c r="H395" s="1031" t="s">
        <v>2369</v>
      </c>
      <c r="I395" s="1060" t="s">
        <v>2195</v>
      </c>
      <c r="J395" s="1060" t="s">
        <v>779</v>
      </c>
      <c r="K395" s="1059">
        <v>42003</v>
      </c>
      <c r="L395" s="1056">
        <v>32528.75</v>
      </c>
      <c r="M395" s="1053">
        <v>11473</v>
      </c>
      <c r="N395" s="1059">
        <v>42003</v>
      </c>
      <c r="O395" s="1059">
        <v>42004</v>
      </c>
      <c r="P395" s="1060" t="s">
        <v>2188</v>
      </c>
      <c r="Q395" s="600"/>
      <c r="R395" s="600"/>
      <c r="S395" s="600"/>
      <c r="T395" s="1060" t="s">
        <v>2146</v>
      </c>
      <c r="U395" s="600"/>
      <c r="V395" s="600"/>
      <c r="W395" s="600"/>
      <c r="X395" s="600"/>
      <c r="Y395" s="600"/>
      <c r="Z395" s="600"/>
      <c r="AA395" s="600"/>
      <c r="AB395" s="600"/>
      <c r="AC395" s="600"/>
      <c r="AD395" s="600"/>
      <c r="AE395" s="1404">
        <f t="shared" si="15"/>
        <v>32528.75</v>
      </c>
      <c r="AF395" s="600"/>
      <c r="AG395" s="1411"/>
      <c r="AH395" s="613">
        <f>AF395+AG395</f>
        <v>0</v>
      </c>
      <c r="AI395" s="600"/>
      <c r="AJ395" s="600"/>
      <c r="AK395" s="600"/>
      <c r="AL395" s="600"/>
      <c r="AM395" s="1159"/>
      <c r="AN395" s="1159"/>
      <c r="AO395" s="1159"/>
      <c r="AP395" s="1159"/>
      <c r="AQ395" s="1159"/>
      <c r="AR395" s="1159"/>
      <c r="AS395" s="1159"/>
      <c r="AT395" s="1159"/>
      <c r="AU395" s="1159"/>
      <c r="AV395" s="1159"/>
      <c r="AW395" s="1159"/>
      <c r="AX395" s="1159"/>
      <c r="AY395" s="1159"/>
      <c r="AZ395" s="1159"/>
      <c r="BA395" s="1159"/>
      <c r="BB395" s="1159"/>
      <c r="BC395" s="1159"/>
      <c r="BD395" s="1159"/>
    </row>
    <row r="396" spans="1:56" ht="51" x14ac:dyDescent="0.25">
      <c r="A396" s="1493">
        <v>272</v>
      </c>
      <c r="B396" s="2196"/>
      <c r="C396" s="1986"/>
      <c r="D396" s="1992"/>
      <c r="E396" s="1986"/>
      <c r="F396" s="1986"/>
      <c r="G396" s="1995"/>
      <c r="H396" s="1031" t="s">
        <v>2370</v>
      </c>
      <c r="I396" s="1060" t="s">
        <v>2190</v>
      </c>
      <c r="J396" s="1060" t="s">
        <v>2191</v>
      </c>
      <c r="K396" s="1059">
        <v>42003</v>
      </c>
      <c r="L396" s="1056">
        <v>321940.25</v>
      </c>
      <c r="M396" s="1053">
        <v>11473</v>
      </c>
      <c r="N396" s="1059">
        <v>42003</v>
      </c>
      <c r="O396" s="1059">
        <v>42004</v>
      </c>
      <c r="P396" s="1060" t="s">
        <v>2188</v>
      </c>
      <c r="Q396" s="600"/>
      <c r="R396" s="600"/>
      <c r="S396" s="600"/>
      <c r="T396" s="1060" t="s">
        <v>2146</v>
      </c>
      <c r="U396" s="600"/>
      <c r="V396" s="600"/>
      <c r="W396" s="600"/>
      <c r="X396" s="600"/>
      <c r="Y396" s="600"/>
      <c r="Z396" s="600"/>
      <c r="AA396" s="600"/>
      <c r="AB396" s="600"/>
      <c r="AC396" s="600"/>
      <c r="AD396" s="600"/>
      <c r="AE396" s="1404">
        <f t="shared" si="15"/>
        <v>321940.25</v>
      </c>
      <c r="AF396" s="600"/>
      <c r="AG396" s="1411"/>
      <c r="AH396" s="613">
        <f t="shared" si="17"/>
        <v>0</v>
      </c>
      <c r="AI396" s="600"/>
      <c r="AJ396" s="600"/>
      <c r="AK396" s="600"/>
      <c r="AL396" s="600"/>
      <c r="AM396" s="1159"/>
      <c r="AN396" s="1159"/>
      <c r="AO396" s="1159"/>
      <c r="AP396" s="1159"/>
      <c r="AQ396" s="1159"/>
      <c r="AR396" s="1159"/>
      <c r="AS396" s="1159"/>
      <c r="AT396" s="1159"/>
      <c r="AU396" s="1159"/>
      <c r="AV396" s="1159"/>
      <c r="AW396" s="1159"/>
      <c r="AX396" s="1159"/>
      <c r="AY396" s="1159"/>
      <c r="AZ396" s="1159"/>
      <c r="BA396" s="1159"/>
      <c r="BB396" s="1159"/>
      <c r="BC396" s="1159"/>
      <c r="BD396" s="1159"/>
    </row>
    <row r="397" spans="1:56" ht="33.75" customHeight="1" x14ac:dyDescent="0.25">
      <c r="A397" s="2219">
        <v>273</v>
      </c>
      <c r="B397" s="2253" t="s">
        <v>2371</v>
      </c>
      <c r="C397" s="2163"/>
      <c r="D397" s="2163" t="s">
        <v>690</v>
      </c>
      <c r="E397" s="2163"/>
      <c r="F397" s="2276" t="s">
        <v>2372</v>
      </c>
      <c r="G397" s="2163" t="s">
        <v>677</v>
      </c>
      <c r="H397" s="2213" t="s">
        <v>2373</v>
      </c>
      <c r="I397" s="2163" t="s">
        <v>2374</v>
      </c>
      <c r="J397" s="2163" t="s">
        <v>2375</v>
      </c>
      <c r="K397" s="2163" t="s">
        <v>2376</v>
      </c>
      <c r="L397" s="2210">
        <v>6324</v>
      </c>
      <c r="M397" s="2177">
        <v>9362</v>
      </c>
      <c r="N397" s="2163" t="s">
        <v>2376</v>
      </c>
      <c r="O397" s="2163" t="s">
        <v>2377</v>
      </c>
      <c r="P397" s="2163" t="s">
        <v>1308</v>
      </c>
      <c r="Q397" s="2163"/>
      <c r="R397" s="2163"/>
      <c r="S397" s="2163"/>
      <c r="T397" s="2163" t="s">
        <v>696</v>
      </c>
      <c r="U397" s="1049" t="s">
        <v>867</v>
      </c>
      <c r="V397" s="715">
        <v>39301</v>
      </c>
      <c r="W397" s="1178">
        <v>9619</v>
      </c>
      <c r="X397" s="518" t="s">
        <v>2378</v>
      </c>
      <c r="Y397" s="715">
        <v>39301</v>
      </c>
      <c r="Z397" s="715">
        <v>39666</v>
      </c>
      <c r="AA397" s="95">
        <v>3.7950599999999999</v>
      </c>
      <c r="AB397" s="95"/>
      <c r="AC397" s="1412">
        <v>6564</v>
      </c>
      <c r="AD397" s="95"/>
      <c r="AE397" s="2240">
        <f>L397-AD397+AC397-AD398+AC398-AD399+AC399-AD400+AC400-AD401+AC401-AD402+AC402-AD403+AC403-AD404+AC404-AD405+AC405</f>
        <v>68309.990000000005</v>
      </c>
      <c r="AF397" s="2210">
        <v>7860</v>
      </c>
      <c r="AG397" s="2210">
        <v>8268</v>
      </c>
      <c r="AH397" s="2240">
        <f>AF397+AG397</f>
        <v>16128</v>
      </c>
      <c r="AI397" s="2163"/>
      <c r="AJ397" s="2163"/>
      <c r="AK397" s="2163"/>
      <c r="AL397" s="2163"/>
      <c r="AM397" s="2163" t="s">
        <v>1311</v>
      </c>
      <c r="AN397" s="1985" t="s">
        <v>1312</v>
      </c>
      <c r="AO397" s="2177">
        <v>9362</v>
      </c>
      <c r="AP397" s="2172">
        <v>38943</v>
      </c>
      <c r="AQ397" s="2177">
        <v>9362</v>
      </c>
      <c r="AR397" s="2172">
        <v>38943</v>
      </c>
      <c r="AS397" s="2163"/>
      <c r="AT397" s="2163"/>
      <c r="AU397" s="2163"/>
      <c r="AV397" s="2163"/>
      <c r="AW397" s="2163"/>
      <c r="AX397" s="2163"/>
      <c r="AY397" s="2163"/>
      <c r="AZ397" s="727"/>
      <c r="BA397" s="2163"/>
      <c r="BB397" s="2163"/>
      <c r="BC397" s="2163"/>
      <c r="BD397" s="2163"/>
    </row>
    <row r="398" spans="1:56" x14ac:dyDescent="0.25">
      <c r="A398" s="2220"/>
      <c r="B398" s="2254"/>
      <c r="C398" s="2175"/>
      <c r="D398" s="2175"/>
      <c r="E398" s="2175"/>
      <c r="F398" s="2277"/>
      <c r="G398" s="2175"/>
      <c r="H398" s="2214"/>
      <c r="I398" s="2175"/>
      <c r="J398" s="2175"/>
      <c r="K398" s="2175"/>
      <c r="L398" s="2211"/>
      <c r="M398" s="2180"/>
      <c r="N398" s="2175"/>
      <c r="O398" s="2175"/>
      <c r="P398" s="2175"/>
      <c r="Q398" s="2175"/>
      <c r="R398" s="2175"/>
      <c r="S398" s="2175"/>
      <c r="T398" s="2175"/>
      <c r="U398" s="1049" t="s">
        <v>871</v>
      </c>
      <c r="V398" s="715">
        <v>39667</v>
      </c>
      <c r="W398" s="1178">
        <v>9877</v>
      </c>
      <c r="X398" s="518" t="s">
        <v>2378</v>
      </c>
      <c r="Y398" s="715">
        <v>39667</v>
      </c>
      <c r="Z398" s="715">
        <v>39813</v>
      </c>
      <c r="AA398" s="95"/>
      <c r="AB398" s="95"/>
      <c r="AC398" s="1413">
        <v>2643.83</v>
      </c>
      <c r="AD398" s="95"/>
      <c r="AE398" s="2241"/>
      <c r="AF398" s="2211"/>
      <c r="AG398" s="2211"/>
      <c r="AH398" s="2241"/>
      <c r="AI398" s="2175"/>
      <c r="AJ398" s="2175"/>
      <c r="AK398" s="2175"/>
      <c r="AL398" s="2175"/>
      <c r="AM398" s="2175"/>
      <c r="AN398" s="2021"/>
      <c r="AO398" s="2180"/>
      <c r="AP398" s="2173"/>
      <c r="AQ398" s="2180"/>
      <c r="AR398" s="2173"/>
      <c r="AS398" s="2175"/>
      <c r="AT398" s="2175"/>
      <c r="AU398" s="2175"/>
      <c r="AV398" s="2175"/>
      <c r="AW398" s="2175"/>
      <c r="AX398" s="2175"/>
      <c r="AY398" s="2175"/>
      <c r="AZ398" s="1414"/>
      <c r="BA398" s="2175"/>
      <c r="BB398" s="2175"/>
      <c r="BC398" s="2175"/>
      <c r="BD398" s="2175"/>
    </row>
    <row r="399" spans="1:56" x14ac:dyDescent="0.25">
      <c r="A399" s="2220"/>
      <c r="B399" s="2254"/>
      <c r="C399" s="2175"/>
      <c r="D399" s="2175"/>
      <c r="E399" s="2175"/>
      <c r="F399" s="2277"/>
      <c r="G399" s="2175"/>
      <c r="H399" s="2214"/>
      <c r="I399" s="2175"/>
      <c r="J399" s="2175"/>
      <c r="K399" s="2175"/>
      <c r="L399" s="2211"/>
      <c r="M399" s="2180"/>
      <c r="N399" s="2175"/>
      <c r="O399" s="2175"/>
      <c r="P399" s="2175"/>
      <c r="Q399" s="2175"/>
      <c r="R399" s="2175"/>
      <c r="S399" s="2175"/>
      <c r="T399" s="2175"/>
      <c r="U399" s="1049" t="s">
        <v>874</v>
      </c>
      <c r="V399" s="715">
        <v>39813</v>
      </c>
      <c r="W399" s="1178">
        <v>9987</v>
      </c>
      <c r="X399" s="518" t="s">
        <v>2378</v>
      </c>
      <c r="Y399" s="715">
        <v>39813</v>
      </c>
      <c r="Z399" s="715">
        <v>40178</v>
      </c>
      <c r="AA399" s="95">
        <v>4.2047499999999998</v>
      </c>
      <c r="AB399" s="95"/>
      <c r="AC399" s="1413">
        <v>6840</v>
      </c>
      <c r="AD399" s="95"/>
      <c r="AE399" s="2241"/>
      <c r="AF399" s="2211"/>
      <c r="AG399" s="2211"/>
      <c r="AH399" s="2241"/>
      <c r="AI399" s="2175"/>
      <c r="AJ399" s="2175"/>
      <c r="AK399" s="2175"/>
      <c r="AL399" s="2175"/>
      <c r="AM399" s="2175"/>
      <c r="AN399" s="2021"/>
      <c r="AO399" s="2180"/>
      <c r="AP399" s="2173"/>
      <c r="AQ399" s="2180"/>
      <c r="AR399" s="2173"/>
      <c r="AS399" s="2175"/>
      <c r="AT399" s="2175"/>
      <c r="AU399" s="2175"/>
      <c r="AV399" s="2175"/>
      <c r="AW399" s="2175"/>
      <c r="AX399" s="2175"/>
      <c r="AY399" s="2175"/>
      <c r="AZ399" s="1414"/>
      <c r="BA399" s="2175"/>
      <c r="BB399" s="2175"/>
      <c r="BC399" s="2175"/>
      <c r="BD399" s="2175"/>
    </row>
    <row r="400" spans="1:56" x14ac:dyDescent="0.25">
      <c r="A400" s="2220"/>
      <c r="B400" s="2254"/>
      <c r="C400" s="2175"/>
      <c r="D400" s="2175"/>
      <c r="E400" s="2175"/>
      <c r="F400" s="2277"/>
      <c r="G400" s="2175"/>
      <c r="H400" s="2214"/>
      <c r="I400" s="2175"/>
      <c r="J400" s="2175"/>
      <c r="K400" s="2175"/>
      <c r="L400" s="2211"/>
      <c r="M400" s="2180"/>
      <c r="N400" s="2175"/>
      <c r="O400" s="2175"/>
      <c r="P400" s="2175"/>
      <c r="Q400" s="2175"/>
      <c r="R400" s="2175"/>
      <c r="S400" s="2175"/>
      <c r="T400" s="2175"/>
      <c r="U400" s="1049" t="s">
        <v>876</v>
      </c>
      <c r="V400" s="715">
        <v>40178</v>
      </c>
      <c r="W400" s="1178">
        <v>10207</v>
      </c>
      <c r="X400" s="518" t="s">
        <v>2378</v>
      </c>
      <c r="Y400" s="715">
        <v>40178</v>
      </c>
      <c r="Z400" s="715">
        <v>40543</v>
      </c>
      <c r="AA400" s="95">
        <v>1.7543800000000001</v>
      </c>
      <c r="AB400" s="95"/>
      <c r="AC400" s="1413">
        <v>6960</v>
      </c>
      <c r="AD400" s="95"/>
      <c r="AE400" s="2241"/>
      <c r="AF400" s="2211"/>
      <c r="AG400" s="2211"/>
      <c r="AH400" s="2241"/>
      <c r="AI400" s="2175"/>
      <c r="AJ400" s="2175"/>
      <c r="AK400" s="2175"/>
      <c r="AL400" s="2175"/>
      <c r="AM400" s="2175"/>
      <c r="AN400" s="2021"/>
      <c r="AO400" s="2180"/>
      <c r="AP400" s="2173"/>
      <c r="AQ400" s="2180"/>
      <c r="AR400" s="2173"/>
      <c r="AS400" s="2175"/>
      <c r="AT400" s="2175"/>
      <c r="AU400" s="2175"/>
      <c r="AV400" s="2175"/>
      <c r="AW400" s="2175"/>
      <c r="AX400" s="2175"/>
      <c r="AY400" s="2175"/>
      <c r="AZ400" s="1414"/>
      <c r="BA400" s="2175"/>
      <c r="BB400" s="2175"/>
      <c r="BC400" s="2175"/>
      <c r="BD400" s="2175"/>
    </row>
    <row r="401" spans="1:56" x14ac:dyDescent="0.25">
      <c r="A401" s="2220"/>
      <c r="B401" s="2254"/>
      <c r="C401" s="2175"/>
      <c r="D401" s="2175"/>
      <c r="E401" s="2175"/>
      <c r="F401" s="2277"/>
      <c r="G401" s="2175"/>
      <c r="H401" s="2214"/>
      <c r="I401" s="2175"/>
      <c r="J401" s="2175"/>
      <c r="K401" s="2175"/>
      <c r="L401" s="2211"/>
      <c r="M401" s="2180"/>
      <c r="N401" s="2175"/>
      <c r="O401" s="2175"/>
      <c r="P401" s="2175"/>
      <c r="Q401" s="2175"/>
      <c r="R401" s="2175"/>
      <c r="S401" s="2175"/>
      <c r="T401" s="2175"/>
      <c r="U401" s="1049" t="s">
        <v>879</v>
      </c>
      <c r="V401" s="715">
        <v>40543</v>
      </c>
      <c r="W401" s="1178">
        <v>10445</v>
      </c>
      <c r="X401" s="518" t="s">
        <v>2378</v>
      </c>
      <c r="Y401" s="715">
        <v>40543</v>
      </c>
      <c r="Z401" s="715">
        <v>40908</v>
      </c>
      <c r="AA401" s="95"/>
      <c r="AB401" s="95"/>
      <c r="AC401" s="1413">
        <v>6960</v>
      </c>
      <c r="AD401" s="95"/>
      <c r="AE401" s="2241"/>
      <c r="AF401" s="2211"/>
      <c r="AG401" s="2211"/>
      <c r="AH401" s="2241"/>
      <c r="AI401" s="2175"/>
      <c r="AJ401" s="2175"/>
      <c r="AK401" s="2175"/>
      <c r="AL401" s="2175"/>
      <c r="AM401" s="2175"/>
      <c r="AN401" s="2021"/>
      <c r="AO401" s="2180"/>
      <c r="AP401" s="2173"/>
      <c r="AQ401" s="2180"/>
      <c r="AR401" s="2173"/>
      <c r="AS401" s="2175"/>
      <c r="AT401" s="2175"/>
      <c r="AU401" s="2175"/>
      <c r="AV401" s="2175"/>
      <c r="AW401" s="2175"/>
      <c r="AX401" s="2175"/>
      <c r="AY401" s="2175"/>
      <c r="AZ401" s="1414"/>
      <c r="BA401" s="2175"/>
      <c r="BB401" s="2175"/>
      <c r="BC401" s="2175"/>
      <c r="BD401" s="2175"/>
    </row>
    <row r="402" spans="1:56" x14ac:dyDescent="0.25">
      <c r="A402" s="2220"/>
      <c r="B402" s="2254"/>
      <c r="C402" s="2175"/>
      <c r="D402" s="2175"/>
      <c r="E402" s="2175"/>
      <c r="F402" s="2277"/>
      <c r="G402" s="2175"/>
      <c r="H402" s="2214"/>
      <c r="I402" s="2175"/>
      <c r="J402" s="2175"/>
      <c r="K402" s="2175"/>
      <c r="L402" s="2211"/>
      <c r="M402" s="2180"/>
      <c r="N402" s="2175"/>
      <c r="O402" s="2175"/>
      <c r="P402" s="2175"/>
      <c r="Q402" s="2175"/>
      <c r="R402" s="2175"/>
      <c r="S402" s="2175"/>
      <c r="T402" s="2175"/>
      <c r="U402" s="1049" t="s">
        <v>882</v>
      </c>
      <c r="V402" s="715">
        <v>40908</v>
      </c>
      <c r="W402" s="1178">
        <v>10734</v>
      </c>
      <c r="X402" s="518" t="s">
        <v>2378</v>
      </c>
      <c r="Y402" s="715">
        <v>40908</v>
      </c>
      <c r="Z402" s="715">
        <v>41274</v>
      </c>
      <c r="AA402" s="95">
        <v>5.1724100000000002</v>
      </c>
      <c r="AB402" s="95"/>
      <c r="AC402" s="1413">
        <v>7320</v>
      </c>
      <c r="AD402" s="95"/>
      <c r="AE402" s="2241"/>
      <c r="AF402" s="2211"/>
      <c r="AG402" s="2211"/>
      <c r="AH402" s="2241"/>
      <c r="AI402" s="2175"/>
      <c r="AJ402" s="2175"/>
      <c r="AK402" s="2175"/>
      <c r="AL402" s="2175"/>
      <c r="AM402" s="2175"/>
      <c r="AN402" s="2021"/>
      <c r="AO402" s="2180"/>
      <c r="AP402" s="2173"/>
      <c r="AQ402" s="2180"/>
      <c r="AR402" s="2173"/>
      <c r="AS402" s="2175"/>
      <c r="AT402" s="2175"/>
      <c r="AU402" s="2175"/>
      <c r="AV402" s="2175"/>
      <c r="AW402" s="2175"/>
      <c r="AX402" s="2175"/>
      <c r="AY402" s="2175"/>
      <c r="AZ402" s="1414"/>
      <c r="BA402" s="2175"/>
      <c r="BB402" s="2175"/>
      <c r="BC402" s="2175"/>
      <c r="BD402" s="2175"/>
    </row>
    <row r="403" spans="1:56" x14ac:dyDescent="0.25">
      <c r="A403" s="2220"/>
      <c r="B403" s="2254"/>
      <c r="C403" s="2175"/>
      <c r="D403" s="2175"/>
      <c r="E403" s="2175"/>
      <c r="F403" s="2277"/>
      <c r="G403" s="2175"/>
      <c r="H403" s="2214"/>
      <c r="I403" s="2175"/>
      <c r="J403" s="2175"/>
      <c r="K403" s="2175"/>
      <c r="L403" s="2211"/>
      <c r="M403" s="2180"/>
      <c r="N403" s="2175"/>
      <c r="O403" s="2175"/>
      <c r="P403" s="2175"/>
      <c r="Q403" s="2175"/>
      <c r="R403" s="2175"/>
      <c r="S403" s="2175"/>
      <c r="T403" s="2175"/>
      <c r="U403" s="1049" t="s">
        <v>1443</v>
      </c>
      <c r="V403" s="715">
        <v>41274</v>
      </c>
      <c r="W403" s="1178">
        <v>10955</v>
      </c>
      <c r="X403" s="518" t="s">
        <v>2378</v>
      </c>
      <c r="Y403" s="715">
        <v>41274</v>
      </c>
      <c r="Z403" s="715">
        <v>41639</v>
      </c>
      <c r="AA403" s="95">
        <v>7.37704</v>
      </c>
      <c r="AB403" s="95"/>
      <c r="AC403" s="1413">
        <v>7860</v>
      </c>
      <c r="AD403" s="95"/>
      <c r="AE403" s="2241"/>
      <c r="AF403" s="2211"/>
      <c r="AG403" s="2211"/>
      <c r="AH403" s="2241"/>
      <c r="AI403" s="2175"/>
      <c r="AJ403" s="2175"/>
      <c r="AK403" s="2175"/>
      <c r="AL403" s="2175"/>
      <c r="AM403" s="2175"/>
      <c r="AN403" s="2021"/>
      <c r="AO403" s="2180"/>
      <c r="AP403" s="2173"/>
      <c r="AQ403" s="2180"/>
      <c r="AR403" s="2173"/>
      <c r="AS403" s="2175"/>
      <c r="AT403" s="2175"/>
      <c r="AU403" s="2175"/>
      <c r="AV403" s="2175"/>
      <c r="AW403" s="2175"/>
      <c r="AX403" s="2175"/>
      <c r="AY403" s="2175"/>
      <c r="AZ403" s="1414"/>
      <c r="BA403" s="2175"/>
      <c r="BB403" s="2175"/>
      <c r="BC403" s="2175"/>
      <c r="BD403" s="2175"/>
    </row>
    <row r="404" spans="1:56" x14ac:dyDescent="0.25">
      <c r="A404" s="2220"/>
      <c r="B404" s="2254"/>
      <c r="C404" s="2175"/>
      <c r="D404" s="2175"/>
      <c r="E404" s="2175"/>
      <c r="F404" s="2277"/>
      <c r="G404" s="2175"/>
      <c r="H404" s="2214"/>
      <c r="I404" s="2175"/>
      <c r="J404" s="2175"/>
      <c r="K404" s="2175"/>
      <c r="L404" s="2211"/>
      <c r="M404" s="2180"/>
      <c r="N404" s="2175"/>
      <c r="O404" s="2175"/>
      <c r="P404" s="2175"/>
      <c r="Q404" s="2175"/>
      <c r="R404" s="2175"/>
      <c r="S404" s="2175"/>
      <c r="T404" s="2175"/>
      <c r="U404" s="1049" t="s">
        <v>1444</v>
      </c>
      <c r="V404" s="1175">
        <v>41639</v>
      </c>
      <c r="W404" s="1178">
        <v>11214</v>
      </c>
      <c r="X404" s="518" t="s">
        <v>2378</v>
      </c>
      <c r="Y404" s="1175">
        <v>41639</v>
      </c>
      <c r="Z404" s="1175">
        <v>42004</v>
      </c>
      <c r="AA404" s="95">
        <v>5.1908300000000001</v>
      </c>
      <c r="AB404" s="95"/>
      <c r="AC404" s="1413">
        <v>8268</v>
      </c>
      <c r="AD404" s="95"/>
      <c r="AE404" s="2241"/>
      <c r="AF404" s="2211"/>
      <c r="AG404" s="2211"/>
      <c r="AH404" s="2241"/>
      <c r="AI404" s="2175"/>
      <c r="AJ404" s="2175"/>
      <c r="AK404" s="2175"/>
      <c r="AL404" s="2175"/>
      <c r="AM404" s="2175"/>
      <c r="AN404" s="2021"/>
      <c r="AO404" s="2180"/>
      <c r="AP404" s="2173"/>
      <c r="AQ404" s="2180"/>
      <c r="AR404" s="2173"/>
      <c r="AS404" s="2175"/>
      <c r="AT404" s="2175"/>
      <c r="AU404" s="2175"/>
      <c r="AV404" s="2175"/>
      <c r="AW404" s="2175"/>
      <c r="AX404" s="2175"/>
      <c r="AY404" s="2175"/>
      <c r="AZ404" s="1414"/>
      <c r="BA404" s="2175"/>
      <c r="BB404" s="2175"/>
      <c r="BC404" s="2175"/>
      <c r="BD404" s="2175"/>
    </row>
    <row r="405" spans="1:56" ht="51" x14ac:dyDescent="0.25">
      <c r="A405" s="2221"/>
      <c r="B405" s="2255"/>
      <c r="C405" s="2164"/>
      <c r="D405" s="2164"/>
      <c r="E405" s="2164"/>
      <c r="F405" s="2278"/>
      <c r="G405" s="2164"/>
      <c r="H405" s="2215"/>
      <c r="I405" s="2164"/>
      <c r="J405" s="2164"/>
      <c r="K405" s="2164"/>
      <c r="L405" s="2212"/>
      <c r="M405" s="2178"/>
      <c r="N405" s="2164"/>
      <c r="O405" s="2164"/>
      <c r="P405" s="2164"/>
      <c r="Q405" s="2164"/>
      <c r="R405" s="2164"/>
      <c r="S405" s="2164"/>
      <c r="T405" s="2164"/>
      <c r="U405" s="1049" t="s">
        <v>1446</v>
      </c>
      <c r="V405" s="1175">
        <v>41988</v>
      </c>
      <c r="W405" s="1178">
        <v>11460</v>
      </c>
      <c r="X405" s="518" t="s">
        <v>2379</v>
      </c>
      <c r="Y405" s="1175">
        <v>42004</v>
      </c>
      <c r="Z405" s="1175">
        <v>42369</v>
      </c>
      <c r="AA405" s="95">
        <v>3.6543000000000001</v>
      </c>
      <c r="AB405" s="95"/>
      <c r="AC405" s="1413">
        <v>8570.16</v>
      </c>
      <c r="AD405" s="95"/>
      <c r="AE405" s="2242"/>
      <c r="AF405" s="2212"/>
      <c r="AG405" s="2212"/>
      <c r="AH405" s="2242"/>
      <c r="AI405" s="2164"/>
      <c r="AJ405" s="2164"/>
      <c r="AK405" s="2164"/>
      <c r="AL405" s="2164"/>
      <c r="AM405" s="2164"/>
      <c r="AN405" s="1986"/>
      <c r="AO405" s="2178"/>
      <c r="AP405" s="2174"/>
      <c r="AQ405" s="2178"/>
      <c r="AR405" s="2174"/>
      <c r="AS405" s="2164"/>
      <c r="AT405" s="2164"/>
      <c r="AU405" s="2164"/>
      <c r="AV405" s="2164"/>
      <c r="AW405" s="2164"/>
      <c r="AX405" s="2164"/>
      <c r="AY405" s="2164"/>
      <c r="AZ405" s="717"/>
      <c r="BA405" s="2164"/>
      <c r="BB405" s="2164"/>
      <c r="BC405" s="2164"/>
      <c r="BD405" s="2164"/>
    </row>
    <row r="406" spans="1:56" ht="33.75" customHeight="1" x14ac:dyDescent="0.25">
      <c r="A406" s="2219">
        <v>274</v>
      </c>
      <c r="B406" s="2253" t="s">
        <v>2380</v>
      </c>
      <c r="C406" s="2163"/>
      <c r="D406" s="2163" t="s">
        <v>690</v>
      </c>
      <c r="E406" s="2163"/>
      <c r="F406" s="2276" t="s">
        <v>2381</v>
      </c>
      <c r="G406" s="2163" t="s">
        <v>677</v>
      </c>
      <c r="H406" s="2266" t="s">
        <v>2382</v>
      </c>
      <c r="I406" s="2163" t="s">
        <v>2383</v>
      </c>
      <c r="J406" s="2163" t="s">
        <v>2384</v>
      </c>
      <c r="K406" s="2163" t="s">
        <v>2385</v>
      </c>
      <c r="L406" s="2210">
        <v>6600</v>
      </c>
      <c r="M406" s="2177">
        <v>9396</v>
      </c>
      <c r="N406" s="2163" t="s">
        <v>2385</v>
      </c>
      <c r="O406" s="2163" t="s">
        <v>2386</v>
      </c>
      <c r="P406" s="2163" t="s">
        <v>1308</v>
      </c>
      <c r="Q406" s="2163"/>
      <c r="R406" s="2163"/>
      <c r="S406" s="727"/>
      <c r="T406" s="2266" t="s">
        <v>696</v>
      </c>
      <c r="U406" s="1049" t="s">
        <v>867</v>
      </c>
      <c r="V406" s="715">
        <v>39353</v>
      </c>
      <c r="W406" s="1178">
        <v>9653</v>
      </c>
      <c r="X406" s="518" t="s">
        <v>2378</v>
      </c>
      <c r="Y406" s="1049" t="s">
        <v>2386</v>
      </c>
      <c r="Z406" s="715">
        <v>39715</v>
      </c>
      <c r="AA406" s="95">
        <v>3.6363599999999998</v>
      </c>
      <c r="AB406" s="95"/>
      <c r="AC406" s="1364">
        <v>6840</v>
      </c>
      <c r="AD406" s="95"/>
      <c r="AE406" s="2240">
        <f>L406-AD406+AC406-AD407+AC407-AD408+AC408-AD409+AC409-AD410+AC410-AD411+AC411-AD412+AC412-AD413+AC413</f>
        <v>60199.200000000004</v>
      </c>
      <c r="AF406" s="2210">
        <v>7788</v>
      </c>
      <c r="AG406" s="2210">
        <v>6670.71</v>
      </c>
      <c r="AH406" s="2210">
        <f>AF406+AG406</f>
        <v>14458.71</v>
      </c>
      <c r="AI406" s="2210"/>
      <c r="AJ406" s="2210"/>
      <c r="AK406" s="2210"/>
      <c r="AL406" s="2210"/>
      <c r="AM406" s="2163" t="s">
        <v>1311</v>
      </c>
      <c r="AN406" s="2213" t="s">
        <v>1312</v>
      </c>
      <c r="AO406" s="2177">
        <v>9396</v>
      </c>
      <c r="AP406" s="2172">
        <v>38992</v>
      </c>
      <c r="AQ406" s="2177">
        <v>9396</v>
      </c>
      <c r="AR406" s="2172">
        <v>38992</v>
      </c>
      <c r="AS406" s="1049"/>
      <c r="AT406" s="1049"/>
      <c r="AU406" s="1049"/>
      <c r="AV406" s="1049"/>
      <c r="AW406" s="1049"/>
      <c r="AX406" s="1049"/>
      <c r="AY406" s="1049"/>
      <c r="AZ406" s="1049"/>
      <c r="BA406" s="1049"/>
      <c r="BB406" s="1049"/>
      <c r="BC406" s="1049"/>
      <c r="BD406" s="1049"/>
    </row>
    <row r="407" spans="1:56" x14ac:dyDescent="0.25">
      <c r="A407" s="2220"/>
      <c r="B407" s="2254"/>
      <c r="C407" s="2175"/>
      <c r="D407" s="2175"/>
      <c r="E407" s="2175"/>
      <c r="F407" s="2277"/>
      <c r="G407" s="2175"/>
      <c r="H407" s="2267"/>
      <c r="I407" s="2175"/>
      <c r="J407" s="2175"/>
      <c r="K407" s="2175"/>
      <c r="L407" s="2211"/>
      <c r="M407" s="2180"/>
      <c r="N407" s="2175"/>
      <c r="O407" s="2175"/>
      <c r="P407" s="2175"/>
      <c r="Q407" s="2175"/>
      <c r="R407" s="2175"/>
      <c r="S407" s="1414"/>
      <c r="T407" s="2267"/>
      <c r="U407" s="1049" t="s">
        <v>871</v>
      </c>
      <c r="V407" s="715">
        <v>39716</v>
      </c>
      <c r="W407" s="1178">
        <v>9908</v>
      </c>
      <c r="X407" s="518" t="s">
        <v>2378</v>
      </c>
      <c r="Y407" s="715">
        <v>39716</v>
      </c>
      <c r="Z407" s="1175">
        <v>39813</v>
      </c>
      <c r="AA407" s="95"/>
      <c r="AB407" s="95"/>
      <c r="AC407" s="1364">
        <v>1824</v>
      </c>
      <c r="AD407" s="95"/>
      <c r="AE407" s="2241"/>
      <c r="AF407" s="2211"/>
      <c r="AG407" s="2211"/>
      <c r="AH407" s="2211"/>
      <c r="AI407" s="2211"/>
      <c r="AJ407" s="2211"/>
      <c r="AK407" s="2211"/>
      <c r="AL407" s="2211"/>
      <c r="AM407" s="2175"/>
      <c r="AN407" s="2214"/>
      <c r="AO407" s="2180"/>
      <c r="AP407" s="2173"/>
      <c r="AQ407" s="2180"/>
      <c r="AR407" s="2173"/>
      <c r="AS407" s="1049"/>
      <c r="AT407" s="1049"/>
      <c r="AU407" s="1049"/>
      <c r="AV407" s="1049"/>
      <c r="AW407" s="1049"/>
      <c r="AX407" s="1049"/>
      <c r="AY407" s="1049"/>
      <c r="AZ407" s="1049"/>
      <c r="BA407" s="1049"/>
      <c r="BB407" s="1049"/>
      <c r="BC407" s="1049"/>
      <c r="BD407" s="1049"/>
    </row>
    <row r="408" spans="1:56" x14ac:dyDescent="0.25">
      <c r="A408" s="2220"/>
      <c r="B408" s="2254"/>
      <c r="C408" s="2175"/>
      <c r="D408" s="2175"/>
      <c r="E408" s="2175"/>
      <c r="F408" s="2277"/>
      <c r="G408" s="2175"/>
      <c r="H408" s="2267"/>
      <c r="I408" s="2175"/>
      <c r="J408" s="2175"/>
      <c r="K408" s="2175"/>
      <c r="L408" s="2211"/>
      <c r="M408" s="2180"/>
      <c r="N408" s="2175"/>
      <c r="O408" s="2175"/>
      <c r="P408" s="2175"/>
      <c r="Q408" s="2175"/>
      <c r="R408" s="2175"/>
      <c r="S408" s="1414"/>
      <c r="T408" s="2267"/>
      <c r="U408" s="1049" t="s">
        <v>874</v>
      </c>
      <c r="V408" s="1175">
        <v>39813</v>
      </c>
      <c r="W408" s="1178">
        <v>9987</v>
      </c>
      <c r="X408" s="518" t="s">
        <v>2378</v>
      </c>
      <c r="Y408" s="1175">
        <v>39813</v>
      </c>
      <c r="Z408" s="1175">
        <v>40178</v>
      </c>
      <c r="AA408" s="95">
        <v>5.2631500000000004</v>
      </c>
      <c r="AB408" s="95"/>
      <c r="AC408" s="1364">
        <v>7200</v>
      </c>
      <c r="AD408" s="95"/>
      <c r="AE408" s="2241"/>
      <c r="AF408" s="2211"/>
      <c r="AG408" s="2211"/>
      <c r="AH408" s="2211"/>
      <c r="AI408" s="2211"/>
      <c r="AJ408" s="2211"/>
      <c r="AK408" s="2211"/>
      <c r="AL408" s="2211"/>
      <c r="AM408" s="2175"/>
      <c r="AN408" s="2214"/>
      <c r="AO408" s="2180"/>
      <c r="AP408" s="2173"/>
      <c r="AQ408" s="2180"/>
      <c r="AR408" s="2173"/>
      <c r="AS408" s="1049"/>
      <c r="AT408" s="1049"/>
      <c r="AU408" s="1049"/>
      <c r="AV408" s="1049"/>
      <c r="AW408" s="1049"/>
      <c r="AX408" s="1049"/>
      <c r="AY408" s="1049"/>
      <c r="AZ408" s="1049"/>
      <c r="BA408" s="1049"/>
      <c r="BB408" s="1049"/>
      <c r="BC408" s="1049"/>
      <c r="BD408" s="1049"/>
    </row>
    <row r="409" spans="1:56" x14ac:dyDescent="0.25">
      <c r="A409" s="2220"/>
      <c r="B409" s="2254"/>
      <c r="C409" s="2175"/>
      <c r="D409" s="2175"/>
      <c r="E409" s="2175"/>
      <c r="F409" s="2277"/>
      <c r="G409" s="2175"/>
      <c r="H409" s="2267"/>
      <c r="I409" s="2175"/>
      <c r="J409" s="2175"/>
      <c r="K409" s="2175"/>
      <c r="L409" s="2211"/>
      <c r="M409" s="2180"/>
      <c r="N409" s="2175"/>
      <c r="O409" s="2175"/>
      <c r="P409" s="2175"/>
      <c r="Q409" s="2175"/>
      <c r="R409" s="2175"/>
      <c r="S409" s="1414"/>
      <c r="T409" s="2267"/>
      <c r="U409" s="1049" t="s">
        <v>876</v>
      </c>
      <c r="V409" s="1175">
        <v>40178</v>
      </c>
      <c r="W409" s="1178">
        <v>10164</v>
      </c>
      <c r="X409" s="518" t="s">
        <v>2378</v>
      </c>
      <c r="Y409" s="1175">
        <v>40178</v>
      </c>
      <c r="Z409" s="1175">
        <v>40543</v>
      </c>
      <c r="AA409" s="1415">
        <v>0.7</v>
      </c>
      <c r="AB409" s="95"/>
      <c r="AC409" s="1364">
        <v>7250.4</v>
      </c>
      <c r="AD409" s="95"/>
      <c r="AE409" s="2241"/>
      <c r="AF409" s="2211"/>
      <c r="AG409" s="2211"/>
      <c r="AH409" s="2211"/>
      <c r="AI409" s="2211"/>
      <c r="AJ409" s="2211"/>
      <c r="AK409" s="2211"/>
      <c r="AL409" s="2211"/>
      <c r="AM409" s="2175"/>
      <c r="AN409" s="2214"/>
      <c r="AO409" s="2180"/>
      <c r="AP409" s="2173"/>
      <c r="AQ409" s="2180"/>
      <c r="AR409" s="2173"/>
      <c r="AS409" s="1049"/>
      <c r="AT409" s="1049"/>
      <c r="AU409" s="1049"/>
      <c r="AV409" s="1049"/>
      <c r="AW409" s="1049"/>
      <c r="AX409" s="1049"/>
      <c r="AY409" s="1049"/>
      <c r="AZ409" s="1049"/>
      <c r="BA409" s="1049"/>
      <c r="BB409" s="1049"/>
      <c r="BC409" s="1049"/>
      <c r="BD409" s="1049"/>
    </row>
    <row r="410" spans="1:56" x14ac:dyDescent="0.25">
      <c r="A410" s="2220"/>
      <c r="B410" s="2254"/>
      <c r="C410" s="2175"/>
      <c r="D410" s="2175"/>
      <c r="E410" s="2175"/>
      <c r="F410" s="2277"/>
      <c r="G410" s="2175"/>
      <c r="H410" s="2267"/>
      <c r="I410" s="2175"/>
      <c r="J410" s="2175"/>
      <c r="K410" s="2175"/>
      <c r="L410" s="2211"/>
      <c r="M410" s="2180"/>
      <c r="N410" s="2175"/>
      <c r="O410" s="2175"/>
      <c r="P410" s="2175"/>
      <c r="Q410" s="2175"/>
      <c r="R410" s="2175"/>
      <c r="S410" s="1414"/>
      <c r="T410" s="2267"/>
      <c r="U410" s="1049" t="s">
        <v>879</v>
      </c>
      <c r="V410" s="1175">
        <v>40543</v>
      </c>
      <c r="W410" s="1178">
        <v>10441</v>
      </c>
      <c r="X410" s="518" t="s">
        <v>2378</v>
      </c>
      <c r="Y410" s="1175">
        <v>40543</v>
      </c>
      <c r="Z410" s="1175">
        <v>40908</v>
      </c>
      <c r="AA410" s="95"/>
      <c r="AB410" s="95"/>
      <c r="AC410" s="1364">
        <v>7250.4</v>
      </c>
      <c r="AD410" s="95"/>
      <c r="AE410" s="2241"/>
      <c r="AF410" s="2211"/>
      <c r="AG410" s="2211"/>
      <c r="AH410" s="2211"/>
      <c r="AI410" s="2211"/>
      <c r="AJ410" s="2211"/>
      <c r="AK410" s="2211"/>
      <c r="AL410" s="2211"/>
      <c r="AM410" s="2175"/>
      <c r="AN410" s="2214"/>
      <c r="AO410" s="2180"/>
      <c r="AP410" s="2173"/>
      <c r="AQ410" s="2180"/>
      <c r="AR410" s="2173"/>
      <c r="AS410" s="1049"/>
      <c r="AT410" s="1049"/>
      <c r="AU410" s="1049"/>
      <c r="AV410" s="1049"/>
      <c r="AW410" s="1049"/>
      <c r="AX410" s="1049"/>
      <c r="AY410" s="1049"/>
      <c r="AZ410" s="1049"/>
      <c r="BA410" s="1049"/>
      <c r="BB410" s="1049"/>
      <c r="BC410" s="1049"/>
      <c r="BD410" s="1049"/>
    </row>
    <row r="411" spans="1:56" x14ac:dyDescent="0.25">
      <c r="A411" s="2220"/>
      <c r="B411" s="2254"/>
      <c r="C411" s="2175"/>
      <c r="D411" s="2175"/>
      <c r="E411" s="2175"/>
      <c r="F411" s="2277"/>
      <c r="G411" s="2175"/>
      <c r="H411" s="2267"/>
      <c r="I411" s="2175"/>
      <c r="J411" s="2175"/>
      <c r="K411" s="2175"/>
      <c r="L411" s="2211"/>
      <c r="M411" s="2180"/>
      <c r="N411" s="2175"/>
      <c r="O411" s="2175"/>
      <c r="P411" s="2175"/>
      <c r="Q411" s="2175"/>
      <c r="R411" s="2175"/>
      <c r="S411" s="1414"/>
      <c r="T411" s="2267"/>
      <c r="U411" s="1049" t="s">
        <v>882</v>
      </c>
      <c r="V411" s="1175">
        <v>40908</v>
      </c>
      <c r="W411" s="1178">
        <v>10738</v>
      </c>
      <c r="X411" s="518" t="s">
        <v>2378</v>
      </c>
      <c r="Y411" s="1175">
        <v>40908</v>
      </c>
      <c r="Z411" s="1175">
        <v>41274</v>
      </c>
      <c r="AA411" s="95"/>
      <c r="AB411" s="95"/>
      <c r="AC411" s="1364">
        <v>7250.4</v>
      </c>
      <c r="AD411" s="95"/>
      <c r="AE411" s="2241"/>
      <c r="AF411" s="2211"/>
      <c r="AG411" s="2211"/>
      <c r="AH411" s="2211"/>
      <c r="AI411" s="2211"/>
      <c r="AJ411" s="2211"/>
      <c r="AK411" s="2211"/>
      <c r="AL411" s="2211"/>
      <c r="AM411" s="2175"/>
      <c r="AN411" s="2214"/>
      <c r="AO411" s="2180"/>
      <c r="AP411" s="2173"/>
      <c r="AQ411" s="2180"/>
      <c r="AR411" s="2173"/>
      <c r="AS411" s="1049"/>
      <c r="AT411" s="1049"/>
      <c r="AU411" s="1049"/>
      <c r="AV411" s="1049"/>
      <c r="AW411" s="1049"/>
      <c r="AX411" s="1049"/>
      <c r="AY411" s="1049"/>
      <c r="AZ411" s="1049"/>
      <c r="BA411" s="1049"/>
      <c r="BB411" s="1049"/>
      <c r="BC411" s="1049"/>
      <c r="BD411" s="1049"/>
    </row>
    <row r="412" spans="1:56" x14ac:dyDescent="0.25">
      <c r="A412" s="2220"/>
      <c r="B412" s="2254"/>
      <c r="C412" s="2175"/>
      <c r="D412" s="2175"/>
      <c r="E412" s="2175"/>
      <c r="F412" s="2277"/>
      <c r="G412" s="2175"/>
      <c r="H412" s="2267"/>
      <c r="I412" s="2175"/>
      <c r="J412" s="2175"/>
      <c r="K412" s="2175"/>
      <c r="L412" s="2211"/>
      <c r="M412" s="2180"/>
      <c r="N412" s="2175"/>
      <c r="O412" s="2175"/>
      <c r="P412" s="2175"/>
      <c r="Q412" s="2175"/>
      <c r="R412" s="2175"/>
      <c r="S412" s="1414"/>
      <c r="T412" s="2267"/>
      <c r="U412" s="1049" t="s">
        <v>1443</v>
      </c>
      <c r="V412" s="1175">
        <v>41274</v>
      </c>
      <c r="W412" s="1178">
        <v>10963</v>
      </c>
      <c r="X412" s="518" t="s">
        <v>2378</v>
      </c>
      <c r="Y412" s="1175">
        <v>41274</v>
      </c>
      <c r="Z412" s="1175">
        <v>41639</v>
      </c>
      <c r="AA412" s="95">
        <v>7.4147600000000002</v>
      </c>
      <c r="AB412" s="95"/>
      <c r="AC412" s="1364">
        <v>7788</v>
      </c>
      <c r="AD412" s="95"/>
      <c r="AE412" s="2241"/>
      <c r="AF412" s="2211"/>
      <c r="AG412" s="2211"/>
      <c r="AH412" s="2211"/>
      <c r="AI412" s="2211"/>
      <c r="AJ412" s="2211"/>
      <c r="AK412" s="2211"/>
      <c r="AL412" s="2211"/>
      <c r="AM412" s="2175"/>
      <c r="AN412" s="2214"/>
      <c r="AO412" s="2180"/>
      <c r="AP412" s="2173"/>
      <c r="AQ412" s="2180"/>
      <c r="AR412" s="2173"/>
      <c r="AS412" s="1049"/>
      <c r="AT412" s="1049"/>
      <c r="AU412" s="1049"/>
      <c r="AV412" s="1049"/>
      <c r="AW412" s="1049"/>
      <c r="AX412" s="1049"/>
      <c r="AY412" s="1049"/>
      <c r="AZ412" s="1049"/>
      <c r="BA412" s="1049"/>
      <c r="BB412" s="1049"/>
      <c r="BC412" s="1049"/>
      <c r="BD412" s="1049"/>
    </row>
    <row r="413" spans="1:56" x14ac:dyDescent="0.25">
      <c r="A413" s="2220"/>
      <c r="B413" s="2254"/>
      <c r="C413" s="2175"/>
      <c r="D413" s="2175"/>
      <c r="E413" s="2175"/>
      <c r="F413" s="2277"/>
      <c r="G413" s="2175"/>
      <c r="H413" s="2267"/>
      <c r="I413" s="2175"/>
      <c r="J413" s="2175"/>
      <c r="K413" s="2175"/>
      <c r="L413" s="2211"/>
      <c r="M413" s="2180"/>
      <c r="N413" s="2175"/>
      <c r="O413" s="2175"/>
      <c r="P413" s="2175"/>
      <c r="Q413" s="2175"/>
      <c r="R413" s="2175"/>
      <c r="S413" s="1414"/>
      <c r="T413" s="2267"/>
      <c r="U413" s="1049" t="s">
        <v>1444</v>
      </c>
      <c r="V413" s="1049" t="s">
        <v>878</v>
      </c>
      <c r="W413" s="1178">
        <v>11214</v>
      </c>
      <c r="X413" s="518" t="s">
        <v>2378</v>
      </c>
      <c r="Y413" s="1049" t="s">
        <v>878</v>
      </c>
      <c r="Z413" s="1049" t="s">
        <v>932</v>
      </c>
      <c r="AA413" s="95">
        <v>5.2388199999999996</v>
      </c>
      <c r="AB413" s="95"/>
      <c r="AC413" s="1364">
        <v>8196</v>
      </c>
      <c r="AD413" s="95"/>
      <c r="AE413" s="2241"/>
      <c r="AF413" s="2211"/>
      <c r="AG413" s="2211"/>
      <c r="AH413" s="2211"/>
      <c r="AI413" s="2211"/>
      <c r="AJ413" s="2211"/>
      <c r="AK413" s="2211"/>
      <c r="AL413" s="2211"/>
      <c r="AM413" s="2175"/>
      <c r="AN413" s="2214"/>
      <c r="AO413" s="2180"/>
      <c r="AP413" s="2173"/>
      <c r="AQ413" s="2180"/>
      <c r="AR413" s="2173"/>
      <c r="AS413" s="1049"/>
      <c r="AT413" s="1049"/>
      <c r="AU413" s="1049"/>
      <c r="AV413" s="1049"/>
      <c r="AW413" s="1049"/>
      <c r="AX413" s="1049"/>
      <c r="AY413" s="1049"/>
      <c r="AZ413" s="1049"/>
      <c r="BA413" s="1049"/>
      <c r="BB413" s="1049"/>
      <c r="BC413" s="1049"/>
      <c r="BD413" s="1049"/>
    </row>
    <row r="414" spans="1:56" s="419" customFormat="1" ht="89.25" x14ac:dyDescent="0.25">
      <c r="A414" s="2221"/>
      <c r="B414" s="2255"/>
      <c r="C414" s="2164"/>
      <c r="D414" s="2164"/>
      <c r="E414" s="2164"/>
      <c r="F414" s="2278"/>
      <c r="G414" s="2164"/>
      <c r="H414" s="2268"/>
      <c r="I414" s="2164"/>
      <c r="J414" s="2164"/>
      <c r="K414" s="2164"/>
      <c r="L414" s="2212"/>
      <c r="M414" s="2178"/>
      <c r="N414" s="2164"/>
      <c r="O414" s="2164"/>
      <c r="P414" s="2164"/>
      <c r="Q414" s="2164"/>
      <c r="R414" s="2164"/>
      <c r="S414" s="717"/>
      <c r="T414" s="2268"/>
      <c r="U414" s="1049" t="s">
        <v>1355</v>
      </c>
      <c r="V414" s="1175">
        <v>41939</v>
      </c>
      <c r="W414" s="1178">
        <v>11435</v>
      </c>
      <c r="X414" s="1124" t="s">
        <v>2387</v>
      </c>
      <c r="Y414" s="1049"/>
      <c r="Z414" s="1049"/>
      <c r="AA414" s="1049"/>
      <c r="AB414" s="1049"/>
      <c r="AC414" s="1413"/>
      <c r="AD414" s="95"/>
      <c r="AE414" s="2242"/>
      <c r="AF414" s="2212"/>
      <c r="AG414" s="2212"/>
      <c r="AH414" s="2212"/>
      <c r="AI414" s="2212"/>
      <c r="AJ414" s="2212"/>
      <c r="AK414" s="2212"/>
      <c r="AL414" s="2212"/>
      <c r="AM414" s="2164"/>
      <c r="AN414" s="2215"/>
      <c r="AO414" s="2178"/>
      <c r="AP414" s="2174"/>
      <c r="AQ414" s="2178"/>
      <c r="AR414" s="2174"/>
      <c r="AS414" s="1049"/>
      <c r="AT414" s="1049"/>
      <c r="AU414" s="1049"/>
      <c r="AV414" s="1049"/>
      <c r="AW414" s="1049"/>
      <c r="AX414" s="1049"/>
      <c r="AY414" s="1049"/>
      <c r="AZ414" s="1049"/>
      <c r="BA414" s="1049"/>
      <c r="BB414" s="1049"/>
      <c r="BC414" s="1049"/>
      <c r="BD414" s="1049"/>
    </row>
    <row r="415" spans="1:56" ht="15" customHeight="1" x14ac:dyDescent="0.25">
      <c r="A415" s="2219">
        <v>275</v>
      </c>
      <c r="B415" s="2194" t="s">
        <v>2388</v>
      </c>
      <c r="C415" s="2163"/>
      <c r="D415" s="2163" t="s">
        <v>690</v>
      </c>
      <c r="E415" s="2163"/>
      <c r="F415" s="2163" t="s">
        <v>2389</v>
      </c>
      <c r="G415" s="2163" t="s">
        <v>677</v>
      </c>
      <c r="H415" s="2266" t="s">
        <v>2390</v>
      </c>
      <c r="I415" s="2235" t="s">
        <v>2391</v>
      </c>
      <c r="J415" s="2235" t="s">
        <v>2392</v>
      </c>
      <c r="K415" s="2269">
        <v>38993</v>
      </c>
      <c r="L415" s="2210">
        <v>4800</v>
      </c>
      <c r="M415" s="2177">
        <v>9401</v>
      </c>
      <c r="N415" s="2172">
        <v>38993</v>
      </c>
      <c r="O415" s="2172">
        <v>39358</v>
      </c>
      <c r="P415" s="2163" t="s">
        <v>1308</v>
      </c>
      <c r="Q415" s="2163"/>
      <c r="R415" s="2163"/>
      <c r="S415" s="2163"/>
      <c r="T415" s="2256" t="s">
        <v>158</v>
      </c>
      <c r="U415" s="1049" t="s">
        <v>867</v>
      </c>
      <c r="V415" s="1175">
        <v>39358</v>
      </c>
      <c r="W415" s="1178">
        <v>9654</v>
      </c>
      <c r="X415" s="2273" t="s">
        <v>2378</v>
      </c>
      <c r="Y415" s="1175">
        <v>39358</v>
      </c>
      <c r="Z415" s="1175">
        <v>39723</v>
      </c>
      <c r="AA415" s="1415">
        <v>4.5</v>
      </c>
      <c r="AB415" s="95"/>
      <c r="AC415" s="1364">
        <v>5016</v>
      </c>
      <c r="AD415" s="95"/>
      <c r="AE415" s="2240">
        <f>L415-AD415+AC415-AD416+AC416-AD417+AC417-AD418+AC418-AD419+AC419-AD420+AC420-AD421+AC421-AD422+AC422</f>
        <v>46114.07</v>
      </c>
      <c r="AF415" s="2210">
        <v>7080</v>
      </c>
      <c r="AG415" s="2210">
        <v>400.6</v>
      </c>
      <c r="AH415" s="2240">
        <f>AF415+AG415</f>
        <v>7480.6</v>
      </c>
      <c r="AI415" s="2163"/>
      <c r="AJ415" s="2163"/>
      <c r="AK415" s="2163"/>
      <c r="AL415" s="2163"/>
      <c r="AM415" s="2163" t="s">
        <v>1311</v>
      </c>
      <c r="AN415" s="1985" t="s">
        <v>1312</v>
      </c>
      <c r="AO415" s="2177">
        <v>9401</v>
      </c>
      <c r="AP415" s="2172">
        <v>38999</v>
      </c>
      <c r="AQ415" s="2177">
        <v>9401</v>
      </c>
      <c r="AR415" s="2172">
        <v>38999</v>
      </c>
      <c r="AS415" s="1049"/>
      <c r="AT415" s="1049"/>
      <c r="AU415" s="1049"/>
      <c r="AV415" s="1049"/>
      <c r="AW415" s="1049"/>
      <c r="AX415" s="1049"/>
      <c r="AY415" s="1049"/>
      <c r="AZ415" s="1049"/>
      <c r="BA415" s="1049"/>
      <c r="BB415" s="1049"/>
      <c r="BC415" s="1049"/>
      <c r="BD415" s="1049"/>
    </row>
    <row r="416" spans="1:56" x14ac:dyDescent="0.25">
      <c r="A416" s="2220"/>
      <c r="B416" s="2195"/>
      <c r="C416" s="2175"/>
      <c r="D416" s="2175"/>
      <c r="E416" s="2175"/>
      <c r="F416" s="2175"/>
      <c r="G416" s="2175"/>
      <c r="H416" s="2267"/>
      <c r="I416" s="2243"/>
      <c r="J416" s="2243"/>
      <c r="K416" s="2270"/>
      <c r="L416" s="2211"/>
      <c r="M416" s="2180"/>
      <c r="N416" s="2173"/>
      <c r="O416" s="2173"/>
      <c r="P416" s="2175"/>
      <c r="Q416" s="2175"/>
      <c r="R416" s="2175"/>
      <c r="S416" s="2175"/>
      <c r="T416" s="2257"/>
      <c r="U416" s="1049" t="s">
        <v>871</v>
      </c>
      <c r="V416" s="1175">
        <v>39724</v>
      </c>
      <c r="W416" s="1178">
        <v>9899</v>
      </c>
      <c r="X416" s="2274"/>
      <c r="Y416" s="1175">
        <v>39724</v>
      </c>
      <c r="Z416" s="1175">
        <v>39813</v>
      </c>
      <c r="AA416" s="95"/>
      <c r="AB416" s="95"/>
      <c r="AC416" s="1364">
        <v>1240.07</v>
      </c>
      <c r="AD416" s="95"/>
      <c r="AE416" s="2241"/>
      <c r="AF416" s="2211"/>
      <c r="AG416" s="2211"/>
      <c r="AH416" s="2241"/>
      <c r="AI416" s="2175"/>
      <c r="AJ416" s="2175"/>
      <c r="AK416" s="2175"/>
      <c r="AL416" s="2175"/>
      <c r="AM416" s="2175"/>
      <c r="AN416" s="2021"/>
      <c r="AO416" s="2180"/>
      <c r="AP416" s="2173"/>
      <c r="AQ416" s="2180"/>
      <c r="AR416" s="2173"/>
      <c r="AS416" s="1049"/>
      <c r="AT416" s="1049"/>
      <c r="AU416" s="1049"/>
      <c r="AV416" s="1049"/>
      <c r="AW416" s="1049"/>
      <c r="AX416" s="1049"/>
      <c r="AY416" s="1049"/>
      <c r="AZ416" s="1049"/>
      <c r="BA416" s="1049"/>
      <c r="BB416" s="1049"/>
      <c r="BC416" s="1049"/>
      <c r="BD416" s="1049"/>
    </row>
    <row r="417" spans="1:56" x14ac:dyDescent="0.25">
      <c r="A417" s="2220"/>
      <c r="B417" s="2195"/>
      <c r="C417" s="2175"/>
      <c r="D417" s="2175"/>
      <c r="E417" s="2175"/>
      <c r="F417" s="2175"/>
      <c r="G417" s="2175"/>
      <c r="H417" s="2267"/>
      <c r="I417" s="2243"/>
      <c r="J417" s="2243"/>
      <c r="K417" s="2270"/>
      <c r="L417" s="2211"/>
      <c r="M417" s="2180"/>
      <c r="N417" s="2173"/>
      <c r="O417" s="2173"/>
      <c r="P417" s="2175"/>
      <c r="Q417" s="2175"/>
      <c r="R417" s="2175"/>
      <c r="S417" s="2175"/>
      <c r="T417" s="2257"/>
      <c r="U417" s="1049" t="s">
        <v>874</v>
      </c>
      <c r="V417" s="1175">
        <v>39813</v>
      </c>
      <c r="W417" s="1178">
        <v>9987</v>
      </c>
      <c r="X417" s="2274"/>
      <c r="Y417" s="1175">
        <v>39813</v>
      </c>
      <c r="Z417" s="1175">
        <v>40178</v>
      </c>
      <c r="AA417" s="95">
        <v>12.200950000000001</v>
      </c>
      <c r="AB417" s="95"/>
      <c r="AC417" s="1364">
        <v>5628</v>
      </c>
      <c r="AD417" s="95"/>
      <c r="AE417" s="2241"/>
      <c r="AF417" s="2211"/>
      <c r="AG417" s="2211"/>
      <c r="AH417" s="2241"/>
      <c r="AI417" s="2175"/>
      <c r="AJ417" s="2175"/>
      <c r="AK417" s="2175"/>
      <c r="AL417" s="2175"/>
      <c r="AM417" s="2175"/>
      <c r="AN417" s="2021"/>
      <c r="AO417" s="2180"/>
      <c r="AP417" s="2173"/>
      <c r="AQ417" s="2180"/>
      <c r="AR417" s="2173"/>
      <c r="AS417" s="1049"/>
      <c r="AT417" s="1049"/>
      <c r="AU417" s="1049"/>
      <c r="AV417" s="1049"/>
      <c r="AW417" s="1049"/>
      <c r="AX417" s="1049"/>
      <c r="AY417" s="1049"/>
      <c r="AZ417" s="1049"/>
      <c r="BA417" s="1049"/>
      <c r="BB417" s="1049"/>
      <c r="BC417" s="1049"/>
      <c r="BD417" s="1049"/>
    </row>
    <row r="418" spans="1:56" x14ac:dyDescent="0.25">
      <c r="A418" s="2220"/>
      <c r="B418" s="2195"/>
      <c r="C418" s="2175"/>
      <c r="D418" s="2175"/>
      <c r="E418" s="2175"/>
      <c r="F418" s="2175"/>
      <c r="G418" s="2175"/>
      <c r="H418" s="2267"/>
      <c r="I418" s="2243"/>
      <c r="J418" s="2243"/>
      <c r="K418" s="2270"/>
      <c r="L418" s="2211"/>
      <c r="M418" s="2180"/>
      <c r="N418" s="2173"/>
      <c r="O418" s="2173"/>
      <c r="P418" s="2175"/>
      <c r="Q418" s="2175"/>
      <c r="R418" s="2175"/>
      <c r="S418" s="2175"/>
      <c r="T418" s="2257"/>
      <c r="U418" s="1049" t="s">
        <v>876</v>
      </c>
      <c r="V418" s="1175">
        <v>40178</v>
      </c>
      <c r="W418" s="1178">
        <v>10201</v>
      </c>
      <c r="X418" s="2274"/>
      <c r="Y418" s="1175">
        <v>40178</v>
      </c>
      <c r="Z418" s="1175">
        <v>40543</v>
      </c>
      <c r="AA418" s="95">
        <v>1.7057500000000001</v>
      </c>
      <c r="AB418" s="95"/>
      <c r="AC418" s="1364">
        <v>5724</v>
      </c>
      <c r="AD418" s="95"/>
      <c r="AE418" s="2241"/>
      <c r="AF418" s="2211"/>
      <c r="AG418" s="2211"/>
      <c r="AH418" s="2241"/>
      <c r="AI418" s="2175"/>
      <c r="AJ418" s="2175"/>
      <c r="AK418" s="2175"/>
      <c r="AL418" s="2175"/>
      <c r="AM418" s="2175"/>
      <c r="AN418" s="2021"/>
      <c r="AO418" s="2180"/>
      <c r="AP418" s="2173"/>
      <c r="AQ418" s="2180"/>
      <c r="AR418" s="2173"/>
      <c r="AS418" s="1049"/>
      <c r="AT418" s="1049"/>
      <c r="AU418" s="1049"/>
      <c r="AV418" s="1049"/>
      <c r="AW418" s="1049"/>
      <c r="AX418" s="1049"/>
      <c r="AY418" s="1049"/>
      <c r="AZ418" s="1049"/>
      <c r="BA418" s="1049"/>
      <c r="BB418" s="1049"/>
      <c r="BC418" s="1049"/>
      <c r="BD418" s="1049"/>
    </row>
    <row r="419" spans="1:56" x14ac:dyDescent="0.25">
      <c r="A419" s="2220"/>
      <c r="B419" s="2195"/>
      <c r="C419" s="2175"/>
      <c r="D419" s="2175"/>
      <c r="E419" s="2175"/>
      <c r="F419" s="2175"/>
      <c r="G419" s="2175"/>
      <c r="H419" s="2267"/>
      <c r="I419" s="2243"/>
      <c r="J419" s="2243"/>
      <c r="K419" s="2270"/>
      <c r="L419" s="2211"/>
      <c r="M419" s="2180"/>
      <c r="N419" s="2173"/>
      <c r="O419" s="2173"/>
      <c r="P419" s="2175"/>
      <c r="Q419" s="2175"/>
      <c r="R419" s="2175"/>
      <c r="S419" s="2175"/>
      <c r="T419" s="2257"/>
      <c r="U419" s="1049" t="s">
        <v>879</v>
      </c>
      <c r="V419" s="1175">
        <v>40543</v>
      </c>
      <c r="W419" s="1178">
        <v>10450</v>
      </c>
      <c r="X419" s="2274"/>
      <c r="Y419" s="1175">
        <v>40543</v>
      </c>
      <c r="Z419" s="1175">
        <v>40908</v>
      </c>
      <c r="AA419" s="95">
        <v>10.062889999999999</v>
      </c>
      <c r="AB419" s="95"/>
      <c r="AC419" s="1364">
        <v>6300</v>
      </c>
      <c r="AD419" s="95"/>
      <c r="AE419" s="2241"/>
      <c r="AF419" s="2211"/>
      <c r="AG419" s="2211"/>
      <c r="AH419" s="2241"/>
      <c r="AI419" s="2175"/>
      <c r="AJ419" s="2175"/>
      <c r="AK419" s="2175"/>
      <c r="AL419" s="2175"/>
      <c r="AM419" s="2175"/>
      <c r="AN419" s="2021"/>
      <c r="AO419" s="2180"/>
      <c r="AP419" s="2173"/>
      <c r="AQ419" s="2180"/>
      <c r="AR419" s="2173"/>
      <c r="AS419" s="1049"/>
      <c r="AT419" s="1049"/>
      <c r="AU419" s="1049"/>
      <c r="AV419" s="1049"/>
      <c r="AW419" s="1049"/>
      <c r="AX419" s="1049"/>
      <c r="AY419" s="1049"/>
      <c r="AZ419" s="1049"/>
      <c r="BA419" s="1049"/>
      <c r="BB419" s="1049"/>
      <c r="BC419" s="1049"/>
      <c r="BD419" s="1049"/>
    </row>
    <row r="420" spans="1:56" x14ac:dyDescent="0.25">
      <c r="A420" s="2220"/>
      <c r="B420" s="2195"/>
      <c r="C420" s="2175"/>
      <c r="D420" s="2175"/>
      <c r="E420" s="2175"/>
      <c r="F420" s="2175"/>
      <c r="G420" s="2175"/>
      <c r="H420" s="2267"/>
      <c r="I420" s="2243"/>
      <c r="J420" s="2243"/>
      <c r="K420" s="2270"/>
      <c r="L420" s="2211"/>
      <c r="M420" s="2180"/>
      <c r="N420" s="2173"/>
      <c r="O420" s="2173"/>
      <c r="P420" s="2175"/>
      <c r="Q420" s="2175"/>
      <c r="R420" s="2175"/>
      <c r="S420" s="2175"/>
      <c r="T420" s="2257"/>
      <c r="U420" s="1049" t="s">
        <v>882</v>
      </c>
      <c r="V420" s="1175">
        <v>40908</v>
      </c>
      <c r="W420" s="1178">
        <v>10734</v>
      </c>
      <c r="X420" s="2274"/>
      <c r="Y420" s="1175">
        <v>40908</v>
      </c>
      <c r="Z420" s="1175">
        <v>41274</v>
      </c>
      <c r="AA420" s="95">
        <v>4.7618999999999998</v>
      </c>
      <c r="AB420" s="95"/>
      <c r="AC420" s="1364">
        <v>6600</v>
      </c>
      <c r="AD420" s="95"/>
      <c r="AE420" s="2241"/>
      <c r="AF420" s="2211"/>
      <c r="AG420" s="2211"/>
      <c r="AH420" s="2241"/>
      <c r="AI420" s="2175"/>
      <c r="AJ420" s="2175"/>
      <c r="AK420" s="2175"/>
      <c r="AL420" s="2175"/>
      <c r="AM420" s="2175"/>
      <c r="AN420" s="2021"/>
      <c r="AO420" s="2180"/>
      <c r="AP420" s="2173"/>
      <c r="AQ420" s="2180"/>
      <c r="AR420" s="2173"/>
      <c r="AS420" s="1049"/>
      <c r="AT420" s="1049"/>
      <c r="AU420" s="1049"/>
      <c r="AV420" s="1049"/>
      <c r="AW420" s="1049"/>
      <c r="AX420" s="1049"/>
      <c r="AY420" s="1049"/>
      <c r="AZ420" s="1049"/>
      <c r="BA420" s="1049"/>
      <c r="BB420" s="1049"/>
      <c r="BC420" s="1049"/>
      <c r="BD420" s="1049"/>
    </row>
    <row r="421" spans="1:56" x14ac:dyDescent="0.25">
      <c r="A421" s="2220"/>
      <c r="B421" s="2195"/>
      <c r="C421" s="2175"/>
      <c r="D421" s="2175"/>
      <c r="E421" s="2175"/>
      <c r="F421" s="2175"/>
      <c r="G421" s="2175"/>
      <c r="H421" s="2267"/>
      <c r="I421" s="2243"/>
      <c r="J421" s="2243"/>
      <c r="K421" s="2270"/>
      <c r="L421" s="2211"/>
      <c r="M421" s="2180"/>
      <c r="N421" s="2173"/>
      <c r="O421" s="2173"/>
      <c r="P421" s="2175"/>
      <c r="Q421" s="2175"/>
      <c r="R421" s="2175"/>
      <c r="S421" s="2175"/>
      <c r="T421" s="2257"/>
      <c r="U421" s="1049" t="s">
        <v>1443</v>
      </c>
      <c r="V421" s="1175">
        <v>41274</v>
      </c>
      <c r="W421" s="1178">
        <v>10963</v>
      </c>
      <c r="X421" s="2274"/>
      <c r="Y421" s="1175">
        <v>41274</v>
      </c>
      <c r="Z421" s="1175">
        <v>41639</v>
      </c>
      <c r="AA421" s="95">
        <v>7.2727199999999996</v>
      </c>
      <c r="AB421" s="95"/>
      <c r="AC421" s="1364">
        <v>7080</v>
      </c>
      <c r="AD421" s="95"/>
      <c r="AE421" s="2241"/>
      <c r="AF421" s="2211"/>
      <c r="AG421" s="2211"/>
      <c r="AH421" s="2241"/>
      <c r="AI421" s="2175"/>
      <c r="AJ421" s="2175"/>
      <c r="AK421" s="2175"/>
      <c r="AL421" s="2175"/>
      <c r="AM421" s="2175"/>
      <c r="AN421" s="2021"/>
      <c r="AO421" s="2180"/>
      <c r="AP421" s="2173"/>
      <c r="AQ421" s="2180"/>
      <c r="AR421" s="2173"/>
      <c r="AS421" s="1049"/>
      <c r="AT421" s="1049"/>
      <c r="AU421" s="1049"/>
      <c r="AV421" s="1049"/>
      <c r="AW421" s="1049"/>
      <c r="AX421" s="1049"/>
      <c r="AY421" s="1049"/>
      <c r="AZ421" s="1049"/>
      <c r="BA421" s="1049"/>
      <c r="BB421" s="1049"/>
      <c r="BC421" s="1049"/>
      <c r="BD421" s="1049"/>
    </row>
    <row r="422" spans="1:56" x14ac:dyDescent="0.25">
      <c r="A422" s="2220"/>
      <c r="B422" s="2195"/>
      <c r="C422" s="2175"/>
      <c r="D422" s="2175"/>
      <c r="E422" s="2175"/>
      <c r="F422" s="2175"/>
      <c r="G422" s="2175"/>
      <c r="H422" s="2267"/>
      <c r="I422" s="2243"/>
      <c r="J422" s="2243"/>
      <c r="K422" s="2270"/>
      <c r="L422" s="2211"/>
      <c r="M422" s="2180"/>
      <c r="N422" s="2173"/>
      <c r="O422" s="2173"/>
      <c r="P422" s="2175"/>
      <c r="Q422" s="2175"/>
      <c r="R422" s="2175"/>
      <c r="S422" s="2175"/>
      <c r="T422" s="2257"/>
      <c r="U422" s="1049" t="s">
        <v>1444</v>
      </c>
      <c r="V422" s="1175">
        <v>41639</v>
      </c>
      <c r="W422" s="1178">
        <v>11214</v>
      </c>
      <c r="X422" s="2275"/>
      <c r="Y422" s="1175">
        <v>41639</v>
      </c>
      <c r="Z422" s="1175">
        <v>41820</v>
      </c>
      <c r="AA422" s="95">
        <v>5.2542299999999997</v>
      </c>
      <c r="AB422" s="95"/>
      <c r="AC422" s="1383">
        <v>3726</v>
      </c>
      <c r="AD422" s="95"/>
      <c r="AE422" s="2241"/>
      <c r="AF422" s="2211"/>
      <c r="AG422" s="2211"/>
      <c r="AH422" s="2241"/>
      <c r="AI422" s="2175"/>
      <c r="AJ422" s="2175"/>
      <c r="AK422" s="2175"/>
      <c r="AL422" s="2175"/>
      <c r="AM422" s="2175"/>
      <c r="AN422" s="2021"/>
      <c r="AO422" s="2180"/>
      <c r="AP422" s="2173"/>
      <c r="AQ422" s="2180"/>
      <c r="AR422" s="2173"/>
      <c r="AS422" s="1049"/>
      <c r="AT422" s="1049"/>
      <c r="AU422" s="1049"/>
      <c r="AV422" s="1049"/>
      <c r="AW422" s="1049"/>
      <c r="AX422" s="1049"/>
      <c r="AY422" s="1049"/>
      <c r="AZ422" s="1049"/>
      <c r="BA422" s="1049"/>
      <c r="BB422" s="1049"/>
      <c r="BC422" s="1049"/>
      <c r="BD422" s="1049"/>
    </row>
    <row r="423" spans="1:56" s="419" customFormat="1" ht="51" x14ac:dyDescent="0.25">
      <c r="A423" s="2221"/>
      <c r="B423" s="2196"/>
      <c r="C423" s="2164"/>
      <c r="D423" s="2164"/>
      <c r="E423" s="2164"/>
      <c r="F423" s="2164"/>
      <c r="G423" s="2164"/>
      <c r="H423" s="2268"/>
      <c r="I423" s="2236"/>
      <c r="J423" s="2236"/>
      <c r="K423" s="2271"/>
      <c r="L423" s="2212"/>
      <c r="M423" s="2178"/>
      <c r="N423" s="2174"/>
      <c r="O423" s="2174"/>
      <c r="P423" s="2164"/>
      <c r="Q423" s="2164"/>
      <c r="R423" s="2164"/>
      <c r="S423" s="2164"/>
      <c r="T423" s="2258"/>
      <c r="U423" s="1049" t="s">
        <v>1355</v>
      </c>
      <c r="V423" s="1175">
        <v>41689</v>
      </c>
      <c r="W423" s="1178">
        <v>11251</v>
      </c>
      <c r="X423" s="1416" t="s">
        <v>2393</v>
      </c>
      <c r="Y423" s="1175"/>
      <c r="Z423" s="1175"/>
      <c r="AA423" s="95"/>
      <c r="AB423" s="95"/>
      <c r="AC423" s="266"/>
      <c r="AD423" s="95"/>
      <c r="AE423" s="2242"/>
      <c r="AF423" s="2212"/>
      <c r="AG423" s="2212"/>
      <c r="AH423" s="2242"/>
      <c r="AI423" s="2164"/>
      <c r="AJ423" s="2164"/>
      <c r="AK423" s="2164"/>
      <c r="AL423" s="2164"/>
      <c r="AM423" s="2164"/>
      <c r="AN423" s="1986"/>
      <c r="AO423" s="2178"/>
      <c r="AP423" s="2174"/>
      <c r="AQ423" s="2178"/>
      <c r="AR423" s="2174"/>
      <c r="AS423" s="1049"/>
      <c r="AT423" s="1049"/>
      <c r="AU423" s="1049"/>
      <c r="AV423" s="1049"/>
      <c r="AW423" s="1049"/>
      <c r="AX423" s="1049"/>
      <c r="AY423" s="1049"/>
      <c r="AZ423" s="1049"/>
      <c r="BA423" s="1049"/>
      <c r="BB423" s="1049"/>
      <c r="BC423" s="1049"/>
      <c r="BD423" s="1049"/>
    </row>
    <row r="424" spans="1:56" ht="15" customHeight="1" x14ac:dyDescent="0.25">
      <c r="A424" s="2219">
        <v>276</v>
      </c>
      <c r="B424" s="2194" t="s">
        <v>2394</v>
      </c>
      <c r="C424" s="2163"/>
      <c r="D424" s="2163" t="s">
        <v>690</v>
      </c>
      <c r="E424" s="2163"/>
      <c r="F424" s="2235" t="s">
        <v>2395</v>
      </c>
      <c r="G424" s="2163" t="s">
        <v>677</v>
      </c>
      <c r="H424" s="2163" t="s">
        <v>2396</v>
      </c>
      <c r="I424" s="2235" t="s">
        <v>2397</v>
      </c>
      <c r="J424" s="2235" t="s">
        <v>2398</v>
      </c>
      <c r="K424" s="2172">
        <v>39535</v>
      </c>
      <c r="L424" s="2210">
        <v>4731.99</v>
      </c>
      <c r="M424" s="2177">
        <v>9792</v>
      </c>
      <c r="N424" s="2172">
        <v>39535</v>
      </c>
      <c r="O424" s="2172">
        <v>39813</v>
      </c>
      <c r="P424" s="2163" t="s">
        <v>1308</v>
      </c>
      <c r="Q424" s="2163"/>
      <c r="R424" s="2163"/>
      <c r="S424" s="2163"/>
      <c r="T424" s="2163" t="s">
        <v>696</v>
      </c>
      <c r="U424" s="1049" t="s">
        <v>867</v>
      </c>
      <c r="V424" s="1175">
        <v>39813</v>
      </c>
      <c r="W424" s="1178">
        <v>9996</v>
      </c>
      <c r="X424" s="2273" t="s">
        <v>2378</v>
      </c>
      <c r="Y424" s="1175">
        <v>39813</v>
      </c>
      <c r="Z424" s="715">
        <v>40178</v>
      </c>
      <c r="AA424" s="95">
        <v>12.55</v>
      </c>
      <c r="AB424" s="95"/>
      <c r="AC424" s="1364">
        <v>6996</v>
      </c>
      <c r="AD424" s="1364"/>
      <c r="AE424" s="2210">
        <f>L424-AD424+AC424-AD425+AC425-AD426+AC426-AD427+AC427-AD428+AC428-AD429+AC429</f>
        <v>44901.99</v>
      </c>
      <c r="AF424" s="2210">
        <v>7740</v>
      </c>
      <c r="AG424" s="2210">
        <v>2037</v>
      </c>
      <c r="AH424" s="2210">
        <f>AF424+AG424</f>
        <v>9777</v>
      </c>
      <c r="AI424" s="2210"/>
      <c r="AJ424" s="2210"/>
      <c r="AK424" s="2210"/>
      <c r="AL424" s="2210"/>
      <c r="AM424" s="2163" t="s">
        <v>1311</v>
      </c>
      <c r="AN424" s="1985" t="s">
        <v>1312</v>
      </c>
      <c r="AO424" s="2177">
        <v>9783</v>
      </c>
      <c r="AP424" s="2172">
        <v>39552</v>
      </c>
      <c r="AQ424" s="2177">
        <v>9783</v>
      </c>
      <c r="AR424" s="2172">
        <v>39552</v>
      </c>
      <c r="AS424" s="1049"/>
      <c r="AT424" s="1049"/>
      <c r="AU424" s="1049"/>
      <c r="AV424" s="1049"/>
      <c r="AW424" s="1049"/>
      <c r="AX424" s="1049"/>
      <c r="AY424" s="1049"/>
      <c r="AZ424" s="1049"/>
      <c r="BA424" s="1049"/>
      <c r="BB424" s="1049"/>
      <c r="BC424" s="1049"/>
      <c r="BD424" s="1049"/>
    </row>
    <row r="425" spans="1:56" x14ac:dyDescent="0.25">
      <c r="A425" s="2220"/>
      <c r="B425" s="2195"/>
      <c r="C425" s="2175"/>
      <c r="D425" s="2175"/>
      <c r="E425" s="2175"/>
      <c r="F425" s="2243"/>
      <c r="G425" s="2175"/>
      <c r="H425" s="2175"/>
      <c r="I425" s="2243"/>
      <c r="J425" s="2243"/>
      <c r="K425" s="2173"/>
      <c r="L425" s="2211"/>
      <c r="M425" s="2180"/>
      <c r="N425" s="2173"/>
      <c r="O425" s="2173"/>
      <c r="P425" s="2175"/>
      <c r="Q425" s="2175"/>
      <c r="R425" s="2175"/>
      <c r="S425" s="2175"/>
      <c r="T425" s="2175"/>
      <c r="U425" s="1049" t="s">
        <v>871</v>
      </c>
      <c r="V425" s="715">
        <v>40178</v>
      </c>
      <c r="W425" s="1178">
        <v>10207</v>
      </c>
      <c r="X425" s="2274"/>
      <c r="Y425" s="715">
        <v>40178</v>
      </c>
      <c r="Z425" s="715">
        <v>40543</v>
      </c>
      <c r="AA425" s="95">
        <v>1.20068</v>
      </c>
      <c r="AB425" s="95"/>
      <c r="AC425" s="1364">
        <v>7080</v>
      </c>
      <c r="AD425" s="1364"/>
      <c r="AE425" s="2211"/>
      <c r="AF425" s="2211"/>
      <c r="AG425" s="2211"/>
      <c r="AH425" s="2211"/>
      <c r="AI425" s="2211"/>
      <c r="AJ425" s="2211"/>
      <c r="AK425" s="2211"/>
      <c r="AL425" s="2211"/>
      <c r="AM425" s="2175"/>
      <c r="AN425" s="2021"/>
      <c r="AO425" s="2180"/>
      <c r="AP425" s="2173"/>
      <c r="AQ425" s="2180"/>
      <c r="AR425" s="2173"/>
      <c r="AS425" s="1049"/>
      <c r="AT425" s="1049"/>
      <c r="AU425" s="1049"/>
      <c r="AV425" s="1049"/>
      <c r="AW425" s="1049"/>
      <c r="AX425" s="1049"/>
      <c r="AY425" s="1049"/>
      <c r="AZ425" s="1049"/>
      <c r="BA425" s="1049"/>
      <c r="BB425" s="1049"/>
      <c r="BC425" s="1049"/>
      <c r="BD425" s="1049"/>
    </row>
    <row r="426" spans="1:56" x14ac:dyDescent="0.25">
      <c r="A426" s="2220"/>
      <c r="B426" s="2195"/>
      <c r="C426" s="2175"/>
      <c r="D426" s="2175"/>
      <c r="E426" s="2175"/>
      <c r="F426" s="2243"/>
      <c r="G426" s="2175"/>
      <c r="H426" s="2175"/>
      <c r="I426" s="2243"/>
      <c r="J426" s="2243"/>
      <c r="K426" s="2173"/>
      <c r="L426" s="2211"/>
      <c r="M426" s="2180"/>
      <c r="N426" s="2173"/>
      <c r="O426" s="2173"/>
      <c r="P426" s="2175"/>
      <c r="Q426" s="2175"/>
      <c r="R426" s="2175"/>
      <c r="S426" s="2175"/>
      <c r="T426" s="2175"/>
      <c r="U426" s="1049" t="s">
        <v>874</v>
      </c>
      <c r="V426" s="715">
        <v>40543</v>
      </c>
      <c r="W426" s="1178">
        <v>10445</v>
      </c>
      <c r="X426" s="2274"/>
      <c r="Y426" s="715">
        <v>40543</v>
      </c>
      <c r="Z426" s="715">
        <v>40908</v>
      </c>
      <c r="AA426" s="95"/>
      <c r="AB426" s="95"/>
      <c r="AC426" s="1364">
        <v>7080</v>
      </c>
      <c r="AD426" s="1364"/>
      <c r="AE426" s="2211"/>
      <c r="AF426" s="2211"/>
      <c r="AG426" s="2211"/>
      <c r="AH426" s="2211"/>
      <c r="AI426" s="2211"/>
      <c r="AJ426" s="2211"/>
      <c r="AK426" s="2211"/>
      <c r="AL426" s="2211"/>
      <c r="AM426" s="2175"/>
      <c r="AN426" s="2021"/>
      <c r="AO426" s="2180"/>
      <c r="AP426" s="2173"/>
      <c r="AQ426" s="2180"/>
      <c r="AR426" s="2173"/>
      <c r="AS426" s="1049"/>
      <c r="AT426" s="1049"/>
      <c r="AU426" s="1049"/>
      <c r="AV426" s="1049"/>
      <c r="AW426" s="1049"/>
      <c r="AX426" s="1049"/>
      <c r="AY426" s="1049"/>
      <c r="AZ426" s="1049"/>
      <c r="BA426" s="1049"/>
      <c r="BB426" s="1049"/>
      <c r="BC426" s="1049"/>
      <c r="BD426" s="1049"/>
    </row>
    <row r="427" spans="1:56" x14ac:dyDescent="0.25">
      <c r="A427" s="2220"/>
      <c r="B427" s="2195"/>
      <c r="C427" s="2175"/>
      <c r="D427" s="2175"/>
      <c r="E427" s="2175"/>
      <c r="F427" s="2243"/>
      <c r="G427" s="2175"/>
      <c r="H427" s="2175"/>
      <c r="I427" s="2243"/>
      <c r="J427" s="2243"/>
      <c r="K427" s="2173"/>
      <c r="L427" s="2211"/>
      <c r="M427" s="2180"/>
      <c r="N427" s="2173"/>
      <c r="O427" s="2173"/>
      <c r="P427" s="2175"/>
      <c r="Q427" s="2175"/>
      <c r="R427" s="2175"/>
      <c r="S427" s="2175"/>
      <c r="T427" s="2175"/>
      <c r="U427" s="1049" t="s">
        <v>876</v>
      </c>
      <c r="V427" s="715">
        <v>40908</v>
      </c>
      <c r="W427" s="1178">
        <v>10756</v>
      </c>
      <c r="X427" s="2274"/>
      <c r="Y427" s="715">
        <v>40908</v>
      </c>
      <c r="Z427" s="715">
        <v>41274</v>
      </c>
      <c r="AA427" s="95">
        <v>1.6949099999999999</v>
      </c>
      <c r="AB427" s="95"/>
      <c r="AC427" s="1364">
        <v>7200</v>
      </c>
      <c r="AD427" s="1364"/>
      <c r="AE427" s="2211"/>
      <c r="AF427" s="2211"/>
      <c r="AG427" s="2211"/>
      <c r="AH427" s="2211"/>
      <c r="AI427" s="2211"/>
      <c r="AJ427" s="2211"/>
      <c r="AK427" s="2211"/>
      <c r="AL427" s="2211"/>
      <c r="AM427" s="2175"/>
      <c r="AN427" s="2021"/>
      <c r="AO427" s="2180"/>
      <c r="AP427" s="2173"/>
      <c r="AQ427" s="2180"/>
      <c r="AR427" s="2173"/>
      <c r="AS427" s="1049"/>
      <c r="AT427" s="1049"/>
      <c r="AU427" s="1049"/>
      <c r="AV427" s="1049"/>
      <c r="AW427" s="1049"/>
      <c r="AX427" s="1049"/>
      <c r="AY427" s="1049"/>
      <c r="AZ427" s="1049"/>
      <c r="BA427" s="1049"/>
      <c r="BB427" s="1049"/>
      <c r="BC427" s="1049"/>
      <c r="BD427" s="1049"/>
    </row>
    <row r="428" spans="1:56" x14ac:dyDescent="0.25">
      <c r="A428" s="2220"/>
      <c r="B428" s="2195"/>
      <c r="C428" s="2175"/>
      <c r="D428" s="2175"/>
      <c r="E428" s="2175"/>
      <c r="F428" s="2243"/>
      <c r="G428" s="2175"/>
      <c r="H428" s="2175"/>
      <c r="I428" s="2243"/>
      <c r="J428" s="2243"/>
      <c r="K428" s="2173"/>
      <c r="L428" s="2211"/>
      <c r="M428" s="2180"/>
      <c r="N428" s="2173"/>
      <c r="O428" s="2173"/>
      <c r="P428" s="2175"/>
      <c r="Q428" s="2175"/>
      <c r="R428" s="2175"/>
      <c r="S428" s="2175"/>
      <c r="T428" s="2175"/>
      <c r="U428" s="1049" t="s">
        <v>879</v>
      </c>
      <c r="V428" s="715">
        <v>41274</v>
      </c>
      <c r="W428" s="1178">
        <v>10963</v>
      </c>
      <c r="X428" s="2274"/>
      <c r="Y428" s="715">
        <v>41274</v>
      </c>
      <c r="Z428" s="715">
        <v>41639</v>
      </c>
      <c r="AA428" s="1417">
        <v>7.5</v>
      </c>
      <c r="AB428" s="95"/>
      <c r="AC428" s="1364">
        <v>7740</v>
      </c>
      <c r="AD428" s="1364"/>
      <c r="AE428" s="2211"/>
      <c r="AF428" s="2211"/>
      <c r="AG428" s="2211"/>
      <c r="AH428" s="2211"/>
      <c r="AI428" s="2211"/>
      <c r="AJ428" s="2211"/>
      <c r="AK428" s="2211"/>
      <c r="AL428" s="2211"/>
      <c r="AM428" s="2175"/>
      <c r="AN428" s="2021"/>
      <c r="AO428" s="2180"/>
      <c r="AP428" s="2173"/>
      <c r="AQ428" s="2180"/>
      <c r="AR428" s="2173"/>
      <c r="AS428" s="1049"/>
      <c r="AT428" s="1049"/>
      <c r="AU428" s="1049"/>
      <c r="AV428" s="1049"/>
      <c r="AW428" s="1049"/>
      <c r="AX428" s="1049"/>
      <c r="AY428" s="1049"/>
      <c r="AZ428" s="1049"/>
      <c r="BA428" s="1049"/>
      <c r="BB428" s="1049"/>
      <c r="BC428" s="1049"/>
      <c r="BD428" s="1049"/>
    </row>
    <row r="429" spans="1:56" x14ac:dyDescent="0.25">
      <c r="A429" s="2220"/>
      <c r="B429" s="2195"/>
      <c r="C429" s="2175"/>
      <c r="D429" s="2175"/>
      <c r="E429" s="2175"/>
      <c r="F429" s="2243"/>
      <c r="G429" s="2175"/>
      <c r="H429" s="2175"/>
      <c r="I429" s="2243"/>
      <c r="J429" s="2243"/>
      <c r="K429" s="2173"/>
      <c r="L429" s="2211"/>
      <c r="M429" s="2180"/>
      <c r="N429" s="2173"/>
      <c r="O429" s="2173"/>
      <c r="P429" s="2175"/>
      <c r="Q429" s="2175"/>
      <c r="R429" s="2175"/>
      <c r="S429" s="2175"/>
      <c r="T429" s="2175"/>
      <c r="U429" s="1049" t="s">
        <v>882</v>
      </c>
      <c r="V429" s="715">
        <v>41639</v>
      </c>
      <c r="W429" s="1178">
        <v>11214</v>
      </c>
      <c r="X429" s="2275"/>
      <c r="Y429" s="715">
        <v>41639</v>
      </c>
      <c r="Z429" s="1175">
        <v>41820</v>
      </c>
      <c r="AA429" s="95">
        <v>5.2713099999999997</v>
      </c>
      <c r="AB429" s="95"/>
      <c r="AC429" s="266">
        <v>4074</v>
      </c>
      <c r="AD429" s="1364"/>
      <c r="AE429" s="2211"/>
      <c r="AF429" s="2211"/>
      <c r="AG429" s="2211"/>
      <c r="AH429" s="2211"/>
      <c r="AI429" s="2211"/>
      <c r="AJ429" s="2211"/>
      <c r="AK429" s="2211"/>
      <c r="AL429" s="2211"/>
      <c r="AM429" s="2175"/>
      <c r="AN429" s="2021"/>
      <c r="AO429" s="2180"/>
      <c r="AP429" s="2173"/>
      <c r="AQ429" s="2180"/>
      <c r="AR429" s="2173"/>
      <c r="AS429" s="1049"/>
      <c r="AT429" s="1049"/>
      <c r="AU429" s="1049"/>
      <c r="AV429" s="1049"/>
      <c r="AW429" s="1049"/>
      <c r="AX429" s="1049"/>
      <c r="AY429" s="1049"/>
      <c r="AZ429" s="1049"/>
      <c r="BA429" s="1049"/>
      <c r="BB429" s="1049"/>
      <c r="BC429" s="1049"/>
      <c r="BD429" s="1049"/>
    </row>
    <row r="430" spans="1:56" s="419" customFormat="1" ht="76.5" x14ac:dyDescent="0.25">
      <c r="A430" s="2221"/>
      <c r="B430" s="2196"/>
      <c r="C430" s="2164"/>
      <c r="D430" s="2164"/>
      <c r="E430" s="2164"/>
      <c r="F430" s="2236"/>
      <c r="G430" s="2164"/>
      <c r="H430" s="2164"/>
      <c r="I430" s="2236"/>
      <c r="J430" s="2236"/>
      <c r="K430" s="2174"/>
      <c r="L430" s="2212"/>
      <c r="M430" s="2178"/>
      <c r="N430" s="2174"/>
      <c r="O430" s="2174"/>
      <c r="P430" s="2164"/>
      <c r="Q430" s="2164"/>
      <c r="R430" s="2164"/>
      <c r="S430" s="2164"/>
      <c r="T430" s="2164"/>
      <c r="U430" s="1049" t="s">
        <v>1355</v>
      </c>
      <c r="V430" s="715">
        <v>41743</v>
      </c>
      <c r="W430" s="1178">
        <v>11290</v>
      </c>
      <c r="X430" s="1416" t="s">
        <v>2399</v>
      </c>
      <c r="Y430" s="715"/>
      <c r="Z430" s="1175"/>
      <c r="AA430" s="95"/>
      <c r="AB430" s="95"/>
      <c r="AC430" s="266"/>
      <c r="AD430" s="1364"/>
      <c r="AE430" s="2212"/>
      <c r="AF430" s="2212"/>
      <c r="AG430" s="2212"/>
      <c r="AH430" s="2212"/>
      <c r="AI430" s="2212"/>
      <c r="AJ430" s="2212"/>
      <c r="AK430" s="2212"/>
      <c r="AL430" s="2212"/>
      <c r="AM430" s="2164"/>
      <c r="AN430" s="1986"/>
      <c r="AO430" s="2178"/>
      <c r="AP430" s="2174"/>
      <c r="AQ430" s="2178"/>
      <c r="AR430" s="2174"/>
      <c r="AS430" s="1112"/>
      <c r="AT430" s="1112"/>
      <c r="AU430" s="1112"/>
      <c r="AV430" s="1112"/>
      <c r="AW430" s="1112"/>
      <c r="AX430" s="1112"/>
      <c r="AY430" s="1112"/>
      <c r="AZ430" s="1112"/>
      <c r="BA430" s="1112"/>
      <c r="BB430" s="1112"/>
      <c r="BC430" s="1112"/>
      <c r="BD430" s="1112"/>
    </row>
    <row r="431" spans="1:56" ht="15" customHeight="1" x14ac:dyDescent="0.25">
      <c r="A431" s="2219">
        <v>277</v>
      </c>
      <c r="B431" s="2253" t="s">
        <v>2400</v>
      </c>
      <c r="C431" s="2163"/>
      <c r="D431" s="2163" t="s">
        <v>690</v>
      </c>
      <c r="E431" s="2163"/>
      <c r="F431" s="2163" t="s">
        <v>2401</v>
      </c>
      <c r="G431" s="2177" t="s">
        <v>677</v>
      </c>
      <c r="H431" s="2213" t="s">
        <v>120</v>
      </c>
      <c r="I431" s="2163" t="s">
        <v>2402</v>
      </c>
      <c r="J431" s="2163" t="s">
        <v>2403</v>
      </c>
      <c r="K431" s="2266" t="s">
        <v>2404</v>
      </c>
      <c r="L431" s="2210">
        <v>31888.799999999999</v>
      </c>
      <c r="M431" s="2177">
        <v>9912</v>
      </c>
      <c r="N431" s="2163" t="s">
        <v>2404</v>
      </c>
      <c r="O431" s="2163" t="s">
        <v>2405</v>
      </c>
      <c r="P431" s="2163" t="s">
        <v>1308</v>
      </c>
      <c r="Q431" s="2163"/>
      <c r="R431" s="2163"/>
      <c r="S431" s="2163"/>
      <c r="T431" s="2163" t="s">
        <v>696</v>
      </c>
      <c r="U431" s="1049" t="s">
        <v>867</v>
      </c>
      <c r="V431" s="715">
        <v>39813</v>
      </c>
      <c r="W431" s="1178">
        <v>9987</v>
      </c>
      <c r="X431" s="2233" t="s">
        <v>2406</v>
      </c>
      <c r="Y431" s="715">
        <v>39813</v>
      </c>
      <c r="Z431" s="715">
        <v>40178</v>
      </c>
      <c r="AA431" s="95"/>
      <c r="AB431" s="95"/>
      <c r="AC431" s="1364">
        <v>111456</v>
      </c>
      <c r="AD431" s="95"/>
      <c r="AE431" s="2262">
        <f>L431-AD431+AC431-AD432+AC432-AD433+AC433-AD434+AC434-AD435+AC435-AD436+AC436-AD437+AC437</f>
        <v>892187.4</v>
      </c>
      <c r="AF431" s="2210">
        <v>128376</v>
      </c>
      <c r="AG431" s="2210">
        <v>135144</v>
      </c>
      <c r="AH431" s="2210">
        <f>AF431+AG431</f>
        <v>263520</v>
      </c>
      <c r="AI431" s="2163"/>
      <c r="AJ431" s="2163"/>
      <c r="AK431" s="2163"/>
      <c r="AL431" s="2163"/>
      <c r="AM431" s="2163" t="s">
        <v>1311</v>
      </c>
      <c r="AN431" s="1985" t="s">
        <v>1312</v>
      </c>
      <c r="AO431" s="2177">
        <v>9912</v>
      </c>
      <c r="AP431" s="2172">
        <v>39738</v>
      </c>
      <c r="AQ431" s="2177">
        <v>9912</v>
      </c>
      <c r="AR431" s="2172">
        <v>39738</v>
      </c>
      <c r="AS431" s="2163"/>
      <c r="AT431" s="2163"/>
      <c r="AU431" s="2163"/>
      <c r="AV431" s="2163"/>
      <c r="AW431" s="2163"/>
      <c r="AX431" s="2163"/>
      <c r="AY431" s="2163"/>
      <c r="AZ431" s="2163"/>
      <c r="BA431" s="2163"/>
      <c r="BB431" s="2163"/>
      <c r="BC431" s="2163"/>
      <c r="BD431" s="2163"/>
    </row>
    <row r="432" spans="1:56" x14ac:dyDescent="0.25">
      <c r="A432" s="2220"/>
      <c r="B432" s="2254"/>
      <c r="C432" s="2175"/>
      <c r="D432" s="2175"/>
      <c r="E432" s="2175"/>
      <c r="F432" s="2175"/>
      <c r="G432" s="2180"/>
      <c r="H432" s="2214"/>
      <c r="I432" s="2175"/>
      <c r="J432" s="2175"/>
      <c r="K432" s="2267"/>
      <c r="L432" s="2211"/>
      <c r="M432" s="2180"/>
      <c r="N432" s="2175"/>
      <c r="O432" s="2175"/>
      <c r="P432" s="2175"/>
      <c r="Q432" s="2175"/>
      <c r="R432" s="2175"/>
      <c r="S432" s="2175"/>
      <c r="T432" s="2175"/>
      <c r="U432" s="1049" t="s">
        <v>871</v>
      </c>
      <c r="V432" s="715">
        <v>40178</v>
      </c>
      <c r="W432" s="1178">
        <v>10207</v>
      </c>
      <c r="X432" s="2252"/>
      <c r="Y432" s="715">
        <v>40178</v>
      </c>
      <c r="Z432" s="715">
        <v>40543</v>
      </c>
      <c r="AA432" s="95">
        <v>1.31352</v>
      </c>
      <c r="AB432" s="95"/>
      <c r="AC432" s="1177">
        <v>112920</v>
      </c>
      <c r="AD432" s="95"/>
      <c r="AE432" s="2263"/>
      <c r="AF432" s="2211"/>
      <c r="AG432" s="2211"/>
      <c r="AH432" s="2211"/>
      <c r="AI432" s="2175"/>
      <c r="AJ432" s="2175"/>
      <c r="AK432" s="2175"/>
      <c r="AL432" s="2175"/>
      <c r="AM432" s="2175"/>
      <c r="AN432" s="2021"/>
      <c r="AO432" s="2180"/>
      <c r="AP432" s="2173"/>
      <c r="AQ432" s="2180"/>
      <c r="AR432" s="2173"/>
      <c r="AS432" s="2175"/>
      <c r="AT432" s="2175"/>
      <c r="AU432" s="2175"/>
      <c r="AV432" s="2175"/>
      <c r="AW432" s="2175"/>
      <c r="AX432" s="2175"/>
      <c r="AY432" s="2175"/>
      <c r="AZ432" s="2175"/>
      <c r="BA432" s="2175"/>
      <c r="BB432" s="2175"/>
      <c r="BC432" s="2175"/>
      <c r="BD432" s="2175"/>
    </row>
    <row r="433" spans="1:56" x14ac:dyDescent="0.25">
      <c r="A433" s="2220"/>
      <c r="B433" s="2254"/>
      <c r="C433" s="2175"/>
      <c r="D433" s="2175"/>
      <c r="E433" s="2175"/>
      <c r="F433" s="2175"/>
      <c r="G433" s="2180"/>
      <c r="H433" s="2214"/>
      <c r="I433" s="2175"/>
      <c r="J433" s="2175"/>
      <c r="K433" s="2267"/>
      <c r="L433" s="2211"/>
      <c r="M433" s="2180"/>
      <c r="N433" s="2175"/>
      <c r="O433" s="2175"/>
      <c r="P433" s="2175"/>
      <c r="Q433" s="2175"/>
      <c r="R433" s="2175"/>
      <c r="S433" s="2175"/>
      <c r="T433" s="2175"/>
      <c r="U433" s="1049" t="s">
        <v>874</v>
      </c>
      <c r="V433" s="715">
        <v>40543</v>
      </c>
      <c r="W433" s="1178">
        <v>10441</v>
      </c>
      <c r="X433" s="2252"/>
      <c r="Y433" s="715">
        <v>40543</v>
      </c>
      <c r="Z433" s="715">
        <v>40908</v>
      </c>
      <c r="AA433" s="95"/>
      <c r="AB433" s="95"/>
      <c r="AC433" s="1177">
        <v>112920</v>
      </c>
      <c r="AD433" s="95"/>
      <c r="AE433" s="2263"/>
      <c r="AF433" s="2211"/>
      <c r="AG433" s="2211"/>
      <c r="AH433" s="2211"/>
      <c r="AI433" s="2175"/>
      <c r="AJ433" s="2175"/>
      <c r="AK433" s="2175"/>
      <c r="AL433" s="2175"/>
      <c r="AM433" s="2175"/>
      <c r="AN433" s="2021"/>
      <c r="AO433" s="2180"/>
      <c r="AP433" s="2173"/>
      <c r="AQ433" s="2180"/>
      <c r="AR433" s="2173"/>
      <c r="AS433" s="2175"/>
      <c r="AT433" s="2175"/>
      <c r="AU433" s="2175"/>
      <c r="AV433" s="2175"/>
      <c r="AW433" s="2175"/>
      <c r="AX433" s="2175"/>
      <c r="AY433" s="2175"/>
      <c r="AZ433" s="2175"/>
      <c r="BA433" s="2175"/>
      <c r="BB433" s="2175"/>
      <c r="BC433" s="2175"/>
      <c r="BD433" s="2175"/>
    </row>
    <row r="434" spans="1:56" x14ac:dyDescent="0.25">
      <c r="A434" s="2220"/>
      <c r="B434" s="2254"/>
      <c r="C434" s="2175"/>
      <c r="D434" s="2175"/>
      <c r="E434" s="2175"/>
      <c r="F434" s="2175"/>
      <c r="G434" s="2180"/>
      <c r="H434" s="2214"/>
      <c r="I434" s="2175"/>
      <c r="J434" s="2175"/>
      <c r="K434" s="2267"/>
      <c r="L434" s="2211"/>
      <c r="M434" s="2180"/>
      <c r="N434" s="2175"/>
      <c r="O434" s="2175"/>
      <c r="P434" s="2175"/>
      <c r="Q434" s="2175"/>
      <c r="R434" s="2175"/>
      <c r="S434" s="2175"/>
      <c r="T434" s="2175"/>
      <c r="U434" s="1049" t="s">
        <v>876</v>
      </c>
      <c r="V434" s="715">
        <v>40908</v>
      </c>
      <c r="W434" s="1178">
        <v>10734</v>
      </c>
      <c r="X434" s="2252"/>
      <c r="Y434" s="715">
        <v>40908</v>
      </c>
      <c r="Z434" s="715">
        <v>41274</v>
      </c>
      <c r="AA434" s="95">
        <v>5.7385700000000002</v>
      </c>
      <c r="AB434" s="95"/>
      <c r="AC434" s="1177">
        <v>119400</v>
      </c>
      <c r="AD434" s="95"/>
      <c r="AE434" s="2263"/>
      <c r="AF434" s="2211"/>
      <c r="AG434" s="2211"/>
      <c r="AH434" s="2211"/>
      <c r="AI434" s="2175"/>
      <c r="AJ434" s="2175"/>
      <c r="AK434" s="2175"/>
      <c r="AL434" s="2175"/>
      <c r="AM434" s="2175"/>
      <c r="AN434" s="2021"/>
      <c r="AO434" s="2180"/>
      <c r="AP434" s="2173"/>
      <c r="AQ434" s="2180"/>
      <c r="AR434" s="2173"/>
      <c r="AS434" s="2175"/>
      <c r="AT434" s="2175"/>
      <c r="AU434" s="2175"/>
      <c r="AV434" s="2175"/>
      <c r="AW434" s="2175"/>
      <c r="AX434" s="2175"/>
      <c r="AY434" s="2175"/>
      <c r="AZ434" s="2175"/>
      <c r="BA434" s="2175"/>
      <c r="BB434" s="2175"/>
      <c r="BC434" s="2175"/>
      <c r="BD434" s="2175"/>
    </row>
    <row r="435" spans="1:56" x14ac:dyDescent="0.25">
      <c r="A435" s="2220"/>
      <c r="B435" s="2254"/>
      <c r="C435" s="2175"/>
      <c r="D435" s="2175"/>
      <c r="E435" s="2175"/>
      <c r="F435" s="2175"/>
      <c r="G435" s="2180"/>
      <c r="H435" s="2214"/>
      <c r="I435" s="2175"/>
      <c r="J435" s="2175"/>
      <c r="K435" s="2267"/>
      <c r="L435" s="2211"/>
      <c r="M435" s="2180"/>
      <c r="N435" s="2175"/>
      <c r="O435" s="2175"/>
      <c r="P435" s="2175"/>
      <c r="Q435" s="2175"/>
      <c r="R435" s="2175"/>
      <c r="S435" s="2175"/>
      <c r="T435" s="2175"/>
      <c r="U435" s="1049" t="s">
        <v>879</v>
      </c>
      <c r="V435" s="715">
        <v>41274</v>
      </c>
      <c r="W435" s="1178">
        <v>10963</v>
      </c>
      <c r="X435" s="2252"/>
      <c r="Y435" s="715">
        <v>41274</v>
      </c>
      <c r="Z435" s="715">
        <v>41639</v>
      </c>
      <c r="AA435" s="95">
        <v>7.5175799999999997</v>
      </c>
      <c r="AB435" s="95"/>
      <c r="AC435" s="1177">
        <v>128376</v>
      </c>
      <c r="AD435" s="95"/>
      <c r="AE435" s="2263"/>
      <c r="AF435" s="2211"/>
      <c r="AG435" s="2211"/>
      <c r="AH435" s="2211"/>
      <c r="AI435" s="2175"/>
      <c r="AJ435" s="2175"/>
      <c r="AK435" s="2175"/>
      <c r="AL435" s="2175"/>
      <c r="AM435" s="2175"/>
      <c r="AN435" s="2021"/>
      <c r="AO435" s="2180"/>
      <c r="AP435" s="2173"/>
      <c r="AQ435" s="2180"/>
      <c r="AR435" s="2173"/>
      <c r="AS435" s="2175"/>
      <c r="AT435" s="2175"/>
      <c r="AU435" s="2175"/>
      <c r="AV435" s="2175"/>
      <c r="AW435" s="2175"/>
      <c r="AX435" s="2175"/>
      <c r="AY435" s="2175"/>
      <c r="AZ435" s="2175"/>
      <c r="BA435" s="2175"/>
      <c r="BB435" s="2175"/>
      <c r="BC435" s="2175"/>
      <c r="BD435" s="2175"/>
    </row>
    <row r="436" spans="1:56" x14ac:dyDescent="0.25">
      <c r="A436" s="2220"/>
      <c r="B436" s="2254"/>
      <c r="C436" s="2175"/>
      <c r="D436" s="2175"/>
      <c r="E436" s="2175"/>
      <c r="F436" s="2175"/>
      <c r="G436" s="2180"/>
      <c r="H436" s="2214"/>
      <c r="I436" s="2175"/>
      <c r="J436" s="2175"/>
      <c r="K436" s="2267"/>
      <c r="L436" s="2211"/>
      <c r="M436" s="2180"/>
      <c r="N436" s="2175"/>
      <c r="O436" s="2175"/>
      <c r="P436" s="2175"/>
      <c r="Q436" s="2175"/>
      <c r="R436" s="2175"/>
      <c r="S436" s="2175"/>
      <c r="T436" s="2175"/>
      <c r="U436" s="1049" t="s">
        <v>882</v>
      </c>
      <c r="V436" s="1175">
        <v>41639</v>
      </c>
      <c r="W436" s="1178">
        <v>11215</v>
      </c>
      <c r="X436" s="2234"/>
      <c r="Y436" s="1175">
        <v>41639</v>
      </c>
      <c r="Z436" s="1175">
        <v>42004</v>
      </c>
      <c r="AA436" s="95">
        <v>5.2720099999999999</v>
      </c>
      <c r="AB436" s="95"/>
      <c r="AC436" s="1177">
        <v>135144</v>
      </c>
      <c r="AD436" s="95"/>
      <c r="AE436" s="2263"/>
      <c r="AF436" s="2211"/>
      <c r="AG436" s="2211"/>
      <c r="AH436" s="2211"/>
      <c r="AI436" s="2175"/>
      <c r="AJ436" s="2175"/>
      <c r="AK436" s="2175"/>
      <c r="AL436" s="2175"/>
      <c r="AM436" s="2175"/>
      <c r="AN436" s="2021"/>
      <c r="AO436" s="2180"/>
      <c r="AP436" s="2173"/>
      <c r="AQ436" s="2180"/>
      <c r="AR436" s="2173"/>
      <c r="AS436" s="2175"/>
      <c r="AT436" s="2175"/>
      <c r="AU436" s="2175"/>
      <c r="AV436" s="2175"/>
      <c r="AW436" s="2175"/>
      <c r="AX436" s="2175"/>
      <c r="AY436" s="2175"/>
      <c r="AZ436" s="2175"/>
      <c r="BA436" s="2175"/>
      <c r="BB436" s="2175"/>
      <c r="BC436" s="2175"/>
      <c r="BD436" s="2175"/>
    </row>
    <row r="437" spans="1:56" ht="51" x14ac:dyDescent="0.25">
      <c r="A437" s="2221"/>
      <c r="B437" s="2255"/>
      <c r="C437" s="2164"/>
      <c r="D437" s="2164"/>
      <c r="E437" s="2164"/>
      <c r="F437" s="2164"/>
      <c r="G437" s="2178"/>
      <c r="H437" s="2215"/>
      <c r="I437" s="2164"/>
      <c r="J437" s="2164"/>
      <c r="K437" s="2268"/>
      <c r="L437" s="2212"/>
      <c r="M437" s="2178"/>
      <c r="N437" s="2164"/>
      <c r="O437" s="2164"/>
      <c r="P437" s="2164"/>
      <c r="Q437" s="2164"/>
      <c r="R437" s="2164"/>
      <c r="S437" s="2164"/>
      <c r="T437" s="2164"/>
      <c r="U437" s="1049" t="s">
        <v>1443</v>
      </c>
      <c r="V437" s="1175">
        <v>41988</v>
      </c>
      <c r="W437" s="1178">
        <v>11459</v>
      </c>
      <c r="X437" s="1125" t="s">
        <v>2407</v>
      </c>
      <c r="Y437" s="1175">
        <v>42004</v>
      </c>
      <c r="Z437" s="1175">
        <v>42369</v>
      </c>
      <c r="AA437" s="95">
        <v>3.6543000000000001</v>
      </c>
      <c r="AB437" s="95"/>
      <c r="AC437" s="1177">
        <v>140082.6</v>
      </c>
      <c r="AD437" s="95"/>
      <c r="AE437" s="2264"/>
      <c r="AF437" s="2212"/>
      <c r="AG437" s="2212"/>
      <c r="AH437" s="2212"/>
      <c r="AI437" s="2164"/>
      <c r="AJ437" s="2164"/>
      <c r="AK437" s="2164"/>
      <c r="AL437" s="2164"/>
      <c r="AM437" s="2164"/>
      <c r="AN437" s="1986"/>
      <c r="AO437" s="2178"/>
      <c r="AP437" s="2174"/>
      <c r="AQ437" s="2178"/>
      <c r="AR437" s="2174"/>
      <c r="AS437" s="2164"/>
      <c r="AT437" s="2164"/>
      <c r="AU437" s="2164"/>
      <c r="AV437" s="2164"/>
      <c r="AW437" s="2164"/>
      <c r="AX437" s="2164"/>
      <c r="AY437" s="2164"/>
      <c r="AZ437" s="2164"/>
      <c r="BA437" s="2164"/>
      <c r="BB437" s="2164"/>
      <c r="BC437" s="2164"/>
      <c r="BD437" s="2164"/>
    </row>
    <row r="438" spans="1:56" x14ac:dyDescent="0.25">
      <c r="A438" s="2219">
        <v>278</v>
      </c>
      <c r="B438" s="2222" t="s">
        <v>2408</v>
      </c>
      <c r="C438" s="1985" t="s">
        <v>2409</v>
      </c>
      <c r="D438" s="2233" t="s">
        <v>2410</v>
      </c>
      <c r="E438" s="1985" t="s">
        <v>1358</v>
      </c>
      <c r="F438" s="2233" t="s">
        <v>7548</v>
      </c>
      <c r="G438" s="2177">
        <v>10139</v>
      </c>
      <c r="H438" s="2213" t="s">
        <v>2411</v>
      </c>
      <c r="I438" s="2233" t="s">
        <v>2412</v>
      </c>
      <c r="J438" s="1985" t="s">
        <v>2413</v>
      </c>
      <c r="K438" s="2216">
        <v>40149</v>
      </c>
      <c r="L438" s="2002">
        <v>3079</v>
      </c>
      <c r="M438" s="2177">
        <v>10189</v>
      </c>
      <c r="N438" s="2216">
        <v>40149</v>
      </c>
      <c r="O438" s="1985" t="s">
        <v>2414</v>
      </c>
      <c r="P438" s="1985" t="s">
        <v>1354</v>
      </c>
      <c r="Q438" s="2163"/>
      <c r="R438" s="2163"/>
      <c r="S438" s="2163"/>
      <c r="T438" s="1985" t="s">
        <v>158</v>
      </c>
      <c r="U438" s="1049" t="s">
        <v>867</v>
      </c>
      <c r="V438" s="1175">
        <v>40178</v>
      </c>
      <c r="W438" s="1178">
        <v>10207</v>
      </c>
      <c r="X438" s="2233" t="s">
        <v>2415</v>
      </c>
      <c r="Y438" s="715">
        <v>40178</v>
      </c>
      <c r="Z438" s="715">
        <v>40543</v>
      </c>
      <c r="AA438" s="1049"/>
      <c r="AB438" s="1049"/>
      <c r="AC438" s="1177">
        <v>36948</v>
      </c>
      <c r="AD438" s="1049"/>
      <c r="AE438" s="2210">
        <f>L438-AD438+AC438-AD439+AC439-AD440+AC440-AD441+AC441-AD442+AC442</f>
        <v>184740</v>
      </c>
      <c r="AF438" s="2210">
        <v>36948</v>
      </c>
      <c r="AG438" s="2210">
        <v>33869</v>
      </c>
      <c r="AH438" s="2262">
        <f>AF438+AG438</f>
        <v>70817</v>
      </c>
      <c r="AI438" s="2262"/>
      <c r="AJ438" s="2262"/>
      <c r="AK438" s="2262"/>
      <c r="AL438" s="2262"/>
      <c r="AM438" s="2262"/>
      <c r="AN438" s="1172"/>
      <c r="AO438" s="1178"/>
      <c r="AP438" s="1175"/>
      <c r="AQ438" s="1178"/>
      <c r="AR438" s="1175"/>
      <c r="AS438" s="1049"/>
      <c r="AT438" s="1049"/>
      <c r="AU438" s="1049"/>
      <c r="AV438" s="1049"/>
      <c r="AW438" s="1049"/>
      <c r="AX438" s="1049"/>
      <c r="AY438" s="1049"/>
      <c r="AZ438" s="1049"/>
      <c r="BA438" s="1049"/>
      <c r="BB438" s="1049"/>
      <c r="BC438" s="1049"/>
      <c r="BD438" s="1049"/>
    </row>
    <row r="439" spans="1:56" x14ac:dyDescent="0.25">
      <c r="A439" s="2220"/>
      <c r="B439" s="2223"/>
      <c r="C439" s="2021"/>
      <c r="D439" s="2252"/>
      <c r="E439" s="2021"/>
      <c r="F439" s="2252"/>
      <c r="G439" s="2180"/>
      <c r="H439" s="2214"/>
      <c r="I439" s="2252"/>
      <c r="J439" s="2021"/>
      <c r="K439" s="2217"/>
      <c r="L439" s="2187"/>
      <c r="M439" s="2180"/>
      <c r="N439" s="2217"/>
      <c r="O439" s="2021"/>
      <c r="P439" s="2021"/>
      <c r="Q439" s="2175"/>
      <c r="R439" s="2175"/>
      <c r="S439" s="2175"/>
      <c r="T439" s="2021"/>
      <c r="U439" s="1049" t="s">
        <v>871</v>
      </c>
      <c r="V439" s="715">
        <v>40543</v>
      </c>
      <c r="W439" s="1178">
        <v>10455</v>
      </c>
      <c r="X439" s="2252"/>
      <c r="Y439" s="715">
        <v>40543</v>
      </c>
      <c r="Z439" s="715">
        <v>40908</v>
      </c>
      <c r="AA439" s="1049"/>
      <c r="AB439" s="1049"/>
      <c r="AC439" s="1177">
        <v>36948</v>
      </c>
      <c r="AD439" s="1049"/>
      <c r="AE439" s="2211"/>
      <c r="AF439" s="2211"/>
      <c r="AG439" s="2211"/>
      <c r="AH439" s="2263"/>
      <c r="AI439" s="2263"/>
      <c r="AJ439" s="2263"/>
      <c r="AK439" s="2263"/>
      <c r="AL439" s="2263"/>
      <c r="AM439" s="2263"/>
      <c r="AN439" s="1172"/>
      <c r="AO439" s="1178"/>
      <c r="AP439" s="1175"/>
      <c r="AQ439" s="1178"/>
      <c r="AR439" s="1175"/>
      <c r="AS439" s="1049"/>
      <c r="AT439" s="1049"/>
      <c r="AU439" s="1049"/>
      <c r="AV439" s="1049"/>
      <c r="AW439" s="1049"/>
      <c r="AX439" s="1049"/>
      <c r="AY439" s="1049"/>
      <c r="AZ439" s="1049"/>
      <c r="BA439" s="1049"/>
      <c r="BB439" s="1049"/>
      <c r="BC439" s="1049"/>
      <c r="BD439" s="1049"/>
    </row>
    <row r="440" spans="1:56" x14ac:dyDescent="0.25">
      <c r="A440" s="2220"/>
      <c r="B440" s="2223"/>
      <c r="C440" s="2021"/>
      <c r="D440" s="2252"/>
      <c r="E440" s="2021"/>
      <c r="F440" s="2252"/>
      <c r="G440" s="2180"/>
      <c r="H440" s="2214"/>
      <c r="I440" s="2252"/>
      <c r="J440" s="2021"/>
      <c r="K440" s="2217"/>
      <c r="L440" s="2187"/>
      <c r="M440" s="2180"/>
      <c r="N440" s="2217"/>
      <c r="O440" s="2021"/>
      <c r="P440" s="2021"/>
      <c r="Q440" s="2175"/>
      <c r="R440" s="2175"/>
      <c r="S440" s="2175"/>
      <c r="T440" s="2021"/>
      <c r="U440" s="1049" t="s">
        <v>874</v>
      </c>
      <c r="V440" s="715">
        <v>40908</v>
      </c>
      <c r="W440" s="1178">
        <v>10714</v>
      </c>
      <c r="X440" s="2252"/>
      <c r="Y440" s="715">
        <v>40908</v>
      </c>
      <c r="Z440" s="715">
        <v>41274</v>
      </c>
      <c r="AA440" s="1049"/>
      <c r="AB440" s="1049"/>
      <c r="AC440" s="1177">
        <v>36948</v>
      </c>
      <c r="AD440" s="1049"/>
      <c r="AE440" s="2211"/>
      <c r="AF440" s="2211"/>
      <c r="AG440" s="2211"/>
      <c r="AH440" s="2263"/>
      <c r="AI440" s="2263"/>
      <c r="AJ440" s="2263"/>
      <c r="AK440" s="2263"/>
      <c r="AL440" s="2263"/>
      <c r="AM440" s="2263"/>
      <c r="AN440" s="1172"/>
      <c r="AO440" s="1178"/>
      <c r="AP440" s="1175"/>
      <c r="AQ440" s="1178"/>
      <c r="AR440" s="1175"/>
      <c r="AS440" s="1049"/>
      <c r="AT440" s="1049"/>
      <c r="AU440" s="1049"/>
      <c r="AV440" s="1049"/>
      <c r="AW440" s="1049"/>
      <c r="AX440" s="1049"/>
      <c r="AY440" s="1049"/>
      <c r="AZ440" s="1049"/>
      <c r="BA440" s="1049"/>
      <c r="BB440" s="1049"/>
      <c r="BC440" s="1049"/>
      <c r="BD440" s="1049"/>
    </row>
    <row r="441" spans="1:56" x14ac:dyDescent="0.25">
      <c r="A441" s="2220"/>
      <c r="B441" s="2223"/>
      <c r="C441" s="2021"/>
      <c r="D441" s="2252"/>
      <c r="E441" s="2021"/>
      <c r="F441" s="2252"/>
      <c r="G441" s="2180"/>
      <c r="H441" s="2214"/>
      <c r="I441" s="2252"/>
      <c r="J441" s="2021"/>
      <c r="K441" s="2217"/>
      <c r="L441" s="2187"/>
      <c r="M441" s="2180"/>
      <c r="N441" s="2217"/>
      <c r="O441" s="2021"/>
      <c r="P441" s="2021"/>
      <c r="Q441" s="2175"/>
      <c r="R441" s="2175"/>
      <c r="S441" s="2175"/>
      <c r="T441" s="2021"/>
      <c r="U441" s="1049" t="s">
        <v>876</v>
      </c>
      <c r="V441" s="715">
        <v>41274</v>
      </c>
      <c r="W441" s="1178">
        <v>10965</v>
      </c>
      <c r="X441" s="2252"/>
      <c r="Y441" s="715">
        <v>41274</v>
      </c>
      <c r="Z441" s="715">
        <v>41639</v>
      </c>
      <c r="AA441" s="1049"/>
      <c r="AB441" s="1049"/>
      <c r="AC441" s="1177">
        <v>36948</v>
      </c>
      <c r="AD441" s="1049"/>
      <c r="AE441" s="2211"/>
      <c r="AF441" s="2211"/>
      <c r="AG441" s="2211"/>
      <c r="AH441" s="2263"/>
      <c r="AI441" s="2263"/>
      <c r="AJ441" s="2263"/>
      <c r="AK441" s="2263"/>
      <c r="AL441" s="2263"/>
      <c r="AM441" s="2263"/>
      <c r="AN441" s="1172"/>
      <c r="AO441" s="1178"/>
      <c r="AP441" s="1175"/>
      <c r="AQ441" s="1178"/>
      <c r="AR441" s="1175"/>
      <c r="AS441" s="1049"/>
      <c r="AT441" s="1049"/>
      <c r="AU441" s="1049"/>
      <c r="AV441" s="1049"/>
      <c r="AW441" s="1049"/>
      <c r="AX441" s="1049"/>
      <c r="AY441" s="1049"/>
      <c r="AZ441" s="1049"/>
      <c r="BA441" s="1049"/>
      <c r="BB441" s="1049"/>
      <c r="BC441" s="1049"/>
      <c r="BD441" s="1049"/>
    </row>
    <row r="442" spans="1:56" x14ac:dyDescent="0.25">
      <c r="A442" s="2221"/>
      <c r="B442" s="2224"/>
      <c r="C442" s="1986"/>
      <c r="D442" s="2234"/>
      <c r="E442" s="1986"/>
      <c r="F442" s="2234"/>
      <c r="G442" s="2178"/>
      <c r="H442" s="2215"/>
      <c r="I442" s="2234"/>
      <c r="J442" s="1986"/>
      <c r="K442" s="2218"/>
      <c r="L442" s="2003"/>
      <c r="M442" s="2178"/>
      <c r="N442" s="2218"/>
      <c r="O442" s="1986"/>
      <c r="P442" s="1986"/>
      <c r="Q442" s="2164"/>
      <c r="R442" s="2164"/>
      <c r="S442" s="2164"/>
      <c r="T442" s="1986"/>
      <c r="U442" s="1049" t="s">
        <v>879</v>
      </c>
      <c r="V442" s="1175">
        <v>41639</v>
      </c>
      <c r="W442" s="1178">
        <v>11215</v>
      </c>
      <c r="X442" s="2234"/>
      <c r="Y442" s="1175">
        <v>41639</v>
      </c>
      <c r="Z442" s="1175">
        <v>41973</v>
      </c>
      <c r="AA442" s="1049"/>
      <c r="AB442" s="1049"/>
      <c r="AC442" s="1177">
        <v>33869</v>
      </c>
      <c r="AD442" s="1049"/>
      <c r="AE442" s="2212"/>
      <c r="AF442" s="2212"/>
      <c r="AG442" s="2212"/>
      <c r="AH442" s="2264"/>
      <c r="AI442" s="2264"/>
      <c r="AJ442" s="2264"/>
      <c r="AK442" s="2264"/>
      <c r="AL442" s="2264"/>
      <c r="AM442" s="2264"/>
      <c r="AN442" s="1172"/>
      <c r="AO442" s="1178"/>
      <c r="AP442" s="1175"/>
      <c r="AQ442" s="1178"/>
      <c r="AR442" s="1175"/>
      <c r="AS442" s="1049"/>
      <c r="AT442" s="1049"/>
      <c r="AU442" s="1049"/>
      <c r="AV442" s="1049"/>
      <c r="AW442" s="1049"/>
      <c r="AX442" s="1049"/>
      <c r="AY442" s="1049"/>
      <c r="AZ442" s="1049"/>
      <c r="BA442" s="1049"/>
      <c r="BB442" s="1049"/>
      <c r="BC442" s="1049"/>
      <c r="BD442" s="1049"/>
    </row>
    <row r="443" spans="1:56" x14ac:dyDescent="0.25">
      <c r="A443" s="2219">
        <v>279</v>
      </c>
      <c r="B443" s="2222" t="s">
        <v>2416</v>
      </c>
      <c r="C443" s="1985" t="s">
        <v>2417</v>
      </c>
      <c r="D443" s="2233" t="s">
        <v>2418</v>
      </c>
      <c r="E443" s="1985" t="s">
        <v>1358</v>
      </c>
      <c r="F443" s="2233" t="s">
        <v>2419</v>
      </c>
      <c r="G443" s="2177">
        <v>10126</v>
      </c>
      <c r="H443" s="2213" t="s">
        <v>2420</v>
      </c>
      <c r="I443" s="2233" t="s">
        <v>2421</v>
      </c>
      <c r="J443" s="1985" t="s">
        <v>2422</v>
      </c>
      <c r="K443" s="2216">
        <v>40133</v>
      </c>
      <c r="L443" s="2002">
        <v>4500</v>
      </c>
      <c r="M443" s="2177">
        <v>10179</v>
      </c>
      <c r="N443" s="2216">
        <v>40133</v>
      </c>
      <c r="O443" s="1985" t="s">
        <v>2414</v>
      </c>
      <c r="P443" s="1985" t="s">
        <v>1354</v>
      </c>
      <c r="Q443" s="2163"/>
      <c r="R443" s="2163"/>
      <c r="S443" s="2163"/>
      <c r="T443" s="1985" t="s">
        <v>158</v>
      </c>
      <c r="U443" s="1049" t="s">
        <v>867</v>
      </c>
      <c r="V443" s="1175">
        <v>40178</v>
      </c>
      <c r="W443" s="1178">
        <v>10207</v>
      </c>
      <c r="X443" s="2233" t="s">
        <v>2423</v>
      </c>
      <c r="Y443" s="715">
        <v>40178</v>
      </c>
      <c r="Z443" s="715">
        <v>40543</v>
      </c>
      <c r="AA443" s="1049"/>
      <c r="AB443" s="1049"/>
      <c r="AC443" s="1177">
        <v>36000</v>
      </c>
      <c r="AD443" s="95"/>
      <c r="AE443" s="2210">
        <f>L443-AD443+AC443-AD444+AC444-AD445+AC445-AD446+AC446-AD447+AC447</f>
        <v>178500</v>
      </c>
      <c r="AF443" s="2210">
        <v>36000</v>
      </c>
      <c r="AG443" s="2210">
        <v>30000</v>
      </c>
      <c r="AH443" s="2262">
        <f>AF443+AG443</f>
        <v>66000</v>
      </c>
      <c r="AI443" s="2262"/>
      <c r="AJ443" s="2262"/>
      <c r="AK443" s="2262"/>
      <c r="AL443" s="2262"/>
      <c r="AM443" s="2262"/>
      <c r="AN443" s="1172"/>
      <c r="AO443" s="1178"/>
      <c r="AP443" s="1175"/>
      <c r="AQ443" s="1178"/>
      <c r="AR443" s="1175"/>
      <c r="AS443" s="1049"/>
      <c r="AT443" s="1049"/>
      <c r="AU443" s="1049"/>
      <c r="AV443" s="1049"/>
      <c r="AW443" s="1049"/>
      <c r="AX443" s="1049"/>
      <c r="AY443" s="1049"/>
      <c r="AZ443" s="1049"/>
      <c r="BA443" s="1049"/>
      <c r="BB443" s="1049"/>
      <c r="BC443" s="1049"/>
      <c r="BD443" s="1049"/>
    </row>
    <row r="444" spans="1:56" x14ac:dyDescent="0.25">
      <c r="A444" s="2220"/>
      <c r="B444" s="2223"/>
      <c r="C444" s="2021"/>
      <c r="D444" s="2252"/>
      <c r="E444" s="2021"/>
      <c r="F444" s="2252"/>
      <c r="G444" s="2180"/>
      <c r="H444" s="2214"/>
      <c r="I444" s="2252"/>
      <c r="J444" s="2021"/>
      <c r="K444" s="2217"/>
      <c r="L444" s="2187"/>
      <c r="M444" s="2180"/>
      <c r="N444" s="2217"/>
      <c r="O444" s="2021"/>
      <c r="P444" s="2021"/>
      <c r="Q444" s="2175"/>
      <c r="R444" s="2175"/>
      <c r="S444" s="2175"/>
      <c r="T444" s="2021"/>
      <c r="U444" s="1049" t="s">
        <v>871</v>
      </c>
      <c r="V444" s="715">
        <v>40543</v>
      </c>
      <c r="W444" s="1178">
        <v>10455</v>
      </c>
      <c r="X444" s="2252"/>
      <c r="Y444" s="715">
        <v>40543</v>
      </c>
      <c r="Z444" s="715">
        <v>40908</v>
      </c>
      <c r="AA444" s="1049"/>
      <c r="AB444" s="1049"/>
      <c r="AC444" s="1177">
        <v>36000</v>
      </c>
      <c r="AD444" s="95"/>
      <c r="AE444" s="2211"/>
      <c r="AF444" s="2211"/>
      <c r="AG444" s="2211"/>
      <c r="AH444" s="2263"/>
      <c r="AI444" s="2263"/>
      <c r="AJ444" s="2263"/>
      <c r="AK444" s="2263"/>
      <c r="AL444" s="2263"/>
      <c r="AM444" s="2263"/>
      <c r="AN444" s="1172"/>
      <c r="AO444" s="1178"/>
      <c r="AP444" s="1175"/>
      <c r="AQ444" s="1178"/>
      <c r="AR444" s="1175"/>
      <c r="AS444" s="1049"/>
      <c r="AT444" s="1049"/>
      <c r="AU444" s="1049"/>
      <c r="AV444" s="1049"/>
      <c r="AW444" s="1049"/>
      <c r="AX444" s="1049"/>
      <c r="AY444" s="1049"/>
      <c r="AZ444" s="1049"/>
      <c r="BA444" s="1049"/>
      <c r="BB444" s="1049"/>
      <c r="BC444" s="1049"/>
      <c r="BD444" s="1049"/>
    </row>
    <row r="445" spans="1:56" x14ac:dyDescent="0.25">
      <c r="A445" s="2220"/>
      <c r="B445" s="2223"/>
      <c r="C445" s="2021"/>
      <c r="D445" s="2252"/>
      <c r="E445" s="2021"/>
      <c r="F445" s="2252"/>
      <c r="G445" s="2180"/>
      <c r="H445" s="2214"/>
      <c r="I445" s="2252"/>
      <c r="J445" s="2021"/>
      <c r="K445" s="2217"/>
      <c r="L445" s="2187"/>
      <c r="M445" s="2180"/>
      <c r="N445" s="2217"/>
      <c r="O445" s="2021"/>
      <c r="P445" s="2021"/>
      <c r="Q445" s="2175"/>
      <c r="R445" s="2175"/>
      <c r="S445" s="2175"/>
      <c r="T445" s="2021"/>
      <c r="U445" s="1049" t="s">
        <v>874</v>
      </c>
      <c r="V445" s="715">
        <v>40908</v>
      </c>
      <c r="W445" s="1178">
        <v>10712</v>
      </c>
      <c r="X445" s="2252"/>
      <c r="Y445" s="715">
        <v>40908</v>
      </c>
      <c r="Z445" s="715">
        <v>41274</v>
      </c>
      <c r="AA445" s="1049"/>
      <c r="AB445" s="1049"/>
      <c r="AC445" s="1177">
        <v>36000</v>
      </c>
      <c r="AD445" s="95"/>
      <c r="AE445" s="2211"/>
      <c r="AF445" s="2211"/>
      <c r="AG445" s="2211"/>
      <c r="AH445" s="2263"/>
      <c r="AI445" s="2263"/>
      <c r="AJ445" s="2263"/>
      <c r="AK445" s="2263"/>
      <c r="AL445" s="2263"/>
      <c r="AM445" s="2263"/>
      <c r="AN445" s="1172"/>
      <c r="AO445" s="1178"/>
      <c r="AP445" s="1175"/>
      <c r="AQ445" s="1178"/>
      <c r="AR445" s="1175"/>
      <c r="AS445" s="1049"/>
      <c r="AT445" s="1049"/>
      <c r="AU445" s="1049"/>
      <c r="AV445" s="1049"/>
      <c r="AW445" s="1049"/>
      <c r="AX445" s="1049"/>
      <c r="AY445" s="1049"/>
      <c r="AZ445" s="1049"/>
      <c r="BA445" s="1049"/>
      <c r="BB445" s="1049"/>
      <c r="BC445" s="1049"/>
      <c r="BD445" s="1049"/>
    </row>
    <row r="446" spans="1:56" x14ac:dyDescent="0.25">
      <c r="A446" s="2220"/>
      <c r="B446" s="2223"/>
      <c r="C446" s="2021"/>
      <c r="D446" s="2252"/>
      <c r="E446" s="2021"/>
      <c r="F446" s="2252"/>
      <c r="G446" s="2180"/>
      <c r="H446" s="2214"/>
      <c r="I446" s="2252"/>
      <c r="J446" s="2021"/>
      <c r="K446" s="2217"/>
      <c r="L446" s="2187"/>
      <c r="M446" s="2180"/>
      <c r="N446" s="2217"/>
      <c r="O446" s="2021"/>
      <c r="P446" s="2021"/>
      <c r="Q446" s="2175"/>
      <c r="R446" s="2175"/>
      <c r="S446" s="2175"/>
      <c r="T446" s="2021"/>
      <c r="U446" s="1049" t="s">
        <v>876</v>
      </c>
      <c r="V446" s="715">
        <v>41274</v>
      </c>
      <c r="W446" s="1178">
        <v>10965</v>
      </c>
      <c r="X446" s="2252"/>
      <c r="Y446" s="715">
        <v>41274</v>
      </c>
      <c r="Z446" s="715">
        <v>41639</v>
      </c>
      <c r="AA446" s="1049"/>
      <c r="AB446" s="1049"/>
      <c r="AC446" s="1177">
        <v>36000</v>
      </c>
      <c r="AD446" s="95"/>
      <c r="AE446" s="2211"/>
      <c r="AF446" s="2211"/>
      <c r="AG446" s="2211"/>
      <c r="AH446" s="2263"/>
      <c r="AI446" s="2263"/>
      <c r="AJ446" s="2263"/>
      <c r="AK446" s="2263"/>
      <c r="AL446" s="2263"/>
      <c r="AM446" s="2263"/>
      <c r="AN446" s="1172"/>
      <c r="AO446" s="1178"/>
      <c r="AP446" s="1175"/>
      <c r="AQ446" s="1178"/>
      <c r="AR446" s="1175"/>
      <c r="AS446" s="1049"/>
      <c r="AT446" s="1049"/>
      <c r="AU446" s="1049"/>
      <c r="AV446" s="1049"/>
      <c r="AW446" s="1049"/>
      <c r="AX446" s="1049"/>
      <c r="AY446" s="1049"/>
      <c r="AZ446" s="1049"/>
      <c r="BA446" s="1049"/>
      <c r="BB446" s="1049"/>
      <c r="BC446" s="1049"/>
      <c r="BD446" s="1049"/>
    </row>
    <row r="447" spans="1:56" x14ac:dyDescent="0.25">
      <c r="A447" s="2221"/>
      <c r="B447" s="2224"/>
      <c r="C447" s="1986"/>
      <c r="D447" s="2234"/>
      <c r="E447" s="1986"/>
      <c r="F447" s="2234"/>
      <c r="G447" s="2178"/>
      <c r="H447" s="2215"/>
      <c r="I447" s="2234"/>
      <c r="J447" s="1986"/>
      <c r="K447" s="2218"/>
      <c r="L447" s="2003"/>
      <c r="M447" s="2178"/>
      <c r="N447" s="2218"/>
      <c r="O447" s="1986"/>
      <c r="P447" s="1986"/>
      <c r="Q447" s="2164"/>
      <c r="R447" s="2164"/>
      <c r="S447" s="2164"/>
      <c r="T447" s="1986"/>
      <c r="U447" s="1049" t="s">
        <v>879</v>
      </c>
      <c r="V447" s="1175">
        <v>41639</v>
      </c>
      <c r="W447" s="1178">
        <v>11215</v>
      </c>
      <c r="X447" s="2234"/>
      <c r="Y447" s="1175">
        <v>41639</v>
      </c>
      <c r="Z447" s="1175">
        <v>41943</v>
      </c>
      <c r="AA447" s="1049"/>
      <c r="AB447" s="1049"/>
      <c r="AC447" s="1177">
        <v>30000</v>
      </c>
      <c r="AD447" s="95"/>
      <c r="AE447" s="2212"/>
      <c r="AF447" s="2212"/>
      <c r="AG447" s="2212"/>
      <c r="AH447" s="2264"/>
      <c r="AI447" s="2264"/>
      <c r="AJ447" s="2264"/>
      <c r="AK447" s="2264"/>
      <c r="AL447" s="2264"/>
      <c r="AM447" s="2264"/>
      <c r="AN447" s="1172"/>
      <c r="AO447" s="1178"/>
      <c r="AP447" s="1175"/>
      <c r="AQ447" s="1178"/>
      <c r="AR447" s="1175"/>
      <c r="AS447" s="1049"/>
      <c r="AT447" s="1049"/>
      <c r="AU447" s="1049"/>
      <c r="AV447" s="1049"/>
      <c r="AW447" s="1049"/>
      <c r="AX447" s="1049"/>
      <c r="AY447" s="1049"/>
      <c r="AZ447" s="1049"/>
      <c r="BA447" s="1049"/>
      <c r="BB447" s="1049"/>
      <c r="BC447" s="1049"/>
      <c r="BD447" s="1049"/>
    </row>
    <row r="448" spans="1:56" x14ac:dyDescent="0.25">
      <c r="A448" s="2219">
        <v>280</v>
      </c>
      <c r="B448" s="2222" t="s">
        <v>2408</v>
      </c>
      <c r="C448" s="1985" t="s">
        <v>2409</v>
      </c>
      <c r="D448" s="2233" t="s">
        <v>2410</v>
      </c>
      <c r="E448" s="1985" t="s">
        <v>1358</v>
      </c>
      <c r="F448" s="2233" t="s">
        <v>2424</v>
      </c>
      <c r="G448" s="2177">
        <v>10139</v>
      </c>
      <c r="H448" s="2213" t="s">
        <v>2425</v>
      </c>
      <c r="I448" s="2233" t="s">
        <v>2426</v>
      </c>
      <c r="J448" s="1985" t="s">
        <v>2427</v>
      </c>
      <c r="K448" s="2216">
        <v>40149</v>
      </c>
      <c r="L448" s="2002">
        <v>3070</v>
      </c>
      <c r="M448" s="2177">
        <v>10189</v>
      </c>
      <c r="N448" s="2216">
        <v>40149</v>
      </c>
      <c r="O448" s="1985" t="s">
        <v>2414</v>
      </c>
      <c r="P448" s="1985" t="s">
        <v>1354</v>
      </c>
      <c r="Q448" s="2163"/>
      <c r="R448" s="2163"/>
      <c r="S448" s="2163"/>
      <c r="T448" s="1985" t="s">
        <v>158</v>
      </c>
      <c r="U448" s="1049" t="s">
        <v>867</v>
      </c>
      <c r="V448" s="1175">
        <v>40178</v>
      </c>
      <c r="W448" s="1178">
        <v>10207</v>
      </c>
      <c r="X448" s="2233" t="s">
        <v>2415</v>
      </c>
      <c r="Y448" s="715">
        <v>40178</v>
      </c>
      <c r="Z448" s="715">
        <v>40543</v>
      </c>
      <c r="AA448" s="1049"/>
      <c r="AB448" s="1049"/>
      <c r="AC448" s="1177">
        <v>36840</v>
      </c>
      <c r="AD448" s="95"/>
      <c r="AE448" s="2210">
        <f>L448-AD448+AC448-AD449+AC449-AD450+AC450-AD451+AC451-AD452+AC452</f>
        <v>184200</v>
      </c>
      <c r="AF448" s="2210">
        <v>36840</v>
      </c>
      <c r="AG448" s="2210">
        <v>33770</v>
      </c>
      <c r="AH448" s="2262">
        <f>AF448+AG448</f>
        <v>70610</v>
      </c>
      <c r="AI448" s="2262"/>
      <c r="AJ448" s="2262"/>
      <c r="AK448" s="2262"/>
      <c r="AL448" s="2262"/>
      <c r="AM448" s="2262"/>
      <c r="AN448" s="1172"/>
      <c r="AO448" s="1178"/>
      <c r="AP448" s="1175"/>
      <c r="AQ448" s="1178"/>
      <c r="AR448" s="1175"/>
      <c r="AS448" s="1049"/>
      <c r="AT448" s="1049"/>
      <c r="AU448" s="1049"/>
      <c r="AV448" s="1049"/>
      <c r="AW448" s="1049"/>
      <c r="AX448" s="1049"/>
      <c r="AY448" s="1049"/>
      <c r="AZ448" s="1049"/>
      <c r="BA448" s="1049"/>
      <c r="BB448" s="1049"/>
      <c r="BC448" s="1049"/>
      <c r="BD448" s="1049"/>
    </row>
    <row r="449" spans="1:56" x14ac:dyDescent="0.25">
      <c r="A449" s="2220"/>
      <c r="B449" s="2223"/>
      <c r="C449" s="2021"/>
      <c r="D449" s="2252"/>
      <c r="E449" s="2021"/>
      <c r="F449" s="2252"/>
      <c r="G449" s="2180"/>
      <c r="H449" s="2214"/>
      <c r="I449" s="2252"/>
      <c r="J449" s="2021"/>
      <c r="K449" s="2217"/>
      <c r="L449" s="2187"/>
      <c r="M449" s="2180"/>
      <c r="N449" s="2217"/>
      <c r="O449" s="2021"/>
      <c r="P449" s="2021"/>
      <c r="Q449" s="2175"/>
      <c r="R449" s="2175"/>
      <c r="S449" s="2175"/>
      <c r="T449" s="2021"/>
      <c r="U449" s="1049" t="s">
        <v>871</v>
      </c>
      <c r="V449" s="715">
        <v>40543</v>
      </c>
      <c r="W449" s="1178">
        <v>10455</v>
      </c>
      <c r="X449" s="2252"/>
      <c r="Y449" s="715">
        <v>40543</v>
      </c>
      <c r="Z449" s="715">
        <v>40908</v>
      </c>
      <c r="AA449" s="1112"/>
      <c r="AB449" s="1112"/>
      <c r="AC449" s="1177">
        <v>36840</v>
      </c>
      <c r="AD449" s="95"/>
      <c r="AE449" s="2211"/>
      <c r="AF449" s="2211"/>
      <c r="AG449" s="2211"/>
      <c r="AH449" s="2263"/>
      <c r="AI449" s="2263"/>
      <c r="AJ449" s="2263"/>
      <c r="AK449" s="2263"/>
      <c r="AL449" s="2263"/>
      <c r="AM449" s="2263"/>
      <c r="AN449" s="1179"/>
      <c r="AO449" s="1178"/>
      <c r="AP449" s="1175"/>
      <c r="AQ449" s="1178"/>
      <c r="AR449" s="1175"/>
      <c r="AS449" s="1049"/>
      <c r="AT449" s="1049"/>
      <c r="AU449" s="1049"/>
      <c r="AV449" s="1049"/>
      <c r="AW449" s="1049"/>
      <c r="AX449" s="1049"/>
      <c r="AY449" s="1049"/>
      <c r="AZ449" s="1049"/>
      <c r="BA449" s="1049"/>
      <c r="BB449" s="1049"/>
      <c r="BC449" s="1049"/>
      <c r="BD449" s="1049"/>
    </row>
    <row r="450" spans="1:56" x14ac:dyDescent="0.25">
      <c r="A450" s="2220"/>
      <c r="B450" s="2223"/>
      <c r="C450" s="2021"/>
      <c r="D450" s="2252"/>
      <c r="E450" s="2021"/>
      <c r="F450" s="2252"/>
      <c r="G450" s="2180"/>
      <c r="H450" s="2214"/>
      <c r="I450" s="2252"/>
      <c r="J450" s="2021"/>
      <c r="K450" s="2217"/>
      <c r="L450" s="2187"/>
      <c r="M450" s="2180"/>
      <c r="N450" s="2217"/>
      <c r="O450" s="2021"/>
      <c r="P450" s="2021"/>
      <c r="Q450" s="2175"/>
      <c r="R450" s="2175"/>
      <c r="S450" s="2175"/>
      <c r="T450" s="2021"/>
      <c r="U450" s="1049" t="s">
        <v>874</v>
      </c>
      <c r="V450" s="715">
        <v>40908</v>
      </c>
      <c r="W450" s="1178">
        <v>10712</v>
      </c>
      <c r="X450" s="2252"/>
      <c r="Y450" s="715">
        <v>40908</v>
      </c>
      <c r="Z450" s="715">
        <v>41274</v>
      </c>
      <c r="AA450" s="1112"/>
      <c r="AB450" s="1112"/>
      <c r="AC450" s="1177">
        <v>36840</v>
      </c>
      <c r="AD450" s="95"/>
      <c r="AE450" s="2211"/>
      <c r="AF450" s="2211"/>
      <c r="AG450" s="2211"/>
      <c r="AH450" s="2263"/>
      <c r="AI450" s="2263"/>
      <c r="AJ450" s="2263"/>
      <c r="AK450" s="2263"/>
      <c r="AL450" s="2263"/>
      <c r="AM450" s="2263"/>
      <c r="AN450" s="1179"/>
      <c r="AO450" s="1178"/>
      <c r="AP450" s="1175"/>
      <c r="AQ450" s="1178"/>
      <c r="AR450" s="1175"/>
      <c r="AS450" s="1049"/>
      <c r="AT450" s="1049"/>
      <c r="AU450" s="1049"/>
      <c r="AV450" s="1049"/>
      <c r="AW450" s="1049"/>
      <c r="AX450" s="1049"/>
      <c r="AY450" s="1049"/>
      <c r="AZ450" s="1049"/>
      <c r="BA450" s="1049"/>
      <c r="BB450" s="1049"/>
      <c r="BC450" s="1049"/>
      <c r="BD450" s="1049"/>
    </row>
    <row r="451" spans="1:56" x14ac:dyDescent="0.25">
      <c r="A451" s="2220"/>
      <c r="B451" s="2223"/>
      <c r="C451" s="2021"/>
      <c r="D451" s="2252"/>
      <c r="E451" s="2021"/>
      <c r="F451" s="2252"/>
      <c r="G451" s="2180"/>
      <c r="H451" s="2214"/>
      <c r="I451" s="2252"/>
      <c r="J451" s="2021"/>
      <c r="K451" s="2217"/>
      <c r="L451" s="2187"/>
      <c r="M451" s="2180"/>
      <c r="N451" s="2217"/>
      <c r="O451" s="2021"/>
      <c r="P451" s="2021"/>
      <c r="Q451" s="2175"/>
      <c r="R451" s="2175"/>
      <c r="S451" s="2175"/>
      <c r="T451" s="2021"/>
      <c r="U451" s="1049" t="s">
        <v>876</v>
      </c>
      <c r="V451" s="715">
        <v>41274</v>
      </c>
      <c r="W451" s="1178">
        <v>10985</v>
      </c>
      <c r="X451" s="2252"/>
      <c r="Y451" s="715">
        <v>41274</v>
      </c>
      <c r="Z451" s="715">
        <v>41639</v>
      </c>
      <c r="AA451" s="1112"/>
      <c r="AB451" s="1112"/>
      <c r="AC451" s="1177">
        <v>36840</v>
      </c>
      <c r="AD451" s="95"/>
      <c r="AE451" s="2211"/>
      <c r="AF451" s="2211"/>
      <c r="AG451" s="2211"/>
      <c r="AH451" s="2263"/>
      <c r="AI451" s="2263"/>
      <c r="AJ451" s="2263"/>
      <c r="AK451" s="2263"/>
      <c r="AL451" s="2263"/>
      <c r="AM451" s="2263"/>
      <c r="AN451" s="1179"/>
      <c r="AO451" s="1178"/>
      <c r="AP451" s="1175"/>
      <c r="AQ451" s="1178"/>
      <c r="AR451" s="1175"/>
      <c r="AS451" s="1049"/>
      <c r="AT451" s="1049"/>
      <c r="AU451" s="1049"/>
      <c r="AV451" s="1049"/>
      <c r="AW451" s="1049"/>
      <c r="AX451" s="1049"/>
      <c r="AY451" s="1049"/>
      <c r="AZ451" s="1049"/>
      <c r="BA451" s="1049"/>
      <c r="BB451" s="1049"/>
      <c r="BC451" s="1049"/>
      <c r="BD451" s="1049"/>
    </row>
    <row r="452" spans="1:56" x14ac:dyDescent="0.25">
      <c r="A452" s="2221"/>
      <c r="B452" s="2224"/>
      <c r="C452" s="1986"/>
      <c r="D452" s="2234"/>
      <c r="E452" s="1986"/>
      <c r="F452" s="2234"/>
      <c r="G452" s="2178"/>
      <c r="H452" s="2215"/>
      <c r="I452" s="2234"/>
      <c r="J452" s="1986"/>
      <c r="K452" s="2218"/>
      <c r="L452" s="2003"/>
      <c r="M452" s="2178"/>
      <c r="N452" s="2218"/>
      <c r="O452" s="1986"/>
      <c r="P452" s="1986"/>
      <c r="Q452" s="2164"/>
      <c r="R452" s="2164"/>
      <c r="S452" s="2164"/>
      <c r="T452" s="1986"/>
      <c r="U452" s="1049" t="s">
        <v>879</v>
      </c>
      <c r="V452" s="1175">
        <v>41639</v>
      </c>
      <c r="W452" s="1178">
        <v>11215</v>
      </c>
      <c r="X452" s="2234"/>
      <c r="Y452" s="1175">
        <v>41639</v>
      </c>
      <c r="Z452" s="1175">
        <v>41973</v>
      </c>
      <c r="AA452" s="1112"/>
      <c r="AB452" s="1112"/>
      <c r="AC452" s="1177">
        <v>33770</v>
      </c>
      <c r="AD452" s="95"/>
      <c r="AE452" s="2212"/>
      <c r="AF452" s="2212"/>
      <c r="AG452" s="2212"/>
      <c r="AH452" s="2264"/>
      <c r="AI452" s="2264"/>
      <c r="AJ452" s="2264"/>
      <c r="AK452" s="2264"/>
      <c r="AL452" s="2264"/>
      <c r="AM452" s="2264"/>
      <c r="AN452" s="1179"/>
      <c r="AO452" s="1178"/>
      <c r="AP452" s="1175"/>
      <c r="AQ452" s="1178"/>
      <c r="AR452" s="1175"/>
      <c r="AS452" s="1049"/>
      <c r="AT452" s="1049"/>
      <c r="AU452" s="1049"/>
      <c r="AV452" s="1049"/>
      <c r="AW452" s="1049"/>
      <c r="AX452" s="1049"/>
      <c r="AY452" s="1049"/>
      <c r="AZ452" s="1049"/>
      <c r="BA452" s="1049"/>
      <c r="BB452" s="1049"/>
      <c r="BC452" s="1049"/>
      <c r="BD452" s="1049"/>
    </row>
    <row r="453" spans="1:56" ht="15" customHeight="1" x14ac:dyDescent="0.25">
      <c r="A453" s="2219">
        <v>281</v>
      </c>
      <c r="B453" s="2227" t="s">
        <v>2428</v>
      </c>
      <c r="C453" s="2163"/>
      <c r="D453" s="2163" t="s">
        <v>690</v>
      </c>
      <c r="E453" s="2163"/>
      <c r="F453" s="2163" t="s">
        <v>2429</v>
      </c>
      <c r="G453" s="2177" t="s">
        <v>677</v>
      </c>
      <c r="H453" s="2213" t="s">
        <v>885</v>
      </c>
      <c r="I453" s="2235" t="s">
        <v>2430</v>
      </c>
      <c r="J453" s="2235" t="s">
        <v>2431</v>
      </c>
      <c r="K453" s="2216">
        <v>39889</v>
      </c>
      <c r="L453" s="2002">
        <v>4496.67</v>
      </c>
      <c r="M453" s="2177">
        <v>10033</v>
      </c>
      <c r="N453" s="2216">
        <v>39889</v>
      </c>
      <c r="O453" s="1985" t="s">
        <v>2414</v>
      </c>
      <c r="P453" s="1985" t="s">
        <v>1354</v>
      </c>
      <c r="Q453" s="2163"/>
      <c r="R453" s="2163"/>
      <c r="S453" s="2163"/>
      <c r="T453" s="2256" t="s">
        <v>158</v>
      </c>
      <c r="U453" s="1049" t="s">
        <v>867</v>
      </c>
      <c r="V453" s="1175">
        <v>40169</v>
      </c>
      <c r="W453" s="1178">
        <v>10216</v>
      </c>
      <c r="X453" s="2231" t="s">
        <v>2378</v>
      </c>
      <c r="Y453" s="715">
        <v>40178</v>
      </c>
      <c r="Z453" s="715">
        <v>40543</v>
      </c>
      <c r="AA453" s="95"/>
      <c r="AB453" s="95"/>
      <c r="AC453" s="1177">
        <v>5796</v>
      </c>
      <c r="AD453" s="95"/>
      <c r="AE453" s="2240">
        <f>L453-AD453+AC453-AD454+AC454-AD455+AC455-AD456+AC456-AD457+AC457</f>
        <v>31226.67</v>
      </c>
      <c r="AF453" s="2210">
        <v>6228</v>
      </c>
      <c r="AG453" s="2210">
        <v>1557</v>
      </c>
      <c r="AH453" s="2210">
        <f>AF453+AG453</f>
        <v>7785</v>
      </c>
      <c r="AI453" s="2163"/>
      <c r="AJ453" s="2163"/>
      <c r="AK453" s="2163"/>
      <c r="AL453" s="2163"/>
      <c r="AM453" s="2163" t="s">
        <v>1311</v>
      </c>
      <c r="AN453" s="2213" t="s">
        <v>1312</v>
      </c>
      <c r="AO453" s="2177">
        <v>10033</v>
      </c>
      <c r="AP453" s="2172">
        <v>39926</v>
      </c>
      <c r="AQ453" s="2177">
        <v>10033</v>
      </c>
      <c r="AR453" s="2172">
        <v>39926</v>
      </c>
      <c r="AS453" s="1049"/>
      <c r="AT453" s="1049"/>
      <c r="AU453" s="1049"/>
      <c r="AV453" s="1049"/>
      <c r="AW453" s="1049"/>
      <c r="AX453" s="1049"/>
      <c r="AY453" s="1049"/>
      <c r="AZ453" s="1049"/>
      <c r="BA453" s="1049"/>
      <c r="BB453" s="1049"/>
      <c r="BC453" s="1049"/>
      <c r="BD453" s="1049"/>
    </row>
    <row r="454" spans="1:56" x14ac:dyDescent="0.25">
      <c r="A454" s="2220"/>
      <c r="B454" s="2272"/>
      <c r="C454" s="2175"/>
      <c r="D454" s="2175"/>
      <c r="E454" s="2175"/>
      <c r="F454" s="2175"/>
      <c r="G454" s="2180"/>
      <c r="H454" s="2214"/>
      <c r="I454" s="2243"/>
      <c r="J454" s="2243"/>
      <c r="K454" s="2217"/>
      <c r="L454" s="2187"/>
      <c r="M454" s="2180"/>
      <c r="N454" s="2217"/>
      <c r="O454" s="2021"/>
      <c r="P454" s="2021"/>
      <c r="Q454" s="2175"/>
      <c r="R454" s="2175"/>
      <c r="S454" s="2175"/>
      <c r="T454" s="2257"/>
      <c r="U454" s="1049" t="s">
        <v>871</v>
      </c>
      <c r="V454" s="1175">
        <v>40507</v>
      </c>
      <c r="W454" s="1178">
        <v>10441</v>
      </c>
      <c r="X454" s="2251"/>
      <c r="Y454" s="715">
        <v>40543</v>
      </c>
      <c r="Z454" s="715">
        <v>40908</v>
      </c>
      <c r="AA454" s="95"/>
      <c r="AB454" s="95"/>
      <c r="AC454" s="1177">
        <v>5796</v>
      </c>
      <c r="AD454" s="95"/>
      <c r="AE454" s="2241"/>
      <c r="AF454" s="2211"/>
      <c r="AG454" s="2211"/>
      <c r="AH454" s="2211"/>
      <c r="AI454" s="2175"/>
      <c r="AJ454" s="2175"/>
      <c r="AK454" s="2175"/>
      <c r="AL454" s="2175"/>
      <c r="AM454" s="2175"/>
      <c r="AN454" s="2214"/>
      <c r="AO454" s="2180"/>
      <c r="AP454" s="2173"/>
      <c r="AQ454" s="2180"/>
      <c r="AR454" s="2173"/>
      <c r="AS454" s="1049"/>
      <c r="AT454" s="1049"/>
      <c r="AU454" s="1049"/>
      <c r="AV454" s="1049"/>
      <c r="AW454" s="1049"/>
      <c r="AX454" s="1049"/>
      <c r="AY454" s="1049"/>
      <c r="AZ454" s="1049"/>
      <c r="BA454" s="1049"/>
      <c r="BB454" s="1049"/>
      <c r="BC454" s="1049"/>
      <c r="BD454" s="1049"/>
    </row>
    <row r="455" spans="1:56" x14ac:dyDescent="0.25">
      <c r="A455" s="2220"/>
      <c r="B455" s="2272"/>
      <c r="C455" s="2175"/>
      <c r="D455" s="2175"/>
      <c r="E455" s="2175"/>
      <c r="F455" s="2175"/>
      <c r="G455" s="2180"/>
      <c r="H455" s="2214"/>
      <c r="I455" s="2243"/>
      <c r="J455" s="2243"/>
      <c r="K455" s="2217"/>
      <c r="L455" s="2187"/>
      <c r="M455" s="2180"/>
      <c r="N455" s="2217"/>
      <c r="O455" s="2021"/>
      <c r="P455" s="2021"/>
      <c r="Q455" s="2175"/>
      <c r="R455" s="2175"/>
      <c r="S455" s="2175"/>
      <c r="T455" s="2257"/>
      <c r="U455" s="1049" t="s">
        <v>874</v>
      </c>
      <c r="V455" s="1175">
        <v>40907</v>
      </c>
      <c r="W455" s="1178">
        <v>10750</v>
      </c>
      <c r="X455" s="2251"/>
      <c r="Y455" s="715">
        <v>40907</v>
      </c>
      <c r="Z455" s="715">
        <v>41274</v>
      </c>
      <c r="AA455" s="1370"/>
      <c r="AB455" s="95"/>
      <c r="AC455" s="1177">
        <v>5796</v>
      </c>
      <c r="AD455" s="95"/>
      <c r="AE455" s="2241"/>
      <c r="AF455" s="2211"/>
      <c r="AG455" s="2211"/>
      <c r="AH455" s="2211"/>
      <c r="AI455" s="2175"/>
      <c r="AJ455" s="2175"/>
      <c r="AK455" s="2175"/>
      <c r="AL455" s="2175"/>
      <c r="AM455" s="2175"/>
      <c r="AN455" s="2214"/>
      <c r="AO455" s="2180"/>
      <c r="AP455" s="2173"/>
      <c r="AQ455" s="2180"/>
      <c r="AR455" s="2173"/>
      <c r="AS455" s="1049"/>
      <c r="AT455" s="1049"/>
      <c r="AU455" s="1049"/>
      <c r="AV455" s="1049"/>
      <c r="AW455" s="1049"/>
      <c r="AX455" s="1049"/>
      <c r="AY455" s="1049"/>
      <c r="AZ455" s="1049"/>
      <c r="BA455" s="1049"/>
      <c r="BB455" s="1049"/>
      <c r="BC455" s="1049"/>
      <c r="BD455" s="1049"/>
    </row>
    <row r="456" spans="1:56" x14ac:dyDescent="0.25">
      <c r="A456" s="2220"/>
      <c r="B456" s="2272"/>
      <c r="C456" s="2175"/>
      <c r="D456" s="2175"/>
      <c r="E456" s="2175"/>
      <c r="F456" s="2175"/>
      <c r="G456" s="2180"/>
      <c r="H456" s="2214"/>
      <c r="I456" s="2243"/>
      <c r="J456" s="2243"/>
      <c r="K456" s="2217"/>
      <c r="L456" s="2187"/>
      <c r="M456" s="2180"/>
      <c r="N456" s="2217"/>
      <c r="O456" s="2021"/>
      <c r="P456" s="2021"/>
      <c r="Q456" s="2175"/>
      <c r="R456" s="2175"/>
      <c r="S456" s="2175"/>
      <c r="T456" s="2257"/>
      <c r="U456" s="1049" t="s">
        <v>876</v>
      </c>
      <c r="V456" s="1175">
        <v>41274</v>
      </c>
      <c r="W456" s="1178">
        <v>10965</v>
      </c>
      <c r="X456" s="2251"/>
      <c r="Y456" s="715">
        <v>41274</v>
      </c>
      <c r="Z456" s="715">
        <v>41639</v>
      </c>
      <c r="AA456" s="95">
        <v>7.4534099999999999</v>
      </c>
      <c r="AB456" s="95"/>
      <c r="AC456" s="1177">
        <v>6228</v>
      </c>
      <c r="AD456" s="95"/>
      <c r="AE456" s="2241"/>
      <c r="AF456" s="2211"/>
      <c r="AG456" s="2211"/>
      <c r="AH456" s="2211"/>
      <c r="AI456" s="2175"/>
      <c r="AJ456" s="2175"/>
      <c r="AK456" s="2175"/>
      <c r="AL456" s="2175"/>
      <c r="AM456" s="2175"/>
      <c r="AN456" s="2214"/>
      <c r="AO456" s="2180"/>
      <c r="AP456" s="2173"/>
      <c r="AQ456" s="2180"/>
      <c r="AR456" s="2173"/>
      <c r="AS456" s="1049"/>
      <c r="AT456" s="1049"/>
      <c r="AU456" s="1049"/>
      <c r="AV456" s="1049"/>
      <c r="AW456" s="1049"/>
      <c r="AX456" s="1049"/>
      <c r="AY456" s="1049"/>
      <c r="AZ456" s="1049"/>
      <c r="BA456" s="1049"/>
      <c r="BB456" s="1049"/>
      <c r="BC456" s="1049"/>
      <c r="BD456" s="1049"/>
    </row>
    <row r="457" spans="1:56" x14ac:dyDescent="0.25">
      <c r="A457" s="2220"/>
      <c r="B457" s="2272"/>
      <c r="C457" s="2175"/>
      <c r="D457" s="2175"/>
      <c r="E457" s="2175"/>
      <c r="F457" s="2175"/>
      <c r="G457" s="2180"/>
      <c r="H457" s="2214"/>
      <c r="I457" s="2243"/>
      <c r="J457" s="2243"/>
      <c r="K457" s="2217"/>
      <c r="L457" s="2187"/>
      <c r="M457" s="2180"/>
      <c r="N457" s="2217"/>
      <c r="O457" s="2021"/>
      <c r="P457" s="2021"/>
      <c r="Q457" s="2175"/>
      <c r="R457" s="2175"/>
      <c r="S457" s="2175"/>
      <c r="T457" s="2257"/>
      <c r="U457" s="1049" t="s">
        <v>879</v>
      </c>
      <c r="V457" s="1175">
        <v>41639</v>
      </c>
      <c r="W457" s="1178">
        <v>11214</v>
      </c>
      <c r="X457" s="2232"/>
      <c r="Y457" s="1049" t="s">
        <v>878</v>
      </c>
      <c r="Z457" s="1175">
        <v>41820</v>
      </c>
      <c r="AA457" s="95"/>
      <c r="AB457" s="95"/>
      <c r="AC457" s="1177">
        <v>3114</v>
      </c>
      <c r="AD457" s="95"/>
      <c r="AE457" s="2241"/>
      <c r="AF457" s="2211"/>
      <c r="AG457" s="2211"/>
      <c r="AH457" s="2211"/>
      <c r="AI457" s="2164"/>
      <c r="AJ457" s="2164"/>
      <c r="AK457" s="2164"/>
      <c r="AL457" s="2164"/>
      <c r="AM457" s="2175"/>
      <c r="AN457" s="2214"/>
      <c r="AO457" s="2180"/>
      <c r="AP457" s="2173"/>
      <c r="AQ457" s="2180"/>
      <c r="AR457" s="2173"/>
      <c r="AS457" s="1049"/>
      <c r="AT457" s="1049"/>
      <c r="AU457" s="1049"/>
      <c r="AV457" s="1049"/>
      <c r="AW457" s="1049"/>
      <c r="AX457" s="1049"/>
      <c r="AY457" s="1049"/>
      <c r="AZ457" s="1049"/>
      <c r="BA457" s="1049"/>
      <c r="BB457" s="1049"/>
      <c r="BC457" s="1049"/>
      <c r="BD457" s="1049"/>
    </row>
    <row r="458" spans="1:56" s="419" customFormat="1" ht="63.75" x14ac:dyDescent="0.25">
      <c r="A458" s="2221"/>
      <c r="B458" s="2228"/>
      <c r="C458" s="2164"/>
      <c r="D458" s="2164"/>
      <c r="E458" s="2164"/>
      <c r="F458" s="2164"/>
      <c r="G458" s="2178"/>
      <c r="H458" s="2215"/>
      <c r="I458" s="2236"/>
      <c r="J458" s="2236"/>
      <c r="K458" s="2218"/>
      <c r="L458" s="2003"/>
      <c r="M458" s="2178"/>
      <c r="N458" s="2218"/>
      <c r="O458" s="1986"/>
      <c r="P458" s="1986"/>
      <c r="Q458" s="2164"/>
      <c r="R458" s="2164"/>
      <c r="S458" s="2164"/>
      <c r="T458" s="2258"/>
      <c r="U458" s="1049" t="s">
        <v>1355</v>
      </c>
      <c r="V458" s="1175">
        <v>41723</v>
      </c>
      <c r="W458" s="1178">
        <v>11276</v>
      </c>
      <c r="X458" s="1176" t="s">
        <v>2432</v>
      </c>
      <c r="Y458" s="1049"/>
      <c r="Z458" s="1175"/>
      <c r="AA458" s="95"/>
      <c r="AB458" s="95"/>
      <c r="AC458" s="1177"/>
      <c r="AD458" s="95"/>
      <c r="AE458" s="2242"/>
      <c r="AF458" s="2212"/>
      <c r="AG458" s="2212"/>
      <c r="AH458" s="2212"/>
      <c r="AI458" s="1113"/>
      <c r="AJ458" s="1113"/>
      <c r="AK458" s="1113"/>
      <c r="AL458" s="1113"/>
      <c r="AM458" s="2164"/>
      <c r="AN458" s="2215"/>
      <c r="AO458" s="2178"/>
      <c r="AP458" s="2174"/>
      <c r="AQ458" s="2178"/>
      <c r="AR458" s="2174"/>
      <c r="AS458" s="1049"/>
      <c r="AT458" s="1049"/>
      <c r="AU458" s="1049"/>
      <c r="AV458" s="1049"/>
      <c r="AW458" s="1049"/>
      <c r="AX458" s="1049"/>
      <c r="AY458" s="1049"/>
      <c r="AZ458" s="1049"/>
      <c r="BA458" s="1049"/>
      <c r="BB458" s="1049"/>
      <c r="BC458" s="1049"/>
      <c r="BD458" s="1049"/>
    </row>
    <row r="459" spans="1:56" ht="15" customHeight="1" x14ac:dyDescent="0.25">
      <c r="A459" s="2219">
        <v>282</v>
      </c>
      <c r="B459" s="2194">
        <v>123180220</v>
      </c>
      <c r="C459" s="1985"/>
      <c r="D459" s="2163" t="s">
        <v>690</v>
      </c>
      <c r="E459" s="1985"/>
      <c r="F459" s="2163" t="s">
        <v>2433</v>
      </c>
      <c r="G459" s="2177" t="s">
        <v>677</v>
      </c>
      <c r="H459" s="2213" t="s">
        <v>2434</v>
      </c>
      <c r="I459" s="1985" t="s">
        <v>2435</v>
      </c>
      <c r="J459" s="1985" t="s">
        <v>2436</v>
      </c>
      <c r="K459" s="2216">
        <v>39952</v>
      </c>
      <c r="L459" s="2002">
        <v>4267.43</v>
      </c>
      <c r="M459" s="2177">
        <v>10067</v>
      </c>
      <c r="N459" s="2216">
        <v>39952</v>
      </c>
      <c r="O459" s="1985" t="s">
        <v>2414</v>
      </c>
      <c r="P459" s="1985" t="s">
        <v>1354</v>
      </c>
      <c r="Q459" s="2163"/>
      <c r="R459" s="2163"/>
      <c r="S459" s="2163"/>
      <c r="T459" s="1985" t="s">
        <v>158</v>
      </c>
      <c r="U459" s="1049" t="s">
        <v>867</v>
      </c>
      <c r="V459" s="1175">
        <v>40134</v>
      </c>
      <c r="W459" s="1178">
        <v>10180</v>
      </c>
      <c r="X459" s="2231" t="s">
        <v>2378</v>
      </c>
      <c r="Y459" s="1175">
        <v>40178</v>
      </c>
      <c r="Z459" s="715">
        <v>40543</v>
      </c>
      <c r="AA459" s="95"/>
      <c r="AB459" s="95"/>
      <c r="AC459" s="1177">
        <v>6948</v>
      </c>
      <c r="AD459" s="95"/>
      <c r="AE459" s="2240">
        <f>L459-AD459+AC459-AD460+AC460-AD461+AC461-AD462+AC462-AD463+AC463-AD464+AC464</f>
        <v>50133.11</v>
      </c>
      <c r="AF459" s="2210">
        <v>7194</v>
      </c>
      <c r="AG459" s="2210">
        <v>8256</v>
      </c>
      <c r="AH459" s="2240">
        <f>AF459+AG459</f>
        <v>15450</v>
      </c>
      <c r="AI459" s="2163"/>
      <c r="AJ459" s="2163"/>
      <c r="AK459" s="2163"/>
      <c r="AL459" s="2163"/>
      <c r="AM459" s="2163" t="s">
        <v>1311</v>
      </c>
      <c r="AN459" s="2213" t="s">
        <v>1312</v>
      </c>
      <c r="AO459" s="2177">
        <v>10067</v>
      </c>
      <c r="AP459" s="2172">
        <v>39976</v>
      </c>
      <c r="AQ459" s="2177">
        <v>10067</v>
      </c>
      <c r="AR459" s="2172">
        <v>39976</v>
      </c>
      <c r="AS459" s="2163"/>
      <c r="AT459" s="2163"/>
      <c r="AU459" s="2163"/>
      <c r="AV459" s="2163"/>
      <c r="AW459" s="2163"/>
      <c r="AX459" s="2163"/>
      <c r="AY459" s="2163"/>
      <c r="AZ459" s="2163"/>
      <c r="BA459" s="2163"/>
      <c r="BB459" s="2163"/>
      <c r="BC459" s="2163"/>
      <c r="BD459" s="2163"/>
    </row>
    <row r="460" spans="1:56" x14ac:dyDescent="0.25">
      <c r="A460" s="2220"/>
      <c r="B460" s="2195"/>
      <c r="C460" s="2021"/>
      <c r="D460" s="2175"/>
      <c r="E460" s="2021"/>
      <c r="F460" s="2175"/>
      <c r="G460" s="2180"/>
      <c r="H460" s="2214"/>
      <c r="I460" s="2021"/>
      <c r="J460" s="2021"/>
      <c r="K460" s="2217"/>
      <c r="L460" s="2187"/>
      <c r="M460" s="2180"/>
      <c r="N460" s="2217"/>
      <c r="O460" s="2021"/>
      <c r="P460" s="2021"/>
      <c r="Q460" s="2175"/>
      <c r="R460" s="2175"/>
      <c r="S460" s="2175"/>
      <c r="T460" s="2021"/>
      <c r="U460" s="1049" t="s">
        <v>871</v>
      </c>
      <c r="V460" s="715">
        <v>40543</v>
      </c>
      <c r="W460" s="1178">
        <v>10441</v>
      </c>
      <c r="X460" s="2251"/>
      <c r="Y460" s="715">
        <v>40543</v>
      </c>
      <c r="Z460" s="715">
        <v>40908</v>
      </c>
      <c r="AA460" s="95"/>
      <c r="AB460" s="95"/>
      <c r="AC460" s="1177">
        <v>6948</v>
      </c>
      <c r="AD460" s="95"/>
      <c r="AE460" s="2241"/>
      <c r="AF460" s="2211"/>
      <c r="AG460" s="2211"/>
      <c r="AH460" s="2241"/>
      <c r="AI460" s="2175"/>
      <c r="AJ460" s="2175"/>
      <c r="AK460" s="2175"/>
      <c r="AL460" s="2175"/>
      <c r="AM460" s="2175"/>
      <c r="AN460" s="2214"/>
      <c r="AO460" s="2180"/>
      <c r="AP460" s="2173"/>
      <c r="AQ460" s="2180"/>
      <c r="AR460" s="2173"/>
      <c r="AS460" s="2175"/>
      <c r="AT460" s="2175"/>
      <c r="AU460" s="2175"/>
      <c r="AV460" s="2175"/>
      <c r="AW460" s="2175"/>
      <c r="AX460" s="2175"/>
      <c r="AY460" s="2175"/>
      <c r="AZ460" s="2175"/>
      <c r="BA460" s="2175"/>
      <c r="BB460" s="2175"/>
      <c r="BC460" s="2175"/>
      <c r="BD460" s="2175"/>
    </row>
    <row r="461" spans="1:56" x14ac:dyDescent="0.25">
      <c r="A461" s="2220"/>
      <c r="B461" s="2195"/>
      <c r="C461" s="2021"/>
      <c r="D461" s="2175"/>
      <c r="E461" s="2021"/>
      <c r="F461" s="2175"/>
      <c r="G461" s="2180"/>
      <c r="H461" s="2214"/>
      <c r="I461" s="2021"/>
      <c r="J461" s="2021"/>
      <c r="K461" s="2217"/>
      <c r="L461" s="2187"/>
      <c r="M461" s="2180"/>
      <c r="N461" s="2217"/>
      <c r="O461" s="2021"/>
      <c r="P461" s="2021"/>
      <c r="Q461" s="2175"/>
      <c r="R461" s="2175"/>
      <c r="S461" s="2175"/>
      <c r="T461" s="2021"/>
      <c r="U461" s="1049" t="s">
        <v>874</v>
      </c>
      <c r="V461" s="715">
        <v>40908</v>
      </c>
      <c r="W461" s="1178">
        <v>10735</v>
      </c>
      <c r="X461" s="2251"/>
      <c r="Y461" s="715">
        <v>40908</v>
      </c>
      <c r="Z461" s="715">
        <v>41274</v>
      </c>
      <c r="AA461" s="95">
        <v>5.1813399999999996</v>
      </c>
      <c r="AB461" s="95"/>
      <c r="AC461" s="1177">
        <v>7308</v>
      </c>
      <c r="AD461" s="95"/>
      <c r="AE461" s="2241"/>
      <c r="AF461" s="2211"/>
      <c r="AG461" s="2211"/>
      <c r="AH461" s="2241"/>
      <c r="AI461" s="2175"/>
      <c r="AJ461" s="2175"/>
      <c r="AK461" s="2175"/>
      <c r="AL461" s="2175"/>
      <c r="AM461" s="2175"/>
      <c r="AN461" s="2214"/>
      <c r="AO461" s="2180"/>
      <c r="AP461" s="2173"/>
      <c r="AQ461" s="2180"/>
      <c r="AR461" s="2173"/>
      <c r="AS461" s="2175"/>
      <c r="AT461" s="2175"/>
      <c r="AU461" s="2175"/>
      <c r="AV461" s="2175"/>
      <c r="AW461" s="2175"/>
      <c r="AX461" s="2175"/>
      <c r="AY461" s="2175"/>
      <c r="AZ461" s="2175"/>
      <c r="BA461" s="2175"/>
      <c r="BB461" s="2175"/>
      <c r="BC461" s="2175"/>
      <c r="BD461" s="2175"/>
    </row>
    <row r="462" spans="1:56" x14ac:dyDescent="0.25">
      <c r="A462" s="2220"/>
      <c r="B462" s="2195"/>
      <c r="C462" s="2021"/>
      <c r="D462" s="2175"/>
      <c r="E462" s="2021"/>
      <c r="F462" s="2175"/>
      <c r="G462" s="2180"/>
      <c r="H462" s="2214"/>
      <c r="I462" s="2021"/>
      <c r="J462" s="2021"/>
      <c r="K462" s="2217"/>
      <c r="L462" s="2187"/>
      <c r="M462" s="2180"/>
      <c r="N462" s="2217"/>
      <c r="O462" s="2021"/>
      <c r="P462" s="2021"/>
      <c r="Q462" s="2175"/>
      <c r="R462" s="2175"/>
      <c r="S462" s="2175"/>
      <c r="T462" s="2021"/>
      <c r="U462" s="1049" t="s">
        <v>876</v>
      </c>
      <c r="V462" s="715">
        <v>41274</v>
      </c>
      <c r="W462" s="1178">
        <v>10965</v>
      </c>
      <c r="X462" s="2251"/>
      <c r="Y462" s="715">
        <v>41274</v>
      </c>
      <c r="Z462" s="715">
        <v>41639</v>
      </c>
      <c r="AA462" s="95">
        <v>7.3891600000000004</v>
      </c>
      <c r="AB462" s="95"/>
      <c r="AC462" s="1177">
        <v>7848</v>
      </c>
      <c r="AD462" s="95"/>
      <c r="AE462" s="2241"/>
      <c r="AF462" s="2211"/>
      <c r="AG462" s="2211"/>
      <c r="AH462" s="2241"/>
      <c r="AI462" s="2175"/>
      <c r="AJ462" s="2175"/>
      <c r="AK462" s="2175"/>
      <c r="AL462" s="2175"/>
      <c r="AM462" s="2175"/>
      <c r="AN462" s="2214"/>
      <c r="AO462" s="2180"/>
      <c r="AP462" s="2173"/>
      <c r="AQ462" s="2180"/>
      <c r="AR462" s="2173"/>
      <c r="AS462" s="2175"/>
      <c r="AT462" s="2175"/>
      <c r="AU462" s="2175"/>
      <c r="AV462" s="2175"/>
      <c r="AW462" s="2175"/>
      <c r="AX462" s="2175"/>
      <c r="AY462" s="2175"/>
      <c r="AZ462" s="2175"/>
      <c r="BA462" s="2175"/>
      <c r="BB462" s="2175"/>
      <c r="BC462" s="2175"/>
      <c r="BD462" s="2175"/>
    </row>
    <row r="463" spans="1:56" x14ac:dyDescent="0.25">
      <c r="A463" s="2220"/>
      <c r="B463" s="2195"/>
      <c r="C463" s="2021"/>
      <c r="D463" s="2175"/>
      <c r="E463" s="2021"/>
      <c r="F463" s="2175"/>
      <c r="G463" s="2180"/>
      <c r="H463" s="2214"/>
      <c r="I463" s="2021"/>
      <c r="J463" s="2021"/>
      <c r="K463" s="2217"/>
      <c r="L463" s="2187"/>
      <c r="M463" s="2180"/>
      <c r="N463" s="2217"/>
      <c r="O463" s="2021"/>
      <c r="P463" s="2021"/>
      <c r="Q463" s="2175"/>
      <c r="R463" s="2175"/>
      <c r="S463" s="2175"/>
      <c r="T463" s="2021"/>
      <c r="U463" s="1049" t="s">
        <v>879</v>
      </c>
      <c r="V463" s="1049" t="s">
        <v>878</v>
      </c>
      <c r="W463" s="1178">
        <v>11215</v>
      </c>
      <c r="X463" s="2232"/>
      <c r="Y463" s="1049" t="s">
        <v>878</v>
      </c>
      <c r="Z463" s="1049" t="s">
        <v>932</v>
      </c>
      <c r="AA463" s="95">
        <v>5.1987699999999997</v>
      </c>
      <c r="AB463" s="95"/>
      <c r="AC463" s="1177">
        <v>8256</v>
      </c>
      <c r="AD463" s="95"/>
      <c r="AE463" s="2241"/>
      <c r="AF463" s="2211"/>
      <c r="AG463" s="2211"/>
      <c r="AH463" s="2241"/>
      <c r="AI463" s="2175"/>
      <c r="AJ463" s="2175"/>
      <c r="AK463" s="2175"/>
      <c r="AL463" s="2175"/>
      <c r="AM463" s="2175"/>
      <c r="AN463" s="2214"/>
      <c r="AO463" s="2180"/>
      <c r="AP463" s="2173"/>
      <c r="AQ463" s="2180"/>
      <c r="AR463" s="2173"/>
      <c r="AS463" s="2175"/>
      <c r="AT463" s="2175"/>
      <c r="AU463" s="2175"/>
      <c r="AV463" s="2175"/>
      <c r="AW463" s="2175"/>
      <c r="AX463" s="2175"/>
      <c r="AY463" s="2175"/>
      <c r="AZ463" s="2175"/>
      <c r="BA463" s="2175"/>
      <c r="BB463" s="2175"/>
      <c r="BC463" s="2175"/>
      <c r="BD463" s="2175"/>
    </row>
    <row r="464" spans="1:56" ht="51" x14ac:dyDescent="0.25">
      <c r="A464" s="2221"/>
      <c r="B464" s="2196"/>
      <c r="C464" s="1986"/>
      <c r="D464" s="2164"/>
      <c r="E464" s="1986"/>
      <c r="F464" s="2164"/>
      <c r="G464" s="2178"/>
      <c r="H464" s="2215"/>
      <c r="I464" s="1986"/>
      <c r="J464" s="1986"/>
      <c r="K464" s="2218"/>
      <c r="L464" s="2003"/>
      <c r="M464" s="2178"/>
      <c r="N464" s="2218"/>
      <c r="O464" s="1986"/>
      <c r="P464" s="1986"/>
      <c r="Q464" s="2164"/>
      <c r="R464" s="2164"/>
      <c r="S464" s="2164"/>
      <c r="T464" s="1986"/>
      <c r="U464" s="1049" t="s">
        <v>882</v>
      </c>
      <c r="V464" s="1175">
        <v>41988</v>
      </c>
      <c r="W464" s="1178">
        <v>11459</v>
      </c>
      <c r="X464" s="1176" t="s">
        <v>2437</v>
      </c>
      <c r="Y464" s="1175">
        <v>42004</v>
      </c>
      <c r="Z464" s="1175">
        <v>42369</v>
      </c>
      <c r="AA464" s="95">
        <v>3.6543000000000001</v>
      </c>
      <c r="AB464" s="95"/>
      <c r="AC464" s="1177">
        <v>8557.68</v>
      </c>
      <c r="AD464" s="95"/>
      <c r="AE464" s="2242"/>
      <c r="AF464" s="2212"/>
      <c r="AG464" s="2212"/>
      <c r="AH464" s="2242"/>
      <c r="AI464" s="2164"/>
      <c r="AJ464" s="2164"/>
      <c r="AK464" s="2164"/>
      <c r="AL464" s="2164"/>
      <c r="AM464" s="2164"/>
      <c r="AN464" s="2215"/>
      <c r="AO464" s="2178"/>
      <c r="AP464" s="2174"/>
      <c r="AQ464" s="2178"/>
      <c r="AR464" s="2174"/>
      <c r="AS464" s="2164"/>
      <c r="AT464" s="2164"/>
      <c r="AU464" s="2164"/>
      <c r="AV464" s="2164"/>
      <c r="AW464" s="2164"/>
      <c r="AX464" s="2164"/>
      <c r="AY464" s="2164"/>
      <c r="AZ464" s="2164"/>
      <c r="BA464" s="2164"/>
      <c r="BB464" s="2164"/>
      <c r="BC464" s="2164"/>
      <c r="BD464" s="2164"/>
    </row>
    <row r="465" spans="1:56" ht="15" customHeight="1" x14ac:dyDescent="0.25">
      <c r="A465" s="2219">
        <v>283</v>
      </c>
      <c r="B465" s="2253">
        <v>123180204</v>
      </c>
      <c r="C465" s="2163"/>
      <c r="D465" s="2163" t="s">
        <v>690</v>
      </c>
      <c r="E465" s="2163"/>
      <c r="F465" s="2163" t="s">
        <v>2438</v>
      </c>
      <c r="G465" s="2177" t="s">
        <v>677</v>
      </c>
      <c r="H465" s="2213" t="s">
        <v>2439</v>
      </c>
      <c r="I465" s="1985" t="s">
        <v>2440</v>
      </c>
      <c r="J465" s="2235" t="s">
        <v>2441</v>
      </c>
      <c r="K465" s="2216">
        <v>40120</v>
      </c>
      <c r="L465" s="2210">
        <v>8700</v>
      </c>
      <c r="M465" s="2177">
        <v>10165</v>
      </c>
      <c r="N465" s="2216">
        <v>40120</v>
      </c>
      <c r="O465" s="2172">
        <v>40178</v>
      </c>
      <c r="P465" s="1060" t="s">
        <v>1354</v>
      </c>
      <c r="Q465" s="2163"/>
      <c r="R465" s="2163"/>
      <c r="S465" s="2163"/>
      <c r="T465" s="2256" t="s">
        <v>208</v>
      </c>
      <c r="U465" s="1049" t="s">
        <v>867</v>
      </c>
      <c r="V465" s="1175">
        <v>40171</v>
      </c>
      <c r="W465" s="1178">
        <v>10207</v>
      </c>
      <c r="X465" s="2231" t="s">
        <v>2378</v>
      </c>
      <c r="Y465" s="1175">
        <v>40178</v>
      </c>
      <c r="Z465" s="1175">
        <v>40543</v>
      </c>
      <c r="AA465" s="95"/>
      <c r="AB465" s="95"/>
      <c r="AC465" s="1177">
        <v>54000</v>
      </c>
      <c r="AD465" s="95"/>
      <c r="AE465" s="2240">
        <f>L465-AD465+AC465-AD466+AC466-AD467+AC467-AD468+AC468-AD469+AC469-AD470+AC470</f>
        <v>380646.6</v>
      </c>
      <c r="AF465" s="2210">
        <v>58784</v>
      </c>
      <c r="AG465" s="2210">
        <v>67500</v>
      </c>
      <c r="AH465" s="2210">
        <f>AF465+AG465</f>
        <v>126284</v>
      </c>
      <c r="AI465" s="2225"/>
      <c r="AJ465" s="2225"/>
      <c r="AK465" s="2163"/>
      <c r="AL465" s="2163"/>
      <c r="AM465" s="2163" t="s">
        <v>1311</v>
      </c>
      <c r="AN465" s="2213" t="s">
        <v>1312</v>
      </c>
      <c r="AO465" s="2177">
        <v>10171</v>
      </c>
      <c r="AP465" s="2172">
        <v>40127</v>
      </c>
      <c r="AQ465" s="2177">
        <v>10171</v>
      </c>
      <c r="AR465" s="2172">
        <v>40127</v>
      </c>
      <c r="AS465" s="2163"/>
      <c r="AT465" s="2163"/>
      <c r="AU465" s="2163"/>
      <c r="AV465" s="2163"/>
      <c r="AW465" s="2163"/>
      <c r="AX465" s="2163"/>
      <c r="AY465" s="2163"/>
      <c r="AZ465" s="2163"/>
      <c r="BA465" s="2163"/>
      <c r="BB465" s="2163"/>
      <c r="BC465" s="2163"/>
      <c r="BD465" s="2163"/>
    </row>
    <row r="466" spans="1:56" x14ac:dyDescent="0.25">
      <c r="A466" s="2220"/>
      <c r="B466" s="2254"/>
      <c r="C466" s="2175"/>
      <c r="D466" s="2175"/>
      <c r="E466" s="2175"/>
      <c r="F466" s="2175"/>
      <c r="G466" s="2180"/>
      <c r="H466" s="2214"/>
      <c r="I466" s="2021"/>
      <c r="J466" s="2243"/>
      <c r="K466" s="2217"/>
      <c r="L466" s="2211"/>
      <c r="M466" s="2180"/>
      <c r="N466" s="2217"/>
      <c r="O466" s="2173"/>
      <c r="P466" s="343" t="s">
        <v>1900</v>
      </c>
      <c r="Q466" s="2175"/>
      <c r="R466" s="2175"/>
      <c r="S466" s="2175"/>
      <c r="T466" s="2257"/>
      <c r="U466" s="1049" t="s">
        <v>871</v>
      </c>
      <c r="V466" s="715">
        <v>40532</v>
      </c>
      <c r="W466" s="1178">
        <v>10473</v>
      </c>
      <c r="X466" s="2251"/>
      <c r="Y466" s="715">
        <v>40543</v>
      </c>
      <c r="Z466" s="715">
        <v>40908</v>
      </c>
      <c r="AA466" s="1415">
        <v>5</v>
      </c>
      <c r="AB466" s="95"/>
      <c r="AC466" s="1177">
        <v>56700</v>
      </c>
      <c r="AD466" s="95"/>
      <c r="AE466" s="2241"/>
      <c r="AF466" s="2211"/>
      <c r="AG466" s="2211"/>
      <c r="AH466" s="2211"/>
      <c r="AI466" s="2239"/>
      <c r="AJ466" s="2239"/>
      <c r="AK466" s="2175"/>
      <c r="AL466" s="2175"/>
      <c r="AM466" s="2175"/>
      <c r="AN466" s="2214"/>
      <c r="AO466" s="2180"/>
      <c r="AP466" s="2173"/>
      <c r="AQ466" s="2180"/>
      <c r="AR466" s="2173"/>
      <c r="AS466" s="2175"/>
      <c r="AT466" s="2175"/>
      <c r="AU466" s="2175"/>
      <c r="AV466" s="2175"/>
      <c r="AW466" s="2175"/>
      <c r="AX466" s="2175"/>
      <c r="AY466" s="2175"/>
      <c r="AZ466" s="2175"/>
      <c r="BA466" s="2175"/>
      <c r="BB466" s="2175"/>
      <c r="BC466" s="2175"/>
      <c r="BD466" s="2175"/>
    </row>
    <row r="467" spans="1:56" x14ac:dyDescent="0.25">
      <c r="A467" s="2220"/>
      <c r="B467" s="2254"/>
      <c r="C467" s="2175"/>
      <c r="D467" s="2175"/>
      <c r="E467" s="2175"/>
      <c r="F467" s="2175"/>
      <c r="G467" s="2180"/>
      <c r="H467" s="2214"/>
      <c r="I467" s="2021"/>
      <c r="J467" s="2243"/>
      <c r="K467" s="2217"/>
      <c r="L467" s="2211"/>
      <c r="M467" s="2180"/>
      <c r="N467" s="2217"/>
      <c r="O467" s="2173"/>
      <c r="P467" s="343" t="s">
        <v>1900</v>
      </c>
      <c r="Q467" s="2175"/>
      <c r="R467" s="2175"/>
      <c r="S467" s="2175"/>
      <c r="T467" s="2257"/>
      <c r="U467" s="1049" t="s">
        <v>874</v>
      </c>
      <c r="V467" s="715">
        <v>40908</v>
      </c>
      <c r="W467" s="1178"/>
      <c r="X467" s="2251"/>
      <c r="Y467" s="715">
        <v>40908</v>
      </c>
      <c r="Z467" s="715">
        <v>41274</v>
      </c>
      <c r="AA467" s="95">
        <v>5.20634</v>
      </c>
      <c r="AB467" s="95"/>
      <c r="AC467" s="1177">
        <v>59652</v>
      </c>
      <c r="AD467" s="95"/>
      <c r="AE467" s="2241"/>
      <c r="AF467" s="2211"/>
      <c r="AG467" s="2211"/>
      <c r="AH467" s="2211"/>
      <c r="AI467" s="2239"/>
      <c r="AJ467" s="2239"/>
      <c r="AK467" s="2175"/>
      <c r="AL467" s="2175"/>
      <c r="AM467" s="2175"/>
      <c r="AN467" s="2214"/>
      <c r="AO467" s="2180"/>
      <c r="AP467" s="2173"/>
      <c r="AQ467" s="2180"/>
      <c r="AR467" s="2173"/>
      <c r="AS467" s="2175"/>
      <c r="AT467" s="2175"/>
      <c r="AU467" s="2175"/>
      <c r="AV467" s="2175"/>
      <c r="AW467" s="2175"/>
      <c r="AX467" s="2175"/>
      <c r="AY467" s="2175"/>
      <c r="AZ467" s="2175"/>
      <c r="BA467" s="2175"/>
      <c r="BB467" s="2175"/>
      <c r="BC467" s="2175"/>
      <c r="BD467" s="2175"/>
    </row>
    <row r="468" spans="1:56" x14ac:dyDescent="0.25">
      <c r="A468" s="2220"/>
      <c r="B468" s="2254"/>
      <c r="C468" s="2175"/>
      <c r="D468" s="2175"/>
      <c r="E468" s="2175"/>
      <c r="F468" s="2175"/>
      <c r="G468" s="2180"/>
      <c r="H468" s="2214"/>
      <c r="I468" s="2021"/>
      <c r="J468" s="2243"/>
      <c r="K468" s="2217"/>
      <c r="L468" s="2211"/>
      <c r="M468" s="2180"/>
      <c r="N468" s="2217"/>
      <c r="O468" s="2173"/>
      <c r="P468" s="343" t="s">
        <v>1900</v>
      </c>
      <c r="Q468" s="2175"/>
      <c r="R468" s="2175"/>
      <c r="S468" s="2175"/>
      <c r="T468" s="2257"/>
      <c r="U468" s="1049" t="s">
        <v>876</v>
      </c>
      <c r="V468" s="715">
        <v>41274</v>
      </c>
      <c r="W468" s="1178">
        <v>10963</v>
      </c>
      <c r="X468" s="2251"/>
      <c r="Y468" s="715">
        <v>41274</v>
      </c>
      <c r="Z468" s="715">
        <v>41639</v>
      </c>
      <c r="AA468" s="95">
        <v>7.50352</v>
      </c>
      <c r="AB468" s="95"/>
      <c r="AC468" s="1177">
        <v>64128</v>
      </c>
      <c r="AD468" s="95"/>
      <c r="AE468" s="2241"/>
      <c r="AF468" s="2211"/>
      <c r="AG468" s="2211"/>
      <c r="AH468" s="2211"/>
      <c r="AI468" s="2239"/>
      <c r="AJ468" s="2239"/>
      <c r="AK468" s="2175"/>
      <c r="AL468" s="2175"/>
      <c r="AM468" s="2175"/>
      <c r="AN468" s="2214"/>
      <c r="AO468" s="2180"/>
      <c r="AP468" s="2173"/>
      <c r="AQ468" s="2180"/>
      <c r="AR468" s="2173"/>
      <c r="AS468" s="2175"/>
      <c r="AT468" s="2175"/>
      <c r="AU468" s="2175"/>
      <c r="AV468" s="2175"/>
      <c r="AW468" s="2175"/>
      <c r="AX468" s="2175"/>
      <c r="AY468" s="2175"/>
      <c r="AZ468" s="2175"/>
      <c r="BA468" s="2175"/>
      <c r="BB468" s="2175"/>
      <c r="BC468" s="2175"/>
      <c r="BD468" s="2175"/>
    </row>
    <row r="469" spans="1:56" x14ac:dyDescent="0.25">
      <c r="A469" s="2220"/>
      <c r="B469" s="2254"/>
      <c r="C469" s="2175"/>
      <c r="D469" s="2175"/>
      <c r="E469" s="2175"/>
      <c r="F469" s="2175"/>
      <c r="G469" s="2180"/>
      <c r="H469" s="2214"/>
      <c r="I469" s="2021"/>
      <c r="J469" s="2243"/>
      <c r="K469" s="2217"/>
      <c r="L469" s="2211"/>
      <c r="M469" s="2180"/>
      <c r="N469" s="2217"/>
      <c r="O469" s="2173"/>
      <c r="P469" s="343" t="s">
        <v>1900</v>
      </c>
      <c r="Q469" s="2175"/>
      <c r="R469" s="2175"/>
      <c r="S469" s="2175"/>
      <c r="T469" s="2257"/>
      <c r="U469" s="1049" t="s">
        <v>879</v>
      </c>
      <c r="V469" s="1049" t="s">
        <v>878</v>
      </c>
      <c r="W469" s="1178">
        <v>11215</v>
      </c>
      <c r="X469" s="2232"/>
      <c r="Y469" s="1049" t="s">
        <v>878</v>
      </c>
      <c r="Z469" s="1049" t="s">
        <v>932</v>
      </c>
      <c r="AA469" s="95">
        <v>5.2582300000000002</v>
      </c>
      <c r="AB469" s="95"/>
      <c r="AC469" s="1177">
        <v>67500</v>
      </c>
      <c r="AD469" s="95"/>
      <c r="AE469" s="2241"/>
      <c r="AF469" s="2211"/>
      <c r="AG469" s="2211"/>
      <c r="AH469" s="2211"/>
      <c r="AI469" s="2239"/>
      <c r="AJ469" s="2239"/>
      <c r="AK469" s="2175"/>
      <c r="AL469" s="2175"/>
      <c r="AM469" s="2175"/>
      <c r="AN469" s="2214"/>
      <c r="AO469" s="2180"/>
      <c r="AP469" s="2173"/>
      <c r="AQ469" s="2180"/>
      <c r="AR469" s="2173"/>
      <c r="AS469" s="2175"/>
      <c r="AT469" s="2175"/>
      <c r="AU469" s="2175"/>
      <c r="AV469" s="2175"/>
      <c r="AW469" s="2175"/>
      <c r="AX469" s="2175"/>
      <c r="AY469" s="2175"/>
      <c r="AZ469" s="2175"/>
      <c r="BA469" s="2175"/>
      <c r="BB469" s="2175"/>
      <c r="BC469" s="2175"/>
      <c r="BD469" s="2175"/>
    </row>
    <row r="470" spans="1:56" ht="51" x14ac:dyDescent="0.25">
      <c r="A470" s="2221"/>
      <c r="B470" s="2255"/>
      <c r="C470" s="2164"/>
      <c r="D470" s="2164"/>
      <c r="E470" s="2164"/>
      <c r="F470" s="2164"/>
      <c r="G470" s="2178"/>
      <c r="H470" s="2215"/>
      <c r="I470" s="1986"/>
      <c r="J470" s="2236"/>
      <c r="K470" s="2218"/>
      <c r="L470" s="2212"/>
      <c r="M470" s="2178"/>
      <c r="N470" s="2218"/>
      <c r="O470" s="2174"/>
      <c r="P470" s="343" t="s">
        <v>1900</v>
      </c>
      <c r="Q470" s="2164"/>
      <c r="R470" s="2164"/>
      <c r="S470" s="2164"/>
      <c r="T470" s="2258"/>
      <c r="U470" s="1049" t="s">
        <v>882</v>
      </c>
      <c r="V470" s="1175">
        <v>41988</v>
      </c>
      <c r="W470" s="1178">
        <v>11461</v>
      </c>
      <c r="X470" s="1173" t="s">
        <v>2442</v>
      </c>
      <c r="Y470" s="1175">
        <v>42004</v>
      </c>
      <c r="Z470" s="1175">
        <v>42369</v>
      </c>
      <c r="AA470" s="95">
        <v>3.6543000000000001</v>
      </c>
      <c r="AB470" s="95"/>
      <c r="AC470" s="1177">
        <v>69966.600000000006</v>
      </c>
      <c r="AD470" s="95"/>
      <c r="AE470" s="2242"/>
      <c r="AF470" s="2212"/>
      <c r="AG470" s="2212"/>
      <c r="AH470" s="2212"/>
      <c r="AI470" s="2226"/>
      <c r="AJ470" s="2226"/>
      <c r="AK470" s="2164"/>
      <c r="AL470" s="2164"/>
      <c r="AM470" s="2164"/>
      <c r="AN470" s="2215"/>
      <c r="AO470" s="2178"/>
      <c r="AP470" s="2174"/>
      <c r="AQ470" s="2178"/>
      <c r="AR470" s="2174"/>
      <c r="AS470" s="2164"/>
      <c r="AT470" s="2164"/>
      <c r="AU470" s="2164"/>
      <c r="AV470" s="2164"/>
      <c r="AW470" s="2164"/>
      <c r="AX470" s="2164"/>
      <c r="AY470" s="2164"/>
      <c r="AZ470" s="2164"/>
      <c r="BA470" s="2164"/>
      <c r="BB470" s="2164"/>
      <c r="BC470" s="2164"/>
      <c r="BD470" s="2164"/>
    </row>
    <row r="471" spans="1:56" ht="33.75" customHeight="1" x14ac:dyDescent="0.25">
      <c r="A471" s="2219">
        <v>284</v>
      </c>
      <c r="B471" s="2253">
        <v>123180206</v>
      </c>
      <c r="C471" s="2163"/>
      <c r="D471" s="2163" t="s">
        <v>690</v>
      </c>
      <c r="E471" s="2163"/>
      <c r="F471" s="2163" t="s">
        <v>2443</v>
      </c>
      <c r="G471" s="2177" t="s">
        <v>677</v>
      </c>
      <c r="H471" s="2213" t="s">
        <v>2444</v>
      </c>
      <c r="I471" s="2235" t="s">
        <v>2445</v>
      </c>
      <c r="J471" s="2235" t="s">
        <v>2446</v>
      </c>
      <c r="K471" s="2216">
        <v>39995</v>
      </c>
      <c r="L471" s="2210">
        <v>2845.26</v>
      </c>
      <c r="M471" s="2177">
        <v>10094</v>
      </c>
      <c r="N471" s="2216">
        <v>39995</v>
      </c>
      <c r="O471" s="2172">
        <v>40178</v>
      </c>
      <c r="P471" s="1985" t="s">
        <v>1354</v>
      </c>
      <c r="Q471" s="2163"/>
      <c r="R471" s="2163"/>
      <c r="S471" s="2163"/>
      <c r="T471" s="2256" t="s">
        <v>158</v>
      </c>
      <c r="U471" s="1049" t="s">
        <v>867</v>
      </c>
      <c r="V471" s="1175">
        <v>40169</v>
      </c>
      <c r="W471" s="1178">
        <v>10207</v>
      </c>
      <c r="X471" s="95" t="s">
        <v>2378</v>
      </c>
      <c r="Y471" s="1175">
        <v>40178</v>
      </c>
      <c r="Z471" s="715">
        <v>40543</v>
      </c>
      <c r="AA471" s="95">
        <v>1.4318500000000001</v>
      </c>
      <c r="AB471" s="95"/>
      <c r="AC471" s="1177">
        <v>5772</v>
      </c>
      <c r="AD471" s="95"/>
      <c r="AE471" s="2240">
        <f>L471-AD471+AC471-AD472+AC472-AD473+AC473-AD474+AC474-AD475+AC475-AD476+AC476</f>
        <v>40968.060000000005</v>
      </c>
      <c r="AF471" s="2210">
        <v>6528</v>
      </c>
      <c r="AG471" s="2210">
        <v>6864</v>
      </c>
      <c r="AH471" s="2240">
        <f>AF471+AG471</f>
        <v>13392</v>
      </c>
      <c r="AI471" s="2163"/>
      <c r="AJ471" s="2163"/>
      <c r="AK471" s="2163"/>
      <c r="AL471" s="2163"/>
      <c r="AM471" s="2163" t="s">
        <v>1311</v>
      </c>
      <c r="AN471" s="2213" t="s">
        <v>1312</v>
      </c>
      <c r="AO471" s="2177">
        <v>10094</v>
      </c>
      <c r="AP471" s="2213" t="s">
        <v>2447</v>
      </c>
      <c r="AQ471" s="2177">
        <v>10094</v>
      </c>
      <c r="AR471" s="2213" t="s">
        <v>2447</v>
      </c>
      <c r="AS471" s="1049"/>
      <c r="AT471" s="1049"/>
      <c r="AU471" s="1049"/>
      <c r="AV471" s="1049"/>
      <c r="AW471" s="1049"/>
      <c r="AX471" s="1049"/>
      <c r="AY471" s="1049"/>
      <c r="AZ471" s="1049"/>
      <c r="BA471" s="1049"/>
      <c r="BB471" s="1049"/>
      <c r="BC471" s="1049"/>
      <c r="BD471" s="1049"/>
    </row>
    <row r="472" spans="1:56" x14ac:dyDescent="0.25">
      <c r="A472" s="2220"/>
      <c r="B472" s="2254"/>
      <c r="C472" s="2175"/>
      <c r="D472" s="2175"/>
      <c r="E472" s="2175"/>
      <c r="F472" s="2175"/>
      <c r="G472" s="2180"/>
      <c r="H472" s="2214"/>
      <c r="I472" s="2243"/>
      <c r="J472" s="2243"/>
      <c r="K472" s="2217"/>
      <c r="L472" s="2211"/>
      <c r="M472" s="2180"/>
      <c r="N472" s="2217"/>
      <c r="O472" s="2173"/>
      <c r="P472" s="2021"/>
      <c r="Q472" s="2175"/>
      <c r="R472" s="2175"/>
      <c r="S472" s="2175"/>
      <c r="T472" s="2257"/>
      <c r="U472" s="1049" t="s">
        <v>871</v>
      </c>
      <c r="V472" s="715">
        <v>40543</v>
      </c>
      <c r="W472" s="1178">
        <v>10445</v>
      </c>
      <c r="X472" s="95" t="s">
        <v>2378</v>
      </c>
      <c r="Y472" s="715">
        <v>40543</v>
      </c>
      <c r="Z472" s="715">
        <v>40908</v>
      </c>
      <c r="AA472" s="95"/>
      <c r="AB472" s="95"/>
      <c r="AC472" s="1177">
        <v>5772</v>
      </c>
      <c r="AD472" s="95"/>
      <c r="AE472" s="2241"/>
      <c r="AF472" s="2211"/>
      <c r="AG472" s="2211"/>
      <c r="AH472" s="2241"/>
      <c r="AI472" s="2175"/>
      <c r="AJ472" s="2175"/>
      <c r="AK472" s="2175"/>
      <c r="AL472" s="2175"/>
      <c r="AM472" s="2175"/>
      <c r="AN472" s="2214"/>
      <c r="AO472" s="2180"/>
      <c r="AP472" s="2214"/>
      <c r="AQ472" s="2180"/>
      <c r="AR472" s="2214"/>
      <c r="AS472" s="1049"/>
      <c r="AT472" s="1049"/>
      <c r="AU472" s="1049"/>
      <c r="AV472" s="1049"/>
      <c r="AW472" s="1049"/>
      <c r="AX472" s="1049"/>
      <c r="AY472" s="1049"/>
      <c r="AZ472" s="1049"/>
      <c r="BA472" s="1049"/>
      <c r="BB472" s="1049"/>
      <c r="BC472" s="1049"/>
      <c r="BD472" s="1049"/>
    </row>
    <row r="473" spans="1:56" x14ac:dyDescent="0.25">
      <c r="A473" s="2220"/>
      <c r="B473" s="2254"/>
      <c r="C473" s="2175"/>
      <c r="D473" s="2175"/>
      <c r="E473" s="2175"/>
      <c r="F473" s="2175"/>
      <c r="G473" s="2180"/>
      <c r="H473" s="2214"/>
      <c r="I473" s="2243"/>
      <c r="J473" s="2243"/>
      <c r="K473" s="2217"/>
      <c r="L473" s="2211"/>
      <c r="M473" s="2180"/>
      <c r="N473" s="2217"/>
      <c r="O473" s="2173"/>
      <c r="P473" s="2021"/>
      <c r="Q473" s="2175"/>
      <c r="R473" s="2175"/>
      <c r="S473" s="2175"/>
      <c r="T473" s="2257"/>
      <c r="U473" s="1049" t="s">
        <v>874</v>
      </c>
      <c r="V473" s="715">
        <v>40907</v>
      </c>
      <c r="W473" s="1178">
        <v>10734</v>
      </c>
      <c r="X473" s="95" t="s">
        <v>2378</v>
      </c>
      <c r="Y473" s="715">
        <v>40907</v>
      </c>
      <c r="Z473" s="715">
        <v>41274</v>
      </c>
      <c r="AA473" s="95">
        <v>5.1974999999999998</v>
      </c>
      <c r="AB473" s="95"/>
      <c r="AC473" s="1177">
        <v>6072</v>
      </c>
      <c r="AD473" s="95"/>
      <c r="AE473" s="2241"/>
      <c r="AF473" s="2211"/>
      <c r="AG473" s="2211"/>
      <c r="AH473" s="2241"/>
      <c r="AI473" s="2175"/>
      <c r="AJ473" s="2175"/>
      <c r="AK473" s="2175"/>
      <c r="AL473" s="2175"/>
      <c r="AM473" s="2175"/>
      <c r="AN473" s="2214"/>
      <c r="AO473" s="2180"/>
      <c r="AP473" s="2214"/>
      <c r="AQ473" s="2180"/>
      <c r="AR473" s="2214"/>
      <c r="AS473" s="1049"/>
      <c r="AT473" s="1049"/>
      <c r="AU473" s="1049"/>
      <c r="AV473" s="1049"/>
      <c r="AW473" s="1049"/>
      <c r="AX473" s="1049"/>
      <c r="AY473" s="1049"/>
      <c r="AZ473" s="1049"/>
      <c r="BA473" s="1049"/>
      <c r="BB473" s="1049"/>
      <c r="BC473" s="1049"/>
      <c r="BD473" s="1049"/>
    </row>
    <row r="474" spans="1:56" x14ac:dyDescent="0.25">
      <c r="A474" s="2220"/>
      <c r="B474" s="2254"/>
      <c r="C474" s="2175"/>
      <c r="D474" s="2175"/>
      <c r="E474" s="2175"/>
      <c r="F474" s="2175"/>
      <c r="G474" s="2180"/>
      <c r="H474" s="2214"/>
      <c r="I474" s="2243"/>
      <c r="J474" s="2243"/>
      <c r="K474" s="2217"/>
      <c r="L474" s="2211"/>
      <c r="M474" s="2180"/>
      <c r="N474" s="2217"/>
      <c r="O474" s="2173"/>
      <c r="P474" s="2021"/>
      <c r="Q474" s="2175"/>
      <c r="R474" s="2175"/>
      <c r="S474" s="2175"/>
      <c r="T474" s="2257"/>
      <c r="U474" s="1049" t="s">
        <v>876</v>
      </c>
      <c r="V474" s="715">
        <v>41274</v>
      </c>
      <c r="W474" s="1178">
        <v>10963</v>
      </c>
      <c r="X474" s="95" t="s">
        <v>2378</v>
      </c>
      <c r="Y474" s="715">
        <v>41274</v>
      </c>
      <c r="Z474" s="715">
        <v>41639</v>
      </c>
      <c r="AA474" s="95">
        <v>7.5098799999999999</v>
      </c>
      <c r="AB474" s="95"/>
      <c r="AC474" s="1177">
        <v>6528</v>
      </c>
      <c r="AD474" s="95"/>
      <c r="AE474" s="2241"/>
      <c r="AF474" s="2211"/>
      <c r="AG474" s="2211"/>
      <c r="AH474" s="2241"/>
      <c r="AI474" s="2175"/>
      <c r="AJ474" s="2175"/>
      <c r="AK474" s="2175"/>
      <c r="AL474" s="2175"/>
      <c r="AM474" s="2175"/>
      <c r="AN474" s="2214"/>
      <c r="AO474" s="2180"/>
      <c r="AP474" s="2214"/>
      <c r="AQ474" s="2180"/>
      <c r="AR474" s="2214"/>
      <c r="AS474" s="1049"/>
      <c r="AT474" s="1049"/>
      <c r="AU474" s="1049"/>
      <c r="AV474" s="1049"/>
      <c r="AW474" s="1049"/>
      <c r="AX474" s="1049"/>
      <c r="AY474" s="1049"/>
      <c r="AZ474" s="1049"/>
      <c r="BA474" s="1049"/>
      <c r="BB474" s="1049"/>
      <c r="BC474" s="1049"/>
      <c r="BD474" s="1049"/>
    </row>
    <row r="475" spans="1:56" x14ac:dyDescent="0.25">
      <c r="A475" s="2220"/>
      <c r="B475" s="2254"/>
      <c r="C475" s="2175"/>
      <c r="D475" s="2175"/>
      <c r="E475" s="2175"/>
      <c r="F475" s="2175"/>
      <c r="G475" s="2180"/>
      <c r="H475" s="2214"/>
      <c r="I475" s="2243"/>
      <c r="J475" s="2243"/>
      <c r="K475" s="2217"/>
      <c r="L475" s="2211"/>
      <c r="M475" s="2180"/>
      <c r="N475" s="2217"/>
      <c r="O475" s="2173"/>
      <c r="P475" s="2021"/>
      <c r="Q475" s="2175"/>
      <c r="R475" s="2175"/>
      <c r="S475" s="2175"/>
      <c r="T475" s="2257"/>
      <c r="U475" s="1049" t="s">
        <v>879</v>
      </c>
      <c r="V475" s="1049" t="s">
        <v>878</v>
      </c>
      <c r="W475" s="1178">
        <v>11213</v>
      </c>
      <c r="X475" s="95" t="s">
        <v>2378</v>
      </c>
      <c r="Y475" s="1049" t="s">
        <v>878</v>
      </c>
      <c r="Z475" s="1049" t="s">
        <v>932</v>
      </c>
      <c r="AA475" s="95">
        <v>5.1470500000000001</v>
      </c>
      <c r="AB475" s="95"/>
      <c r="AC475" s="1177">
        <v>6864</v>
      </c>
      <c r="AD475" s="95"/>
      <c r="AE475" s="2241"/>
      <c r="AF475" s="2211"/>
      <c r="AG475" s="2211"/>
      <c r="AH475" s="2241"/>
      <c r="AI475" s="2175"/>
      <c r="AJ475" s="2175"/>
      <c r="AK475" s="2175"/>
      <c r="AL475" s="2175"/>
      <c r="AM475" s="2175"/>
      <c r="AN475" s="2214"/>
      <c r="AO475" s="2180"/>
      <c r="AP475" s="2214"/>
      <c r="AQ475" s="2180"/>
      <c r="AR475" s="2214"/>
      <c r="AS475" s="1049"/>
      <c r="AT475" s="1049"/>
      <c r="AU475" s="1049"/>
      <c r="AV475" s="1049"/>
      <c r="AW475" s="1049"/>
      <c r="AX475" s="1049"/>
      <c r="AY475" s="1049"/>
      <c r="AZ475" s="1049"/>
      <c r="BA475" s="1049"/>
      <c r="BB475" s="1049"/>
      <c r="BC475" s="1049"/>
      <c r="BD475" s="1049"/>
    </row>
    <row r="476" spans="1:56" ht="38.25" x14ac:dyDescent="0.25">
      <c r="A476" s="2221"/>
      <c r="B476" s="2255"/>
      <c r="C476" s="2164"/>
      <c r="D476" s="2164"/>
      <c r="E476" s="2164"/>
      <c r="F476" s="2164"/>
      <c r="G476" s="2178"/>
      <c r="H476" s="2215"/>
      <c r="I476" s="2236"/>
      <c r="J476" s="2236"/>
      <c r="K476" s="2218"/>
      <c r="L476" s="2212"/>
      <c r="M476" s="2178"/>
      <c r="N476" s="2218"/>
      <c r="O476" s="2174"/>
      <c r="P476" s="1986"/>
      <c r="Q476" s="2164"/>
      <c r="R476" s="2164"/>
      <c r="S476" s="2164"/>
      <c r="T476" s="2258"/>
      <c r="U476" s="1049" t="s">
        <v>882</v>
      </c>
      <c r="V476" s="1175">
        <v>41988</v>
      </c>
      <c r="W476" s="1178">
        <v>11462</v>
      </c>
      <c r="X476" s="727" t="s">
        <v>2448</v>
      </c>
      <c r="Y476" s="1175">
        <v>42004</v>
      </c>
      <c r="Z476" s="1175">
        <v>42369</v>
      </c>
      <c r="AA476" s="95">
        <v>3.6543000000000001</v>
      </c>
      <c r="AB476" s="95"/>
      <c r="AC476" s="1177">
        <v>7114.8</v>
      </c>
      <c r="AD476" s="95"/>
      <c r="AE476" s="2242"/>
      <c r="AF476" s="2212"/>
      <c r="AG476" s="2212"/>
      <c r="AH476" s="2242"/>
      <c r="AI476" s="2164"/>
      <c r="AJ476" s="2164"/>
      <c r="AK476" s="2164"/>
      <c r="AL476" s="2164"/>
      <c r="AM476" s="2164"/>
      <c r="AN476" s="2215"/>
      <c r="AO476" s="2178"/>
      <c r="AP476" s="2215"/>
      <c r="AQ476" s="2178"/>
      <c r="AR476" s="2215"/>
      <c r="AS476" s="1112"/>
      <c r="AT476" s="1112"/>
      <c r="AU476" s="1112"/>
      <c r="AV476" s="1112"/>
      <c r="AW476" s="1112"/>
      <c r="AX476" s="1112"/>
      <c r="AY476" s="1112"/>
      <c r="AZ476" s="1112"/>
      <c r="BA476" s="1112"/>
      <c r="BB476" s="1112"/>
      <c r="BC476" s="1112"/>
      <c r="BD476" s="1112"/>
    </row>
    <row r="477" spans="1:56" ht="15" customHeight="1" x14ac:dyDescent="0.25">
      <c r="A477" s="2219">
        <v>285</v>
      </c>
      <c r="B477" s="2253">
        <v>123180197</v>
      </c>
      <c r="C477" s="2163"/>
      <c r="D477" s="2163" t="s">
        <v>690</v>
      </c>
      <c r="E477" s="2163"/>
      <c r="F477" s="2163" t="s">
        <v>2449</v>
      </c>
      <c r="G477" s="2177" t="s">
        <v>677</v>
      </c>
      <c r="H477" s="2213" t="s">
        <v>2450</v>
      </c>
      <c r="I477" s="1985" t="s">
        <v>2451</v>
      </c>
      <c r="J477" s="1985" t="s">
        <v>2452</v>
      </c>
      <c r="K477" s="1996">
        <v>39861</v>
      </c>
      <c r="L477" s="2210">
        <v>5824</v>
      </c>
      <c r="M477" s="2177">
        <v>10201</v>
      </c>
      <c r="N477" s="1996">
        <v>39861</v>
      </c>
      <c r="O477" s="2172">
        <v>40178</v>
      </c>
      <c r="P477" s="1985" t="s">
        <v>1354</v>
      </c>
      <c r="Q477" s="2163"/>
      <c r="R477" s="2163"/>
      <c r="S477" s="2163"/>
      <c r="T477" s="2256" t="s">
        <v>158</v>
      </c>
      <c r="U477" s="1049" t="s">
        <v>867</v>
      </c>
      <c r="V477" s="1175">
        <v>40178</v>
      </c>
      <c r="W477" s="1178">
        <v>10207</v>
      </c>
      <c r="X477" s="2231" t="s">
        <v>2378</v>
      </c>
      <c r="Y477" s="1175">
        <v>40178</v>
      </c>
      <c r="Z477" s="1175">
        <v>40359</v>
      </c>
      <c r="AA477" s="95"/>
      <c r="AB477" s="95"/>
      <c r="AC477" s="1177">
        <v>3414</v>
      </c>
      <c r="AD477" s="95"/>
      <c r="AE477" s="2240">
        <f>L477-AD477+AC477-AD478+AC478-AD479+AC479-AD480+AC480-AD481+AC481-AD482+AC482-AD483+AC483</f>
        <v>45324.76</v>
      </c>
      <c r="AF477" s="2210">
        <v>7320</v>
      </c>
      <c r="AG477" s="2210">
        <v>7704</v>
      </c>
      <c r="AH477" s="2240">
        <f>AF477+AG477</f>
        <v>15024</v>
      </c>
      <c r="AI477" s="2163"/>
      <c r="AJ477" s="2163"/>
      <c r="AK477" s="2163"/>
      <c r="AL477" s="2163"/>
      <c r="AM477" s="2163" t="s">
        <v>1311</v>
      </c>
      <c r="AN477" s="2213" t="s">
        <v>1312</v>
      </c>
      <c r="AO477" s="2177">
        <v>10006</v>
      </c>
      <c r="AP477" s="2172">
        <v>39884</v>
      </c>
      <c r="AQ477" s="2177">
        <v>10006</v>
      </c>
      <c r="AR477" s="2172">
        <v>39884</v>
      </c>
      <c r="AS477" s="2163"/>
      <c r="AT477" s="2163"/>
      <c r="AU477" s="2163"/>
      <c r="AV477" s="2163"/>
      <c r="AW477" s="2163"/>
      <c r="AX477" s="2163"/>
      <c r="AY477" s="2163"/>
      <c r="AZ477" s="2163"/>
      <c r="BA477" s="2163"/>
      <c r="BB477" s="2163"/>
      <c r="BC477" s="2163"/>
      <c r="BD477" s="2163"/>
    </row>
    <row r="478" spans="1:56" x14ac:dyDescent="0.25">
      <c r="A478" s="2220"/>
      <c r="B478" s="2254"/>
      <c r="C478" s="2175"/>
      <c r="D478" s="2175"/>
      <c r="E478" s="2175"/>
      <c r="F478" s="2175"/>
      <c r="G478" s="2180"/>
      <c r="H478" s="2214"/>
      <c r="I478" s="2021"/>
      <c r="J478" s="2021"/>
      <c r="K478" s="2033"/>
      <c r="L478" s="2211"/>
      <c r="M478" s="2180"/>
      <c r="N478" s="2033"/>
      <c r="O478" s="2173"/>
      <c r="P478" s="2021"/>
      <c r="Q478" s="2175"/>
      <c r="R478" s="2175"/>
      <c r="S478" s="2175"/>
      <c r="T478" s="2257"/>
      <c r="U478" s="1049" t="s">
        <v>871</v>
      </c>
      <c r="V478" s="1175">
        <v>40359</v>
      </c>
      <c r="W478" s="1178">
        <v>10325</v>
      </c>
      <c r="X478" s="2251"/>
      <c r="Y478" s="1175">
        <v>40359</v>
      </c>
      <c r="Z478" s="1175">
        <v>40543</v>
      </c>
      <c r="AA478" s="95"/>
      <c r="AB478" s="95"/>
      <c r="AC478" s="1177">
        <v>3414</v>
      </c>
      <c r="AD478" s="95"/>
      <c r="AE478" s="2241"/>
      <c r="AF478" s="2211"/>
      <c r="AG478" s="2211"/>
      <c r="AH478" s="2241"/>
      <c r="AI478" s="2175"/>
      <c r="AJ478" s="2175"/>
      <c r="AK478" s="2175"/>
      <c r="AL478" s="2175"/>
      <c r="AM478" s="2175"/>
      <c r="AN478" s="2214"/>
      <c r="AO478" s="2180"/>
      <c r="AP478" s="2173"/>
      <c r="AQ478" s="2180"/>
      <c r="AR478" s="2173"/>
      <c r="AS478" s="2175"/>
      <c r="AT478" s="2175"/>
      <c r="AU478" s="2175"/>
      <c r="AV478" s="2175"/>
      <c r="AW478" s="2175"/>
      <c r="AX478" s="2175"/>
      <c r="AY478" s="2175"/>
      <c r="AZ478" s="2175"/>
      <c r="BA478" s="2175"/>
      <c r="BB478" s="2175"/>
      <c r="BC478" s="2175"/>
      <c r="BD478" s="2175"/>
    </row>
    <row r="479" spans="1:56" x14ac:dyDescent="0.25">
      <c r="A479" s="2220"/>
      <c r="B479" s="2254"/>
      <c r="C479" s="2175"/>
      <c r="D479" s="2175"/>
      <c r="E479" s="2175"/>
      <c r="F479" s="2175"/>
      <c r="G479" s="2180"/>
      <c r="H479" s="2214"/>
      <c r="I479" s="2021"/>
      <c r="J479" s="2021"/>
      <c r="K479" s="2033"/>
      <c r="L479" s="2211"/>
      <c r="M479" s="2180"/>
      <c r="N479" s="2033"/>
      <c r="O479" s="2173"/>
      <c r="P479" s="2021"/>
      <c r="Q479" s="2175"/>
      <c r="R479" s="2175"/>
      <c r="S479" s="2175"/>
      <c r="T479" s="2257"/>
      <c r="U479" s="1049" t="s">
        <v>874</v>
      </c>
      <c r="V479" s="715">
        <v>40543</v>
      </c>
      <c r="W479" s="1178">
        <v>10445</v>
      </c>
      <c r="X479" s="2251"/>
      <c r="Y479" s="715">
        <v>40543</v>
      </c>
      <c r="Z479" s="715">
        <v>40908</v>
      </c>
      <c r="AA479" s="95"/>
      <c r="AB479" s="95"/>
      <c r="AC479" s="1177">
        <v>6828</v>
      </c>
      <c r="AD479" s="95"/>
      <c r="AE479" s="2241"/>
      <c r="AF479" s="2211"/>
      <c r="AG479" s="2211"/>
      <c r="AH479" s="2241"/>
      <c r="AI479" s="2175"/>
      <c r="AJ479" s="2175"/>
      <c r="AK479" s="2175"/>
      <c r="AL479" s="2175"/>
      <c r="AM479" s="2175"/>
      <c r="AN479" s="2214"/>
      <c r="AO479" s="2180"/>
      <c r="AP479" s="2173"/>
      <c r="AQ479" s="2180"/>
      <c r="AR479" s="2173"/>
      <c r="AS479" s="2175"/>
      <c r="AT479" s="2175"/>
      <c r="AU479" s="2175"/>
      <c r="AV479" s="2175"/>
      <c r="AW479" s="2175"/>
      <c r="AX479" s="2175"/>
      <c r="AY479" s="2175"/>
      <c r="AZ479" s="2175"/>
      <c r="BA479" s="2175"/>
      <c r="BB479" s="2175"/>
      <c r="BC479" s="2175"/>
      <c r="BD479" s="2175"/>
    </row>
    <row r="480" spans="1:56" x14ac:dyDescent="0.25">
      <c r="A480" s="2220"/>
      <c r="B480" s="2254"/>
      <c r="C480" s="2175"/>
      <c r="D480" s="2175"/>
      <c r="E480" s="2175"/>
      <c r="F480" s="2175"/>
      <c r="G480" s="2180"/>
      <c r="H480" s="2214"/>
      <c r="I480" s="2021"/>
      <c r="J480" s="2021"/>
      <c r="K480" s="2033"/>
      <c r="L480" s="2211"/>
      <c r="M480" s="2180"/>
      <c r="N480" s="2033"/>
      <c r="O480" s="2173"/>
      <c r="P480" s="2021"/>
      <c r="Q480" s="2175"/>
      <c r="R480" s="2175"/>
      <c r="S480" s="2175"/>
      <c r="T480" s="2257"/>
      <c r="U480" s="1049" t="s">
        <v>876</v>
      </c>
      <c r="V480" s="715">
        <v>40908</v>
      </c>
      <c r="W480" s="1178">
        <v>10734</v>
      </c>
      <c r="X480" s="2251"/>
      <c r="Y480" s="715">
        <v>40908</v>
      </c>
      <c r="Z480" s="715">
        <v>41274</v>
      </c>
      <c r="AA480" s="95"/>
      <c r="AB480" s="95"/>
      <c r="AC480" s="1177">
        <v>6828</v>
      </c>
      <c r="AD480" s="95"/>
      <c r="AE480" s="2241"/>
      <c r="AF480" s="2211"/>
      <c r="AG480" s="2211"/>
      <c r="AH480" s="2241"/>
      <c r="AI480" s="2175"/>
      <c r="AJ480" s="2175"/>
      <c r="AK480" s="2175"/>
      <c r="AL480" s="2175"/>
      <c r="AM480" s="2175"/>
      <c r="AN480" s="2214"/>
      <c r="AO480" s="2180"/>
      <c r="AP480" s="2173"/>
      <c r="AQ480" s="2180"/>
      <c r="AR480" s="2173"/>
      <c r="AS480" s="2175"/>
      <c r="AT480" s="2175"/>
      <c r="AU480" s="2175"/>
      <c r="AV480" s="2175"/>
      <c r="AW480" s="2175"/>
      <c r="AX480" s="2175"/>
      <c r="AY480" s="2175"/>
      <c r="AZ480" s="2175"/>
      <c r="BA480" s="2175"/>
      <c r="BB480" s="2175"/>
      <c r="BC480" s="2175"/>
      <c r="BD480" s="2175"/>
    </row>
    <row r="481" spans="1:56" x14ac:dyDescent="0.25">
      <c r="A481" s="2220"/>
      <c r="B481" s="2254"/>
      <c r="C481" s="2175"/>
      <c r="D481" s="2175"/>
      <c r="E481" s="2175"/>
      <c r="F481" s="2175"/>
      <c r="G481" s="2180"/>
      <c r="H481" s="2214"/>
      <c r="I481" s="2021"/>
      <c r="J481" s="2021"/>
      <c r="K481" s="2033"/>
      <c r="L481" s="2211"/>
      <c r="M481" s="2180"/>
      <c r="N481" s="2033"/>
      <c r="O481" s="2173"/>
      <c r="P481" s="2021"/>
      <c r="Q481" s="2175"/>
      <c r="R481" s="2175"/>
      <c r="S481" s="2175"/>
      <c r="T481" s="2257"/>
      <c r="U481" s="1049" t="s">
        <v>876</v>
      </c>
      <c r="V481" s="715">
        <v>41274</v>
      </c>
      <c r="W481" s="1178">
        <v>10963</v>
      </c>
      <c r="X481" s="2251"/>
      <c r="Y481" s="715">
        <v>41274</v>
      </c>
      <c r="Z481" s="715">
        <v>41639</v>
      </c>
      <c r="AA481" s="95">
        <v>7.2056199999999997</v>
      </c>
      <c r="AB481" s="95"/>
      <c r="AC481" s="1177">
        <v>7320</v>
      </c>
      <c r="AD481" s="95"/>
      <c r="AE481" s="2241"/>
      <c r="AF481" s="2211"/>
      <c r="AG481" s="2211"/>
      <c r="AH481" s="2241"/>
      <c r="AI481" s="2175"/>
      <c r="AJ481" s="2175"/>
      <c r="AK481" s="2175"/>
      <c r="AL481" s="2175"/>
      <c r="AM481" s="2175"/>
      <c r="AN481" s="2214"/>
      <c r="AO481" s="2180"/>
      <c r="AP481" s="2173"/>
      <c r="AQ481" s="2180"/>
      <c r="AR481" s="2173"/>
      <c r="AS481" s="2175"/>
      <c r="AT481" s="2175"/>
      <c r="AU481" s="2175"/>
      <c r="AV481" s="2175"/>
      <c r="AW481" s="2175"/>
      <c r="AX481" s="2175"/>
      <c r="AY481" s="2175"/>
      <c r="AZ481" s="2175"/>
      <c r="BA481" s="2175"/>
      <c r="BB481" s="2175"/>
      <c r="BC481" s="2175"/>
      <c r="BD481" s="2175"/>
    </row>
    <row r="482" spans="1:56" x14ac:dyDescent="0.25">
      <c r="A482" s="2220"/>
      <c r="B482" s="2254"/>
      <c r="C482" s="2175"/>
      <c r="D482" s="2175"/>
      <c r="E482" s="2175"/>
      <c r="F482" s="2175"/>
      <c r="G482" s="2180"/>
      <c r="H482" s="2214"/>
      <c r="I482" s="2021"/>
      <c r="J482" s="2021"/>
      <c r="K482" s="2033"/>
      <c r="L482" s="2211"/>
      <c r="M482" s="2180"/>
      <c r="N482" s="2033"/>
      <c r="O482" s="2173"/>
      <c r="P482" s="2021"/>
      <c r="Q482" s="2175"/>
      <c r="R482" s="2175"/>
      <c r="S482" s="2175"/>
      <c r="T482" s="2257"/>
      <c r="U482" s="1418" t="s">
        <v>879</v>
      </c>
      <c r="V482" s="1049" t="s">
        <v>878</v>
      </c>
      <c r="W482" s="1178">
        <v>11213</v>
      </c>
      <c r="X482" s="2232"/>
      <c r="Y482" s="1049" t="s">
        <v>878</v>
      </c>
      <c r="Z482" s="1049" t="s">
        <v>932</v>
      </c>
      <c r="AA482" s="95">
        <v>5.2458999999999998</v>
      </c>
      <c r="AB482" s="95"/>
      <c r="AC482" s="1177">
        <v>7704</v>
      </c>
      <c r="AD482" s="95"/>
      <c r="AE482" s="2241"/>
      <c r="AF482" s="2211"/>
      <c r="AG482" s="2211"/>
      <c r="AH482" s="2241"/>
      <c r="AI482" s="2175"/>
      <c r="AJ482" s="2175"/>
      <c r="AK482" s="2175"/>
      <c r="AL482" s="2175"/>
      <c r="AM482" s="2175"/>
      <c r="AN482" s="2214"/>
      <c r="AO482" s="2180"/>
      <c r="AP482" s="2173"/>
      <c r="AQ482" s="2180"/>
      <c r="AR482" s="2173"/>
      <c r="AS482" s="2175"/>
      <c r="AT482" s="2175"/>
      <c r="AU482" s="2175"/>
      <c r="AV482" s="2175"/>
      <c r="AW482" s="2175"/>
      <c r="AX482" s="2175"/>
      <c r="AY482" s="2175"/>
      <c r="AZ482" s="2175"/>
      <c r="BA482" s="2175"/>
      <c r="BB482" s="2175"/>
      <c r="BC482" s="2175"/>
      <c r="BD482" s="2175"/>
    </row>
    <row r="483" spans="1:56" ht="51" x14ac:dyDescent="0.25">
      <c r="A483" s="2221"/>
      <c r="B483" s="2255"/>
      <c r="C483" s="2164"/>
      <c r="D483" s="2164"/>
      <c r="E483" s="2164"/>
      <c r="F483" s="2164"/>
      <c r="G483" s="2178"/>
      <c r="H483" s="2215"/>
      <c r="I483" s="1986"/>
      <c r="J483" s="1986"/>
      <c r="K483" s="1997"/>
      <c r="L483" s="2212"/>
      <c r="M483" s="2178"/>
      <c r="N483" s="1997"/>
      <c r="O483" s="2174"/>
      <c r="P483" s="1986"/>
      <c r="Q483" s="2164"/>
      <c r="R483" s="2164"/>
      <c r="S483" s="2164"/>
      <c r="T483" s="2258"/>
      <c r="U483" s="1049" t="s">
        <v>882</v>
      </c>
      <c r="V483" s="1175">
        <v>41988</v>
      </c>
      <c r="W483" s="1178">
        <v>11461</v>
      </c>
      <c r="X483" s="1176" t="s">
        <v>2453</v>
      </c>
      <c r="Y483" s="1175">
        <v>42004</v>
      </c>
      <c r="Z483" s="1175">
        <v>42185</v>
      </c>
      <c r="AA483" s="95">
        <v>3.6543000000000001</v>
      </c>
      <c r="AB483" s="95"/>
      <c r="AC483" s="1177">
        <v>3992.76</v>
      </c>
      <c r="AD483" s="95"/>
      <c r="AE483" s="2242"/>
      <c r="AF483" s="2212"/>
      <c r="AG483" s="2212"/>
      <c r="AH483" s="2242"/>
      <c r="AI483" s="2164"/>
      <c r="AJ483" s="2164"/>
      <c r="AK483" s="2164"/>
      <c r="AL483" s="2164"/>
      <c r="AM483" s="2164"/>
      <c r="AN483" s="2215"/>
      <c r="AO483" s="2178"/>
      <c r="AP483" s="2174"/>
      <c r="AQ483" s="2178"/>
      <c r="AR483" s="2174"/>
      <c r="AS483" s="2164"/>
      <c r="AT483" s="2164"/>
      <c r="AU483" s="2164"/>
      <c r="AV483" s="2164"/>
      <c r="AW483" s="2164"/>
      <c r="AX483" s="2164"/>
      <c r="AY483" s="2164"/>
      <c r="AZ483" s="2164"/>
      <c r="BA483" s="2164"/>
      <c r="BB483" s="2164"/>
      <c r="BC483" s="2164"/>
      <c r="BD483" s="2164"/>
    </row>
    <row r="484" spans="1:56" ht="15" customHeight="1" x14ac:dyDescent="0.25">
      <c r="A484" s="2219">
        <v>286</v>
      </c>
      <c r="B484" s="2253">
        <v>123180220</v>
      </c>
      <c r="C484" s="2163"/>
      <c r="D484" s="2163" t="s">
        <v>690</v>
      </c>
      <c r="E484" s="2163"/>
      <c r="F484" s="2163" t="s">
        <v>2454</v>
      </c>
      <c r="G484" s="2177" t="s">
        <v>677</v>
      </c>
      <c r="H484" s="2213" t="s">
        <v>2455</v>
      </c>
      <c r="I484" s="1985" t="s">
        <v>2456</v>
      </c>
      <c r="J484" s="1985" t="s">
        <v>1526</v>
      </c>
      <c r="K484" s="1996">
        <v>39818</v>
      </c>
      <c r="L484" s="2210">
        <v>59500</v>
      </c>
      <c r="M484" s="2177">
        <v>9991</v>
      </c>
      <c r="N484" s="1996">
        <v>39818</v>
      </c>
      <c r="O484" s="2172">
        <v>40178</v>
      </c>
      <c r="P484" s="1985" t="s">
        <v>1354</v>
      </c>
      <c r="Q484" s="2163"/>
      <c r="R484" s="2163"/>
      <c r="S484" s="2163"/>
      <c r="T484" s="2256" t="s">
        <v>158</v>
      </c>
      <c r="U484" s="1049" t="s">
        <v>867</v>
      </c>
      <c r="V484" s="1175">
        <v>40178</v>
      </c>
      <c r="W484" s="1178">
        <v>10207</v>
      </c>
      <c r="X484" s="2231" t="s">
        <v>2457</v>
      </c>
      <c r="Y484" s="1175">
        <v>40178</v>
      </c>
      <c r="Z484" s="1175">
        <v>40543</v>
      </c>
      <c r="AA484" s="95"/>
      <c r="AB484" s="95"/>
      <c r="AC484" s="1177">
        <v>60960</v>
      </c>
      <c r="AD484" s="95"/>
      <c r="AE484" s="2262">
        <f>L484-AD484+AC484-AD485+AC485-AD486+AC486-AD487+AC487-AD488+AC488-AD489+AC489-AD490+AC490</f>
        <v>463781.15</v>
      </c>
      <c r="AF484" s="2210">
        <v>69910.720000000001</v>
      </c>
      <c r="AG484" s="2210">
        <v>74386.080000000002</v>
      </c>
      <c r="AH484" s="2240">
        <f>AF484+AG484</f>
        <v>144296.79999999999</v>
      </c>
      <c r="AI484" s="2163"/>
      <c r="AJ484" s="2163"/>
      <c r="AK484" s="2163"/>
      <c r="AL484" s="2163"/>
      <c r="AM484" s="2163" t="s">
        <v>1311</v>
      </c>
      <c r="AN484" s="2213" t="s">
        <v>2458</v>
      </c>
      <c r="AO484" s="2213" t="s">
        <v>2459</v>
      </c>
      <c r="AP484" s="2172">
        <v>39860</v>
      </c>
      <c r="AQ484" s="2213" t="s">
        <v>2459</v>
      </c>
      <c r="AR484" s="2172">
        <v>39860</v>
      </c>
      <c r="AS484" s="1049"/>
      <c r="AT484" s="1049"/>
      <c r="AU484" s="1049"/>
      <c r="AV484" s="1049"/>
      <c r="AW484" s="1049"/>
      <c r="AX484" s="1049"/>
      <c r="AY484" s="1049"/>
      <c r="AZ484" s="1049"/>
      <c r="BA484" s="1049"/>
      <c r="BB484" s="1049"/>
      <c r="BC484" s="1049"/>
      <c r="BD484" s="1049"/>
    </row>
    <row r="485" spans="1:56" x14ac:dyDescent="0.25">
      <c r="A485" s="2220"/>
      <c r="B485" s="2254"/>
      <c r="C485" s="2175"/>
      <c r="D485" s="2175"/>
      <c r="E485" s="2175"/>
      <c r="F485" s="2175"/>
      <c r="G485" s="2180"/>
      <c r="H485" s="2214"/>
      <c r="I485" s="2021"/>
      <c r="J485" s="2021"/>
      <c r="K485" s="2033"/>
      <c r="L485" s="2211"/>
      <c r="M485" s="2180"/>
      <c r="N485" s="2033"/>
      <c r="O485" s="2173"/>
      <c r="P485" s="2021"/>
      <c r="Q485" s="2175"/>
      <c r="R485" s="2175"/>
      <c r="S485" s="2175"/>
      <c r="T485" s="2257"/>
      <c r="U485" s="1049" t="s">
        <v>871</v>
      </c>
      <c r="V485" s="715">
        <v>40543</v>
      </c>
      <c r="W485" s="1178">
        <v>10445</v>
      </c>
      <c r="X485" s="2251"/>
      <c r="Y485" s="715">
        <v>40543</v>
      </c>
      <c r="Z485" s="715">
        <v>40908</v>
      </c>
      <c r="AA485" s="95"/>
      <c r="AB485" s="95"/>
      <c r="AC485" s="1177">
        <v>60960</v>
      </c>
      <c r="AD485" s="95"/>
      <c r="AE485" s="2263"/>
      <c r="AF485" s="2211"/>
      <c r="AG485" s="2211"/>
      <c r="AH485" s="2241"/>
      <c r="AI485" s="2175"/>
      <c r="AJ485" s="2175"/>
      <c r="AK485" s="2175"/>
      <c r="AL485" s="2175"/>
      <c r="AM485" s="2175"/>
      <c r="AN485" s="2214"/>
      <c r="AO485" s="2214"/>
      <c r="AP485" s="2173"/>
      <c r="AQ485" s="2214"/>
      <c r="AR485" s="2173"/>
      <c r="AS485" s="1049"/>
      <c r="AT485" s="1049"/>
      <c r="AU485" s="1049"/>
      <c r="AV485" s="1049"/>
      <c r="AW485" s="1049"/>
      <c r="AX485" s="1049"/>
      <c r="AY485" s="1049"/>
      <c r="AZ485" s="1049"/>
      <c r="BA485" s="1049"/>
      <c r="BB485" s="1049"/>
      <c r="BC485" s="1049"/>
      <c r="BD485" s="1049"/>
    </row>
    <row r="486" spans="1:56" x14ac:dyDescent="0.25">
      <c r="A486" s="2220"/>
      <c r="B486" s="2254"/>
      <c r="C486" s="2175"/>
      <c r="D486" s="2175"/>
      <c r="E486" s="2175"/>
      <c r="F486" s="2175"/>
      <c r="G486" s="2180"/>
      <c r="H486" s="2214"/>
      <c r="I486" s="2021"/>
      <c r="J486" s="2021"/>
      <c r="K486" s="2033"/>
      <c r="L486" s="2211"/>
      <c r="M486" s="2180"/>
      <c r="N486" s="2033"/>
      <c r="O486" s="2173"/>
      <c r="P486" s="2021"/>
      <c r="Q486" s="2175"/>
      <c r="R486" s="2175"/>
      <c r="S486" s="2175"/>
      <c r="T486" s="2257"/>
      <c r="U486" s="1049" t="s">
        <v>874</v>
      </c>
      <c r="V486" s="715">
        <v>40908</v>
      </c>
      <c r="W486" s="1178">
        <v>10734</v>
      </c>
      <c r="X486" s="2251"/>
      <c r="Y486" s="715">
        <v>40908</v>
      </c>
      <c r="Z486" s="715">
        <v>41274</v>
      </c>
      <c r="AA486" s="95"/>
      <c r="AB486" s="95"/>
      <c r="AC486" s="1177">
        <v>60960</v>
      </c>
      <c r="AD486" s="95"/>
      <c r="AE486" s="2263"/>
      <c r="AF486" s="2211"/>
      <c r="AG486" s="2211"/>
      <c r="AH486" s="2241"/>
      <c r="AI486" s="2175"/>
      <c r="AJ486" s="2175"/>
      <c r="AK486" s="2175"/>
      <c r="AL486" s="2175"/>
      <c r="AM486" s="2175"/>
      <c r="AN486" s="2214"/>
      <c r="AO486" s="2214"/>
      <c r="AP486" s="2173"/>
      <c r="AQ486" s="2214"/>
      <c r="AR486" s="2173"/>
      <c r="AS486" s="1049"/>
      <c r="AT486" s="1049"/>
      <c r="AU486" s="1049"/>
      <c r="AV486" s="1049"/>
      <c r="AW486" s="1049"/>
      <c r="AX486" s="1049"/>
      <c r="AY486" s="1049"/>
      <c r="AZ486" s="1049"/>
      <c r="BA486" s="1049"/>
      <c r="BB486" s="1049"/>
      <c r="BC486" s="1049"/>
      <c r="BD486" s="1049"/>
    </row>
    <row r="487" spans="1:56" x14ac:dyDescent="0.25">
      <c r="A487" s="2220"/>
      <c r="B487" s="2254"/>
      <c r="C487" s="2175"/>
      <c r="D487" s="2175"/>
      <c r="E487" s="2175"/>
      <c r="F487" s="2175"/>
      <c r="G487" s="2180"/>
      <c r="H487" s="2214"/>
      <c r="I487" s="2021"/>
      <c r="J487" s="2021"/>
      <c r="K487" s="2033"/>
      <c r="L487" s="2211"/>
      <c r="M487" s="2180"/>
      <c r="N487" s="2033"/>
      <c r="O487" s="2173"/>
      <c r="P487" s="2021"/>
      <c r="Q487" s="2175"/>
      <c r="R487" s="2175"/>
      <c r="S487" s="2175"/>
      <c r="T487" s="2257"/>
      <c r="U487" s="1049" t="s">
        <v>876</v>
      </c>
      <c r="V487" s="715">
        <v>41274</v>
      </c>
      <c r="W487" s="1178">
        <v>10970</v>
      </c>
      <c r="X487" s="2232"/>
      <c r="Y487" s="715">
        <v>41274</v>
      </c>
      <c r="Z487" s="715">
        <v>41639</v>
      </c>
      <c r="AA487" s="95"/>
      <c r="AB487" s="95"/>
      <c r="AC487" s="1177">
        <v>60960</v>
      </c>
      <c r="AD487" s="95"/>
      <c r="AE487" s="2263"/>
      <c r="AF487" s="2211"/>
      <c r="AG487" s="2211"/>
      <c r="AH487" s="2241"/>
      <c r="AI487" s="2175"/>
      <c r="AJ487" s="2175"/>
      <c r="AK487" s="2175"/>
      <c r="AL487" s="2175"/>
      <c r="AM487" s="2175"/>
      <c r="AN487" s="2214"/>
      <c r="AO487" s="2214"/>
      <c r="AP487" s="2173"/>
      <c r="AQ487" s="2214"/>
      <c r="AR487" s="2173"/>
      <c r="AS487" s="1049"/>
      <c r="AT487" s="1049"/>
      <c r="AU487" s="1049"/>
      <c r="AV487" s="1049"/>
      <c r="AW487" s="1049"/>
      <c r="AX487" s="1049"/>
      <c r="AY487" s="1049"/>
      <c r="AZ487" s="1049"/>
      <c r="BA487" s="1049"/>
      <c r="BB487" s="1049"/>
      <c r="BC487" s="1049"/>
      <c r="BD487" s="1049"/>
    </row>
    <row r="488" spans="1:56" x14ac:dyDescent="0.25">
      <c r="A488" s="2220"/>
      <c r="B488" s="2254"/>
      <c r="C488" s="2175"/>
      <c r="D488" s="2175"/>
      <c r="E488" s="2175"/>
      <c r="F488" s="2175"/>
      <c r="G488" s="2180"/>
      <c r="H488" s="2214"/>
      <c r="I488" s="2021"/>
      <c r="J488" s="2021"/>
      <c r="K488" s="2033"/>
      <c r="L488" s="2211"/>
      <c r="M488" s="2180"/>
      <c r="N488" s="2033"/>
      <c r="O488" s="2173"/>
      <c r="P488" s="2021"/>
      <c r="Q488" s="2175"/>
      <c r="R488" s="2175"/>
      <c r="S488" s="2175"/>
      <c r="T488" s="2257"/>
      <c r="U488" s="1049" t="s">
        <v>879</v>
      </c>
      <c r="V488" s="1175">
        <v>41394</v>
      </c>
      <c r="W488" s="1178">
        <v>11045</v>
      </c>
      <c r="X488" s="95" t="s">
        <v>2460</v>
      </c>
      <c r="Y488" s="1175">
        <v>41395</v>
      </c>
      <c r="Z488" s="1049" t="s">
        <v>878</v>
      </c>
      <c r="AA488" s="95">
        <v>22.0244</v>
      </c>
      <c r="AB488" s="95"/>
      <c r="AC488" s="1177">
        <v>8950.75</v>
      </c>
      <c r="AD488" s="95"/>
      <c r="AE488" s="2263"/>
      <c r="AF488" s="2211"/>
      <c r="AG488" s="2211"/>
      <c r="AH488" s="2241"/>
      <c r="AI488" s="2175"/>
      <c r="AJ488" s="2175"/>
      <c r="AK488" s="2175"/>
      <c r="AL488" s="2175"/>
      <c r="AM488" s="2175"/>
      <c r="AN488" s="2214"/>
      <c r="AO488" s="2214"/>
      <c r="AP488" s="2173"/>
      <c r="AQ488" s="2214"/>
      <c r="AR488" s="2173"/>
      <c r="AS488" s="1049"/>
      <c r="AT488" s="1049"/>
      <c r="AU488" s="1049"/>
      <c r="AV488" s="1049"/>
      <c r="AW488" s="1049"/>
      <c r="AX488" s="1049"/>
      <c r="AY488" s="1049"/>
      <c r="AZ488" s="1049"/>
      <c r="BA488" s="1049"/>
      <c r="BB488" s="1049"/>
      <c r="BC488" s="1049"/>
      <c r="BD488" s="1049"/>
    </row>
    <row r="489" spans="1:56" x14ac:dyDescent="0.25">
      <c r="A489" s="2220"/>
      <c r="B489" s="2254"/>
      <c r="C489" s="2175"/>
      <c r="D489" s="2175"/>
      <c r="E489" s="2175"/>
      <c r="F489" s="2175"/>
      <c r="G489" s="2180"/>
      <c r="H489" s="2214"/>
      <c r="I489" s="2021"/>
      <c r="J489" s="2021"/>
      <c r="K489" s="2033"/>
      <c r="L489" s="2211"/>
      <c r="M489" s="2180"/>
      <c r="N489" s="2033"/>
      <c r="O489" s="2173"/>
      <c r="P489" s="2021"/>
      <c r="Q489" s="2175"/>
      <c r="R489" s="2175"/>
      <c r="S489" s="2175"/>
      <c r="T489" s="2257"/>
      <c r="U489" s="1049" t="s">
        <v>882</v>
      </c>
      <c r="V489" s="1175">
        <v>41639</v>
      </c>
      <c r="W489" s="1178">
        <v>11214</v>
      </c>
      <c r="X489" s="95" t="s">
        <v>2378</v>
      </c>
      <c r="Y489" s="1175">
        <v>41639</v>
      </c>
      <c r="Z489" s="1175">
        <v>42004</v>
      </c>
      <c r="AA489" s="95"/>
      <c r="AB489" s="95"/>
      <c r="AC489" s="1177">
        <v>74386.080000000002</v>
      </c>
      <c r="AD489" s="95"/>
      <c r="AE489" s="2263"/>
      <c r="AF489" s="2211"/>
      <c r="AG489" s="2211"/>
      <c r="AH489" s="2241"/>
      <c r="AI489" s="2175"/>
      <c r="AJ489" s="2175"/>
      <c r="AK489" s="2175"/>
      <c r="AL489" s="2175"/>
      <c r="AM489" s="2175"/>
      <c r="AN489" s="2214"/>
      <c r="AO489" s="2214"/>
      <c r="AP489" s="2173"/>
      <c r="AQ489" s="2214"/>
      <c r="AR489" s="2173"/>
      <c r="AS489" s="1049"/>
      <c r="AT489" s="1049"/>
      <c r="AU489" s="1049"/>
      <c r="AV489" s="1049"/>
      <c r="AW489" s="1049"/>
      <c r="AX489" s="1049"/>
      <c r="AY489" s="1049"/>
      <c r="AZ489" s="1049"/>
      <c r="BA489" s="1049"/>
      <c r="BB489" s="1049"/>
      <c r="BC489" s="1049"/>
      <c r="BD489" s="1049"/>
    </row>
    <row r="490" spans="1:56" ht="51" x14ac:dyDescent="0.25">
      <c r="A490" s="2221"/>
      <c r="B490" s="2255"/>
      <c r="C490" s="2164"/>
      <c r="D490" s="2164"/>
      <c r="E490" s="2164"/>
      <c r="F490" s="2164"/>
      <c r="G490" s="2178"/>
      <c r="H490" s="2215"/>
      <c r="I490" s="1986"/>
      <c r="J490" s="1986"/>
      <c r="K490" s="1997"/>
      <c r="L490" s="2212"/>
      <c r="M490" s="2178"/>
      <c r="N490" s="1997"/>
      <c r="O490" s="2174"/>
      <c r="P490" s="1986"/>
      <c r="Q490" s="2164"/>
      <c r="R490" s="2164"/>
      <c r="S490" s="2164"/>
      <c r="T490" s="2258"/>
      <c r="U490" s="1049" t="s">
        <v>1443</v>
      </c>
      <c r="V490" s="1175">
        <v>41988</v>
      </c>
      <c r="W490" s="1178">
        <v>11462</v>
      </c>
      <c r="X490" s="727" t="s">
        <v>2461</v>
      </c>
      <c r="Y490" s="1175">
        <v>42004</v>
      </c>
      <c r="Z490" s="1175">
        <v>42369</v>
      </c>
      <c r="AA490" s="95">
        <v>3.6543000000000001</v>
      </c>
      <c r="AB490" s="95"/>
      <c r="AC490" s="1177">
        <v>77104.320000000007</v>
      </c>
      <c r="AD490" s="95"/>
      <c r="AE490" s="2264"/>
      <c r="AF490" s="2212"/>
      <c r="AG490" s="2212"/>
      <c r="AH490" s="2242"/>
      <c r="AI490" s="2164"/>
      <c r="AJ490" s="2164"/>
      <c r="AK490" s="2164"/>
      <c r="AL490" s="2164"/>
      <c r="AM490" s="2164"/>
      <c r="AN490" s="2215"/>
      <c r="AO490" s="2215"/>
      <c r="AP490" s="2174"/>
      <c r="AQ490" s="2215"/>
      <c r="AR490" s="2174"/>
      <c r="AS490" s="1049"/>
      <c r="AT490" s="1049"/>
      <c r="AU490" s="1049"/>
      <c r="AV490" s="1049"/>
      <c r="AW490" s="1049"/>
      <c r="AX490" s="1049"/>
      <c r="AY490" s="1049"/>
      <c r="AZ490" s="1049"/>
      <c r="BA490" s="1049"/>
      <c r="BB490" s="1049"/>
      <c r="BC490" s="1049"/>
      <c r="BD490" s="1049"/>
    </row>
    <row r="491" spans="1:56" ht="15" customHeight="1" x14ac:dyDescent="0.25">
      <c r="A491" s="2219">
        <v>287</v>
      </c>
      <c r="B491" s="2253">
        <v>123190068</v>
      </c>
      <c r="C491" s="2163"/>
      <c r="D491" s="2163" t="s">
        <v>690</v>
      </c>
      <c r="E491" s="2163"/>
      <c r="F491" s="2163" t="s">
        <v>2462</v>
      </c>
      <c r="G491" s="2177" t="s">
        <v>677</v>
      </c>
      <c r="H491" s="2213" t="s">
        <v>2463</v>
      </c>
      <c r="I491" s="2235" t="s">
        <v>2464</v>
      </c>
      <c r="J491" s="2235" t="s">
        <v>2465</v>
      </c>
      <c r="K491" s="1996">
        <v>40507</v>
      </c>
      <c r="L491" s="2210">
        <v>700</v>
      </c>
      <c r="M491" s="2177">
        <v>10431</v>
      </c>
      <c r="N491" s="1996">
        <v>40507</v>
      </c>
      <c r="O491" s="2172">
        <v>40543</v>
      </c>
      <c r="P491" s="1985" t="s">
        <v>1354</v>
      </c>
      <c r="Q491" s="2163"/>
      <c r="R491" s="2163"/>
      <c r="S491" s="2163"/>
      <c r="T491" s="2256" t="s">
        <v>158</v>
      </c>
      <c r="U491" s="1049" t="s">
        <v>867</v>
      </c>
      <c r="V491" s="1175">
        <v>40535</v>
      </c>
      <c r="W491" s="1178">
        <v>10447</v>
      </c>
      <c r="X491" s="2273" t="s">
        <v>2378</v>
      </c>
      <c r="Y491" s="1175">
        <v>40543</v>
      </c>
      <c r="Z491" s="1175">
        <v>40908</v>
      </c>
      <c r="AA491" s="95"/>
      <c r="AB491" s="95"/>
      <c r="AC491" s="1177">
        <v>7200</v>
      </c>
      <c r="AD491" s="95"/>
      <c r="AE491" s="2240">
        <f>L491-AD491+AC491-AD492+AC492-AD493+AC493-AD494+AC494</f>
        <v>30328</v>
      </c>
      <c r="AF491" s="2210">
        <v>7476</v>
      </c>
      <c r="AG491" s="2210">
        <v>2741.24</v>
      </c>
      <c r="AH491" s="2240">
        <f>AF491+AG491</f>
        <v>10217.24</v>
      </c>
      <c r="AI491" s="2163"/>
      <c r="AJ491" s="2163"/>
      <c r="AK491" s="2163"/>
      <c r="AL491" s="2163"/>
      <c r="AM491" s="2163" t="s">
        <v>1311</v>
      </c>
      <c r="AN491" s="2213" t="s">
        <v>2466</v>
      </c>
      <c r="AO491" s="2177">
        <v>10431</v>
      </c>
      <c r="AP491" s="2172">
        <v>40514</v>
      </c>
      <c r="AQ491" s="2177">
        <v>10431</v>
      </c>
      <c r="AR491" s="2172">
        <v>40514</v>
      </c>
      <c r="AS491" s="1049"/>
      <c r="AT491" s="1049"/>
      <c r="AU491" s="1049"/>
      <c r="AV491" s="1049"/>
      <c r="AW491" s="1049"/>
      <c r="AX491" s="1049"/>
      <c r="AY491" s="1049"/>
      <c r="AZ491" s="1049"/>
      <c r="BA491" s="1049"/>
      <c r="BB491" s="1049"/>
      <c r="BC491" s="1049"/>
      <c r="BD491" s="1049"/>
    </row>
    <row r="492" spans="1:56" x14ac:dyDescent="0.25">
      <c r="A492" s="2220"/>
      <c r="B492" s="2254"/>
      <c r="C492" s="2175"/>
      <c r="D492" s="2175"/>
      <c r="E492" s="2175"/>
      <c r="F492" s="2175"/>
      <c r="G492" s="2180"/>
      <c r="H492" s="2214"/>
      <c r="I492" s="2243"/>
      <c r="J492" s="2243"/>
      <c r="K492" s="2033"/>
      <c r="L492" s="2211"/>
      <c r="M492" s="2180"/>
      <c r="N492" s="2033"/>
      <c r="O492" s="2173"/>
      <c r="P492" s="2021"/>
      <c r="Q492" s="2175"/>
      <c r="R492" s="2175"/>
      <c r="S492" s="2175"/>
      <c r="T492" s="2257"/>
      <c r="U492" s="1049" t="s">
        <v>871</v>
      </c>
      <c r="V492" s="1175">
        <v>40907</v>
      </c>
      <c r="W492" s="1178">
        <v>10734</v>
      </c>
      <c r="X492" s="2274"/>
      <c r="Y492" s="1175">
        <v>40908</v>
      </c>
      <c r="Z492" s="1175">
        <v>41274</v>
      </c>
      <c r="AA492" s="95">
        <v>3.8333300000000001</v>
      </c>
      <c r="AB492" s="95"/>
      <c r="AC492" s="1177">
        <v>7476</v>
      </c>
      <c r="AD492" s="95"/>
      <c r="AE492" s="2241"/>
      <c r="AF492" s="2211"/>
      <c r="AG492" s="2211"/>
      <c r="AH492" s="2241"/>
      <c r="AI492" s="2175"/>
      <c r="AJ492" s="2175"/>
      <c r="AK492" s="2175"/>
      <c r="AL492" s="2175"/>
      <c r="AM492" s="2175"/>
      <c r="AN492" s="2214"/>
      <c r="AO492" s="2180"/>
      <c r="AP492" s="2173"/>
      <c r="AQ492" s="2180"/>
      <c r="AR492" s="2173"/>
      <c r="AS492" s="1049"/>
      <c r="AT492" s="1049"/>
      <c r="AU492" s="1049"/>
      <c r="AV492" s="1049"/>
      <c r="AW492" s="1049"/>
      <c r="AX492" s="1049"/>
      <c r="AY492" s="1049"/>
      <c r="AZ492" s="1049"/>
      <c r="BA492" s="1049"/>
      <c r="BB492" s="1049"/>
      <c r="BC492" s="1049"/>
      <c r="BD492" s="1049"/>
    </row>
    <row r="493" spans="1:56" x14ac:dyDescent="0.25">
      <c r="A493" s="2220"/>
      <c r="B493" s="2254"/>
      <c r="C493" s="2175"/>
      <c r="D493" s="2175"/>
      <c r="E493" s="2175"/>
      <c r="F493" s="2175"/>
      <c r="G493" s="2180"/>
      <c r="H493" s="2214"/>
      <c r="I493" s="2243"/>
      <c r="J493" s="2243"/>
      <c r="K493" s="2033"/>
      <c r="L493" s="2211"/>
      <c r="M493" s="2180"/>
      <c r="N493" s="2033"/>
      <c r="O493" s="2173"/>
      <c r="P493" s="2021"/>
      <c r="Q493" s="2175"/>
      <c r="R493" s="2175"/>
      <c r="S493" s="2175"/>
      <c r="T493" s="2257"/>
      <c r="U493" s="1049" t="s">
        <v>874</v>
      </c>
      <c r="V493" s="1175">
        <v>41274</v>
      </c>
      <c r="W493" s="1178">
        <v>10983</v>
      </c>
      <c r="X493" s="2274"/>
      <c r="Y493" s="1175">
        <v>41274</v>
      </c>
      <c r="Z493" s="1175">
        <v>41639</v>
      </c>
      <c r="AA493" s="95"/>
      <c r="AB493" s="95"/>
      <c r="AC493" s="1177">
        <v>7476</v>
      </c>
      <c r="AD493" s="95"/>
      <c r="AE493" s="2241"/>
      <c r="AF493" s="2211"/>
      <c r="AG493" s="2211"/>
      <c r="AH493" s="2241"/>
      <c r="AI493" s="2175"/>
      <c r="AJ493" s="2175"/>
      <c r="AK493" s="2175"/>
      <c r="AL493" s="2175"/>
      <c r="AM493" s="2175"/>
      <c r="AN493" s="2214"/>
      <c r="AO493" s="2180"/>
      <c r="AP493" s="2173"/>
      <c r="AQ493" s="2180"/>
      <c r="AR493" s="2173"/>
      <c r="AS493" s="1049"/>
      <c r="AT493" s="1049"/>
      <c r="AU493" s="1049"/>
      <c r="AV493" s="1049"/>
      <c r="AW493" s="1049"/>
      <c r="AX493" s="1049"/>
      <c r="AY493" s="1049"/>
      <c r="AZ493" s="1049"/>
      <c r="BA493" s="1049"/>
      <c r="BB493" s="1049"/>
      <c r="BC493" s="1049"/>
      <c r="BD493" s="1049"/>
    </row>
    <row r="494" spans="1:56" x14ac:dyDescent="0.25">
      <c r="A494" s="2220"/>
      <c r="B494" s="2254"/>
      <c r="C494" s="2175"/>
      <c r="D494" s="2175"/>
      <c r="E494" s="2175"/>
      <c r="F494" s="2175"/>
      <c r="G494" s="2180"/>
      <c r="H494" s="2214"/>
      <c r="I494" s="2243"/>
      <c r="J494" s="2243"/>
      <c r="K494" s="2033"/>
      <c r="L494" s="2211"/>
      <c r="M494" s="2180"/>
      <c r="N494" s="2033"/>
      <c r="O494" s="2173"/>
      <c r="P494" s="2021"/>
      <c r="Q494" s="2175"/>
      <c r="R494" s="2175"/>
      <c r="S494" s="2175"/>
      <c r="T494" s="2257"/>
      <c r="U494" s="1049" t="s">
        <v>876</v>
      </c>
      <c r="V494" s="1175">
        <v>41639</v>
      </c>
      <c r="W494" s="1178">
        <v>11214</v>
      </c>
      <c r="X494" s="2275"/>
      <c r="Y494" s="1175">
        <v>41639</v>
      </c>
      <c r="Z494" s="1175">
        <v>42004</v>
      </c>
      <c r="AA494" s="95"/>
      <c r="AB494" s="95"/>
      <c r="AC494" s="1177">
        <v>7476</v>
      </c>
      <c r="AD494" s="95"/>
      <c r="AE494" s="2241"/>
      <c r="AF494" s="2211"/>
      <c r="AG494" s="2211"/>
      <c r="AH494" s="2241"/>
      <c r="AI494" s="2175"/>
      <c r="AJ494" s="2175"/>
      <c r="AK494" s="2175"/>
      <c r="AL494" s="2175"/>
      <c r="AM494" s="2175"/>
      <c r="AN494" s="2214"/>
      <c r="AO494" s="2180"/>
      <c r="AP494" s="2173"/>
      <c r="AQ494" s="2180"/>
      <c r="AR494" s="2173"/>
      <c r="AS494" s="1049"/>
      <c r="AT494" s="1049"/>
      <c r="AU494" s="1049"/>
      <c r="AV494" s="1049"/>
      <c r="AW494" s="1049"/>
      <c r="AX494" s="1049"/>
      <c r="AY494" s="1049"/>
      <c r="AZ494" s="1049"/>
      <c r="BA494" s="1049"/>
      <c r="BB494" s="1049"/>
      <c r="BC494" s="1049"/>
      <c r="BD494" s="1049"/>
    </row>
    <row r="495" spans="1:56" s="419" customFormat="1" ht="63.75" x14ac:dyDescent="0.25">
      <c r="A495" s="2221"/>
      <c r="B495" s="2255"/>
      <c r="C495" s="2164"/>
      <c r="D495" s="2164"/>
      <c r="E495" s="2164"/>
      <c r="F495" s="2164"/>
      <c r="G495" s="2178"/>
      <c r="H495" s="2215"/>
      <c r="I495" s="2236"/>
      <c r="J495" s="2236"/>
      <c r="K495" s="1997"/>
      <c r="L495" s="2212"/>
      <c r="M495" s="2178"/>
      <c r="N495" s="1997"/>
      <c r="O495" s="2174"/>
      <c r="P495" s="1986"/>
      <c r="Q495" s="2164"/>
      <c r="R495" s="2164"/>
      <c r="S495" s="2164"/>
      <c r="T495" s="2258"/>
      <c r="U495" s="1049" t="s">
        <v>1355</v>
      </c>
      <c r="V495" s="1175">
        <v>41771</v>
      </c>
      <c r="W495" s="1178">
        <v>11305</v>
      </c>
      <c r="X495" s="1416" t="s">
        <v>2467</v>
      </c>
      <c r="Y495" s="1175"/>
      <c r="Z495" s="1175"/>
      <c r="AA495" s="1113"/>
      <c r="AB495" s="1113"/>
      <c r="AC495" s="1177"/>
      <c r="AD495" s="95"/>
      <c r="AE495" s="2242"/>
      <c r="AF495" s="2212"/>
      <c r="AG495" s="2212"/>
      <c r="AH495" s="2242"/>
      <c r="AI495" s="2164"/>
      <c r="AJ495" s="2164"/>
      <c r="AK495" s="2164"/>
      <c r="AL495" s="2164"/>
      <c r="AM495" s="2164"/>
      <c r="AN495" s="2215"/>
      <c r="AO495" s="2178"/>
      <c r="AP495" s="2174"/>
      <c r="AQ495" s="2178"/>
      <c r="AR495" s="2174"/>
      <c r="AS495" s="1049"/>
      <c r="AT495" s="1049"/>
      <c r="AU495" s="1049"/>
      <c r="AV495" s="1049"/>
      <c r="AW495" s="1049"/>
      <c r="AX495" s="1049"/>
      <c r="AY495" s="1049"/>
      <c r="AZ495" s="1049"/>
      <c r="BA495" s="1049"/>
      <c r="BB495" s="1049"/>
      <c r="BC495" s="1049"/>
      <c r="BD495" s="1049"/>
    </row>
    <row r="496" spans="1:56" ht="15" customHeight="1" x14ac:dyDescent="0.25">
      <c r="A496" s="2219">
        <v>288</v>
      </c>
      <c r="B496" s="2253">
        <v>123180208</v>
      </c>
      <c r="C496" s="2163"/>
      <c r="D496" s="2163" t="s">
        <v>690</v>
      </c>
      <c r="E496" s="2163"/>
      <c r="F496" s="2163" t="s">
        <v>2468</v>
      </c>
      <c r="G496" s="2177" t="s">
        <v>677</v>
      </c>
      <c r="H496" s="2213" t="s">
        <v>2469</v>
      </c>
      <c r="I496" s="2163" t="s">
        <v>2470</v>
      </c>
      <c r="J496" s="2235" t="s">
        <v>2471</v>
      </c>
      <c r="K496" s="2269">
        <v>40379</v>
      </c>
      <c r="L496" s="2210">
        <v>2543.8000000000002</v>
      </c>
      <c r="M496" s="2177">
        <v>10349</v>
      </c>
      <c r="N496" s="2269">
        <v>40379</v>
      </c>
      <c r="O496" s="2172">
        <v>40543</v>
      </c>
      <c r="P496" s="1985" t="s">
        <v>1354</v>
      </c>
      <c r="Q496" s="2163"/>
      <c r="R496" s="2163"/>
      <c r="S496" s="2163"/>
      <c r="T496" s="2256" t="s">
        <v>158</v>
      </c>
      <c r="U496" s="1049" t="s">
        <v>867</v>
      </c>
      <c r="V496" s="1175">
        <v>40507</v>
      </c>
      <c r="W496" s="1178">
        <v>10441</v>
      </c>
      <c r="X496" s="2273" t="s">
        <v>2378</v>
      </c>
      <c r="Y496" s="1175">
        <v>40543</v>
      </c>
      <c r="Z496" s="1175">
        <v>40908</v>
      </c>
      <c r="AA496" s="95"/>
      <c r="AB496" s="95"/>
      <c r="AC496" s="1177">
        <v>5688</v>
      </c>
      <c r="AD496" s="95" t="s">
        <v>2472</v>
      </c>
      <c r="AE496" s="2240">
        <f>L496+AC496+AC497+AC498+AC499+AC500</f>
        <v>34076.199999999997</v>
      </c>
      <c r="AF496" s="2210">
        <v>6468</v>
      </c>
      <c r="AG496" s="2210">
        <v>6468</v>
      </c>
      <c r="AH496" s="2240">
        <f>AF496+AG496</f>
        <v>12936</v>
      </c>
      <c r="AI496" s="2163"/>
      <c r="AJ496" s="2163"/>
      <c r="AK496" s="2163"/>
      <c r="AL496" s="2163"/>
      <c r="AM496" s="2163" t="s">
        <v>1311</v>
      </c>
      <c r="AN496" s="2213" t="s">
        <v>2473</v>
      </c>
      <c r="AO496" s="2177">
        <v>10349</v>
      </c>
      <c r="AP496" s="2172">
        <v>40393</v>
      </c>
      <c r="AQ496" s="2177">
        <v>10349</v>
      </c>
      <c r="AR496" s="2172">
        <v>40393</v>
      </c>
      <c r="AS496" s="2163"/>
      <c r="AT496" s="2163"/>
      <c r="AU496" s="2163"/>
      <c r="AV496" s="2163"/>
      <c r="AW496" s="2163"/>
      <c r="AX496" s="2163"/>
      <c r="AY496" s="2163"/>
      <c r="AZ496" s="2163"/>
      <c r="BA496" s="2163"/>
      <c r="BB496" s="2163"/>
      <c r="BC496" s="2163"/>
      <c r="BD496" s="2163"/>
    </row>
    <row r="497" spans="1:56" x14ac:dyDescent="0.25">
      <c r="A497" s="2220"/>
      <c r="B497" s="2254"/>
      <c r="C497" s="2175"/>
      <c r="D497" s="2175"/>
      <c r="E497" s="2175"/>
      <c r="F497" s="2175"/>
      <c r="G497" s="2180"/>
      <c r="H497" s="2214"/>
      <c r="I497" s="2175"/>
      <c r="J497" s="2243"/>
      <c r="K497" s="2270"/>
      <c r="L497" s="2211"/>
      <c r="M497" s="2180"/>
      <c r="N497" s="2270"/>
      <c r="O497" s="2173"/>
      <c r="P497" s="2021"/>
      <c r="Q497" s="2175"/>
      <c r="R497" s="2175"/>
      <c r="S497" s="2175"/>
      <c r="T497" s="2257"/>
      <c r="U497" s="1049" t="s">
        <v>871</v>
      </c>
      <c r="V497" s="1175">
        <v>40908</v>
      </c>
      <c r="W497" s="1178">
        <v>10734</v>
      </c>
      <c r="X497" s="2274"/>
      <c r="Y497" s="1175">
        <v>40908</v>
      </c>
      <c r="Z497" s="1175">
        <v>41274</v>
      </c>
      <c r="AA497" s="95">
        <v>9.0717199999999991</v>
      </c>
      <c r="AB497" s="95"/>
      <c r="AC497" s="1177">
        <v>6204</v>
      </c>
      <c r="AD497" s="95"/>
      <c r="AE497" s="2241"/>
      <c r="AF497" s="2211"/>
      <c r="AG497" s="2211"/>
      <c r="AH497" s="2241"/>
      <c r="AI497" s="2175"/>
      <c r="AJ497" s="2175"/>
      <c r="AK497" s="2175"/>
      <c r="AL497" s="2175"/>
      <c r="AM497" s="2175"/>
      <c r="AN497" s="2214"/>
      <c r="AO497" s="2180"/>
      <c r="AP497" s="2173"/>
      <c r="AQ497" s="2180"/>
      <c r="AR497" s="2173"/>
      <c r="AS497" s="2175"/>
      <c r="AT497" s="2175"/>
      <c r="AU497" s="2175"/>
      <c r="AV497" s="2175"/>
      <c r="AW497" s="2175"/>
      <c r="AX497" s="2175"/>
      <c r="AY497" s="2175"/>
      <c r="AZ497" s="2175"/>
      <c r="BA497" s="2175"/>
      <c r="BB497" s="2175"/>
      <c r="BC497" s="2175"/>
      <c r="BD497" s="2175"/>
    </row>
    <row r="498" spans="1:56" x14ac:dyDescent="0.25">
      <c r="A498" s="2220"/>
      <c r="B498" s="2254"/>
      <c r="C498" s="2175"/>
      <c r="D498" s="2175"/>
      <c r="E498" s="2175"/>
      <c r="F498" s="2175"/>
      <c r="G498" s="2180"/>
      <c r="H498" s="2214"/>
      <c r="I498" s="2175"/>
      <c r="J498" s="2243"/>
      <c r="K498" s="2270"/>
      <c r="L498" s="2211"/>
      <c r="M498" s="2180"/>
      <c r="N498" s="2270"/>
      <c r="O498" s="2173"/>
      <c r="P498" s="2021"/>
      <c r="Q498" s="2175"/>
      <c r="R498" s="2175"/>
      <c r="S498" s="2175"/>
      <c r="T498" s="2257"/>
      <c r="U498" s="1049" t="s">
        <v>874</v>
      </c>
      <c r="V498" s="1175">
        <v>41274</v>
      </c>
      <c r="W498" s="1178">
        <v>10963</v>
      </c>
      <c r="X498" s="2274"/>
      <c r="Y498" s="1175">
        <v>41274</v>
      </c>
      <c r="Z498" s="1175">
        <v>41639</v>
      </c>
      <c r="AA498" s="95">
        <v>4.2653100000000004</v>
      </c>
      <c r="AB498" s="95"/>
      <c r="AC498" s="1177">
        <v>6468</v>
      </c>
      <c r="AD498" s="95"/>
      <c r="AE498" s="2241"/>
      <c r="AF498" s="2211"/>
      <c r="AG498" s="2211"/>
      <c r="AH498" s="2241"/>
      <c r="AI498" s="2175"/>
      <c r="AJ498" s="2175"/>
      <c r="AK498" s="2175"/>
      <c r="AL498" s="2175"/>
      <c r="AM498" s="2175"/>
      <c r="AN498" s="2214"/>
      <c r="AO498" s="2180"/>
      <c r="AP498" s="2173"/>
      <c r="AQ498" s="2180"/>
      <c r="AR498" s="2173"/>
      <c r="AS498" s="2175"/>
      <c r="AT498" s="2175"/>
      <c r="AU498" s="2175"/>
      <c r="AV498" s="2175"/>
      <c r="AW498" s="2175"/>
      <c r="AX498" s="2175"/>
      <c r="AY498" s="2175"/>
      <c r="AZ498" s="2175"/>
      <c r="BA498" s="2175"/>
      <c r="BB498" s="2175"/>
      <c r="BC498" s="2175"/>
      <c r="BD498" s="2175"/>
    </row>
    <row r="499" spans="1:56" x14ac:dyDescent="0.25">
      <c r="A499" s="2220"/>
      <c r="B499" s="2254"/>
      <c r="C499" s="2175"/>
      <c r="D499" s="2175"/>
      <c r="E499" s="2175"/>
      <c r="F499" s="2175"/>
      <c r="G499" s="2180"/>
      <c r="H499" s="2214"/>
      <c r="I499" s="2175"/>
      <c r="J499" s="2243"/>
      <c r="K499" s="2270"/>
      <c r="L499" s="2211"/>
      <c r="M499" s="2180"/>
      <c r="N499" s="2270"/>
      <c r="O499" s="2173"/>
      <c r="P499" s="2021"/>
      <c r="Q499" s="2175"/>
      <c r="R499" s="2175"/>
      <c r="S499" s="2175"/>
      <c r="T499" s="2257"/>
      <c r="U499" s="1049" t="s">
        <v>876</v>
      </c>
      <c r="V499" s="1175">
        <v>41639</v>
      </c>
      <c r="W499" s="1178">
        <v>11214</v>
      </c>
      <c r="X499" s="2275"/>
      <c r="Y499" s="1175">
        <v>41639</v>
      </c>
      <c r="Z499" s="1175">
        <v>42004</v>
      </c>
      <c r="AA499" s="95"/>
      <c r="AB499" s="95"/>
      <c r="AC499" s="1177">
        <v>6468</v>
      </c>
      <c r="AD499" s="95"/>
      <c r="AE499" s="2241"/>
      <c r="AF499" s="2211"/>
      <c r="AG499" s="2211"/>
      <c r="AH499" s="2241"/>
      <c r="AI499" s="2175"/>
      <c r="AJ499" s="2175"/>
      <c r="AK499" s="2175"/>
      <c r="AL499" s="2175"/>
      <c r="AM499" s="2175"/>
      <c r="AN499" s="2214"/>
      <c r="AO499" s="2180"/>
      <c r="AP499" s="2173"/>
      <c r="AQ499" s="2180"/>
      <c r="AR499" s="2173"/>
      <c r="AS499" s="2175"/>
      <c r="AT499" s="2175"/>
      <c r="AU499" s="2175"/>
      <c r="AV499" s="2175"/>
      <c r="AW499" s="2175"/>
      <c r="AX499" s="2175"/>
      <c r="AY499" s="2175"/>
      <c r="AZ499" s="2175"/>
      <c r="BA499" s="2175"/>
      <c r="BB499" s="2175"/>
      <c r="BC499" s="2175"/>
      <c r="BD499" s="2175"/>
    </row>
    <row r="500" spans="1:56" ht="38.25" x14ac:dyDescent="0.25">
      <c r="A500" s="2221"/>
      <c r="B500" s="2255"/>
      <c r="C500" s="2164"/>
      <c r="D500" s="2164"/>
      <c r="E500" s="2164"/>
      <c r="F500" s="2164"/>
      <c r="G500" s="2178"/>
      <c r="H500" s="2215"/>
      <c r="I500" s="2164"/>
      <c r="J500" s="2236"/>
      <c r="K500" s="2271"/>
      <c r="L500" s="2212"/>
      <c r="M500" s="2178"/>
      <c r="N500" s="2271"/>
      <c r="O500" s="2174"/>
      <c r="P500" s="1986"/>
      <c r="Q500" s="2164"/>
      <c r="R500" s="2164"/>
      <c r="S500" s="2164"/>
      <c r="T500" s="2258"/>
      <c r="U500" s="1049" t="s">
        <v>879</v>
      </c>
      <c r="V500" s="1175">
        <v>41988</v>
      </c>
      <c r="W500" s="1178">
        <v>11460</v>
      </c>
      <c r="X500" s="1416" t="s">
        <v>2474</v>
      </c>
      <c r="Y500" s="1175">
        <v>42004</v>
      </c>
      <c r="Z500" s="1175">
        <v>42369</v>
      </c>
      <c r="AA500" s="95">
        <v>3.6543000000000001</v>
      </c>
      <c r="AB500" s="95"/>
      <c r="AC500" s="1177">
        <v>6704.4</v>
      </c>
      <c r="AD500" s="95"/>
      <c r="AE500" s="2242"/>
      <c r="AF500" s="2212"/>
      <c r="AG500" s="2212"/>
      <c r="AH500" s="2242"/>
      <c r="AI500" s="2164"/>
      <c r="AJ500" s="2164"/>
      <c r="AK500" s="2164"/>
      <c r="AL500" s="2164"/>
      <c r="AM500" s="2164"/>
      <c r="AN500" s="2215"/>
      <c r="AO500" s="2178"/>
      <c r="AP500" s="2174"/>
      <c r="AQ500" s="2178"/>
      <c r="AR500" s="2174"/>
      <c r="AS500" s="2164"/>
      <c r="AT500" s="2164"/>
      <c r="AU500" s="2164"/>
      <c r="AV500" s="2164"/>
      <c r="AW500" s="2164"/>
      <c r="AX500" s="2164"/>
      <c r="AY500" s="2164"/>
      <c r="AZ500" s="2164"/>
      <c r="BA500" s="2164"/>
      <c r="BB500" s="2164"/>
      <c r="BC500" s="2164"/>
      <c r="BD500" s="2164"/>
    </row>
    <row r="501" spans="1:56" ht="15" customHeight="1" x14ac:dyDescent="0.25">
      <c r="A501" s="2219">
        <v>289</v>
      </c>
      <c r="B501" s="2253">
        <v>123180219</v>
      </c>
      <c r="C501" s="2163"/>
      <c r="D501" s="2163" t="s">
        <v>690</v>
      </c>
      <c r="E501" s="2163"/>
      <c r="F501" s="2163" t="s">
        <v>2475</v>
      </c>
      <c r="G501" s="2177" t="s">
        <v>677</v>
      </c>
      <c r="H501" s="2213" t="s">
        <v>587</v>
      </c>
      <c r="I501" s="2163" t="s">
        <v>2440</v>
      </c>
      <c r="J501" s="2235" t="s">
        <v>2441</v>
      </c>
      <c r="K501" s="2269">
        <v>40210</v>
      </c>
      <c r="L501" s="2210">
        <v>60500</v>
      </c>
      <c r="M501" s="2177">
        <v>10252</v>
      </c>
      <c r="N501" s="2269">
        <v>40210</v>
      </c>
      <c r="O501" s="2172">
        <v>40543</v>
      </c>
      <c r="P501" s="1985" t="s">
        <v>1354</v>
      </c>
      <c r="Q501" s="2163"/>
      <c r="R501" s="2163"/>
      <c r="S501" s="2163"/>
      <c r="T501" s="2256" t="s">
        <v>685</v>
      </c>
      <c r="U501" s="1049" t="s">
        <v>867</v>
      </c>
      <c r="V501" s="1175">
        <v>40535</v>
      </c>
      <c r="W501" s="1178">
        <v>10449</v>
      </c>
      <c r="X501" s="2273" t="s">
        <v>2378</v>
      </c>
      <c r="Y501" s="1175">
        <v>40543</v>
      </c>
      <c r="Z501" s="1175">
        <v>40908</v>
      </c>
      <c r="AA501" s="95"/>
      <c r="AB501" s="95"/>
      <c r="AC501" s="1177">
        <v>66000</v>
      </c>
      <c r="AD501" s="95"/>
      <c r="AE501" s="2240">
        <f>L501-AD501+AC501-AD502+AC502-AD503+AC503-AD504+AC504-AD505+AC505</f>
        <v>445871.72</v>
      </c>
      <c r="AF501" s="2210">
        <v>78396</v>
      </c>
      <c r="AG501" s="2210">
        <v>82524</v>
      </c>
      <c r="AH501" s="2210">
        <f>AF501+AG501</f>
        <v>160920</v>
      </c>
      <c r="AI501" s="2225"/>
      <c r="AJ501" s="2225"/>
      <c r="AK501" s="2163"/>
      <c r="AL501" s="2163"/>
      <c r="AM501" s="2163" t="s">
        <v>1311</v>
      </c>
      <c r="AN501" s="2213" t="s">
        <v>2476</v>
      </c>
      <c r="AO501" s="2177">
        <v>10252</v>
      </c>
      <c r="AP501" s="2172">
        <v>40253</v>
      </c>
      <c r="AQ501" s="2177">
        <v>10252</v>
      </c>
      <c r="AR501" s="2172">
        <v>40253</v>
      </c>
      <c r="AS501" s="2163"/>
      <c r="AT501" s="2163"/>
      <c r="AU501" s="2163"/>
      <c r="AV501" s="2163"/>
      <c r="AW501" s="2163"/>
      <c r="AX501" s="2163"/>
      <c r="AY501" s="2163"/>
      <c r="AZ501" s="2163"/>
      <c r="BA501" s="2163"/>
      <c r="BB501" s="2163"/>
      <c r="BC501" s="2163"/>
      <c r="BD501" s="2163"/>
    </row>
    <row r="502" spans="1:56" x14ac:dyDescent="0.25">
      <c r="A502" s="2220"/>
      <c r="B502" s="2254"/>
      <c r="C502" s="2175"/>
      <c r="D502" s="2175"/>
      <c r="E502" s="2175"/>
      <c r="F502" s="2175"/>
      <c r="G502" s="2180"/>
      <c r="H502" s="2214"/>
      <c r="I502" s="2175"/>
      <c r="J502" s="2243"/>
      <c r="K502" s="2270"/>
      <c r="L502" s="2211"/>
      <c r="M502" s="2180"/>
      <c r="N502" s="2270"/>
      <c r="O502" s="2173"/>
      <c r="P502" s="2021"/>
      <c r="Q502" s="2175"/>
      <c r="R502" s="2175"/>
      <c r="S502" s="2175"/>
      <c r="T502" s="2257"/>
      <c r="U502" s="1049" t="s">
        <v>871</v>
      </c>
      <c r="V502" s="1175">
        <v>40908</v>
      </c>
      <c r="W502" s="1178">
        <v>10734</v>
      </c>
      <c r="X502" s="2274"/>
      <c r="Y502" s="1175">
        <v>40908</v>
      </c>
      <c r="Z502" s="1175">
        <v>41274</v>
      </c>
      <c r="AA502" s="95">
        <v>10.472720000000001</v>
      </c>
      <c r="AB502" s="95"/>
      <c r="AC502" s="1177">
        <v>72912</v>
      </c>
      <c r="AD502" s="95"/>
      <c r="AE502" s="2241"/>
      <c r="AF502" s="2211"/>
      <c r="AG502" s="2211"/>
      <c r="AH502" s="2211"/>
      <c r="AI502" s="2239"/>
      <c r="AJ502" s="2239"/>
      <c r="AK502" s="2175"/>
      <c r="AL502" s="2175"/>
      <c r="AM502" s="2175"/>
      <c r="AN502" s="2214"/>
      <c r="AO502" s="2180"/>
      <c r="AP502" s="2173"/>
      <c r="AQ502" s="2180"/>
      <c r="AR502" s="2173"/>
      <c r="AS502" s="2175"/>
      <c r="AT502" s="2175"/>
      <c r="AU502" s="2175"/>
      <c r="AV502" s="2175"/>
      <c r="AW502" s="2175"/>
      <c r="AX502" s="2175"/>
      <c r="AY502" s="2175"/>
      <c r="AZ502" s="2175"/>
      <c r="BA502" s="2175"/>
      <c r="BB502" s="2175"/>
      <c r="BC502" s="2175"/>
      <c r="BD502" s="2175"/>
    </row>
    <row r="503" spans="1:56" x14ac:dyDescent="0.25">
      <c r="A503" s="2220"/>
      <c r="B503" s="2254"/>
      <c r="C503" s="2175"/>
      <c r="D503" s="2175"/>
      <c r="E503" s="2175"/>
      <c r="F503" s="2175"/>
      <c r="G503" s="2180"/>
      <c r="H503" s="2214"/>
      <c r="I503" s="2175"/>
      <c r="J503" s="2243"/>
      <c r="K503" s="2270"/>
      <c r="L503" s="2211"/>
      <c r="M503" s="2180"/>
      <c r="N503" s="2270"/>
      <c r="O503" s="2173"/>
      <c r="P503" s="2021"/>
      <c r="Q503" s="2175"/>
      <c r="R503" s="2175"/>
      <c r="S503" s="2175"/>
      <c r="T503" s="2257"/>
      <c r="U503" s="1049" t="s">
        <v>874</v>
      </c>
      <c r="V503" s="1175">
        <v>41274</v>
      </c>
      <c r="W503" s="1178">
        <v>10963</v>
      </c>
      <c r="X503" s="2274"/>
      <c r="Y503" s="1175">
        <v>41274</v>
      </c>
      <c r="Z503" s="1175">
        <v>41639</v>
      </c>
      <c r="AA503" s="95">
        <v>7.5213900000000002</v>
      </c>
      <c r="AB503" s="95"/>
      <c r="AC503" s="1177">
        <v>78396</v>
      </c>
      <c r="AD503" s="95"/>
      <c r="AE503" s="2241"/>
      <c r="AF503" s="2211"/>
      <c r="AG503" s="2211"/>
      <c r="AH503" s="2211"/>
      <c r="AI503" s="2239"/>
      <c r="AJ503" s="2239"/>
      <c r="AK503" s="2175"/>
      <c r="AL503" s="2175"/>
      <c r="AM503" s="2175"/>
      <c r="AN503" s="2214"/>
      <c r="AO503" s="2180"/>
      <c r="AP503" s="2173"/>
      <c r="AQ503" s="2180"/>
      <c r="AR503" s="2173"/>
      <c r="AS503" s="2175"/>
      <c r="AT503" s="2175"/>
      <c r="AU503" s="2175"/>
      <c r="AV503" s="2175"/>
      <c r="AW503" s="2175"/>
      <c r="AX503" s="2175"/>
      <c r="AY503" s="2175"/>
      <c r="AZ503" s="2175"/>
      <c r="BA503" s="2175"/>
      <c r="BB503" s="2175"/>
      <c r="BC503" s="2175"/>
      <c r="BD503" s="2175"/>
    </row>
    <row r="504" spans="1:56" x14ac:dyDescent="0.25">
      <c r="A504" s="2220"/>
      <c r="B504" s="2254"/>
      <c r="C504" s="2175"/>
      <c r="D504" s="2175"/>
      <c r="E504" s="2175"/>
      <c r="F504" s="2175"/>
      <c r="G504" s="2180"/>
      <c r="H504" s="2214"/>
      <c r="I504" s="2175"/>
      <c r="J504" s="2243"/>
      <c r="K504" s="2270"/>
      <c r="L504" s="2211"/>
      <c r="M504" s="2180"/>
      <c r="N504" s="2270"/>
      <c r="O504" s="2173"/>
      <c r="P504" s="2021"/>
      <c r="Q504" s="2175"/>
      <c r="R504" s="2175"/>
      <c r="S504" s="2175"/>
      <c r="T504" s="2257"/>
      <c r="U504" s="1049" t="s">
        <v>876</v>
      </c>
      <c r="V504" s="1175">
        <v>41639</v>
      </c>
      <c r="W504" s="1178">
        <v>11215</v>
      </c>
      <c r="X504" s="2275"/>
      <c r="Y504" s="1175">
        <v>41639</v>
      </c>
      <c r="Z504" s="1175">
        <v>42004</v>
      </c>
      <c r="AA504" s="95">
        <v>5.2655700000000003</v>
      </c>
      <c r="AB504" s="95"/>
      <c r="AC504" s="1177">
        <v>82524</v>
      </c>
      <c r="AD504" s="95"/>
      <c r="AE504" s="2241"/>
      <c r="AF504" s="2211"/>
      <c r="AG504" s="2211"/>
      <c r="AH504" s="2211"/>
      <c r="AI504" s="2239"/>
      <c r="AJ504" s="2239"/>
      <c r="AK504" s="2175"/>
      <c r="AL504" s="2175"/>
      <c r="AM504" s="2175"/>
      <c r="AN504" s="2214"/>
      <c r="AO504" s="2180"/>
      <c r="AP504" s="2173"/>
      <c r="AQ504" s="2180"/>
      <c r="AR504" s="2173"/>
      <c r="AS504" s="2175"/>
      <c r="AT504" s="2175"/>
      <c r="AU504" s="2175"/>
      <c r="AV504" s="2175"/>
      <c r="AW504" s="2175"/>
      <c r="AX504" s="2175"/>
      <c r="AY504" s="2175"/>
      <c r="AZ504" s="2175"/>
      <c r="BA504" s="2175"/>
      <c r="BB504" s="2175"/>
      <c r="BC504" s="2175"/>
      <c r="BD504" s="2175"/>
    </row>
    <row r="505" spans="1:56" ht="38.25" x14ac:dyDescent="0.25">
      <c r="A505" s="2220"/>
      <c r="B505" s="2254"/>
      <c r="C505" s="2175"/>
      <c r="D505" s="2175"/>
      <c r="E505" s="2175"/>
      <c r="F505" s="2175"/>
      <c r="G505" s="2180"/>
      <c r="H505" s="2214"/>
      <c r="I505" s="2175"/>
      <c r="J505" s="2243"/>
      <c r="K505" s="2270"/>
      <c r="L505" s="2211"/>
      <c r="M505" s="2180"/>
      <c r="N505" s="2270"/>
      <c r="O505" s="2173"/>
      <c r="P505" s="2021"/>
      <c r="Q505" s="2175"/>
      <c r="R505" s="2175"/>
      <c r="S505" s="2175"/>
      <c r="T505" s="2257"/>
      <c r="U505" s="1049" t="s">
        <v>879</v>
      </c>
      <c r="V505" s="1175">
        <v>41988</v>
      </c>
      <c r="W505" s="1178">
        <v>11461</v>
      </c>
      <c r="X505" s="1416" t="s">
        <v>2477</v>
      </c>
      <c r="Y505" s="1175">
        <v>42004</v>
      </c>
      <c r="Z505" s="1175">
        <v>42369</v>
      </c>
      <c r="AA505" s="95">
        <v>3.6543000000000001</v>
      </c>
      <c r="AB505" s="95"/>
      <c r="AC505" s="1177">
        <v>85539.72</v>
      </c>
      <c r="AD505" s="95"/>
      <c r="AE505" s="2241"/>
      <c r="AF505" s="2211"/>
      <c r="AG505" s="2211"/>
      <c r="AH505" s="2211"/>
      <c r="AI505" s="2239"/>
      <c r="AJ505" s="2239"/>
      <c r="AK505" s="2175"/>
      <c r="AL505" s="2175"/>
      <c r="AM505" s="2175"/>
      <c r="AN505" s="2214"/>
      <c r="AO505" s="2180"/>
      <c r="AP505" s="2173"/>
      <c r="AQ505" s="2180"/>
      <c r="AR505" s="2173"/>
      <c r="AS505" s="2175"/>
      <c r="AT505" s="2175"/>
      <c r="AU505" s="2175"/>
      <c r="AV505" s="2175"/>
      <c r="AW505" s="2175"/>
      <c r="AX505" s="2175"/>
      <c r="AY505" s="2175"/>
      <c r="AZ505" s="2175"/>
      <c r="BA505" s="2175"/>
      <c r="BB505" s="2175"/>
      <c r="BC505" s="2175"/>
      <c r="BD505" s="2175"/>
    </row>
    <row r="506" spans="1:56" ht="15" customHeight="1" x14ac:dyDescent="0.25">
      <c r="A506" s="2219">
        <v>290</v>
      </c>
      <c r="B506" s="2253">
        <v>123190067</v>
      </c>
      <c r="C506" s="2163"/>
      <c r="D506" s="2163" t="s">
        <v>690</v>
      </c>
      <c r="E506" s="2163"/>
      <c r="F506" s="2163" t="s">
        <v>2478</v>
      </c>
      <c r="G506" s="2177" t="s">
        <v>677</v>
      </c>
      <c r="H506" s="2213" t="s">
        <v>2479</v>
      </c>
      <c r="I506" s="2163" t="s">
        <v>2480</v>
      </c>
      <c r="J506" s="2235" t="s">
        <v>2481</v>
      </c>
      <c r="K506" s="2269">
        <v>40539</v>
      </c>
      <c r="L506" s="2210">
        <v>13800</v>
      </c>
      <c r="M506" s="2177">
        <v>10452</v>
      </c>
      <c r="N506" s="2172">
        <v>40543</v>
      </c>
      <c r="O506" s="2172">
        <v>40908</v>
      </c>
      <c r="P506" s="1985" t="s">
        <v>1354</v>
      </c>
      <c r="Q506" s="2163"/>
      <c r="R506" s="2163"/>
      <c r="S506" s="2163"/>
      <c r="T506" s="2256" t="s">
        <v>696</v>
      </c>
      <c r="U506" s="1049" t="s">
        <v>867</v>
      </c>
      <c r="V506" s="1175">
        <v>40907</v>
      </c>
      <c r="W506" s="1178">
        <v>10738</v>
      </c>
      <c r="X506" s="2273" t="s">
        <v>2378</v>
      </c>
      <c r="Y506" s="1175">
        <v>40907</v>
      </c>
      <c r="Z506" s="1175">
        <v>41274</v>
      </c>
      <c r="AA506" s="1364"/>
      <c r="AB506" s="1364"/>
      <c r="AC506" s="1177">
        <v>13800</v>
      </c>
      <c r="AD506" s="1364"/>
      <c r="AE506" s="2210">
        <f>L506-AD506+AC506-AD507+AC507-AD508+AC508-AD509+AC509</f>
        <v>71326.2</v>
      </c>
      <c r="AF506" s="2210">
        <v>14400</v>
      </c>
      <c r="AG506" s="2210">
        <v>14400</v>
      </c>
      <c r="AH506" s="2210">
        <f>AF506+AG506</f>
        <v>28800</v>
      </c>
      <c r="AI506" s="2210"/>
      <c r="AJ506" s="2210"/>
      <c r="AK506" s="2210"/>
      <c r="AL506" s="2210"/>
      <c r="AM506" s="2163" t="s">
        <v>1311</v>
      </c>
      <c r="AN506" s="2213" t="s">
        <v>2476</v>
      </c>
      <c r="AO506" s="2177">
        <v>10452</v>
      </c>
      <c r="AP506" s="2172">
        <v>40543</v>
      </c>
      <c r="AQ506" s="2177">
        <v>10452</v>
      </c>
      <c r="AR506" s="2172">
        <v>40543</v>
      </c>
      <c r="AS506" s="2163"/>
      <c r="AT506" s="2163"/>
      <c r="AU506" s="2163"/>
      <c r="AV506" s="2163"/>
      <c r="AW506" s="2163"/>
      <c r="AX506" s="2163"/>
      <c r="AY506" s="2163"/>
      <c r="AZ506" s="2163"/>
      <c r="BA506" s="2163"/>
      <c r="BB506" s="2163"/>
      <c r="BC506" s="2163"/>
      <c r="BD506" s="2163"/>
    </row>
    <row r="507" spans="1:56" x14ac:dyDescent="0.25">
      <c r="A507" s="2220"/>
      <c r="B507" s="2254"/>
      <c r="C507" s="2175"/>
      <c r="D507" s="2175"/>
      <c r="E507" s="2175"/>
      <c r="F507" s="2175"/>
      <c r="G507" s="2180"/>
      <c r="H507" s="2214"/>
      <c r="I507" s="2175"/>
      <c r="J507" s="2243"/>
      <c r="K507" s="2270"/>
      <c r="L507" s="2211"/>
      <c r="M507" s="2180"/>
      <c r="N507" s="2173"/>
      <c r="O507" s="2173"/>
      <c r="P507" s="2021"/>
      <c r="Q507" s="2175"/>
      <c r="R507" s="2175"/>
      <c r="S507" s="2175"/>
      <c r="T507" s="2257"/>
      <c r="U507" s="1049" t="s">
        <v>874</v>
      </c>
      <c r="V507" s="1175">
        <v>41274</v>
      </c>
      <c r="W507" s="1178">
        <v>10966</v>
      </c>
      <c r="X507" s="2274"/>
      <c r="Y507" s="1175">
        <v>41274</v>
      </c>
      <c r="Z507" s="1175">
        <v>41639</v>
      </c>
      <c r="AA507" s="1419">
        <v>4.3478199999999996</v>
      </c>
      <c r="AB507" s="1364"/>
      <c r="AC507" s="1177">
        <v>14400</v>
      </c>
      <c r="AD507" s="1364"/>
      <c r="AE507" s="2211"/>
      <c r="AF507" s="2211"/>
      <c r="AG507" s="2211"/>
      <c r="AH507" s="2211"/>
      <c r="AI507" s="2211"/>
      <c r="AJ507" s="2211"/>
      <c r="AK507" s="2211"/>
      <c r="AL507" s="2211"/>
      <c r="AM507" s="2175"/>
      <c r="AN507" s="2214"/>
      <c r="AO507" s="2180"/>
      <c r="AP507" s="2173"/>
      <c r="AQ507" s="2180"/>
      <c r="AR507" s="2173"/>
      <c r="AS507" s="2175"/>
      <c r="AT507" s="2175"/>
      <c r="AU507" s="2175"/>
      <c r="AV507" s="2175"/>
      <c r="AW507" s="2175"/>
      <c r="AX507" s="2175"/>
      <c r="AY507" s="2175"/>
      <c r="AZ507" s="2175"/>
      <c r="BA507" s="2175"/>
      <c r="BB507" s="2175"/>
      <c r="BC507" s="2175"/>
      <c r="BD507" s="2175"/>
    </row>
    <row r="508" spans="1:56" x14ac:dyDescent="0.25">
      <c r="A508" s="2220"/>
      <c r="B508" s="2254"/>
      <c r="C508" s="2175"/>
      <c r="D508" s="2175"/>
      <c r="E508" s="2175"/>
      <c r="F508" s="2175"/>
      <c r="G508" s="2180"/>
      <c r="H508" s="2214"/>
      <c r="I508" s="2175"/>
      <c r="J508" s="2243"/>
      <c r="K508" s="2270"/>
      <c r="L508" s="2211"/>
      <c r="M508" s="2180"/>
      <c r="N508" s="2173"/>
      <c r="O508" s="2173"/>
      <c r="P508" s="2021"/>
      <c r="Q508" s="2175"/>
      <c r="R508" s="2175"/>
      <c r="S508" s="2175"/>
      <c r="T508" s="2257"/>
      <c r="U508" s="1049" t="s">
        <v>876</v>
      </c>
      <c r="V508" s="1175">
        <v>41639</v>
      </c>
      <c r="W508" s="1178">
        <v>11214</v>
      </c>
      <c r="X508" s="2275"/>
      <c r="Y508" s="1175">
        <v>41639</v>
      </c>
      <c r="Z508" s="1175">
        <v>42004</v>
      </c>
      <c r="AA508" s="1364"/>
      <c r="AB508" s="1364"/>
      <c r="AC508" s="1177">
        <v>14400</v>
      </c>
      <c r="AD508" s="1364"/>
      <c r="AE508" s="2211"/>
      <c r="AF508" s="2211"/>
      <c r="AG508" s="2211"/>
      <c r="AH508" s="2211"/>
      <c r="AI508" s="2211"/>
      <c r="AJ508" s="2211"/>
      <c r="AK508" s="2211"/>
      <c r="AL508" s="2211"/>
      <c r="AM508" s="2175"/>
      <c r="AN508" s="2214"/>
      <c r="AO508" s="2180"/>
      <c r="AP508" s="2173"/>
      <c r="AQ508" s="2180"/>
      <c r="AR508" s="2173"/>
      <c r="AS508" s="2175"/>
      <c r="AT508" s="2175"/>
      <c r="AU508" s="2175"/>
      <c r="AV508" s="2175"/>
      <c r="AW508" s="2175"/>
      <c r="AX508" s="2175"/>
      <c r="AY508" s="2175"/>
      <c r="AZ508" s="2175"/>
      <c r="BA508" s="2175"/>
      <c r="BB508" s="2175"/>
      <c r="BC508" s="2175"/>
      <c r="BD508" s="2175"/>
    </row>
    <row r="509" spans="1:56" ht="51" x14ac:dyDescent="0.25">
      <c r="A509" s="2221"/>
      <c r="B509" s="2255"/>
      <c r="C509" s="2164"/>
      <c r="D509" s="2164"/>
      <c r="E509" s="2164"/>
      <c r="F509" s="2164"/>
      <c r="G509" s="2178"/>
      <c r="H509" s="2215"/>
      <c r="I509" s="2164"/>
      <c r="J509" s="2236"/>
      <c r="K509" s="2271"/>
      <c r="L509" s="2212"/>
      <c r="M509" s="2178"/>
      <c r="N509" s="2174"/>
      <c r="O509" s="2174"/>
      <c r="P509" s="1986"/>
      <c r="Q509" s="2164"/>
      <c r="R509" s="2164"/>
      <c r="S509" s="2164"/>
      <c r="T509" s="2258"/>
      <c r="U509" s="1049" t="s">
        <v>879</v>
      </c>
      <c r="V509" s="1175">
        <v>41988</v>
      </c>
      <c r="W509" s="1178">
        <v>11459</v>
      </c>
      <c r="X509" s="1416" t="s">
        <v>2482</v>
      </c>
      <c r="Y509" s="1175">
        <v>42004</v>
      </c>
      <c r="Z509" s="1175">
        <v>42369</v>
      </c>
      <c r="AA509" s="1420">
        <v>3.6543000000000001</v>
      </c>
      <c r="AB509" s="1364"/>
      <c r="AC509" s="1177">
        <v>14926.2</v>
      </c>
      <c r="AD509" s="1364"/>
      <c r="AE509" s="2212"/>
      <c r="AF509" s="2212"/>
      <c r="AG509" s="2212"/>
      <c r="AH509" s="2212"/>
      <c r="AI509" s="2212"/>
      <c r="AJ509" s="2212"/>
      <c r="AK509" s="2212"/>
      <c r="AL509" s="2212"/>
      <c r="AM509" s="2164"/>
      <c r="AN509" s="2215"/>
      <c r="AO509" s="2178"/>
      <c r="AP509" s="2174"/>
      <c r="AQ509" s="2178"/>
      <c r="AR509" s="2174"/>
      <c r="AS509" s="2164"/>
      <c r="AT509" s="2164"/>
      <c r="AU509" s="2164"/>
      <c r="AV509" s="2164"/>
      <c r="AW509" s="2164"/>
      <c r="AX509" s="2164"/>
      <c r="AY509" s="2164"/>
      <c r="AZ509" s="2164"/>
      <c r="BA509" s="2164"/>
      <c r="BB509" s="2164"/>
      <c r="BC509" s="2164"/>
      <c r="BD509" s="2164"/>
    </row>
    <row r="510" spans="1:56" ht="15" customHeight="1" x14ac:dyDescent="0.25">
      <c r="A510" s="2219">
        <v>291</v>
      </c>
      <c r="B510" s="2253">
        <v>123190040</v>
      </c>
      <c r="C510" s="2163"/>
      <c r="D510" s="2163" t="s">
        <v>690</v>
      </c>
      <c r="E510" s="2163"/>
      <c r="F510" s="2163" t="s">
        <v>2483</v>
      </c>
      <c r="G510" s="2177" t="s">
        <v>677</v>
      </c>
      <c r="H510" s="2213" t="s">
        <v>1236</v>
      </c>
      <c r="I510" s="2163" t="s">
        <v>2484</v>
      </c>
      <c r="J510" s="2235" t="s">
        <v>2485</v>
      </c>
      <c r="K510" s="2269">
        <v>40539</v>
      </c>
      <c r="L510" s="2210">
        <v>7896</v>
      </c>
      <c r="M510" s="2177">
        <v>10452</v>
      </c>
      <c r="N510" s="2172">
        <v>40543</v>
      </c>
      <c r="O510" s="2172">
        <v>40908</v>
      </c>
      <c r="P510" s="1985" t="s">
        <v>1354</v>
      </c>
      <c r="Q510" s="2163"/>
      <c r="R510" s="2163"/>
      <c r="S510" s="2163"/>
      <c r="T510" s="2256" t="s">
        <v>685</v>
      </c>
      <c r="U510" s="1049" t="s">
        <v>867</v>
      </c>
      <c r="V510" s="1175">
        <v>40907</v>
      </c>
      <c r="W510" s="1178">
        <v>10738</v>
      </c>
      <c r="X510" s="2273" t="s">
        <v>2378</v>
      </c>
      <c r="Y510" s="1175">
        <v>40907</v>
      </c>
      <c r="Z510" s="1175">
        <v>41274</v>
      </c>
      <c r="AA510" s="95">
        <v>5.9270500000000004</v>
      </c>
      <c r="AB510" s="95"/>
      <c r="AC510" s="1177">
        <v>8364</v>
      </c>
      <c r="AD510" s="95"/>
      <c r="AE510" s="2240">
        <f>L510-AD510+AC510-AD511+AC511-AD512+AC512-AD513+AC513</f>
        <v>44505.599999999999</v>
      </c>
      <c r="AF510" s="2210">
        <v>8988</v>
      </c>
      <c r="AG510" s="2210">
        <v>9456</v>
      </c>
      <c r="AH510" s="2240">
        <f>AF510+AG510</f>
        <v>18444</v>
      </c>
      <c r="AI510" s="2163"/>
      <c r="AJ510" s="2163"/>
      <c r="AK510" s="2163"/>
      <c r="AL510" s="2163"/>
      <c r="AM510" s="2163" t="s">
        <v>1311</v>
      </c>
      <c r="AN510" s="2213" t="s">
        <v>2476</v>
      </c>
      <c r="AO510" s="2177">
        <v>10452</v>
      </c>
      <c r="AP510" s="2172">
        <v>40543</v>
      </c>
      <c r="AQ510" s="2177">
        <v>10452</v>
      </c>
      <c r="AR510" s="2172">
        <v>40543</v>
      </c>
      <c r="AS510" s="2163"/>
      <c r="AT510" s="2163"/>
      <c r="AU510" s="2163"/>
      <c r="AV510" s="2163"/>
      <c r="AW510" s="2163"/>
      <c r="AX510" s="2163"/>
      <c r="AY510" s="2163"/>
      <c r="AZ510" s="2163"/>
      <c r="BA510" s="2163"/>
      <c r="BB510" s="2163"/>
      <c r="BC510" s="2163"/>
      <c r="BD510" s="2163"/>
    </row>
    <row r="511" spans="1:56" x14ac:dyDescent="0.25">
      <c r="A511" s="2220"/>
      <c r="B511" s="2254"/>
      <c r="C511" s="2175"/>
      <c r="D511" s="2175"/>
      <c r="E511" s="2175"/>
      <c r="F511" s="2175"/>
      <c r="G511" s="2180"/>
      <c r="H511" s="2214"/>
      <c r="I511" s="2175"/>
      <c r="J511" s="2243"/>
      <c r="K511" s="2270"/>
      <c r="L511" s="2211"/>
      <c r="M511" s="2180"/>
      <c r="N511" s="2173"/>
      <c r="O511" s="2173"/>
      <c r="P511" s="2021"/>
      <c r="Q511" s="2175"/>
      <c r="R511" s="2175"/>
      <c r="S511" s="2175"/>
      <c r="T511" s="2257"/>
      <c r="U511" s="1049" t="s">
        <v>871</v>
      </c>
      <c r="V511" s="1175">
        <v>41274</v>
      </c>
      <c r="W511" s="1178">
        <v>10966</v>
      </c>
      <c r="X511" s="2274"/>
      <c r="Y511" s="1175">
        <v>41274</v>
      </c>
      <c r="Z511" s="1175">
        <v>41639</v>
      </c>
      <c r="AA511" s="95">
        <v>7.4605399999999999</v>
      </c>
      <c r="AB511" s="95"/>
      <c r="AC511" s="1177">
        <v>8988</v>
      </c>
      <c r="AD511" s="95"/>
      <c r="AE511" s="2241"/>
      <c r="AF511" s="2211"/>
      <c r="AG511" s="2211"/>
      <c r="AH511" s="2241"/>
      <c r="AI511" s="2175"/>
      <c r="AJ511" s="2175"/>
      <c r="AK511" s="2175"/>
      <c r="AL511" s="2175"/>
      <c r="AM511" s="2175"/>
      <c r="AN511" s="2214"/>
      <c r="AO511" s="2180"/>
      <c r="AP511" s="2173"/>
      <c r="AQ511" s="2180"/>
      <c r="AR511" s="2173"/>
      <c r="AS511" s="2175"/>
      <c r="AT511" s="2175"/>
      <c r="AU511" s="2175"/>
      <c r="AV511" s="2175"/>
      <c r="AW511" s="2175"/>
      <c r="AX511" s="2175"/>
      <c r="AY511" s="2175"/>
      <c r="AZ511" s="2175"/>
      <c r="BA511" s="2175"/>
      <c r="BB511" s="2175"/>
      <c r="BC511" s="2175"/>
      <c r="BD511" s="2175"/>
    </row>
    <row r="512" spans="1:56" x14ac:dyDescent="0.25">
      <c r="A512" s="2220"/>
      <c r="B512" s="2254"/>
      <c r="C512" s="2175"/>
      <c r="D512" s="2175"/>
      <c r="E512" s="2175"/>
      <c r="F512" s="2175"/>
      <c r="G512" s="2180"/>
      <c r="H512" s="2214"/>
      <c r="I512" s="2175"/>
      <c r="J512" s="2243"/>
      <c r="K512" s="2270"/>
      <c r="L512" s="2211"/>
      <c r="M512" s="2180"/>
      <c r="N512" s="2173"/>
      <c r="O512" s="2173"/>
      <c r="P512" s="2021"/>
      <c r="Q512" s="2175"/>
      <c r="R512" s="2175"/>
      <c r="S512" s="2175"/>
      <c r="T512" s="2257"/>
      <c r="U512" s="1049" t="s">
        <v>874</v>
      </c>
      <c r="V512" s="1175">
        <v>41639</v>
      </c>
      <c r="W512" s="1178">
        <v>11213</v>
      </c>
      <c r="X512" s="2275"/>
      <c r="Y512" s="1175">
        <v>41639</v>
      </c>
      <c r="Z512" s="1175">
        <v>42004</v>
      </c>
      <c r="AA512" s="95">
        <v>5.2069400000000003</v>
      </c>
      <c r="AB512" s="95"/>
      <c r="AC512" s="1177">
        <v>9456</v>
      </c>
      <c r="AD512" s="95"/>
      <c r="AE512" s="2241"/>
      <c r="AF512" s="2211"/>
      <c r="AG512" s="2211"/>
      <c r="AH512" s="2241"/>
      <c r="AI512" s="2175"/>
      <c r="AJ512" s="2175"/>
      <c r="AK512" s="2175"/>
      <c r="AL512" s="2175"/>
      <c r="AM512" s="2175"/>
      <c r="AN512" s="2214"/>
      <c r="AO512" s="2180"/>
      <c r="AP512" s="2173"/>
      <c r="AQ512" s="2180"/>
      <c r="AR512" s="2173"/>
      <c r="AS512" s="2175"/>
      <c r="AT512" s="2175"/>
      <c r="AU512" s="2175"/>
      <c r="AV512" s="2175"/>
      <c r="AW512" s="2175"/>
      <c r="AX512" s="2175"/>
      <c r="AY512" s="2175"/>
      <c r="AZ512" s="2175"/>
      <c r="BA512" s="2175"/>
      <c r="BB512" s="2175"/>
      <c r="BC512" s="2175"/>
      <c r="BD512" s="2175"/>
    </row>
    <row r="513" spans="1:56" ht="51" x14ac:dyDescent="0.25">
      <c r="A513" s="2221"/>
      <c r="B513" s="2255"/>
      <c r="C513" s="2164"/>
      <c r="D513" s="2164"/>
      <c r="E513" s="2164"/>
      <c r="F513" s="2164"/>
      <c r="G513" s="2178"/>
      <c r="H513" s="2215"/>
      <c r="I513" s="2164"/>
      <c r="J513" s="2236"/>
      <c r="K513" s="2271"/>
      <c r="L513" s="2212"/>
      <c r="M513" s="2178"/>
      <c r="N513" s="2174"/>
      <c r="O513" s="2174"/>
      <c r="P513" s="1986"/>
      <c r="Q513" s="2164"/>
      <c r="R513" s="2164"/>
      <c r="S513" s="2164"/>
      <c r="T513" s="2258"/>
      <c r="U513" s="1049" t="s">
        <v>876</v>
      </c>
      <c r="V513" s="1175">
        <v>41988</v>
      </c>
      <c r="W513" s="1178">
        <v>11459</v>
      </c>
      <c r="X513" s="1416" t="s">
        <v>2486</v>
      </c>
      <c r="Y513" s="1175">
        <v>42004</v>
      </c>
      <c r="Z513" s="1175">
        <v>42369</v>
      </c>
      <c r="AA513" s="95">
        <v>3.6543000000000001</v>
      </c>
      <c r="AB513" s="95"/>
      <c r="AC513" s="1177">
        <v>9801.6</v>
      </c>
      <c r="AD513" s="95"/>
      <c r="AE513" s="2242"/>
      <c r="AF513" s="2212"/>
      <c r="AG513" s="2212"/>
      <c r="AH513" s="2242"/>
      <c r="AI513" s="2164"/>
      <c r="AJ513" s="2164"/>
      <c r="AK513" s="2164"/>
      <c r="AL513" s="2164"/>
      <c r="AM513" s="2164"/>
      <c r="AN513" s="2215"/>
      <c r="AO513" s="2178"/>
      <c r="AP513" s="2174"/>
      <c r="AQ513" s="2178"/>
      <c r="AR513" s="2174"/>
      <c r="AS513" s="2164"/>
      <c r="AT513" s="2164"/>
      <c r="AU513" s="2164"/>
      <c r="AV513" s="2164"/>
      <c r="AW513" s="2164"/>
      <c r="AX513" s="2164"/>
      <c r="AY513" s="2164"/>
      <c r="AZ513" s="2164"/>
      <c r="BA513" s="2164"/>
      <c r="BB513" s="2164"/>
      <c r="BC513" s="2164"/>
      <c r="BD513" s="2164"/>
    </row>
    <row r="514" spans="1:56" ht="15" customHeight="1" x14ac:dyDescent="0.25">
      <c r="A514" s="2219">
        <v>292</v>
      </c>
      <c r="B514" s="2227" t="s">
        <v>7549</v>
      </c>
      <c r="C514" s="1985" t="s">
        <v>2487</v>
      </c>
      <c r="D514" s="1985" t="s">
        <v>2418</v>
      </c>
      <c r="E514" s="2177" t="s">
        <v>153</v>
      </c>
      <c r="F514" s="1985" t="s">
        <v>2488</v>
      </c>
      <c r="G514" s="2177">
        <v>10419</v>
      </c>
      <c r="H514" s="2213" t="s">
        <v>2489</v>
      </c>
      <c r="I514" s="1985" t="s">
        <v>2490</v>
      </c>
      <c r="J514" s="1985" t="s">
        <v>2491</v>
      </c>
      <c r="K514" s="2216">
        <v>40889</v>
      </c>
      <c r="L514" s="2002">
        <v>1300</v>
      </c>
      <c r="M514" s="2177">
        <v>10695</v>
      </c>
      <c r="N514" s="2216">
        <v>40889</v>
      </c>
      <c r="O514" s="2172">
        <v>40908</v>
      </c>
      <c r="P514" s="1985" t="s">
        <v>1354</v>
      </c>
      <c r="Q514" s="2163"/>
      <c r="R514" s="2163"/>
      <c r="S514" s="2163"/>
      <c r="T514" s="1985" t="s">
        <v>696</v>
      </c>
      <c r="U514" s="1049" t="s">
        <v>867</v>
      </c>
      <c r="V514" s="1175">
        <v>40908</v>
      </c>
      <c r="W514" s="1178">
        <v>10715</v>
      </c>
      <c r="X514" s="2233" t="s">
        <v>2492</v>
      </c>
      <c r="Y514" s="1175">
        <v>40908</v>
      </c>
      <c r="Z514" s="1175">
        <v>41274</v>
      </c>
      <c r="AA514" s="95"/>
      <c r="AB514" s="95"/>
      <c r="AC514" s="1177">
        <v>15600</v>
      </c>
      <c r="AD514" s="95"/>
      <c r="AE514" s="2262">
        <f>L514-AD514+AC514-AD515+AC515-AD516+AC516-AD517+AC517</f>
        <v>63700</v>
      </c>
      <c r="AF514" s="2210">
        <v>15600</v>
      </c>
      <c r="AG514" s="2210">
        <v>15600</v>
      </c>
      <c r="AH514" s="2240">
        <f>AF514+AG514</f>
        <v>31200</v>
      </c>
      <c r="AI514" s="2163"/>
      <c r="AJ514" s="2163"/>
      <c r="AK514" s="2163"/>
      <c r="AL514" s="2163"/>
      <c r="AM514" s="2163"/>
      <c r="AN514" s="2163"/>
      <c r="AO514" s="2163"/>
      <c r="AP514" s="2163"/>
      <c r="AQ514" s="2163"/>
      <c r="AR514" s="2163"/>
      <c r="AS514" s="2163"/>
      <c r="AT514" s="2163"/>
      <c r="AU514" s="2163"/>
      <c r="AV514" s="2163"/>
      <c r="AW514" s="2163"/>
      <c r="AX514" s="2163"/>
      <c r="AY514" s="2163"/>
      <c r="AZ514" s="2163"/>
      <c r="BA514" s="2163"/>
      <c r="BB514" s="2163"/>
      <c r="BC514" s="2163"/>
      <c r="BD514" s="2163"/>
    </row>
    <row r="515" spans="1:56" x14ac:dyDescent="0.25">
      <c r="A515" s="2220"/>
      <c r="B515" s="2272"/>
      <c r="C515" s="2021"/>
      <c r="D515" s="2021"/>
      <c r="E515" s="2180"/>
      <c r="F515" s="2021"/>
      <c r="G515" s="2180"/>
      <c r="H515" s="2214"/>
      <c r="I515" s="2021"/>
      <c r="J515" s="2021"/>
      <c r="K515" s="2217"/>
      <c r="L515" s="2187"/>
      <c r="M515" s="2180"/>
      <c r="N515" s="2217"/>
      <c r="O515" s="2173"/>
      <c r="P515" s="2021"/>
      <c r="Q515" s="2175"/>
      <c r="R515" s="2175"/>
      <c r="S515" s="2175"/>
      <c r="T515" s="2021"/>
      <c r="U515" s="1049" t="s">
        <v>871</v>
      </c>
      <c r="V515" s="1175">
        <v>41274</v>
      </c>
      <c r="W515" s="1178">
        <v>10965</v>
      </c>
      <c r="X515" s="2252"/>
      <c r="Y515" s="1175">
        <v>41274</v>
      </c>
      <c r="Z515" s="1175">
        <v>41639</v>
      </c>
      <c r="AA515" s="95"/>
      <c r="AB515" s="95"/>
      <c r="AC515" s="1177">
        <v>15600</v>
      </c>
      <c r="AD515" s="95"/>
      <c r="AE515" s="2263"/>
      <c r="AF515" s="2211"/>
      <c r="AG515" s="2211"/>
      <c r="AH515" s="2241"/>
      <c r="AI515" s="2175"/>
      <c r="AJ515" s="2175"/>
      <c r="AK515" s="2175"/>
      <c r="AL515" s="2175"/>
      <c r="AM515" s="2175"/>
      <c r="AN515" s="2175"/>
      <c r="AO515" s="2175"/>
      <c r="AP515" s="2175"/>
      <c r="AQ515" s="2175"/>
      <c r="AR515" s="2175"/>
      <c r="AS515" s="2175"/>
      <c r="AT515" s="2175"/>
      <c r="AU515" s="2175"/>
      <c r="AV515" s="2175"/>
      <c r="AW515" s="2175"/>
      <c r="AX515" s="2175"/>
      <c r="AY515" s="2175"/>
      <c r="AZ515" s="2175"/>
      <c r="BA515" s="2175"/>
      <c r="BB515" s="2175"/>
      <c r="BC515" s="2175"/>
      <c r="BD515" s="2175"/>
    </row>
    <row r="516" spans="1:56" x14ac:dyDescent="0.25">
      <c r="A516" s="2220"/>
      <c r="B516" s="2272"/>
      <c r="C516" s="2021"/>
      <c r="D516" s="2021"/>
      <c r="E516" s="2180"/>
      <c r="F516" s="2021"/>
      <c r="G516" s="2180"/>
      <c r="H516" s="2214"/>
      <c r="I516" s="2021"/>
      <c r="J516" s="2021"/>
      <c r="K516" s="2217"/>
      <c r="L516" s="2187"/>
      <c r="M516" s="2180"/>
      <c r="N516" s="2217"/>
      <c r="O516" s="2173"/>
      <c r="P516" s="2021"/>
      <c r="Q516" s="2175"/>
      <c r="R516" s="2175"/>
      <c r="S516" s="2175"/>
      <c r="T516" s="2021"/>
      <c r="U516" s="1049" t="s">
        <v>874</v>
      </c>
      <c r="V516" s="1175">
        <v>41639</v>
      </c>
      <c r="W516" s="1178">
        <v>11215</v>
      </c>
      <c r="X516" s="2234"/>
      <c r="Y516" s="1175">
        <v>41639</v>
      </c>
      <c r="Z516" s="1175">
        <v>42004</v>
      </c>
      <c r="AA516" s="95"/>
      <c r="AB516" s="95"/>
      <c r="AC516" s="1177">
        <v>15600</v>
      </c>
      <c r="AD516" s="95"/>
      <c r="AE516" s="2263"/>
      <c r="AF516" s="2211"/>
      <c r="AG516" s="2211"/>
      <c r="AH516" s="2241"/>
      <c r="AI516" s="2175"/>
      <c r="AJ516" s="2175"/>
      <c r="AK516" s="2175"/>
      <c r="AL516" s="2175"/>
      <c r="AM516" s="2175"/>
      <c r="AN516" s="2175"/>
      <c r="AO516" s="2175"/>
      <c r="AP516" s="2175"/>
      <c r="AQ516" s="2175"/>
      <c r="AR516" s="2175"/>
      <c r="AS516" s="2175"/>
      <c r="AT516" s="2175"/>
      <c r="AU516" s="2175"/>
      <c r="AV516" s="2175"/>
      <c r="AW516" s="2175"/>
      <c r="AX516" s="2175"/>
      <c r="AY516" s="2175"/>
      <c r="AZ516" s="2175"/>
      <c r="BA516" s="2175"/>
      <c r="BB516" s="2175"/>
      <c r="BC516" s="2175"/>
      <c r="BD516" s="2175"/>
    </row>
    <row r="517" spans="1:56" ht="25.5" x14ac:dyDescent="0.25">
      <c r="A517" s="2221"/>
      <c r="B517" s="2228"/>
      <c r="C517" s="1986"/>
      <c r="D517" s="1986"/>
      <c r="E517" s="2178"/>
      <c r="F517" s="1986"/>
      <c r="G517" s="2178"/>
      <c r="H517" s="2215"/>
      <c r="I517" s="1986"/>
      <c r="J517" s="1986"/>
      <c r="K517" s="2218"/>
      <c r="L517" s="2003"/>
      <c r="M517" s="2178"/>
      <c r="N517" s="2218"/>
      <c r="O517" s="2174"/>
      <c r="P517" s="1986"/>
      <c r="Q517" s="2164"/>
      <c r="R517" s="2164"/>
      <c r="S517" s="2164"/>
      <c r="T517" s="1986"/>
      <c r="U517" s="1049" t="s">
        <v>876</v>
      </c>
      <c r="V517" s="1175">
        <v>42004</v>
      </c>
      <c r="W517" s="1178">
        <v>11472</v>
      </c>
      <c r="X517" s="1125" t="s">
        <v>2493</v>
      </c>
      <c r="Y517" s="1175">
        <v>42004</v>
      </c>
      <c r="Z517" s="1175">
        <v>42369</v>
      </c>
      <c r="AA517" s="95"/>
      <c r="AB517" s="95"/>
      <c r="AC517" s="1177">
        <v>15600</v>
      </c>
      <c r="AD517" s="95"/>
      <c r="AE517" s="2264"/>
      <c r="AF517" s="2212"/>
      <c r="AG517" s="2212"/>
      <c r="AH517" s="2242"/>
      <c r="AI517" s="2164"/>
      <c r="AJ517" s="2164"/>
      <c r="AK517" s="2164"/>
      <c r="AL517" s="2164"/>
      <c r="AM517" s="2164"/>
      <c r="AN517" s="2164"/>
      <c r="AO517" s="2164"/>
      <c r="AP517" s="2164"/>
      <c r="AQ517" s="2164"/>
      <c r="AR517" s="2164"/>
      <c r="AS517" s="2164"/>
      <c r="AT517" s="2164"/>
      <c r="AU517" s="2164"/>
      <c r="AV517" s="2164"/>
      <c r="AW517" s="2164"/>
      <c r="AX517" s="2164"/>
      <c r="AY517" s="2164"/>
      <c r="AZ517" s="2164"/>
      <c r="BA517" s="2164"/>
      <c r="BB517" s="2164"/>
      <c r="BC517" s="2164"/>
      <c r="BD517" s="2164"/>
    </row>
    <row r="518" spans="1:56" ht="15" customHeight="1" x14ac:dyDescent="0.25">
      <c r="A518" s="2219">
        <v>293</v>
      </c>
      <c r="B518" s="2253">
        <v>123320094</v>
      </c>
      <c r="C518" s="2163"/>
      <c r="D518" s="2163" t="s">
        <v>690</v>
      </c>
      <c r="E518" s="2163"/>
      <c r="F518" s="2163" t="s">
        <v>2494</v>
      </c>
      <c r="G518" s="2177" t="s">
        <v>677</v>
      </c>
      <c r="H518" s="2213" t="s">
        <v>908</v>
      </c>
      <c r="I518" s="2163" t="s">
        <v>2495</v>
      </c>
      <c r="J518" s="2235" t="s">
        <v>2496</v>
      </c>
      <c r="K518" s="2216">
        <v>40742</v>
      </c>
      <c r="L518" s="2210">
        <v>28153.33</v>
      </c>
      <c r="M518" s="2177">
        <v>10602</v>
      </c>
      <c r="N518" s="2216">
        <v>40742</v>
      </c>
      <c r="O518" s="2172">
        <v>40908</v>
      </c>
      <c r="P518" s="1985" t="s">
        <v>1354</v>
      </c>
      <c r="Q518" s="2163"/>
      <c r="R518" s="2163"/>
      <c r="S518" s="2163"/>
      <c r="T518" s="2256" t="s">
        <v>696</v>
      </c>
      <c r="U518" s="1049" t="s">
        <v>867</v>
      </c>
      <c r="V518" s="1175">
        <v>40907</v>
      </c>
      <c r="W518" s="1178">
        <v>10778</v>
      </c>
      <c r="X518" s="2231" t="s">
        <v>2457</v>
      </c>
      <c r="Y518" s="1175">
        <v>40907</v>
      </c>
      <c r="Z518" s="1175">
        <v>41274</v>
      </c>
      <c r="AA518" s="1049"/>
      <c r="AB518" s="1049"/>
      <c r="AC518" s="1177">
        <v>61800</v>
      </c>
      <c r="AD518" s="1049"/>
      <c r="AE518" s="2210">
        <f>L518-AD518+AC518-AD519+AC519-AD520+AC520-AD521+AC521</f>
        <v>277611.73000000004</v>
      </c>
      <c r="AF518" s="2210">
        <v>61800</v>
      </c>
      <c r="AG518" s="2210">
        <v>61800</v>
      </c>
      <c r="AH518" s="2210">
        <f>AF518+AG518</f>
        <v>123600</v>
      </c>
      <c r="AI518" s="2210"/>
      <c r="AJ518" s="2210"/>
      <c r="AK518" s="2210"/>
      <c r="AL518" s="2210"/>
      <c r="AM518" s="2163" t="s">
        <v>1311</v>
      </c>
      <c r="AN518" s="2213" t="s">
        <v>2497</v>
      </c>
      <c r="AO518" s="2177">
        <v>10602</v>
      </c>
      <c r="AP518" s="2172">
        <v>40752</v>
      </c>
      <c r="AQ518" s="2177">
        <v>10602</v>
      </c>
      <c r="AR518" s="2172">
        <v>40752</v>
      </c>
      <c r="AS518" s="2163"/>
      <c r="AT518" s="2163"/>
      <c r="AU518" s="2163"/>
      <c r="AV518" s="2163"/>
      <c r="AW518" s="2163"/>
      <c r="AX518" s="2163"/>
      <c r="AY518" s="2163"/>
      <c r="AZ518" s="2163"/>
      <c r="BA518" s="2163"/>
      <c r="BB518" s="2163"/>
      <c r="BC518" s="2163"/>
      <c r="BD518" s="2163"/>
    </row>
    <row r="519" spans="1:56" x14ac:dyDescent="0.25">
      <c r="A519" s="2220"/>
      <c r="B519" s="2254"/>
      <c r="C519" s="2175"/>
      <c r="D519" s="2175"/>
      <c r="E519" s="2175"/>
      <c r="F519" s="2175"/>
      <c r="G519" s="2180"/>
      <c r="H519" s="2214"/>
      <c r="I519" s="2175"/>
      <c r="J519" s="2243"/>
      <c r="K519" s="2217"/>
      <c r="L519" s="2211"/>
      <c r="M519" s="2180"/>
      <c r="N519" s="2217"/>
      <c r="O519" s="2173"/>
      <c r="P519" s="2021"/>
      <c r="Q519" s="2175"/>
      <c r="R519" s="2175"/>
      <c r="S519" s="2175"/>
      <c r="T519" s="2257"/>
      <c r="U519" s="1049" t="s">
        <v>871</v>
      </c>
      <c r="V519" s="1175">
        <v>41274</v>
      </c>
      <c r="W519" s="1178">
        <v>10970</v>
      </c>
      <c r="X519" s="2251"/>
      <c r="Y519" s="1175">
        <v>41274</v>
      </c>
      <c r="Z519" s="1175">
        <v>41639</v>
      </c>
      <c r="AA519" s="1049"/>
      <c r="AB519" s="1049"/>
      <c r="AC519" s="1177">
        <v>61800</v>
      </c>
      <c r="AD519" s="1049"/>
      <c r="AE519" s="2211"/>
      <c r="AF519" s="2211"/>
      <c r="AG519" s="2211"/>
      <c r="AH519" s="2211"/>
      <c r="AI519" s="2211"/>
      <c r="AJ519" s="2211"/>
      <c r="AK519" s="2211"/>
      <c r="AL519" s="2211"/>
      <c r="AM519" s="2175"/>
      <c r="AN519" s="2214"/>
      <c r="AO519" s="2180"/>
      <c r="AP519" s="2173"/>
      <c r="AQ519" s="2180"/>
      <c r="AR519" s="2173"/>
      <c r="AS519" s="2175"/>
      <c r="AT519" s="2175"/>
      <c r="AU519" s="2175"/>
      <c r="AV519" s="2175"/>
      <c r="AW519" s="2175"/>
      <c r="AX519" s="2175"/>
      <c r="AY519" s="2175"/>
      <c r="AZ519" s="2175"/>
      <c r="BA519" s="2175"/>
      <c r="BB519" s="2175"/>
      <c r="BC519" s="2175"/>
      <c r="BD519" s="2175"/>
    </row>
    <row r="520" spans="1:56" x14ac:dyDescent="0.25">
      <c r="A520" s="2220"/>
      <c r="B520" s="2254"/>
      <c r="C520" s="2175"/>
      <c r="D520" s="2175"/>
      <c r="E520" s="2175"/>
      <c r="F520" s="2175"/>
      <c r="G520" s="2180"/>
      <c r="H520" s="2214"/>
      <c r="I520" s="2175"/>
      <c r="J520" s="2243"/>
      <c r="K520" s="2217"/>
      <c r="L520" s="2211"/>
      <c r="M520" s="2180"/>
      <c r="N520" s="2217"/>
      <c r="O520" s="2173"/>
      <c r="P520" s="2021"/>
      <c r="Q520" s="2175"/>
      <c r="R520" s="2175"/>
      <c r="S520" s="2175"/>
      <c r="T520" s="2257"/>
      <c r="U520" s="1049" t="s">
        <v>874</v>
      </c>
      <c r="V520" s="1175">
        <v>41639</v>
      </c>
      <c r="W520" s="1178">
        <v>11214</v>
      </c>
      <c r="X520" s="2232"/>
      <c r="Y520" s="1175">
        <v>41639</v>
      </c>
      <c r="Z520" s="1175">
        <v>42004</v>
      </c>
      <c r="AA520" s="1049"/>
      <c r="AB520" s="1049"/>
      <c r="AC520" s="1177">
        <v>61800</v>
      </c>
      <c r="AD520" s="1049"/>
      <c r="AE520" s="2211"/>
      <c r="AF520" s="2211"/>
      <c r="AG520" s="2211"/>
      <c r="AH520" s="2211"/>
      <c r="AI520" s="2211"/>
      <c r="AJ520" s="2211"/>
      <c r="AK520" s="2211"/>
      <c r="AL520" s="2211"/>
      <c r="AM520" s="2175"/>
      <c r="AN520" s="2214"/>
      <c r="AO520" s="2180"/>
      <c r="AP520" s="2173"/>
      <c r="AQ520" s="2180"/>
      <c r="AR520" s="2173"/>
      <c r="AS520" s="2175"/>
      <c r="AT520" s="2175"/>
      <c r="AU520" s="2175"/>
      <c r="AV520" s="2175"/>
      <c r="AW520" s="2175"/>
      <c r="AX520" s="2175"/>
      <c r="AY520" s="2175"/>
      <c r="AZ520" s="2175"/>
      <c r="BA520" s="2175"/>
      <c r="BB520" s="2175"/>
      <c r="BC520" s="2175"/>
      <c r="BD520" s="2175"/>
    </row>
    <row r="521" spans="1:56" ht="38.25" x14ac:dyDescent="0.25">
      <c r="A521" s="2221"/>
      <c r="B521" s="2255"/>
      <c r="C521" s="2164"/>
      <c r="D521" s="2164"/>
      <c r="E521" s="2164"/>
      <c r="F521" s="2164"/>
      <c r="G521" s="2178"/>
      <c r="H521" s="2215"/>
      <c r="I521" s="2164"/>
      <c r="J521" s="2236"/>
      <c r="K521" s="2218"/>
      <c r="L521" s="2212"/>
      <c r="M521" s="2178"/>
      <c r="N521" s="2218"/>
      <c r="O521" s="2174"/>
      <c r="P521" s="1986"/>
      <c r="Q521" s="2164"/>
      <c r="R521" s="2164"/>
      <c r="S521" s="2164"/>
      <c r="T521" s="2258"/>
      <c r="U521" s="1049" t="s">
        <v>876</v>
      </c>
      <c r="V521" s="1175">
        <v>41988</v>
      </c>
      <c r="W521" s="1178">
        <v>11462</v>
      </c>
      <c r="X521" s="1176" t="s">
        <v>2498</v>
      </c>
      <c r="Y521" s="1175">
        <v>42004</v>
      </c>
      <c r="Z521" s="1175">
        <v>42369</v>
      </c>
      <c r="AA521" s="1049">
        <v>3.6543000000000001</v>
      </c>
      <c r="AB521" s="1049"/>
      <c r="AC521" s="1177">
        <v>64058.400000000001</v>
      </c>
      <c r="AD521" s="1049"/>
      <c r="AE521" s="2212"/>
      <c r="AF521" s="2212"/>
      <c r="AG521" s="2212"/>
      <c r="AH521" s="2212"/>
      <c r="AI521" s="2212"/>
      <c r="AJ521" s="2212"/>
      <c r="AK521" s="2212"/>
      <c r="AL521" s="2212"/>
      <c r="AM521" s="2164"/>
      <c r="AN521" s="2215"/>
      <c r="AO521" s="2178"/>
      <c r="AP521" s="2174"/>
      <c r="AQ521" s="2178"/>
      <c r="AR521" s="2174"/>
      <c r="AS521" s="2164"/>
      <c r="AT521" s="2164"/>
      <c r="AU521" s="2164"/>
      <c r="AV521" s="2164"/>
      <c r="AW521" s="2164"/>
      <c r="AX521" s="2164"/>
      <c r="AY521" s="2164"/>
      <c r="AZ521" s="2164"/>
      <c r="BA521" s="2164"/>
      <c r="BB521" s="2164"/>
      <c r="BC521" s="2164"/>
      <c r="BD521" s="2164"/>
    </row>
    <row r="522" spans="1:56" ht="15" customHeight="1" x14ac:dyDescent="0.25">
      <c r="A522" s="2219">
        <v>294</v>
      </c>
      <c r="B522" s="2253">
        <v>123190045</v>
      </c>
      <c r="C522" s="2163"/>
      <c r="D522" s="2163" t="s">
        <v>690</v>
      </c>
      <c r="E522" s="2163"/>
      <c r="F522" s="2163" t="s">
        <v>2499</v>
      </c>
      <c r="G522" s="2177" t="s">
        <v>677</v>
      </c>
      <c r="H522" s="2213" t="s">
        <v>2500</v>
      </c>
      <c r="I522" s="2163" t="s">
        <v>2501</v>
      </c>
      <c r="J522" s="2235" t="s">
        <v>2502</v>
      </c>
      <c r="K522" s="2269">
        <v>40553</v>
      </c>
      <c r="L522" s="2210">
        <v>14583.33</v>
      </c>
      <c r="M522" s="2177">
        <v>10461</v>
      </c>
      <c r="N522" s="2269">
        <v>40553</v>
      </c>
      <c r="O522" s="2172">
        <v>40908</v>
      </c>
      <c r="P522" s="1985" t="s">
        <v>1354</v>
      </c>
      <c r="Q522" s="2163"/>
      <c r="R522" s="2163"/>
      <c r="S522" s="2163"/>
      <c r="T522" s="2256" t="s">
        <v>696</v>
      </c>
      <c r="U522" s="1049" t="s">
        <v>867</v>
      </c>
      <c r="V522" s="1175">
        <v>40907</v>
      </c>
      <c r="W522" s="1178">
        <v>10734</v>
      </c>
      <c r="X522" s="2231" t="s">
        <v>2457</v>
      </c>
      <c r="Y522" s="1175">
        <v>40907</v>
      </c>
      <c r="Z522" s="1175">
        <v>41274</v>
      </c>
      <c r="AA522" s="1049"/>
      <c r="AB522" s="1049"/>
      <c r="AC522" s="1177">
        <v>15000</v>
      </c>
      <c r="AD522" s="1049"/>
      <c r="AE522" s="2210">
        <f>L522-AD522+AC522-AD523+AC523-AD524+AC524-AD525+AC525</f>
        <v>78615.210000000006</v>
      </c>
      <c r="AF522" s="2210">
        <v>15600</v>
      </c>
      <c r="AG522" s="2210">
        <v>16416</v>
      </c>
      <c r="AH522" s="2210">
        <f>AF522+AG522</f>
        <v>32016</v>
      </c>
      <c r="AI522" s="2210"/>
      <c r="AJ522" s="2210"/>
      <c r="AK522" s="2210"/>
      <c r="AL522" s="2210"/>
      <c r="AM522" s="2163" t="s">
        <v>1311</v>
      </c>
      <c r="AN522" s="2213" t="s">
        <v>2476</v>
      </c>
      <c r="AO522" s="2177">
        <v>10461</v>
      </c>
      <c r="AP522" s="2172">
        <v>40556</v>
      </c>
      <c r="AQ522" s="2177">
        <v>10461</v>
      </c>
      <c r="AR522" s="2172">
        <v>40556</v>
      </c>
      <c r="AS522" s="2163"/>
      <c r="AT522" s="2163"/>
      <c r="AU522" s="2163"/>
      <c r="AV522" s="2163"/>
      <c r="AW522" s="2163"/>
      <c r="AX522" s="2163"/>
      <c r="AY522" s="2163"/>
      <c r="AZ522" s="2163"/>
      <c r="BA522" s="2163"/>
      <c r="BB522" s="2163"/>
      <c r="BC522" s="2163"/>
      <c r="BD522" s="2163"/>
    </row>
    <row r="523" spans="1:56" x14ac:dyDescent="0.25">
      <c r="A523" s="2220"/>
      <c r="B523" s="2254"/>
      <c r="C523" s="2175"/>
      <c r="D523" s="2175"/>
      <c r="E523" s="2175"/>
      <c r="F523" s="2175"/>
      <c r="G523" s="2180"/>
      <c r="H523" s="2214"/>
      <c r="I523" s="2175"/>
      <c r="J523" s="2243"/>
      <c r="K523" s="2270"/>
      <c r="L523" s="2211"/>
      <c r="M523" s="2180"/>
      <c r="N523" s="2270"/>
      <c r="O523" s="2173"/>
      <c r="P523" s="2021"/>
      <c r="Q523" s="2175"/>
      <c r="R523" s="2175"/>
      <c r="S523" s="2175"/>
      <c r="T523" s="2257"/>
      <c r="U523" s="1049" t="s">
        <v>871</v>
      </c>
      <c r="V523" s="1175">
        <v>41274</v>
      </c>
      <c r="W523" s="1178">
        <v>10963</v>
      </c>
      <c r="X523" s="2251"/>
      <c r="Y523" s="1175">
        <v>41274</v>
      </c>
      <c r="Z523" s="1175">
        <v>41639</v>
      </c>
      <c r="AA523" s="1421">
        <v>4</v>
      </c>
      <c r="AB523" s="1049"/>
      <c r="AC523" s="1177">
        <v>15600</v>
      </c>
      <c r="AD523" s="1049"/>
      <c r="AE523" s="2211"/>
      <c r="AF523" s="2211"/>
      <c r="AG523" s="2211"/>
      <c r="AH523" s="2211"/>
      <c r="AI523" s="2211"/>
      <c r="AJ523" s="2211"/>
      <c r="AK523" s="2211"/>
      <c r="AL523" s="2211"/>
      <c r="AM523" s="2175"/>
      <c r="AN523" s="2214"/>
      <c r="AO523" s="2180"/>
      <c r="AP523" s="2173"/>
      <c r="AQ523" s="2180"/>
      <c r="AR523" s="2173"/>
      <c r="AS523" s="2175"/>
      <c r="AT523" s="2175"/>
      <c r="AU523" s="2175"/>
      <c r="AV523" s="2175"/>
      <c r="AW523" s="2175"/>
      <c r="AX523" s="2175"/>
      <c r="AY523" s="2175"/>
      <c r="AZ523" s="2175"/>
      <c r="BA523" s="2175"/>
      <c r="BB523" s="2175"/>
      <c r="BC523" s="2175"/>
      <c r="BD523" s="2175"/>
    </row>
    <row r="524" spans="1:56" x14ac:dyDescent="0.25">
      <c r="A524" s="2220"/>
      <c r="B524" s="2254"/>
      <c r="C524" s="2175"/>
      <c r="D524" s="2175"/>
      <c r="E524" s="2175"/>
      <c r="F524" s="2175"/>
      <c r="G524" s="2180"/>
      <c r="H524" s="2214"/>
      <c r="I524" s="2175"/>
      <c r="J524" s="2243"/>
      <c r="K524" s="2270"/>
      <c r="L524" s="2211"/>
      <c r="M524" s="2180"/>
      <c r="N524" s="2270"/>
      <c r="O524" s="2173"/>
      <c r="P524" s="2021"/>
      <c r="Q524" s="2175"/>
      <c r="R524" s="2175"/>
      <c r="S524" s="2175"/>
      <c r="T524" s="2257"/>
      <c r="U524" s="1049" t="s">
        <v>874</v>
      </c>
      <c r="V524" s="1175">
        <v>41639</v>
      </c>
      <c r="W524" s="1178">
        <v>11214</v>
      </c>
      <c r="X524" s="2232"/>
      <c r="Y524" s="1175">
        <v>41639</v>
      </c>
      <c r="Z524" s="1175">
        <v>42004</v>
      </c>
      <c r="AA524" s="1049">
        <v>5.2307600000000001</v>
      </c>
      <c r="AB524" s="1049"/>
      <c r="AC524" s="1177">
        <v>16416</v>
      </c>
      <c r="AD524" s="1049"/>
      <c r="AE524" s="2211"/>
      <c r="AF524" s="2211"/>
      <c r="AG524" s="2211"/>
      <c r="AH524" s="2211"/>
      <c r="AI524" s="2211"/>
      <c r="AJ524" s="2211"/>
      <c r="AK524" s="2211"/>
      <c r="AL524" s="2211"/>
      <c r="AM524" s="2175"/>
      <c r="AN524" s="2214"/>
      <c r="AO524" s="2180"/>
      <c r="AP524" s="2173"/>
      <c r="AQ524" s="2180"/>
      <c r="AR524" s="2173"/>
      <c r="AS524" s="2175"/>
      <c r="AT524" s="2175"/>
      <c r="AU524" s="2175"/>
      <c r="AV524" s="2175"/>
      <c r="AW524" s="2175"/>
      <c r="AX524" s="2175"/>
      <c r="AY524" s="2175"/>
      <c r="AZ524" s="2175"/>
      <c r="BA524" s="2175"/>
      <c r="BB524" s="2175"/>
      <c r="BC524" s="2175"/>
      <c r="BD524" s="2175"/>
    </row>
    <row r="525" spans="1:56" ht="51" x14ac:dyDescent="0.25">
      <c r="A525" s="2221"/>
      <c r="B525" s="2255"/>
      <c r="C525" s="2164"/>
      <c r="D525" s="2164"/>
      <c r="E525" s="2164"/>
      <c r="F525" s="2164"/>
      <c r="G525" s="2178"/>
      <c r="H525" s="2215"/>
      <c r="I525" s="2164"/>
      <c r="J525" s="2236"/>
      <c r="K525" s="2271"/>
      <c r="L525" s="2212"/>
      <c r="M525" s="2178"/>
      <c r="N525" s="2271"/>
      <c r="O525" s="2174"/>
      <c r="P525" s="1986"/>
      <c r="Q525" s="2164"/>
      <c r="R525" s="2164"/>
      <c r="S525" s="2164"/>
      <c r="T525" s="2258"/>
      <c r="U525" s="1049" t="s">
        <v>876</v>
      </c>
      <c r="V525" s="1175">
        <v>41988</v>
      </c>
      <c r="W525" s="1178">
        <v>11459</v>
      </c>
      <c r="X525" s="1176" t="s">
        <v>2503</v>
      </c>
      <c r="Y525" s="1175">
        <v>42004</v>
      </c>
      <c r="Z525" s="1175">
        <v>42369</v>
      </c>
      <c r="AA525" s="1049">
        <v>3.6543000000000001</v>
      </c>
      <c r="AB525" s="1049"/>
      <c r="AC525" s="1177">
        <v>17015.88</v>
      </c>
      <c r="AD525" s="1049"/>
      <c r="AE525" s="2212"/>
      <c r="AF525" s="2212"/>
      <c r="AG525" s="2212"/>
      <c r="AH525" s="2212"/>
      <c r="AI525" s="2212"/>
      <c r="AJ525" s="2212"/>
      <c r="AK525" s="2212"/>
      <c r="AL525" s="2212"/>
      <c r="AM525" s="2164"/>
      <c r="AN525" s="2215"/>
      <c r="AO525" s="2178"/>
      <c r="AP525" s="2174"/>
      <c r="AQ525" s="2178"/>
      <c r="AR525" s="2174"/>
      <c r="AS525" s="2164"/>
      <c r="AT525" s="2164"/>
      <c r="AU525" s="2164"/>
      <c r="AV525" s="2164"/>
      <c r="AW525" s="2164"/>
      <c r="AX525" s="2164"/>
      <c r="AY525" s="2164"/>
      <c r="AZ525" s="2164"/>
      <c r="BA525" s="2164"/>
      <c r="BB525" s="2164"/>
      <c r="BC525" s="2164"/>
      <c r="BD525" s="2164"/>
    </row>
    <row r="526" spans="1:56" ht="15" customHeight="1" x14ac:dyDescent="0.25">
      <c r="A526" s="2219">
        <v>295</v>
      </c>
      <c r="B526" s="2194" t="s">
        <v>2504</v>
      </c>
      <c r="C526" s="1985" t="s">
        <v>2505</v>
      </c>
      <c r="D526" s="1985" t="s">
        <v>2506</v>
      </c>
      <c r="E526" s="2163"/>
      <c r="F526" s="1985" t="s">
        <v>2507</v>
      </c>
      <c r="G526" s="2177">
        <v>10445</v>
      </c>
      <c r="H526" s="2213" t="s">
        <v>2508</v>
      </c>
      <c r="I526" s="2235" t="s">
        <v>2509</v>
      </c>
      <c r="J526" s="1985" t="s">
        <v>639</v>
      </c>
      <c r="K526" s="2216">
        <v>40770</v>
      </c>
      <c r="L526" s="2002">
        <v>12800</v>
      </c>
      <c r="M526" s="2177">
        <v>10617</v>
      </c>
      <c r="N526" s="2216">
        <v>40770</v>
      </c>
      <c r="O526" s="2172">
        <v>40908</v>
      </c>
      <c r="P526" s="1985" t="s">
        <v>1354</v>
      </c>
      <c r="Q526" s="2163"/>
      <c r="R526" s="2163"/>
      <c r="S526" s="2163"/>
      <c r="T526" s="1985" t="s">
        <v>685</v>
      </c>
      <c r="U526" s="1049" t="s">
        <v>867</v>
      </c>
      <c r="V526" s="1175">
        <v>40907</v>
      </c>
      <c r="W526" s="1178">
        <v>10755</v>
      </c>
      <c r="X526" s="2233" t="s">
        <v>2510</v>
      </c>
      <c r="Y526" s="1175">
        <v>40907</v>
      </c>
      <c r="Z526" s="1175">
        <v>41274</v>
      </c>
      <c r="AA526" s="95"/>
      <c r="AB526" s="95"/>
      <c r="AC526" s="1177">
        <v>19200</v>
      </c>
      <c r="AD526" s="95"/>
      <c r="AE526" s="2240">
        <f>L526-AD526+AC526-AD527+AC527-AD528+AC528-AD529+AC529</f>
        <v>81600</v>
      </c>
      <c r="AF526" s="2210">
        <v>19200</v>
      </c>
      <c r="AG526" s="2210">
        <v>19200</v>
      </c>
      <c r="AH526" s="2210">
        <f>AF526+AG526</f>
        <v>38400</v>
      </c>
      <c r="AI526" s="2225" t="s">
        <v>1236</v>
      </c>
      <c r="AJ526" s="2177">
        <v>10486</v>
      </c>
      <c r="AK526" s="2163" t="s">
        <v>2511</v>
      </c>
      <c r="AL526" s="2163"/>
      <c r="AM526" s="2163"/>
      <c r="AN526" s="2163"/>
      <c r="AO526" s="2163"/>
      <c r="AP526" s="2163"/>
      <c r="AQ526" s="2163"/>
      <c r="AR526" s="2163"/>
      <c r="AS526" s="2163"/>
      <c r="AT526" s="2163"/>
      <c r="AU526" s="2163"/>
      <c r="AV526" s="2163"/>
      <c r="AW526" s="2163"/>
      <c r="AX526" s="2163"/>
      <c r="AY526" s="2163"/>
      <c r="AZ526" s="2163"/>
      <c r="BA526" s="2163"/>
      <c r="BB526" s="2163"/>
      <c r="BC526" s="2163"/>
      <c r="BD526" s="2163"/>
    </row>
    <row r="527" spans="1:56" x14ac:dyDescent="0.25">
      <c r="A527" s="2220"/>
      <c r="B527" s="2195"/>
      <c r="C527" s="2021"/>
      <c r="D527" s="2021"/>
      <c r="E527" s="2175"/>
      <c r="F527" s="2021"/>
      <c r="G527" s="2180"/>
      <c r="H527" s="2214"/>
      <c r="I527" s="2243"/>
      <c r="J527" s="2021"/>
      <c r="K527" s="2217"/>
      <c r="L527" s="2187"/>
      <c r="M527" s="2180"/>
      <c r="N527" s="2217"/>
      <c r="O527" s="2173"/>
      <c r="P527" s="2021"/>
      <c r="Q527" s="2175"/>
      <c r="R527" s="2175"/>
      <c r="S527" s="2175"/>
      <c r="T527" s="2021"/>
      <c r="U527" s="1049" t="s">
        <v>871</v>
      </c>
      <c r="V527" s="1175">
        <v>41274</v>
      </c>
      <c r="W527" s="1178">
        <v>10953</v>
      </c>
      <c r="X527" s="2252"/>
      <c r="Y527" s="1175">
        <v>41274</v>
      </c>
      <c r="Z527" s="1175">
        <v>41639</v>
      </c>
      <c r="AA527" s="95"/>
      <c r="AB527" s="95"/>
      <c r="AC527" s="1177">
        <v>19200</v>
      </c>
      <c r="AD527" s="95"/>
      <c r="AE527" s="2241"/>
      <c r="AF527" s="2211"/>
      <c r="AG527" s="2211"/>
      <c r="AH527" s="2211"/>
      <c r="AI527" s="2239"/>
      <c r="AJ527" s="2180"/>
      <c r="AK527" s="2175"/>
      <c r="AL527" s="2175"/>
      <c r="AM527" s="2175"/>
      <c r="AN527" s="2175"/>
      <c r="AO527" s="2175"/>
      <c r="AP527" s="2175"/>
      <c r="AQ527" s="2175"/>
      <c r="AR527" s="2175"/>
      <c r="AS527" s="2175"/>
      <c r="AT527" s="2175"/>
      <c r="AU527" s="2175"/>
      <c r="AV527" s="2175"/>
      <c r="AW527" s="2175"/>
      <c r="AX527" s="2175"/>
      <c r="AY527" s="2175"/>
      <c r="AZ527" s="2175"/>
      <c r="BA527" s="2175"/>
      <c r="BB527" s="2175"/>
      <c r="BC527" s="2175"/>
      <c r="BD527" s="2175"/>
    </row>
    <row r="528" spans="1:56" x14ac:dyDescent="0.25">
      <c r="A528" s="2220"/>
      <c r="B528" s="2195"/>
      <c r="C528" s="2021"/>
      <c r="D528" s="2021"/>
      <c r="E528" s="2175"/>
      <c r="F528" s="2021"/>
      <c r="G528" s="2180"/>
      <c r="H528" s="2214"/>
      <c r="I528" s="2243"/>
      <c r="J528" s="2021"/>
      <c r="K528" s="2217"/>
      <c r="L528" s="2187"/>
      <c r="M528" s="2180"/>
      <c r="N528" s="2217"/>
      <c r="O528" s="2173"/>
      <c r="P528" s="2021"/>
      <c r="Q528" s="2175"/>
      <c r="R528" s="2175"/>
      <c r="S528" s="2175"/>
      <c r="T528" s="2021"/>
      <c r="U528" s="1049" t="s">
        <v>874</v>
      </c>
      <c r="V528" s="1175">
        <v>41639</v>
      </c>
      <c r="W528" s="1178">
        <v>11213</v>
      </c>
      <c r="X528" s="2234"/>
      <c r="Y528" s="1175">
        <v>41639</v>
      </c>
      <c r="Z528" s="1175">
        <v>42004</v>
      </c>
      <c r="AA528" s="95"/>
      <c r="AB528" s="95"/>
      <c r="AC528" s="1177">
        <v>19200</v>
      </c>
      <c r="AD528" s="95"/>
      <c r="AE528" s="2241"/>
      <c r="AF528" s="2211"/>
      <c r="AG528" s="2211"/>
      <c r="AH528" s="2211"/>
      <c r="AI528" s="2226"/>
      <c r="AJ528" s="2178"/>
      <c r="AK528" s="2164"/>
      <c r="AL528" s="2175"/>
      <c r="AM528" s="2175"/>
      <c r="AN528" s="2175"/>
      <c r="AO528" s="2175"/>
      <c r="AP528" s="2175"/>
      <c r="AQ528" s="2175"/>
      <c r="AR528" s="2175"/>
      <c r="AS528" s="2175"/>
      <c r="AT528" s="2175"/>
      <c r="AU528" s="2175"/>
      <c r="AV528" s="2175"/>
      <c r="AW528" s="2175"/>
      <c r="AX528" s="2175"/>
      <c r="AY528" s="2175"/>
      <c r="AZ528" s="2175"/>
      <c r="BA528" s="2175"/>
      <c r="BB528" s="2175"/>
      <c r="BC528" s="2175"/>
      <c r="BD528" s="2175"/>
    </row>
    <row r="529" spans="1:56" ht="25.5" x14ac:dyDescent="0.25">
      <c r="A529" s="2221"/>
      <c r="B529" s="2196"/>
      <c r="C529" s="1986"/>
      <c r="D529" s="1986"/>
      <c r="E529" s="2164"/>
      <c r="F529" s="1986"/>
      <c r="G529" s="2178"/>
      <c r="H529" s="2215"/>
      <c r="I529" s="2236"/>
      <c r="J529" s="1986"/>
      <c r="K529" s="2218"/>
      <c r="L529" s="2003"/>
      <c r="M529" s="2178"/>
      <c r="N529" s="2218"/>
      <c r="O529" s="2174"/>
      <c r="P529" s="1986"/>
      <c r="Q529" s="2164"/>
      <c r="R529" s="2164"/>
      <c r="S529" s="2164"/>
      <c r="T529" s="1986"/>
      <c r="U529" s="1049" t="s">
        <v>876</v>
      </c>
      <c r="V529" s="1175">
        <v>42004</v>
      </c>
      <c r="W529" s="1178">
        <v>11472</v>
      </c>
      <c r="X529" s="1125" t="s">
        <v>2512</v>
      </c>
      <c r="Y529" s="1175">
        <v>42004</v>
      </c>
      <c r="Z529" s="1175">
        <v>42215</v>
      </c>
      <c r="AA529" s="95"/>
      <c r="AB529" s="95"/>
      <c r="AC529" s="1177">
        <v>11200</v>
      </c>
      <c r="AD529" s="95"/>
      <c r="AE529" s="2242"/>
      <c r="AF529" s="2212"/>
      <c r="AG529" s="2212"/>
      <c r="AH529" s="2212"/>
      <c r="AI529" s="1422"/>
      <c r="AJ529" s="1106"/>
      <c r="AK529" s="1113"/>
      <c r="AL529" s="2164"/>
      <c r="AM529" s="2164"/>
      <c r="AN529" s="2164"/>
      <c r="AO529" s="2164"/>
      <c r="AP529" s="2164"/>
      <c r="AQ529" s="2164"/>
      <c r="AR529" s="2164"/>
      <c r="AS529" s="2164"/>
      <c r="AT529" s="2164"/>
      <c r="AU529" s="2164"/>
      <c r="AV529" s="2164"/>
      <c r="AW529" s="2164"/>
      <c r="AX529" s="2164"/>
      <c r="AY529" s="2164"/>
      <c r="AZ529" s="2164"/>
      <c r="BA529" s="2164"/>
      <c r="BB529" s="2164"/>
      <c r="BC529" s="2164"/>
      <c r="BD529" s="2164"/>
    </row>
    <row r="530" spans="1:56" ht="15" customHeight="1" x14ac:dyDescent="0.25">
      <c r="A530" s="2219">
        <v>296</v>
      </c>
      <c r="B530" s="2253">
        <v>123320090</v>
      </c>
      <c r="C530" s="2163"/>
      <c r="D530" s="2163" t="s">
        <v>690</v>
      </c>
      <c r="E530" s="2163"/>
      <c r="F530" s="2163" t="s">
        <v>2513</v>
      </c>
      <c r="G530" s="2177" t="s">
        <v>677</v>
      </c>
      <c r="H530" s="2213" t="s">
        <v>904</v>
      </c>
      <c r="I530" s="2163" t="s">
        <v>2514</v>
      </c>
      <c r="J530" s="2163" t="s">
        <v>2515</v>
      </c>
      <c r="K530" s="2216">
        <v>40742</v>
      </c>
      <c r="L530" s="2210">
        <v>26513.33</v>
      </c>
      <c r="M530" s="2177">
        <v>10608</v>
      </c>
      <c r="N530" s="2216">
        <v>40742</v>
      </c>
      <c r="O530" s="2172">
        <v>40908</v>
      </c>
      <c r="P530" s="1985" t="s">
        <v>1354</v>
      </c>
      <c r="Q530" s="2163"/>
      <c r="R530" s="2163"/>
      <c r="S530" s="2163"/>
      <c r="T530" s="2256" t="s">
        <v>696</v>
      </c>
      <c r="U530" s="1049" t="s">
        <v>867</v>
      </c>
      <c r="V530" s="1175">
        <v>40907</v>
      </c>
      <c r="W530" s="1178">
        <v>10778</v>
      </c>
      <c r="X530" s="2231" t="s">
        <v>2378</v>
      </c>
      <c r="Y530" s="1175">
        <v>40907</v>
      </c>
      <c r="Z530" s="1175">
        <v>41274</v>
      </c>
      <c r="AA530" s="95"/>
      <c r="AB530" s="95"/>
      <c r="AC530" s="1177">
        <v>58200</v>
      </c>
      <c r="AD530" s="95"/>
      <c r="AE530" s="2240">
        <f>L530+AC530+AC531+AC532+AC533</f>
        <v>261440.09000000003</v>
      </c>
      <c r="AF530" s="2210">
        <v>58200</v>
      </c>
      <c r="AG530" s="2210">
        <v>58200</v>
      </c>
      <c r="AH530" s="2210">
        <f>AF530+AG530</f>
        <v>116400</v>
      </c>
      <c r="AI530" s="2225"/>
      <c r="AJ530" s="2225"/>
      <c r="AK530" s="2163"/>
      <c r="AL530" s="2163"/>
      <c r="AM530" s="2163" t="s">
        <v>1311</v>
      </c>
      <c r="AN530" s="2213" t="s">
        <v>1312</v>
      </c>
      <c r="AO530" s="2177">
        <v>10608</v>
      </c>
      <c r="AP530" s="2172">
        <v>40760</v>
      </c>
      <c r="AQ530" s="2177">
        <v>10608</v>
      </c>
      <c r="AR530" s="2172">
        <v>40760</v>
      </c>
      <c r="AS530" s="1049"/>
      <c r="AT530" s="1049"/>
      <c r="AU530" s="1049"/>
      <c r="AV530" s="1049"/>
      <c r="AW530" s="1049"/>
      <c r="AX530" s="1049"/>
      <c r="AY530" s="1049"/>
      <c r="AZ530" s="1049"/>
      <c r="BA530" s="1049"/>
      <c r="BB530" s="1049"/>
      <c r="BC530" s="1049"/>
      <c r="BD530" s="1049"/>
    </row>
    <row r="531" spans="1:56" x14ac:dyDescent="0.25">
      <c r="A531" s="2220"/>
      <c r="B531" s="2254"/>
      <c r="C531" s="2175"/>
      <c r="D531" s="2175"/>
      <c r="E531" s="2175"/>
      <c r="F531" s="2175"/>
      <c r="G531" s="2180"/>
      <c r="H531" s="2214"/>
      <c r="I531" s="2175"/>
      <c r="J531" s="2175"/>
      <c r="K531" s="2217"/>
      <c r="L531" s="2211"/>
      <c r="M531" s="2180"/>
      <c r="N531" s="2217"/>
      <c r="O531" s="2173"/>
      <c r="P531" s="2021"/>
      <c r="Q531" s="2175"/>
      <c r="R531" s="2175"/>
      <c r="S531" s="2175"/>
      <c r="T531" s="2257"/>
      <c r="U531" s="1049" t="s">
        <v>871</v>
      </c>
      <c r="V531" s="1175">
        <v>41274</v>
      </c>
      <c r="W531" s="1178">
        <v>10963</v>
      </c>
      <c r="X531" s="2251"/>
      <c r="Y531" s="1175">
        <v>41274</v>
      </c>
      <c r="Z531" s="1175">
        <v>41639</v>
      </c>
      <c r="AA531" s="95"/>
      <c r="AB531" s="95"/>
      <c r="AC531" s="1177">
        <v>58200</v>
      </c>
      <c r="AD531" s="95"/>
      <c r="AE531" s="2241"/>
      <c r="AF531" s="2211"/>
      <c r="AG531" s="2211"/>
      <c r="AH531" s="2211"/>
      <c r="AI531" s="2239"/>
      <c r="AJ531" s="2239"/>
      <c r="AK531" s="2175"/>
      <c r="AL531" s="2175"/>
      <c r="AM531" s="2175"/>
      <c r="AN531" s="2214"/>
      <c r="AO531" s="2180"/>
      <c r="AP531" s="2173"/>
      <c r="AQ531" s="2180"/>
      <c r="AR531" s="2173"/>
      <c r="AS531" s="1049"/>
      <c r="AT531" s="1049"/>
      <c r="AU531" s="1049"/>
      <c r="AV531" s="1049"/>
      <c r="AW531" s="1049"/>
      <c r="AX531" s="1049"/>
      <c r="AY531" s="1049"/>
      <c r="AZ531" s="1049"/>
      <c r="BA531" s="1049"/>
      <c r="BB531" s="1049"/>
      <c r="BC531" s="1049"/>
      <c r="BD531" s="1049"/>
    </row>
    <row r="532" spans="1:56" x14ac:dyDescent="0.25">
      <c r="A532" s="2220"/>
      <c r="B532" s="2254"/>
      <c r="C532" s="2175"/>
      <c r="D532" s="2175"/>
      <c r="E532" s="2175"/>
      <c r="F532" s="2175"/>
      <c r="G532" s="2180"/>
      <c r="H532" s="2214"/>
      <c r="I532" s="2175"/>
      <c r="J532" s="2175"/>
      <c r="K532" s="2217"/>
      <c r="L532" s="2211"/>
      <c r="M532" s="2180"/>
      <c r="N532" s="2217"/>
      <c r="O532" s="2173"/>
      <c r="P532" s="2021"/>
      <c r="Q532" s="2175"/>
      <c r="R532" s="2175"/>
      <c r="S532" s="2175"/>
      <c r="T532" s="2257"/>
      <c r="U532" s="1049" t="s">
        <v>874</v>
      </c>
      <c r="V532" s="1175">
        <v>41639</v>
      </c>
      <c r="W532" s="1178">
        <v>11213</v>
      </c>
      <c r="X532" s="2232"/>
      <c r="Y532" s="1175">
        <v>41639</v>
      </c>
      <c r="Z532" s="1175">
        <v>42004</v>
      </c>
      <c r="AA532" s="95"/>
      <c r="AB532" s="95"/>
      <c r="AC532" s="1177">
        <v>58200</v>
      </c>
      <c r="AD532" s="95"/>
      <c r="AE532" s="2241"/>
      <c r="AF532" s="2211"/>
      <c r="AG532" s="2211"/>
      <c r="AH532" s="2211"/>
      <c r="AI532" s="2239"/>
      <c r="AJ532" s="2239"/>
      <c r="AK532" s="2175"/>
      <c r="AL532" s="2175"/>
      <c r="AM532" s="2175"/>
      <c r="AN532" s="2214"/>
      <c r="AO532" s="2180"/>
      <c r="AP532" s="2173"/>
      <c r="AQ532" s="2180"/>
      <c r="AR532" s="2173"/>
      <c r="AS532" s="1049"/>
      <c r="AT532" s="1049"/>
      <c r="AU532" s="1049"/>
      <c r="AV532" s="1049"/>
      <c r="AW532" s="1049"/>
      <c r="AX532" s="1049"/>
      <c r="AY532" s="1049"/>
      <c r="AZ532" s="1049"/>
      <c r="BA532" s="1049"/>
      <c r="BB532" s="1049"/>
      <c r="BC532" s="1049"/>
      <c r="BD532" s="1049"/>
    </row>
    <row r="533" spans="1:56" ht="38.25" x14ac:dyDescent="0.25">
      <c r="A533" s="2221"/>
      <c r="B533" s="2255"/>
      <c r="C533" s="2164"/>
      <c r="D533" s="2164"/>
      <c r="E533" s="2164"/>
      <c r="F533" s="2164"/>
      <c r="G533" s="2178"/>
      <c r="H533" s="2215"/>
      <c r="I533" s="2164"/>
      <c r="J533" s="2164"/>
      <c r="K533" s="2218"/>
      <c r="L533" s="2212"/>
      <c r="M533" s="2178"/>
      <c r="N533" s="2218"/>
      <c r="O533" s="2174"/>
      <c r="P533" s="1986"/>
      <c r="Q533" s="2164"/>
      <c r="R533" s="2164"/>
      <c r="S533" s="2164"/>
      <c r="T533" s="2258"/>
      <c r="U533" s="1049" t="s">
        <v>876</v>
      </c>
      <c r="V533" s="1175">
        <v>41988</v>
      </c>
      <c r="W533" s="1178">
        <v>11462</v>
      </c>
      <c r="X533" s="1176" t="s">
        <v>2516</v>
      </c>
      <c r="Y533" s="1175">
        <v>42004</v>
      </c>
      <c r="Z533" s="1175">
        <v>42369</v>
      </c>
      <c r="AA533" s="1049">
        <v>3.6543000000000001</v>
      </c>
      <c r="AB533" s="95"/>
      <c r="AC533" s="1177">
        <v>60326.76</v>
      </c>
      <c r="AD533" s="95" t="s">
        <v>2517</v>
      </c>
      <c r="AE533" s="2242"/>
      <c r="AF533" s="2212"/>
      <c r="AG533" s="2212"/>
      <c r="AH533" s="2212"/>
      <c r="AI533" s="2226"/>
      <c r="AJ533" s="2226"/>
      <c r="AK533" s="2164"/>
      <c r="AL533" s="2164"/>
      <c r="AM533" s="2164"/>
      <c r="AN533" s="2215"/>
      <c r="AO533" s="2178"/>
      <c r="AP533" s="2174"/>
      <c r="AQ533" s="2178"/>
      <c r="AR533" s="2174"/>
      <c r="AS533" s="1112"/>
      <c r="AT533" s="1112"/>
      <c r="AU533" s="1112"/>
      <c r="AV533" s="1112"/>
      <c r="AW533" s="1112"/>
      <c r="AX533" s="1112"/>
      <c r="AY533" s="1112"/>
      <c r="AZ533" s="1112"/>
      <c r="BA533" s="1112"/>
      <c r="BB533" s="1112"/>
      <c r="BC533" s="1112"/>
      <c r="BD533" s="1112"/>
    </row>
    <row r="534" spans="1:56" ht="15" customHeight="1" x14ac:dyDescent="0.25">
      <c r="A534" s="2219">
        <v>297</v>
      </c>
      <c r="B534" s="2253">
        <v>123180222</v>
      </c>
      <c r="C534" s="2163"/>
      <c r="D534" s="2163" t="s">
        <v>690</v>
      </c>
      <c r="E534" s="2163"/>
      <c r="F534" s="2163" t="s">
        <v>2518</v>
      </c>
      <c r="G534" s="2177" t="s">
        <v>677</v>
      </c>
      <c r="H534" s="2213" t="s">
        <v>614</v>
      </c>
      <c r="I534" s="1985" t="s">
        <v>2519</v>
      </c>
      <c r="J534" s="1985" t="s">
        <v>2520</v>
      </c>
      <c r="K534" s="1996">
        <v>40940</v>
      </c>
      <c r="L534" s="2002">
        <v>140349</v>
      </c>
      <c r="M534" s="2177">
        <v>10757</v>
      </c>
      <c r="N534" s="1996">
        <v>40940</v>
      </c>
      <c r="O534" s="1996">
        <v>41274</v>
      </c>
      <c r="P534" s="1985" t="s">
        <v>1354</v>
      </c>
      <c r="Q534" s="2163"/>
      <c r="R534" s="2163"/>
      <c r="S534" s="2163"/>
      <c r="T534" s="1985" t="s">
        <v>696</v>
      </c>
      <c r="U534" s="1049" t="s">
        <v>867</v>
      </c>
      <c r="V534" s="1175">
        <v>41274</v>
      </c>
      <c r="W534" s="1178">
        <v>10963</v>
      </c>
      <c r="X534" s="2231" t="s">
        <v>2378</v>
      </c>
      <c r="Y534" s="1175">
        <v>41274</v>
      </c>
      <c r="Z534" s="1175">
        <v>41639</v>
      </c>
      <c r="AA534" s="95"/>
      <c r="AB534" s="95"/>
      <c r="AC534" s="1177">
        <v>153108</v>
      </c>
      <c r="AD534" s="95"/>
      <c r="AE534" s="2240">
        <f>L534-AD534+AC534-AD535+AC535-AD536+AC536</f>
        <v>622741.56000000006</v>
      </c>
      <c r="AF534" s="2210">
        <v>153108</v>
      </c>
      <c r="AG534" s="2210">
        <v>161688</v>
      </c>
      <c r="AH534" s="2240">
        <f>AF534+AG534</f>
        <v>314796</v>
      </c>
      <c r="AI534" s="2163"/>
      <c r="AJ534" s="2163"/>
      <c r="AK534" s="2163"/>
      <c r="AL534" s="2163"/>
      <c r="AM534" s="2163" t="s">
        <v>1311</v>
      </c>
      <c r="AN534" s="2213" t="s">
        <v>1312</v>
      </c>
      <c r="AO534" s="2177">
        <v>10749</v>
      </c>
      <c r="AP534" s="2172">
        <v>40973</v>
      </c>
      <c r="AQ534" s="2177">
        <v>10749</v>
      </c>
      <c r="AR534" s="2172">
        <v>40973</v>
      </c>
      <c r="AS534" s="2163"/>
      <c r="AT534" s="2163"/>
      <c r="AU534" s="2163"/>
      <c r="AV534" s="2163"/>
      <c r="AW534" s="2163"/>
      <c r="AX534" s="2163"/>
      <c r="AY534" s="2163"/>
      <c r="AZ534" s="2163"/>
      <c r="BA534" s="2163"/>
      <c r="BB534" s="2163"/>
      <c r="BC534" s="2163"/>
      <c r="BD534" s="2163"/>
    </row>
    <row r="535" spans="1:56" ht="26.25" customHeight="1" x14ac:dyDescent="0.25">
      <c r="A535" s="2220"/>
      <c r="B535" s="2254"/>
      <c r="C535" s="2175"/>
      <c r="D535" s="2175"/>
      <c r="E535" s="2175"/>
      <c r="F535" s="2175"/>
      <c r="G535" s="2180"/>
      <c r="H535" s="2214"/>
      <c r="I535" s="2021"/>
      <c r="J535" s="2021"/>
      <c r="K535" s="2033"/>
      <c r="L535" s="2187"/>
      <c r="M535" s="2180"/>
      <c r="N535" s="2033"/>
      <c r="O535" s="2033"/>
      <c r="P535" s="2021"/>
      <c r="Q535" s="2175"/>
      <c r="R535" s="2175"/>
      <c r="S535" s="2175"/>
      <c r="T535" s="2021"/>
      <c r="U535" s="1049" t="s">
        <v>871</v>
      </c>
      <c r="V535" s="1175">
        <v>41639</v>
      </c>
      <c r="W535" s="1178">
        <v>11218</v>
      </c>
      <c r="X535" s="2232"/>
      <c r="Y535" s="1175">
        <v>41639</v>
      </c>
      <c r="Z535" s="1175">
        <v>42004</v>
      </c>
      <c r="AA535" s="95">
        <v>5.6038800000000002</v>
      </c>
      <c r="AB535" s="95"/>
      <c r="AC535" s="1177">
        <v>161688</v>
      </c>
      <c r="AD535" s="95"/>
      <c r="AE535" s="2241"/>
      <c r="AF535" s="2211"/>
      <c r="AG535" s="2211"/>
      <c r="AH535" s="2241"/>
      <c r="AI535" s="2175"/>
      <c r="AJ535" s="2175"/>
      <c r="AK535" s="2175"/>
      <c r="AL535" s="2175"/>
      <c r="AM535" s="2175"/>
      <c r="AN535" s="2214"/>
      <c r="AO535" s="2180"/>
      <c r="AP535" s="2173"/>
      <c r="AQ535" s="2180"/>
      <c r="AR535" s="2173"/>
      <c r="AS535" s="2175"/>
      <c r="AT535" s="2175"/>
      <c r="AU535" s="2175"/>
      <c r="AV535" s="2175"/>
      <c r="AW535" s="2175"/>
      <c r="AX535" s="2175"/>
      <c r="AY535" s="2175"/>
      <c r="AZ535" s="2175"/>
      <c r="BA535" s="2175"/>
      <c r="BB535" s="2175"/>
      <c r="BC535" s="2175"/>
      <c r="BD535" s="2175"/>
    </row>
    <row r="536" spans="1:56" ht="96.75" customHeight="1" x14ac:dyDescent="0.25">
      <c r="A536" s="2221"/>
      <c r="B536" s="2255"/>
      <c r="C536" s="2164"/>
      <c r="D536" s="2164"/>
      <c r="E536" s="2164"/>
      <c r="F536" s="2164"/>
      <c r="G536" s="2178"/>
      <c r="H536" s="2215"/>
      <c r="I536" s="1986"/>
      <c r="J536" s="1986"/>
      <c r="K536" s="1997"/>
      <c r="L536" s="2003"/>
      <c r="M536" s="2178"/>
      <c r="N536" s="1997"/>
      <c r="O536" s="1997"/>
      <c r="P536" s="1986"/>
      <c r="Q536" s="2164"/>
      <c r="R536" s="2164"/>
      <c r="S536" s="2164"/>
      <c r="T536" s="1986"/>
      <c r="U536" s="1049" t="s">
        <v>874</v>
      </c>
      <c r="V536" s="1175">
        <v>41988</v>
      </c>
      <c r="W536" s="1178">
        <v>11460</v>
      </c>
      <c r="X536" s="1176" t="s">
        <v>2521</v>
      </c>
      <c r="Y536" s="1175">
        <v>42004</v>
      </c>
      <c r="Z536" s="1175">
        <v>42369</v>
      </c>
      <c r="AA536" s="95">
        <v>3.6543000000000001</v>
      </c>
      <c r="AB536" s="95"/>
      <c r="AC536" s="1177">
        <v>167596.56</v>
      </c>
      <c r="AD536" s="95"/>
      <c r="AE536" s="2242"/>
      <c r="AF536" s="2212"/>
      <c r="AG536" s="2212"/>
      <c r="AH536" s="2242"/>
      <c r="AI536" s="2164"/>
      <c r="AJ536" s="2164"/>
      <c r="AK536" s="2164"/>
      <c r="AL536" s="2164"/>
      <c r="AM536" s="2164"/>
      <c r="AN536" s="2215"/>
      <c r="AO536" s="2178"/>
      <c r="AP536" s="2174"/>
      <c r="AQ536" s="2178"/>
      <c r="AR536" s="2174"/>
      <c r="AS536" s="2164"/>
      <c r="AT536" s="2164"/>
      <c r="AU536" s="2164"/>
      <c r="AV536" s="2164"/>
      <c r="AW536" s="2164"/>
      <c r="AX536" s="2164"/>
      <c r="AY536" s="2164"/>
      <c r="AZ536" s="2164"/>
      <c r="BA536" s="2164"/>
      <c r="BB536" s="2164"/>
      <c r="BC536" s="2164"/>
      <c r="BD536" s="2164"/>
    </row>
    <row r="537" spans="1:56" ht="15" customHeight="1" x14ac:dyDescent="0.25">
      <c r="A537" s="2219">
        <v>298</v>
      </c>
      <c r="B537" s="2253">
        <v>123180215</v>
      </c>
      <c r="C537" s="2163"/>
      <c r="D537" s="2163" t="s">
        <v>690</v>
      </c>
      <c r="E537" s="2163"/>
      <c r="F537" s="2163" t="s">
        <v>2522</v>
      </c>
      <c r="G537" s="2177" t="s">
        <v>677</v>
      </c>
      <c r="H537" s="2213" t="s">
        <v>2523</v>
      </c>
      <c r="I537" s="1985" t="s">
        <v>2519</v>
      </c>
      <c r="J537" s="1985" t="s">
        <v>2520</v>
      </c>
      <c r="K537" s="1996">
        <v>40940</v>
      </c>
      <c r="L537" s="2002">
        <v>115500</v>
      </c>
      <c r="M537" s="2177">
        <v>10749</v>
      </c>
      <c r="N537" s="1996">
        <v>40940</v>
      </c>
      <c r="O537" s="1996">
        <v>41274</v>
      </c>
      <c r="P537" s="1985" t="s">
        <v>1354</v>
      </c>
      <c r="Q537" s="2163"/>
      <c r="R537" s="2163"/>
      <c r="S537" s="2163"/>
      <c r="T537" s="1985" t="s">
        <v>696</v>
      </c>
      <c r="U537" s="1049" t="s">
        <v>867</v>
      </c>
      <c r="V537" s="1175">
        <v>41274</v>
      </c>
      <c r="W537" s="1178">
        <v>10963</v>
      </c>
      <c r="X537" s="2231" t="s">
        <v>2378</v>
      </c>
      <c r="Y537" s="1175">
        <v>41274</v>
      </c>
      <c r="Z537" s="1175">
        <v>41639</v>
      </c>
      <c r="AA537" s="95"/>
      <c r="AB537" s="95"/>
      <c r="AC537" s="1177">
        <v>126000</v>
      </c>
      <c r="AD537" s="95"/>
      <c r="AE537" s="2240">
        <f>L537-AD537+AC537-AD538+AC538-AD539+AC539</f>
        <v>512498.76</v>
      </c>
      <c r="AF537" s="2210">
        <v>126000</v>
      </c>
      <c r="AG537" s="2210">
        <v>133068</v>
      </c>
      <c r="AH537" s="2240">
        <f>AF537+AG537</f>
        <v>259068</v>
      </c>
      <c r="AI537" s="2163"/>
      <c r="AJ537" s="2163"/>
      <c r="AK537" s="2163"/>
      <c r="AL537" s="2163"/>
      <c r="AM537" s="2163" t="s">
        <v>1311</v>
      </c>
      <c r="AN537" s="2213" t="s">
        <v>1312</v>
      </c>
      <c r="AO537" s="2177">
        <v>10750</v>
      </c>
      <c r="AP537" s="2172">
        <v>40974</v>
      </c>
      <c r="AQ537" s="2177">
        <v>10750</v>
      </c>
      <c r="AR537" s="2172">
        <v>40974</v>
      </c>
      <c r="AS537" s="2163"/>
      <c r="AT537" s="2163"/>
      <c r="AU537" s="2163"/>
      <c r="AV537" s="2163"/>
      <c r="AW537" s="2163"/>
      <c r="AX537" s="2163"/>
      <c r="AY537" s="2163"/>
      <c r="AZ537" s="2163"/>
      <c r="BA537" s="2163"/>
      <c r="BB537" s="2163"/>
      <c r="BC537" s="2163"/>
      <c r="BD537" s="2163"/>
    </row>
    <row r="538" spans="1:56" ht="18.75" customHeight="1" x14ac:dyDescent="0.25">
      <c r="A538" s="2220"/>
      <c r="B538" s="2254"/>
      <c r="C538" s="2175"/>
      <c r="D538" s="2175"/>
      <c r="E538" s="2175"/>
      <c r="F538" s="2175"/>
      <c r="G538" s="2180"/>
      <c r="H538" s="2214"/>
      <c r="I538" s="2021"/>
      <c r="J538" s="2021"/>
      <c r="K538" s="2033"/>
      <c r="L538" s="2187"/>
      <c r="M538" s="2180"/>
      <c r="N538" s="2033"/>
      <c r="O538" s="2033"/>
      <c r="P538" s="2021"/>
      <c r="Q538" s="2175"/>
      <c r="R538" s="2175"/>
      <c r="S538" s="2175"/>
      <c r="T538" s="2021"/>
      <c r="U538" s="1049" t="s">
        <v>871</v>
      </c>
      <c r="V538" s="1175">
        <v>41639</v>
      </c>
      <c r="W538" s="1178">
        <v>11218</v>
      </c>
      <c r="X538" s="2232"/>
      <c r="Y538" s="1175">
        <v>41639</v>
      </c>
      <c r="Z538" s="1175">
        <v>42004</v>
      </c>
      <c r="AA538" s="95">
        <v>5.6095199999999998</v>
      </c>
      <c r="AB538" s="95"/>
      <c r="AC538" s="1177">
        <v>133068</v>
      </c>
      <c r="AD538" s="95"/>
      <c r="AE538" s="2241"/>
      <c r="AF538" s="2211"/>
      <c r="AG538" s="2211"/>
      <c r="AH538" s="2241"/>
      <c r="AI538" s="2175"/>
      <c r="AJ538" s="2175"/>
      <c r="AK538" s="2175"/>
      <c r="AL538" s="2175"/>
      <c r="AM538" s="2175"/>
      <c r="AN538" s="2214"/>
      <c r="AO538" s="2180"/>
      <c r="AP538" s="2173"/>
      <c r="AQ538" s="2180"/>
      <c r="AR538" s="2173"/>
      <c r="AS538" s="2175"/>
      <c r="AT538" s="2175"/>
      <c r="AU538" s="2175"/>
      <c r="AV538" s="2175"/>
      <c r="AW538" s="2175"/>
      <c r="AX538" s="2175"/>
      <c r="AY538" s="2175"/>
      <c r="AZ538" s="2175"/>
      <c r="BA538" s="2175"/>
      <c r="BB538" s="2175"/>
      <c r="BC538" s="2175"/>
      <c r="BD538" s="2175"/>
    </row>
    <row r="539" spans="1:56" ht="94.5" customHeight="1" x14ac:dyDescent="0.25">
      <c r="A539" s="2221"/>
      <c r="B539" s="2255"/>
      <c r="C539" s="2164"/>
      <c r="D539" s="2164"/>
      <c r="E539" s="2164"/>
      <c r="F539" s="2164"/>
      <c r="G539" s="2178"/>
      <c r="H539" s="2215"/>
      <c r="I539" s="1986"/>
      <c r="J539" s="1986"/>
      <c r="K539" s="1997"/>
      <c r="L539" s="2003"/>
      <c r="M539" s="2178"/>
      <c r="N539" s="1997"/>
      <c r="O539" s="1997"/>
      <c r="P539" s="1986"/>
      <c r="Q539" s="2164"/>
      <c r="R539" s="2164"/>
      <c r="S539" s="2164"/>
      <c r="T539" s="1986"/>
      <c r="U539" s="1049" t="s">
        <v>874</v>
      </c>
      <c r="V539" s="1175">
        <v>41988</v>
      </c>
      <c r="W539" s="1178">
        <v>11460</v>
      </c>
      <c r="X539" s="1176" t="s">
        <v>2524</v>
      </c>
      <c r="Y539" s="1175">
        <v>42004</v>
      </c>
      <c r="Z539" s="1175">
        <v>42369</v>
      </c>
      <c r="AA539" s="95">
        <v>3.6543000000000001</v>
      </c>
      <c r="AB539" s="95"/>
      <c r="AC539" s="1177">
        <v>137930.76</v>
      </c>
      <c r="AD539" s="95"/>
      <c r="AE539" s="2242"/>
      <c r="AF539" s="2212"/>
      <c r="AG539" s="2212"/>
      <c r="AH539" s="2242"/>
      <c r="AI539" s="2164"/>
      <c r="AJ539" s="2164"/>
      <c r="AK539" s="2164"/>
      <c r="AL539" s="2164"/>
      <c r="AM539" s="2164"/>
      <c r="AN539" s="2215"/>
      <c r="AO539" s="2178"/>
      <c r="AP539" s="2174"/>
      <c r="AQ539" s="2178"/>
      <c r="AR539" s="2174"/>
      <c r="AS539" s="2164"/>
      <c r="AT539" s="2164"/>
      <c r="AU539" s="2164"/>
      <c r="AV539" s="2164"/>
      <c r="AW539" s="2164"/>
      <c r="AX539" s="2164"/>
      <c r="AY539" s="2164"/>
      <c r="AZ539" s="2164"/>
      <c r="BA539" s="2164"/>
      <c r="BB539" s="2164"/>
      <c r="BC539" s="2164"/>
      <c r="BD539" s="2164"/>
    </row>
    <row r="540" spans="1:56" ht="15" customHeight="1" x14ac:dyDescent="0.25">
      <c r="A540" s="2219">
        <v>299</v>
      </c>
      <c r="B540" s="2253">
        <v>123180223</v>
      </c>
      <c r="C540" s="2163"/>
      <c r="D540" s="2163" t="s">
        <v>690</v>
      </c>
      <c r="E540" s="2163"/>
      <c r="F540" s="1985" t="s">
        <v>2525</v>
      </c>
      <c r="G540" s="2177" t="s">
        <v>677</v>
      </c>
      <c r="H540" s="2213" t="s">
        <v>925</v>
      </c>
      <c r="I540" s="2163" t="s">
        <v>2526</v>
      </c>
      <c r="J540" s="2235" t="s">
        <v>2527</v>
      </c>
      <c r="K540" s="2244">
        <v>41052</v>
      </c>
      <c r="L540" s="2002">
        <v>47450.03</v>
      </c>
      <c r="M540" s="2177">
        <v>10817</v>
      </c>
      <c r="N540" s="2244">
        <v>41052</v>
      </c>
      <c r="O540" s="1996">
        <v>41274</v>
      </c>
      <c r="P540" s="1985" t="s">
        <v>1354</v>
      </c>
      <c r="Q540" s="2163"/>
      <c r="R540" s="2163"/>
      <c r="S540" s="2163"/>
      <c r="T540" s="1985" t="s">
        <v>685</v>
      </c>
      <c r="U540" s="1049" t="s">
        <v>867</v>
      </c>
      <c r="V540" s="1175">
        <v>41274</v>
      </c>
      <c r="W540" s="1178">
        <v>10963</v>
      </c>
      <c r="X540" s="2231" t="s">
        <v>2378</v>
      </c>
      <c r="Y540" s="1175">
        <v>41274</v>
      </c>
      <c r="Z540" s="1175">
        <v>41639</v>
      </c>
      <c r="AA540" s="95"/>
      <c r="AB540" s="95"/>
      <c r="AC540" s="1177">
        <v>78000</v>
      </c>
      <c r="AD540" s="95"/>
      <c r="AE540" s="2240">
        <f>L540-AD540+AC540-AD541+AC541-AD542+AC542</f>
        <v>293195.99</v>
      </c>
      <c r="AF540" s="2210">
        <v>78000</v>
      </c>
      <c r="AG540" s="2210">
        <v>82368</v>
      </c>
      <c r="AH540" s="2240">
        <f>AF540+AG540</f>
        <v>160368</v>
      </c>
      <c r="AI540" s="2163"/>
      <c r="AJ540" s="2163"/>
      <c r="AK540" s="2163"/>
      <c r="AL540" s="2163"/>
      <c r="AM540" s="2163" t="s">
        <v>1311</v>
      </c>
      <c r="AN540" s="2213" t="s">
        <v>1312</v>
      </c>
      <c r="AO540" s="2177">
        <v>10813</v>
      </c>
      <c r="AP540" s="2172">
        <v>41064</v>
      </c>
      <c r="AQ540" s="2177">
        <v>10813</v>
      </c>
      <c r="AR540" s="2172">
        <v>41064</v>
      </c>
      <c r="AS540" s="2163"/>
      <c r="AT540" s="2163"/>
      <c r="AU540" s="2163"/>
      <c r="AV540" s="2163"/>
      <c r="AW540" s="2163"/>
      <c r="AX540" s="2163"/>
      <c r="AY540" s="2163"/>
      <c r="AZ540" s="2163"/>
      <c r="BA540" s="2163"/>
      <c r="BB540" s="2163"/>
      <c r="BC540" s="2163"/>
      <c r="BD540" s="2163"/>
    </row>
    <row r="541" spans="1:56" ht="18.75" customHeight="1" x14ac:dyDescent="0.25">
      <c r="A541" s="2220"/>
      <c r="B541" s="2254"/>
      <c r="C541" s="2175"/>
      <c r="D541" s="2175"/>
      <c r="E541" s="2175"/>
      <c r="F541" s="2021"/>
      <c r="G541" s="2180"/>
      <c r="H541" s="2214"/>
      <c r="I541" s="2175"/>
      <c r="J541" s="2243"/>
      <c r="K541" s="2245"/>
      <c r="L541" s="2187"/>
      <c r="M541" s="2180"/>
      <c r="N541" s="2245"/>
      <c r="O541" s="2033"/>
      <c r="P541" s="2021"/>
      <c r="Q541" s="2175"/>
      <c r="R541" s="2175"/>
      <c r="S541" s="2175"/>
      <c r="T541" s="2021"/>
      <c r="U541" s="1049" t="s">
        <v>871</v>
      </c>
      <c r="V541" s="1175">
        <v>41639</v>
      </c>
      <c r="W541" s="1178">
        <v>11218</v>
      </c>
      <c r="X541" s="2232"/>
      <c r="Y541" s="1175">
        <v>41639</v>
      </c>
      <c r="Z541" s="1175">
        <v>42004</v>
      </c>
      <c r="AA541" s="1415">
        <v>5.6</v>
      </c>
      <c r="AB541" s="95"/>
      <c r="AC541" s="1177">
        <v>82368</v>
      </c>
      <c r="AD541" s="95"/>
      <c r="AE541" s="2241"/>
      <c r="AF541" s="2211"/>
      <c r="AG541" s="2211"/>
      <c r="AH541" s="2241"/>
      <c r="AI541" s="2175"/>
      <c r="AJ541" s="2175"/>
      <c r="AK541" s="2175"/>
      <c r="AL541" s="2175"/>
      <c r="AM541" s="2175"/>
      <c r="AN541" s="2214"/>
      <c r="AO541" s="2180"/>
      <c r="AP541" s="2173"/>
      <c r="AQ541" s="2180"/>
      <c r="AR541" s="2173"/>
      <c r="AS541" s="2175"/>
      <c r="AT541" s="2175"/>
      <c r="AU541" s="2175"/>
      <c r="AV541" s="2175"/>
      <c r="AW541" s="2175"/>
      <c r="AX541" s="2175"/>
      <c r="AY541" s="2175"/>
      <c r="AZ541" s="2175"/>
      <c r="BA541" s="2175"/>
      <c r="BB541" s="2175"/>
      <c r="BC541" s="2175"/>
      <c r="BD541" s="2175"/>
    </row>
    <row r="542" spans="1:56" ht="90" customHeight="1" x14ac:dyDescent="0.25">
      <c r="A542" s="2221"/>
      <c r="B542" s="2255"/>
      <c r="C542" s="2164"/>
      <c r="D542" s="2164"/>
      <c r="E542" s="2164"/>
      <c r="F542" s="1986"/>
      <c r="G542" s="2178"/>
      <c r="H542" s="2215"/>
      <c r="I542" s="2164"/>
      <c r="J542" s="2236"/>
      <c r="K542" s="2246"/>
      <c r="L542" s="2003"/>
      <c r="M542" s="2178"/>
      <c r="N542" s="2246"/>
      <c r="O542" s="1997"/>
      <c r="P542" s="1986"/>
      <c r="Q542" s="2164"/>
      <c r="R542" s="2164"/>
      <c r="S542" s="2164"/>
      <c r="T542" s="1986"/>
      <c r="U542" s="1049" t="s">
        <v>874</v>
      </c>
      <c r="V542" s="1175">
        <v>41988</v>
      </c>
      <c r="W542" s="1178">
        <v>11460</v>
      </c>
      <c r="X542" s="1176" t="s">
        <v>2528</v>
      </c>
      <c r="Y542" s="1175">
        <v>42004</v>
      </c>
      <c r="Z542" s="1175">
        <v>42369</v>
      </c>
      <c r="AA542" s="1415">
        <v>3.6543000000000001</v>
      </c>
      <c r="AB542" s="95"/>
      <c r="AC542" s="1177">
        <v>85377.96</v>
      </c>
      <c r="AD542" s="95"/>
      <c r="AE542" s="2242"/>
      <c r="AF542" s="2212"/>
      <c r="AG542" s="2212"/>
      <c r="AH542" s="2242"/>
      <c r="AI542" s="2164"/>
      <c r="AJ542" s="2164"/>
      <c r="AK542" s="2164"/>
      <c r="AL542" s="2164"/>
      <c r="AM542" s="2164"/>
      <c r="AN542" s="2215"/>
      <c r="AO542" s="2178"/>
      <c r="AP542" s="2174"/>
      <c r="AQ542" s="2178"/>
      <c r="AR542" s="2174"/>
      <c r="AS542" s="2164"/>
      <c r="AT542" s="2164"/>
      <c r="AU542" s="2164"/>
      <c r="AV542" s="2164"/>
      <c r="AW542" s="2164"/>
      <c r="AX542" s="2164"/>
      <c r="AY542" s="2164"/>
      <c r="AZ542" s="2164"/>
      <c r="BA542" s="2164"/>
      <c r="BB542" s="2164"/>
      <c r="BC542" s="2164"/>
      <c r="BD542" s="2164"/>
    </row>
    <row r="543" spans="1:56" ht="15" customHeight="1" x14ac:dyDescent="0.25">
      <c r="A543" s="2219">
        <v>300</v>
      </c>
      <c r="B543" s="2253">
        <v>123180224</v>
      </c>
      <c r="C543" s="2163"/>
      <c r="D543" s="2163" t="s">
        <v>690</v>
      </c>
      <c r="E543" s="2163"/>
      <c r="F543" s="1985" t="s">
        <v>2529</v>
      </c>
      <c r="G543" s="2177" t="s">
        <v>677</v>
      </c>
      <c r="H543" s="2213" t="s">
        <v>1067</v>
      </c>
      <c r="I543" s="2163" t="s">
        <v>2526</v>
      </c>
      <c r="J543" s="2235" t="s">
        <v>2527</v>
      </c>
      <c r="K543" s="2244">
        <v>41052</v>
      </c>
      <c r="L543" s="2002">
        <v>43887.6</v>
      </c>
      <c r="M543" s="2177">
        <v>10817</v>
      </c>
      <c r="N543" s="1996">
        <v>41052</v>
      </c>
      <c r="O543" s="1996">
        <v>41274</v>
      </c>
      <c r="P543" s="1985" t="s">
        <v>1354</v>
      </c>
      <c r="Q543" s="2163"/>
      <c r="R543" s="2163"/>
      <c r="S543" s="2163"/>
      <c r="T543" s="1985" t="s">
        <v>685</v>
      </c>
      <c r="U543" s="1049" t="s">
        <v>867</v>
      </c>
      <c r="V543" s="1175">
        <v>41274</v>
      </c>
      <c r="W543" s="1178">
        <v>10963</v>
      </c>
      <c r="X543" s="2231" t="s">
        <v>2378</v>
      </c>
      <c r="Y543" s="1175">
        <v>41274</v>
      </c>
      <c r="Z543" s="1175">
        <v>41639</v>
      </c>
      <c r="AA543" s="95"/>
      <c r="AB543" s="95"/>
      <c r="AC543" s="1177">
        <v>72144</v>
      </c>
      <c r="AD543" s="95"/>
      <c r="AE543" s="2240">
        <f>L543-AD543+AC543-AD544+AC544-AD545+AC545</f>
        <v>271191.71999999997</v>
      </c>
      <c r="AF543" s="2210">
        <v>66132</v>
      </c>
      <c r="AG543" s="2210">
        <v>76188</v>
      </c>
      <c r="AH543" s="2210">
        <f>AF543+AG543</f>
        <v>142320</v>
      </c>
      <c r="AI543" s="2225"/>
      <c r="AJ543" s="2225"/>
      <c r="AK543" s="2163"/>
      <c r="AL543" s="2163"/>
      <c r="AM543" s="2163" t="s">
        <v>1311</v>
      </c>
      <c r="AN543" s="2213" t="s">
        <v>1312</v>
      </c>
      <c r="AO543" s="2177">
        <v>10813</v>
      </c>
      <c r="AP543" s="2172">
        <v>41064</v>
      </c>
      <c r="AQ543" s="2177">
        <v>10813</v>
      </c>
      <c r="AR543" s="2172">
        <v>41064</v>
      </c>
      <c r="AS543" s="2163"/>
      <c r="AT543" s="2163"/>
      <c r="AU543" s="2163"/>
      <c r="AV543" s="2163"/>
      <c r="AW543" s="2163"/>
      <c r="AX543" s="2163"/>
      <c r="AY543" s="2163"/>
      <c r="AZ543" s="2163"/>
      <c r="BA543" s="2163"/>
      <c r="BB543" s="2163"/>
      <c r="BC543" s="2163"/>
      <c r="BD543" s="2163"/>
    </row>
    <row r="544" spans="1:56" ht="20.25" customHeight="1" x14ac:dyDescent="0.25">
      <c r="A544" s="2220"/>
      <c r="B544" s="2254"/>
      <c r="C544" s="2175"/>
      <c r="D544" s="2175"/>
      <c r="E544" s="2175"/>
      <c r="F544" s="2021"/>
      <c r="G544" s="2180"/>
      <c r="H544" s="2214"/>
      <c r="I544" s="2175"/>
      <c r="J544" s="2243"/>
      <c r="K544" s="2245"/>
      <c r="L544" s="2187"/>
      <c r="M544" s="2180"/>
      <c r="N544" s="2033"/>
      <c r="O544" s="2033"/>
      <c r="P544" s="2021"/>
      <c r="Q544" s="2175"/>
      <c r="R544" s="2175"/>
      <c r="S544" s="2175"/>
      <c r="T544" s="2021"/>
      <c r="U544" s="1049" t="s">
        <v>871</v>
      </c>
      <c r="V544" s="1175">
        <v>41639</v>
      </c>
      <c r="W544" s="1178">
        <v>11218</v>
      </c>
      <c r="X544" s="2232"/>
      <c r="Y544" s="1175">
        <v>41639</v>
      </c>
      <c r="Z544" s="1175">
        <v>42004</v>
      </c>
      <c r="AA544" s="95">
        <v>5.6054500000000003</v>
      </c>
      <c r="AB544" s="95"/>
      <c r="AC544" s="1177">
        <v>76188</v>
      </c>
      <c r="AD544" s="95"/>
      <c r="AE544" s="2241"/>
      <c r="AF544" s="2211"/>
      <c r="AG544" s="2211"/>
      <c r="AH544" s="2211"/>
      <c r="AI544" s="2239"/>
      <c r="AJ544" s="2239"/>
      <c r="AK544" s="2175"/>
      <c r="AL544" s="2175"/>
      <c r="AM544" s="2175"/>
      <c r="AN544" s="2214"/>
      <c r="AO544" s="2180"/>
      <c r="AP544" s="2173"/>
      <c r="AQ544" s="2180"/>
      <c r="AR544" s="2173"/>
      <c r="AS544" s="2175"/>
      <c r="AT544" s="2175"/>
      <c r="AU544" s="2175"/>
      <c r="AV544" s="2175"/>
      <c r="AW544" s="2175"/>
      <c r="AX544" s="2175"/>
      <c r="AY544" s="2175"/>
      <c r="AZ544" s="2175"/>
      <c r="BA544" s="2175"/>
      <c r="BB544" s="2175"/>
      <c r="BC544" s="2175"/>
      <c r="BD544" s="2175"/>
    </row>
    <row r="545" spans="1:56" ht="89.25" customHeight="1" x14ac:dyDescent="0.25">
      <c r="A545" s="2221"/>
      <c r="B545" s="2255"/>
      <c r="C545" s="2164"/>
      <c r="D545" s="2164"/>
      <c r="E545" s="2164"/>
      <c r="F545" s="1986"/>
      <c r="G545" s="2178"/>
      <c r="H545" s="2215"/>
      <c r="I545" s="2164"/>
      <c r="J545" s="2236"/>
      <c r="K545" s="2246"/>
      <c r="L545" s="2003"/>
      <c r="M545" s="2178"/>
      <c r="N545" s="1997"/>
      <c r="O545" s="1997"/>
      <c r="P545" s="1986"/>
      <c r="Q545" s="2164"/>
      <c r="R545" s="2164"/>
      <c r="S545" s="2164"/>
      <c r="T545" s="1986"/>
      <c r="U545" s="1049" t="s">
        <v>874</v>
      </c>
      <c r="V545" s="1175">
        <v>41988</v>
      </c>
      <c r="W545" s="1178">
        <v>11460</v>
      </c>
      <c r="X545" s="1173" t="s">
        <v>2530</v>
      </c>
      <c r="Y545" s="1175">
        <v>42004</v>
      </c>
      <c r="Z545" s="1175">
        <v>42369</v>
      </c>
      <c r="AA545" s="95">
        <v>3.6543000000000001</v>
      </c>
      <c r="AB545" s="95"/>
      <c r="AC545" s="1177">
        <v>78972.12</v>
      </c>
      <c r="AD545" s="95"/>
      <c r="AE545" s="2242"/>
      <c r="AF545" s="2212"/>
      <c r="AG545" s="2212"/>
      <c r="AH545" s="2212"/>
      <c r="AI545" s="2226"/>
      <c r="AJ545" s="2226"/>
      <c r="AK545" s="2164"/>
      <c r="AL545" s="2164"/>
      <c r="AM545" s="2164"/>
      <c r="AN545" s="2215"/>
      <c r="AO545" s="2178"/>
      <c r="AP545" s="2174"/>
      <c r="AQ545" s="2178"/>
      <c r="AR545" s="2174"/>
      <c r="AS545" s="2164"/>
      <c r="AT545" s="2164"/>
      <c r="AU545" s="2164"/>
      <c r="AV545" s="2164"/>
      <c r="AW545" s="2164"/>
      <c r="AX545" s="2164"/>
      <c r="AY545" s="2164"/>
      <c r="AZ545" s="2164"/>
      <c r="BA545" s="2164"/>
      <c r="BB545" s="2164"/>
      <c r="BC545" s="2164"/>
      <c r="BD545" s="2164"/>
    </row>
    <row r="546" spans="1:56" ht="33.75" customHeight="1" x14ac:dyDescent="0.25">
      <c r="A546" s="2219">
        <v>301</v>
      </c>
      <c r="B546" s="2253">
        <v>123180210</v>
      </c>
      <c r="C546" s="2163"/>
      <c r="D546" s="2163" t="s">
        <v>690</v>
      </c>
      <c r="E546" s="2163"/>
      <c r="F546" s="2163" t="s">
        <v>2531</v>
      </c>
      <c r="G546" s="2177" t="s">
        <v>677</v>
      </c>
      <c r="H546" s="2213" t="s">
        <v>2532</v>
      </c>
      <c r="I546" s="1985" t="s">
        <v>2519</v>
      </c>
      <c r="J546" s="1985" t="s">
        <v>2520</v>
      </c>
      <c r="K546" s="1996">
        <v>40940</v>
      </c>
      <c r="L546" s="2002">
        <v>371250</v>
      </c>
      <c r="M546" s="2177">
        <v>10757</v>
      </c>
      <c r="N546" s="1996">
        <v>40940</v>
      </c>
      <c r="O546" s="1996">
        <v>41274</v>
      </c>
      <c r="P546" s="1985" t="s">
        <v>1354</v>
      </c>
      <c r="Q546" s="2163"/>
      <c r="R546" s="2163"/>
      <c r="S546" s="2163"/>
      <c r="T546" s="1985" t="s">
        <v>696</v>
      </c>
      <c r="U546" s="1049" t="s">
        <v>867</v>
      </c>
      <c r="V546" s="1175">
        <v>41274</v>
      </c>
      <c r="W546" s="1178">
        <v>10963</v>
      </c>
      <c r="X546" s="95" t="s">
        <v>2378</v>
      </c>
      <c r="Y546" s="1175">
        <v>41274</v>
      </c>
      <c r="Z546" s="1175">
        <v>41639</v>
      </c>
      <c r="AA546" s="95"/>
      <c r="AB546" s="95"/>
      <c r="AC546" s="1177">
        <v>405000</v>
      </c>
      <c r="AD546" s="95"/>
      <c r="AE546" s="2240">
        <f>L546-AD546+AC546-AD547+AC547-AD548+AC548-AD549+AC549-AD550+AC550-AD551+AC551</f>
        <v>2076813.21</v>
      </c>
      <c r="AF546" s="2210">
        <v>442104.69</v>
      </c>
      <c r="AG546" s="2210">
        <v>602878.24</v>
      </c>
      <c r="AH546" s="2240">
        <f>AF546+AG546</f>
        <v>1044982.9299999999</v>
      </c>
      <c r="AI546" s="2163"/>
      <c r="AJ546" s="2163"/>
      <c r="AK546" s="2163"/>
      <c r="AL546" s="2163"/>
      <c r="AM546" s="2163" t="s">
        <v>1311</v>
      </c>
      <c r="AN546" s="2213" t="s">
        <v>1312</v>
      </c>
      <c r="AO546" s="2177">
        <v>10750</v>
      </c>
      <c r="AP546" s="2172">
        <v>40974</v>
      </c>
      <c r="AQ546" s="2177">
        <v>10750</v>
      </c>
      <c r="AR546" s="2172">
        <v>40974</v>
      </c>
      <c r="AS546" s="2163"/>
      <c r="AT546" s="2163"/>
      <c r="AU546" s="2163"/>
      <c r="AV546" s="2163"/>
      <c r="AW546" s="2163"/>
      <c r="AX546" s="2163"/>
      <c r="AY546" s="2163"/>
      <c r="AZ546" s="2163"/>
      <c r="BA546" s="2163"/>
      <c r="BB546" s="2163"/>
      <c r="BC546" s="2163"/>
      <c r="BD546" s="2163"/>
    </row>
    <row r="547" spans="1:56" x14ac:dyDescent="0.25">
      <c r="A547" s="2220"/>
      <c r="B547" s="2254"/>
      <c r="C547" s="2175"/>
      <c r="D547" s="2175"/>
      <c r="E547" s="2175"/>
      <c r="F547" s="2175"/>
      <c r="G547" s="2180"/>
      <c r="H547" s="2214"/>
      <c r="I547" s="2021"/>
      <c r="J547" s="2021"/>
      <c r="K547" s="2033"/>
      <c r="L547" s="2187"/>
      <c r="M547" s="2180"/>
      <c r="N547" s="2033"/>
      <c r="O547" s="2033"/>
      <c r="P547" s="2021"/>
      <c r="Q547" s="2175"/>
      <c r="R547" s="2175"/>
      <c r="S547" s="2175"/>
      <c r="T547" s="2021"/>
      <c r="U547" s="1049" t="s">
        <v>871</v>
      </c>
      <c r="V547" s="1175">
        <v>41548</v>
      </c>
      <c r="W547" s="1178">
        <v>11178</v>
      </c>
      <c r="X547" s="95" t="s">
        <v>2533</v>
      </c>
      <c r="Y547" s="1175">
        <v>41306</v>
      </c>
      <c r="Z547" s="1175">
        <v>41639</v>
      </c>
      <c r="AA547" s="1415">
        <v>8.2866</v>
      </c>
      <c r="AB547" s="95"/>
      <c r="AC547" s="1177">
        <v>30764.03</v>
      </c>
      <c r="AD547" s="95"/>
      <c r="AE547" s="2241"/>
      <c r="AF547" s="2211"/>
      <c r="AG547" s="2211"/>
      <c r="AH547" s="2241"/>
      <c r="AI547" s="2175"/>
      <c r="AJ547" s="2175"/>
      <c r="AK547" s="2175"/>
      <c r="AL547" s="2175"/>
      <c r="AM547" s="2175"/>
      <c r="AN547" s="2214"/>
      <c r="AO547" s="2180"/>
      <c r="AP547" s="2173"/>
      <c r="AQ547" s="2180"/>
      <c r="AR547" s="2173"/>
      <c r="AS547" s="2175"/>
      <c r="AT547" s="2175"/>
      <c r="AU547" s="2175"/>
      <c r="AV547" s="2175"/>
      <c r="AW547" s="2175"/>
      <c r="AX547" s="2175"/>
      <c r="AY547" s="2175"/>
      <c r="AZ547" s="2175"/>
      <c r="BA547" s="2175"/>
      <c r="BB547" s="2175"/>
      <c r="BC547" s="2175"/>
      <c r="BD547" s="2175"/>
    </row>
    <row r="548" spans="1:56" x14ac:dyDescent="0.25">
      <c r="A548" s="2220"/>
      <c r="B548" s="2254"/>
      <c r="C548" s="2175"/>
      <c r="D548" s="2175"/>
      <c r="E548" s="2175"/>
      <c r="F548" s="2175"/>
      <c r="G548" s="2180"/>
      <c r="H548" s="2214"/>
      <c r="I548" s="2021"/>
      <c r="J548" s="2021"/>
      <c r="K548" s="2033"/>
      <c r="L548" s="2187"/>
      <c r="M548" s="2180"/>
      <c r="N548" s="2033"/>
      <c r="O548" s="2033"/>
      <c r="P548" s="2021"/>
      <c r="Q548" s="2175"/>
      <c r="R548" s="2175"/>
      <c r="S548" s="2175"/>
      <c r="T548" s="2021"/>
      <c r="U548" s="1049" t="s">
        <v>874</v>
      </c>
      <c r="V548" s="1175">
        <v>41548</v>
      </c>
      <c r="W548" s="1178">
        <v>11178</v>
      </c>
      <c r="X548" s="95" t="s">
        <v>7550</v>
      </c>
      <c r="Y548" s="1175">
        <v>41306</v>
      </c>
      <c r="Z548" s="1175">
        <v>41639</v>
      </c>
      <c r="AA548" s="95">
        <v>26.18975</v>
      </c>
      <c r="AB548" s="95"/>
      <c r="AC548" s="1177">
        <v>28714.5</v>
      </c>
      <c r="AD548" s="95"/>
      <c r="AE548" s="2241"/>
      <c r="AF548" s="2211"/>
      <c r="AG548" s="2211"/>
      <c r="AH548" s="2241"/>
      <c r="AI548" s="2175"/>
      <c r="AJ548" s="2175"/>
      <c r="AK548" s="2175"/>
      <c r="AL548" s="2175"/>
      <c r="AM548" s="2175"/>
      <c r="AN548" s="2214"/>
      <c r="AO548" s="2180"/>
      <c r="AP548" s="2173"/>
      <c r="AQ548" s="2180"/>
      <c r="AR548" s="2173"/>
      <c r="AS548" s="2175"/>
      <c r="AT548" s="2175"/>
      <c r="AU548" s="2175"/>
      <c r="AV548" s="2175"/>
      <c r="AW548" s="2175"/>
      <c r="AX548" s="2175"/>
      <c r="AY548" s="2175"/>
      <c r="AZ548" s="2175"/>
      <c r="BA548" s="2175"/>
      <c r="BB548" s="2175"/>
      <c r="BC548" s="2175"/>
      <c r="BD548" s="2175"/>
    </row>
    <row r="549" spans="1:56" x14ac:dyDescent="0.25">
      <c r="A549" s="2220"/>
      <c r="B549" s="2254"/>
      <c r="C549" s="2175"/>
      <c r="D549" s="2175"/>
      <c r="E549" s="2175"/>
      <c r="F549" s="2175"/>
      <c r="G549" s="2180"/>
      <c r="H549" s="2214"/>
      <c r="I549" s="2021"/>
      <c r="J549" s="2021"/>
      <c r="K549" s="2033"/>
      <c r="L549" s="2187"/>
      <c r="M549" s="2180"/>
      <c r="N549" s="2033"/>
      <c r="O549" s="2033"/>
      <c r="P549" s="2021"/>
      <c r="Q549" s="2175"/>
      <c r="R549" s="2175"/>
      <c r="S549" s="2175"/>
      <c r="T549" s="2021"/>
      <c r="U549" s="1049" t="s">
        <v>876</v>
      </c>
      <c r="V549" s="1175">
        <v>41639</v>
      </c>
      <c r="W549" s="1178">
        <v>11218</v>
      </c>
      <c r="X549" s="95" t="s">
        <v>2378</v>
      </c>
      <c r="Y549" s="1175">
        <v>41639</v>
      </c>
      <c r="Z549" s="1175">
        <v>42004</v>
      </c>
      <c r="AA549" s="95"/>
      <c r="AB549" s="95"/>
      <c r="AC549" s="1177">
        <v>553418.76</v>
      </c>
      <c r="AD549" s="95"/>
      <c r="AE549" s="2241"/>
      <c r="AF549" s="2211"/>
      <c r="AG549" s="2211"/>
      <c r="AH549" s="2241"/>
      <c r="AI549" s="2175"/>
      <c r="AJ549" s="2175"/>
      <c r="AK549" s="2175"/>
      <c r="AL549" s="2175"/>
      <c r="AM549" s="2175"/>
      <c r="AN549" s="2214"/>
      <c r="AO549" s="2180"/>
      <c r="AP549" s="2173"/>
      <c r="AQ549" s="2180"/>
      <c r="AR549" s="2173"/>
      <c r="AS549" s="2175"/>
      <c r="AT549" s="2175"/>
      <c r="AU549" s="2175"/>
      <c r="AV549" s="2175"/>
      <c r="AW549" s="2175"/>
      <c r="AX549" s="2175"/>
      <c r="AY549" s="2175"/>
      <c r="AZ549" s="2175"/>
      <c r="BA549" s="2175"/>
      <c r="BB549" s="2175"/>
      <c r="BC549" s="2175"/>
      <c r="BD549" s="2175"/>
    </row>
    <row r="550" spans="1:56" x14ac:dyDescent="0.25">
      <c r="A550" s="2220"/>
      <c r="B550" s="2254"/>
      <c r="C550" s="2175"/>
      <c r="D550" s="2175"/>
      <c r="E550" s="2175"/>
      <c r="F550" s="2175"/>
      <c r="G550" s="2180"/>
      <c r="H550" s="2214"/>
      <c r="I550" s="2021"/>
      <c r="J550" s="2021"/>
      <c r="K550" s="2033"/>
      <c r="L550" s="2187"/>
      <c r="M550" s="2180"/>
      <c r="N550" s="2033"/>
      <c r="O550" s="2033"/>
      <c r="P550" s="2021"/>
      <c r="Q550" s="2175"/>
      <c r="R550" s="2175"/>
      <c r="S550" s="2175"/>
      <c r="T550" s="2021"/>
      <c r="U550" s="1049" t="s">
        <v>879</v>
      </c>
      <c r="V550" s="1175">
        <v>41789</v>
      </c>
      <c r="W550" s="1178">
        <v>11332</v>
      </c>
      <c r="X550" s="95" t="s">
        <v>2378</v>
      </c>
      <c r="Y550" s="1175">
        <v>41789</v>
      </c>
      <c r="Z550" s="1175">
        <v>42004</v>
      </c>
      <c r="AA550" s="95">
        <v>15.3207</v>
      </c>
      <c r="AB550" s="95"/>
      <c r="AC550" s="1177">
        <v>49459.48</v>
      </c>
      <c r="AD550" s="95"/>
      <c r="AE550" s="2241"/>
      <c r="AF550" s="2211"/>
      <c r="AG550" s="2211"/>
      <c r="AH550" s="2241"/>
      <c r="AI550" s="2175"/>
      <c r="AJ550" s="2175"/>
      <c r="AK550" s="2175"/>
      <c r="AL550" s="2175"/>
      <c r="AM550" s="2175"/>
      <c r="AN550" s="2214"/>
      <c r="AO550" s="2180"/>
      <c r="AP550" s="2173"/>
      <c r="AQ550" s="2180"/>
      <c r="AR550" s="2173"/>
      <c r="AS550" s="2175"/>
      <c r="AT550" s="2175"/>
      <c r="AU550" s="2175"/>
      <c r="AV550" s="2175"/>
      <c r="AW550" s="2175"/>
      <c r="AX550" s="2175"/>
      <c r="AY550" s="2175"/>
      <c r="AZ550" s="2175"/>
      <c r="BA550" s="2175"/>
      <c r="BB550" s="2175"/>
      <c r="BC550" s="2175"/>
      <c r="BD550" s="2175"/>
    </row>
    <row r="551" spans="1:56" ht="51" x14ac:dyDescent="0.25">
      <c r="A551" s="2221"/>
      <c r="B551" s="2255"/>
      <c r="C551" s="2164"/>
      <c r="D551" s="2164"/>
      <c r="E551" s="2164"/>
      <c r="F551" s="2164"/>
      <c r="G551" s="2178"/>
      <c r="H551" s="2215"/>
      <c r="I551" s="1986"/>
      <c r="J551" s="1986"/>
      <c r="K551" s="1997"/>
      <c r="L551" s="2003"/>
      <c r="M551" s="2178"/>
      <c r="N551" s="1997"/>
      <c r="O551" s="1997"/>
      <c r="P551" s="1986"/>
      <c r="Q551" s="2164"/>
      <c r="R551" s="2164"/>
      <c r="S551" s="2164"/>
      <c r="T551" s="1986"/>
      <c r="U551" s="1049" t="s">
        <v>882</v>
      </c>
      <c r="V551" s="1175">
        <v>41988</v>
      </c>
      <c r="W551" s="1178">
        <v>11461</v>
      </c>
      <c r="X551" s="727" t="s">
        <v>2534</v>
      </c>
      <c r="Y551" s="1175">
        <v>42004</v>
      </c>
      <c r="Z551" s="1175">
        <v>42369</v>
      </c>
      <c r="AA551" s="95"/>
      <c r="AB551" s="95"/>
      <c r="AC551" s="1177">
        <v>638206.43999999994</v>
      </c>
      <c r="AD551" s="95"/>
      <c r="AE551" s="2242"/>
      <c r="AF551" s="2212"/>
      <c r="AG551" s="2212"/>
      <c r="AH551" s="2242"/>
      <c r="AI551" s="2164"/>
      <c r="AJ551" s="2164"/>
      <c r="AK551" s="2164"/>
      <c r="AL551" s="2164"/>
      <c r="AM551" s="2164"/>
      <c r="AN551" s="2215"/>
      <c r="AO551" s="2178"/>
      <c r="AP551" s="2174"/>
      <c r="AQ551" s="2178"/>
      <c r="AR551" s="2174"/>
      <c r="AS551" s="2164"/>
      <c r="AT551" s="2164"/>
      <c r="AU551" s="2164"/>
      <c r="AV551" s="2164"/>
      <c r="AW551" s="2164"/>
      <c r="AX551" s="2164"/>
      <c r="AY551" s="2164"/>
      <c r="AZ551" s="2164"/>
      <c r="BA551" s="2164"/>
      <c r="BB551" s="2164"/>
      <c r="BC551" s="2164"/>
      <c r="BD551" s="2164"/>
    </row>
    <row r="552" spans="1:56" ht="18" customHeight="1" x14ac:dyDescent="0.25">
      <c r="A552" s="2219">
        <v>302</v>
      </c>
      <c r="B552" s="2253">
        <v>123420156</v>
      </c>
      <c r="C552" s="2163"/>
      <c r="D552" s="2163" t="s">
        <v>690</v>
      </c>
      <c r="E552" s="2163"/>
      <c r="F552" s="2235" t="s">
        <v>2535</v>
      </c>
      <c r="G552" s="2177" t="s">
        <v>677</v>
      </c>
      <c r="H552" s="2213" t="s">
        <v>2536</v>
      </c>
      <c r="I552" s="1985" t="s">
        <v>2537</v>
      </c>
      <c r="J552" s="2235" t="s">
        <v>2538</v>
      </c>
      <c r="K552" s="2216">
        <v>41073</v>
      </c>
      <c r="L552" s="2002">
        <v>4500</v>
      </c>
      <c r="M552" s="2177">
        <v>10828</v>
      </c>
      <c r="N552" s="2244">
        <v>41091</v>
      </c>
      <c r="O552" s="1996">
        <v>41274</v>
      </c>
      <c r="P552" s="1985" t="s">
        <v>1354</v>
      </c>
      <c r="Q552" s="2163"/>
      <c r="R552" s="2163"/>
      <c r="S552" s="2163"/>
      <c r="T552" s="1985" t="s">
        <v>696</v>
      </c>
      <c r="U552" s="1049" t="s">
        <v>867</v>
      </c>
      <c r="V552" s="1175">
        <v>41274</v>
      </c>
      <c r="W552" s="1178">
        <v>10963</v>
      </c>
      <c r="X552" s="2231" t="s">
        <v>2378</v>
      </c>
      <c r="Y552" s="1175">
        <v>41274</v>
      </c>
      <c r="Z552" s="1175">
        <v>41639</v>
      </c>
      <c r="AA552" s="1417">
        <v>20</v>
      </c>
      <c r="AB552" s="95"/>
      <c r="AC552" s="1177">
        <v>10800</v>
      </c>
      <c r="AD552" s="95"/>
      <c r="AE552" s="2240">
        <f>L552-AD552+AC552-AD553+AC553-AD554+AC554</f>
        <v>38443.32</v>
      </c>
      <c r="AF552" s="2210">
        <v>10800</v>
      </c>
      <c r="AG552" s="2210">
        <v>11364</v>
      </c>
      <c r="AH552" s="2240">
        <f>AF552+AG552</f>
        <v>22164</v>
      </c>
      <c r="AI552" s="2163"/>
      <c r="AJ552" s="2163"/>
      <c r="AK552" s="2163"/>
      <c r="AL552" s="2163"/>
      <c r="AM552" s="2163" t="s">
        <v>1311</v>
      </c>
      <c r="AN552" s="2213" t="s">
        <v>1312</v>
      </c>
      <c r="AO552" s="2213" t="s">
        <v>2539</v>
      </c>
      <c r="AP552" s="2172">
        <v>41088</v>
      </c>
      <c r="AQ552" s="2213" t="s">
        <v>2539</v>
      </c>
      <c r="AR552" s="2172">
        <v>41088</v>
      </c>
      <c r="AS552" s="2163"/>
      <c r="AT552" s="2163"/>
      <c r="AU552" s="2163"/>
      <c r="AV552" s="2163"/>
      <c r="AW552" s="2163"/>
      <c r="AX552" s="2163"/>
      <c r="AY552" s="2163"/>
      <c r="AZ552" s="2163"/>
      <c r="BA552" s="2163"/>
      <c r="BB552" s="2163"/>
      <c r="BC552" s="2163"/>
      <c r="BD552" s="2163"/>
    </row>
    <row r="553" spans="1:56" ht="20.25" customHeight="1" x14ac:dyDescent="0.25">
      <c r="A553" s="2220"/>
      <c r="B553" s="2254"/>
      <c r="C553" s="2175"/>
      <c r="D553" s="2175"/>
      <c r="E553" s="2175"/>
      <c r="F553" s="2243"/>
      <c r="G553" s="2180"/>
      <c r="H553" s="2214"/>
      <c r="I553" s="2021"/>
      <c r="J553" s="2243"/>
      <c r="K553" s="2217"/>
      <c r="L553" s="2187"/>
      <c r="M553" s="2180"/>
      <c r="N553" s="2245"/>
      <c r="O553" s="2033"/>
      <c r="P553" s="2021"/>
      <c r="Q553" s="2175"/>
      <c r="R553" s="2175"/>
      <c r="S553" s="2175"/>
      <c r="T553" s="2021"/>
      <c r="U553" s="1049" t="s">
        <v>871</v>
      </c>
      <c r="V553" s="1175">
        <v>41639</v>
      </c>
      <c r="W553" s="1178">
        <v>11214</v>
      </c>
      <c r="X553" s="2232"/>
      <c r="Y553" s="1175">
        <v>41639</v>
      </c>
      <c r="Z553" s="1175">
        <v>42004</v>
      </c>
      <c r="AA553" s="95">
        <v>5.2222200000000001</v>
      </c>
      <c r="AB553" s="95"/>
      <c r="AC553" s="1177">
        <v>11364</v>
      </c>
      <c r="AD553" s="95"/>
      <c r="AE553" s="2241"/>
      <c r="AF553" s="2211"/>
      <c r="AG553" s="2211"/>
      <c r="AH553" s="2241"/>
      <c r="AI553" s="2175"/>
      <c r="AJ553" s="2175"/>
      <c r="AK553" s="2175"/>
      <c r="AL553" s="2175"/>
      <c r="AM553" s="2175"/>
      <c r="AN553" s="2214"/>
      <c r="AO553" s="2214"/>
      <c r="AP553" s="2173"/>
      <c r="AQ553" s="2214"/>
      <c r="AR553" s="2173"/>
      <c r="AS553" s="2175"/>
      <c r="AT553" s="2175"/>
      <c r="AU553" s="2175"/>
      <c r="AV553" s="2175"/>
      <c r="AW553" s="2175"/>
      <c r="AX553" s="2175"/>
      <c r="AY553" s="2175"/>
      <c r="AZ553" s="2175"/>
      <c r="BA553" s="2175"/>
      <c r="BB553" s="2175"/>
      <c r="BC553" s="2175"/>
      <c r="BD553" s="2175"/>
    </row>
    <row r="554" spans="1:56" ht="91.5" customHeight="1" x14ac:dyDescent="0.25">
      <c r="A554" s="2221"/>
      <c r="B554" s="2255"/>
      <c r="C554" s="2164"/>
      <c r="D554" s="2164"/>
      <c r="E554" s="2164"/>
      <c r="F554" s="2236"/>
      <c r="G554" s="2178"/>
      <c r="H554" s="2215"/>
      <c r="I554" s="1986"/>
      <c r="J554" s="2236"/>
      <c r="K554" s="2218"/>
      <c r="L554" s="2003"/>
      <c r="M554" s="2178"/>
      <c r="N554" s="2246"/>
      <c r="O554" s="1997"/>
      <c r="P554" s="1986"/>
      <c r="Q554" s="2164"/>
      <c r="R554" s="2164"/>
      <c r="S554" s="2164"/>
      <c r="T554" s="1986"/>
      <c r="U554" s="1049" t="s">
        <v>874</v>
      </c>
      <c r="V554" s="1175">
        <v>41988</v>
      </c>
      <c r="W554" s="1178">
        <v>11459</v>
      </c>
      <c r="X554" s="1176" t="s">
        <v>2540</v>
      </c>
      <c r="Y554" s="1175">
        <v>42004</v>
      </c>
      <c r="Z554" s="1175">
        <v>42369</v>
      </c>
      <c r="AA554" s="95">
        <v>3.6543000000000001</v>
      </c>
      <c r="AB554" s="95"/>
      <c r="AC554" s="1177">
        <v>11779.32</v>
      </c>
      <c r="AD554" s="95"/>
      <c r="AE554" s="2242"/>
      <c r="AF554" s="2212"/>
      <c r="AG554" s="2212"/>
      <c r="AH554" s="2242"/>
      <c r="AI554" s="2164"/>
      <c r="AJ554" s="2164"/>
      <c r="AK554" s="2164"/>
      <c r="AL554" s="2164"/>
      <c r="AM554" s="2164"/>
      <c r="AN554" s="2215"/>
      <c r="AO554" s="2215"/>
      <c r="AP554" s="2174"/>
      <c r="AQ554" s="2215"/>
      <c r="AR554" s="2174"/>
      <c r="AS554" s="2164"/>
      <c r="AT554" s="2164"/>
      <c r="AU554" s="2164"/>
      <c r="AV554" s="2164"/>
      <c r="AW554" s="2164"/>
      <c r="AX554" s="2164"/>
      <c r="AY554" s="2164"/>
      <c r="AZ554" s="2164"/>
      <c r="BA554" s="2164"/>
      <c r="BB554" s="2164"/>
      <c r="BC554" s="2164"/>
      <c r="BD554" s="2164"/>
    </row>
    <row r="555" spans="1:56" ht="16.5" customHeight="1" x14ac:dyDescent="0.25">
      <c r="A555" s="2219">
        <v>303</v>
      </c>
      <c r="B555" s="2253">
        <v>123190070</v>
      </c>
      <c r="C555" s="2163"/>
      <c r="D555" s="2163" t="s">
        <v>690</v>
      </c>
      <c r="E555" s="2163"/>
      <c r="F555" s="2235" t="s">
        <v>7551</v>
      </c>
      <c r="G555" s="2177" t="s">
        <v>677</v>
      </c>
      <c r="H555" s="2213" t="s">
        <v>937</v>
      </c>
      <c r="I555" s="2235" t="s">
        <v>2541</v>
      </c>
      <c r="J555" s="2235" t="s">
        <v>2542</v>
      </c>
      <c r="K555" s="2244">
        <v>41057</v>
      </c>
      <c r="L555" s="2002">
        <v>4993.32</v>
      </c>
      <c r="M555" s="2177">
        <v>10822</v>
      </c>
      <c r="N555" s="2244">
        <v>41057</v>
      </c>
      <c r="O555" s="1996">
        <v>41274</v>
      </c>
      <c r="P555" s="1985" t="s">
        <v>1354</v>
      </c>
      <c r="Q555" s="2163"/>
      <c r="R555" s="2163"/>
      <c r="S555" s="2163"/>
      <c r="T555" s="1985" t="s">
        <v>696</v>
      </c>
      <c r="U555" s="1049" t="s">
        <v>867</v>
      </c>
      <c r="V555" s="1175">
        <v>41274</v>
      </c>
      <c r="W555" s="1178">
        <v>10963</v>
      </c>
      <c r="X555" s="2231" t="s">
        <v>2378</v>
      </c>
      <c r="Y555" s="1175">
        <v>41274</v>
      </c>
      <c r="Z555" s="1175">
        <v>41639</v>
      </c>
      <c r="AA555" s="95"/>
      <c r="AB555" s="95"/>
      <c r="AC555" s="1177">
        <v>8400</v>
      </c>
      <c r="AD555" s="95"/>
      <c r="AE555" s="2240">
        <f>L555-AD555+AC555-AD556+AC556-AD557+AC557</f>
        <v>31380.12</v>
      </c>
      <c r="AF555" s="2210">
        <v>8400</v>
      </c>
      <c r="AG555" s="2210">
        <v>8832</v>
      </c>
      <c r="AH555" s="2240">
        <f>AF555+AG555</f>
        <v>17232</v>
      </c>
      <c r="AI555" s="2163"/>
      <c r="AJ555" s="2163"/>
      <c r="AK555" s="2163"/>
      <c r="AL555" s="2163"/>
      <c r="AM555" s="2163" t="s">
        <v>1311</v>
      </c>
      <c r="AN555" s="2213" t="s">
        <v>1312</v>
      </c>
      <c r="AO555" s="2177">
        <v>10816</v>
      </c>
      <c r="AP555" s="2172">
        <v>41068</v>
      </c>
      <c r="AQ555" s="2177">
        <v>10816</v>
      </c>
      <c r="AR555" s="2172">
        <v>41068</v>
      </c>
      <c r="AS555" s="2163"/>
      <c r="AT555" s="2163"/>
      <c r="AU555" s="2163"/>
      <c r="AV555" s="2163"/>
      <c r="AW555" s="2163"/>
      <c r="AX555" s="2163"/>
      <c r="AY555" s="2163"/>
      <c r="AZ555" s="2163"/>
      <c r="BA555" s="2163"/>
      <c r="BB555" s="2163"/>
      <c r="BC555" s="2163"/>
      <c r="BD555" s="2163"/>
    </row>
    <row r="556" spans="1:56" ht="19.5" customHeight="1" x14ac:dyDescent="0.25">
      <c r="A556" s="2220"/>
      <c r="B556" s="2254"/>
      <c r="C556" s="2175"/>
      <c r="D556" s="2175"/>
      <c r="E556" s="2175"/>
      <c r="F556" s="2243"/>
      <c r="G556" s="2180"/>
      <c r="H556" s="2214"/>
      <c r="I556" s="2243"/>
      <c r="J556" s="2243"/>
      <c r="K556" s="2245"/>
      <c r="L556" s="2187"/>
      <c r="M556" s="2180"/>
      <c r="N556" s="2245"/>
      <c r="O556" s="2033"/>
      <c r="P556" s="2021"/>
      <c r="Q556" s="2175"/>
      <c r="R556" s="2175"/>
      <c r="S556" s="2175"/>
      <c r="T556" s="2021"/>
      <c r="U556" s="1049" t="s">
        <v>871</v>
      </c>
      <c r="V556" s="1175">
        <v>41639</v>
      </c>
      <c r="W556" s="1178">
        <v>11215</v>
      </c>
      <c r="X556" s="2232"/>
      <c r="Y556" s="1175">
        <v>41639</v>
      </c>
      <c r="Z556" s="1175">
        <v>42004</v>
      </c>
      <c r="AA556" s="95">
        <v>5.1428500000000001</v>
      </c>
      <c r="AB556" s="95"/>
      <c r="AC556" s="1177">
        <v>8832</v>
      </c>
      <c r="AD556" s="95"/>
      <c r="AE556" s="2241"/>
      <c r="AF556" s="2211"/>
      <c r="AG556" s="2211"/>
      <c r="AH556" s="2241"/>
      <c r="AI556" s="2175"/>
      <c r="AJ556" s="2175"/>
      <c r="AK556" s="2175"/>
      <c r="AL556" s="2175"/>
      <c r="AM556" s="2175"/>
      <c r="AN556" s="2214"/>
      <c r="AO556" s="2180"/>
      <c r="AP556" s="2173"/>
      <c r="AQ556" s="2180"/>
      <c r="AR556" s="2173"/>
      <c r="AS556" s="2175"/>
      <c r="AT556" s="2175"/>
      <c r="AU556" s="2175"/>
      <c r="AV556" s="2175"/>
      <c r="AW556" s="2175"/>
      <c r="AX556" s="2175"/>
      <c r="AY556" s="2175"/>
      <c r="AZ556" s="2175"/>
      <c r="BA556" s="2175"/>
      <c r="BB556" s="2175"/>
      <c r="BC556" s="2175"/>
      <c r="BD556" s="2175"/>
    </row>
    <row r="557" spans="1:56" ht="98.25" customHeight="1" x14ac:dyDescent="0.25">
      <c r="A557" s="2221"/>
      <c r="B557" s="2255"/>
      <c r="C557" s="2164"/>
      <c r="D557" s="2164"/>
      <c r="E557" s="2164"/>
      <c r="F557" s="2236"/>
      <c r="G557" s="2178"/>
      <c r="H557" s="2215"/>
      <c r="I557" s="2236"/>
      <c r="J557" s="2236"/>
      <c r="K557" s="2246"/>
      <c r="L557" s="2003"/>
      <c r="M557" s="2178"/>
      <c r="N557" s="2246"/>
      <c r="O557" s="1997"/>
      <c r="P557" s="1986"/>
      <c r="Q557" s="2164"/>
      <c r="R557" s="2164"/>
      <c r="S557" s="2164"/>
      <c r="T557" s="1986"/>
      <c r="U557" s="1049" t="s">
        <v>874</v>
      </c>
      <c r="V557" s="1175">
        <v>41988</v>
      </c>
      <c r="W557" s="1178">
        <v>11460</v>
      </c>
      <c r="X557" s="1176" t="s">
        <v>2543</v>
      </c>
      <c r="Y557" s="1175">
        <v>42004</v>
      </c>
      <c r="Z557" s="1175">
        <v>42369</v>
      </c>
      <c r="AA557" s="95">
        <v>3.6543000000000001</v>
      </c>
      <c r="AB557" s="95"/>
      <c r="AC557" s="1177">
        <v>9154.7999999999993</v>
      </c>
      <c r="AD557" s="95"/>
      <c r="AE557" s="2242"/>
      <c r="AF557" s="2212"/>
      <c r="AG557" s="2212"/>
      <c r="AH557" s="2242"/>
      <c r="AI557" s="2164"/>
      <c r="AJ557" s="2164"/>
      <c r="AK557" s="2164"/>
      <c r="AL557" s="2164"/>
      <c r="AM557" s="2164"/>
      <c r="AN557" s="2215"/>
      <c r="AO557" s="2178"/>
      <c r="AP557" s="2174"/>
      <c r="AQ557" s="2178"/>
      <c r="AR557" s="2174"/>
      <c r="AS557" s="2164"/>
      <c r="AT557" s="2164"/>
      <c r="AU557" s="2164"/>
      <c r="AV557" s="2164"/>
      <c r="AW557" s="2164"/>
      <c r="AX557" s="2164"/>
      <c r="AY557" s="2164"/>
      <c r="AZ557" s="2164"/>
      <c r="BA557" s="2164"/>
      <c r="BB557" s="2164"/>
      <c r="BC557" s="2164"/>
      <c r="BD557" s="2164"/>
    </row>
    <row r="558" spans="1:56" ht="15" customHeight="1" x14ac:dyDescent="0.25">
      <c r="A558" s="2219">
        <v>304</v>
      </c>
      <c r="B558" s="2253" t="s">
        <v>2544</v>
      </c>
      <c r="C558" s="2163"/>
      <c r="D558" s="2163" t="s">
        <v>690</v>
      </c>
      <c r="E558" s="2163"/>
      <c r="F558" s="2163" t="s">
        <v>2545</v>
      </c>
      <c r="G558" s="2177" t="s">
        <v>677</v>
      </c>
      <c r="H558" s="2163" t="s">
        <v>2546</v>
      </c>
      <c r="I558" s="2163" t="s">
        <v>2547</v>
      </c>
      <c r="J558" s="2163" t="s">
        <v>2548</v>
      </c>
      <c r="K558" s="2216">
        <v>39377</v>
      </c>
      <c r="L558" s="2210">
        <v>6240</v>
      </c>
      <c r="M558" s="2177">
        <v>9676</v>
      </c>
      <c r="N558" s="2163" t="s">
        <v>2549</v>
      </c>
      <c r="O558" s="2163" t="s">
        <v>2550</v>
      </c>
      <c r="P558" s="2163" t="s">
        <v>1308</v>
      </c>
      <c r="Q558" s="2163"/>
      <c r="R558" s="2163"/>
      <c r="S558" s="2163"/>
      <c r="T558" s="2266" t="s">
        <v>696</v>
      </c>
      <c r="U558" s="1049" t="s">
        <v>867</v>
      </c>
      <c r="V558" s="715">
        <v>39743</v>
      </c>
      <c r="W558" s="1423">
        <v>9931</v>
      </c>
      <c r="X558" s="2231" t="s">
        <v>2378</v>
      </c>
      <c r="Y558" s="715">
        <v>39743</v>
      </c>
      <c r="Z558" s="715">
        <v>39813</v>
      </c>
      <c r="AA558" s="95"/>
      <c r="AB558" s="95"/>
      <c r="AC558" s="1177">
        <v>1213.33</v>
      </c>
      <c r="AD558" s="95"/>
      <c r="AE558" s="2240">
        <f>L558-AD558+AC558-AD559+AC559-AD560+AC560-AD561+AC561-AD562+AC562-AD563+AC563-AD564+AC564-AD565+AC565</f>
        <v>58502.05</v>
      </c>
      <c r="AF558" s="2210">
        <v>7572</v>
      </c>
      <c r="AG558" s="2210">
        <v>7572</v>
      </c>
      <c r="AH558" s="2210">
        <f>AF558+AG558</f>
        <v>15144</v>
      </c>
      <c r="AI558" s="2225"/>
      <c r="AJ558" s="2225"/>
      <c r="AK558" s="2163"/>
      <c r="AL558" s="2163"/>
      <c r="AM558" s="2213" t="s">
        <v>1311</v>
      </c>
      <c r="AN558" s="2213" t="s">
        <v>1312</v>
      </c>
      <c r="AO558" s="2177">
        <v>9676</v>
      </c>
      <c r="AP558" s="2163" t="s">
        <v>2551</v>
      </c>
      <c r="AQ558" s="2177">
        <v>9676</v>
      </c>
      <c r="AR558" s="2163" t="s">
        <v>2551</v>
      </c>
      <c r="AS558" s="2163"/>
      <c r="AT558" s="2163"/>
      <c r="AU558" s="2163"/>
      <c r="AV558" s="2163"/>
      <c r="AW558" s="2163"/>
      <c r="AX558" s="2163"/>
      <c r="AY558" s="2163"/>
      <c r="AZ558" s="2163"/>
      <c r="BA558" s="2163"/>
      <c r="BB558" s="2163"/>
      <c r="BC558" s="2163"/>
      <c r="BD558" s="2163"/>
    </row>
    <row r="559" spans="1:56" x14ac:dyDescent="0.25">
      <c r="A559" s="2220"/>
      <c r="B559" s="2254"/>
      <c r="C559" s="2175"/>
      <c r="D559" s="2175"/>
      <c r="E559" s="2175"/>
      <c r="F559" s="2175"/>
      <c r="G559" s="2180"/>
      <c r="H559" s="2175"/>
      <c r="I559" s="2175"/>
      <c r="J559" s="2175"/>
      <c r="K559" s="2217"/>
      <c r="L559" s="2211"/>
      <c r="M559" s="2180"/>
      <c r="N559" s="2175"/>
      <c r="O559" s="2175"/>
      <c r="P559" s="2175"/>
      <c r="Q559" s="2175"/>
      <c r="R559" s="2175"/>
      <c r="S559" s="2175"/>
      <c r="T559" s="2267"/>
      <c r="U559" s="1049" t="s">
        <v>871</v>
      </c>
      <c r="V559" s="715">
        <v>39813</v>
      </c>
      <c r="W559" s="1178">
        <v>9987</v>
      </c>
      <c r="X559" s="2251"/>
      <c r="Y559" s="715">
        <v>39813</v>
      </c>
      <c r="Z559" s="715">
        <v>40178</v>
      </c>
      <c r="AA559" s="95">
        <v>10.96153</v>
      </c>
      <c r="AB559" s="95"/>
      <c r="AC559" s="1177">
        <v>6924</v>
      </c>
      <c r="AD559" s="95"/>
      <c r="AE559" s="2241"/>
      <c r="AF559" s="2211"/>
      <c r="AG559" s="2211"/>
      <c r="AH559" s="2211"/>
      <c r="AI559" s="2239"/>
      <c r="AJ559" s="2239"/>
      <c r="AK559" s="2175"/>
      <c r="AL559" s="2175"/>
      <c r="AM559" s="2214"/>
      <c r="AN559" s="2214"/>
      <c r="AO559" s="2180"/>
      <c r="AP559" s="2175"/>
      <c r="AQ559" s="2180"/>
      <c r="AR559" s="2175"/>
      <c r="AS559" s="2175"/>
      <c r="AT559" s="2175"/>
      <c r="AU559" s="2175"/>
      <c r="AV559" s="2175"/>
      <c r="AW559" s="2175"/>
      <c r="AX559" s="2175"/>
      <c r="AY559" s="2175"/>
      <c r="AZ559" s="2175"/>
      <c r="BA559" s="2175"/>
      <c r="BB559" s="2175"/>
      <c r="BC559" s="2175"/>
      <c r="BD559" s="2175"/>
    </row>
    <row r="560" spans="1:56" x14ac:dyDescent="0.25">
      <c r="A560" s="2220"/>
      <c r="B560" s="2254"/>
      <c r="C560" s="2175"/>
      <c r="D560" s="2175"/>
      <c r="E560" s="2175"/>
      <c r="F560" s="2175"/>
      <c r="G560" s="2180"/>
      <c r="H560" s="2175"/>
      <c r="I560" s="2175"/>
      <c r="J560" s="2175"/>
      <c r="K560" s="2217"/>
      <c r="L560" s="2211"/>
      <c r="M560" s="2180"/>
      <c r="N560" s="2175"/>
      <c r="O560" s="2175"/>
      <c r="P560" s="2175"/>
      <c r="Q560" s="2175"/>
      <c r="R560" s="2175"/>
      <c r="S560" s="2175"/>
      <c r="T560" s="2267"/>
      <c r="U560" s="1049" t="s">
        <v>874</v>
      </c>
      <c r="V560" s="715">
        <v>40178</v>
      </c>
      <c r="W560" s="1178">
        <v>10207</v>
      </c>
      <c r="X560" s="2251"/>
      <c r="Y560" s="715">
        <v>40178</v>
      </c>
      <c r="Z560" s="715">
        <v>40543</v>
      </c>
      <c r="AA560" s="95">
        <v>1.7331000000000001</v>
      </c>
      <c r="AB560" s="95"/>
      <c r="AC560" s="1177">
        <v>7044</v>
      </c>
      <c r="AD560" s="95"/>
      <c r="AE560" s="2241"/>
      <c r="AF560" s="2211"/>
      <c r="AG560" s="2211"/>
      <c r="AH560" s="2211"/>
      <c r="AI560" s="2239"/>
      <c r="AJ560" s="2239"/>
      <c r="AK560" s="2175"/>
      <c r="AL560" s="2175"/>
      <c r="AM560" s="2214"/>
      <c r="AN560" s="2214"/>
      <c r="AO560" s="2180"/>
      <c r="AP560" s="2175"/>
      <c r="AQ560" s="2180"/>
      <c r="AR560" s="2175"/>
      <c r="AS560" s="2175"/>
      <c r="AT560" s="2175"/>
      <c r="AU560" s="2175"/>
      <c r="AV560" s="2175"/>
      <c r="AW560" s="2175"/>
      <c r="AX560" s="2175"/>
      <c r="AY560" s="2175"/>
      <c r="AZ560" s="2175"/>
      <c r="BA560" s="2175"/>
      <c r="BB560" s="2175"/>
      <c r="BC560" s="2175"/>
      <c r="BD560" s="2175"/>
    </row>
    <row r="561" spans="1:56" x14ac:dyDescent="0.25">
      <c r="A561" s="2220"/>
      <c r="B561" s="2254"/>
      <c r="C561" s="2175"/>
      <c r="D561" s="2175"/>
      <c r="E561" s="2175"/>
      <c r="F561" s="2175"/>
      <c r="G561" s="2180"/>
      <c r="H561" s="2175"/>
      <c r="I561" s="2175"/>
      <c r="J561" s="2175"/>
      <c r="K561" s="2217"/>
      <c r="L561" s="2211"/>
      <c r="M561" s="2180"/>
      <c r="N561" s="2175"/>
      <c r="O561" s="2175"/>
      <c r="P561" s="2175"/>
      <c r="Q561" s="2175"/>
      <c r="R561" s="2175"/>
      <c r="S561" s="2175"/>
      <c r="T561" s="2267"/>
      <c r="U561" s="1049" t="s">
        <v>876</v>
      </c>
      <c r="V561" s="715">
        <v>40543</v>
      </c>
      <c r="W561" s="1178">
        <v>10441</v>
      </c>
      <c r="X561" s="2251"/>
      <c r="Y561" s="715">
        <v>40543</v>
      </c>
      <c r="Z561" s="715">
        <v>40908</v>
      </c>
      <c r="AA561" s="95"/>
      <c r="AB561" s="95"/>
      <c r="AC561" s="1177">
        <v>7044</v>
      </c>
      <c r="AD561" s="95"/>
      <c r="AE561" s="2241"/>
      <c r="AF561" s="2211"/>
      <c r="AG561" s="2211"/>
      <c r="AH561" s="2211"/>
      <c r="AI561" s="2239"/>
      <c r="AJ561" s="2239"/>
      <c r="AK561" s="2175"/>
      <c r="AL561" s="2175"/>
      <c r="AM561" s="2214"/>
      <c r="AN561" s="2214"/>
      <c r="AO561" s="2180"/>
      <c r="AP561" s="2175"/>
      <c r="AQ561" s="2180"/>
      <c r="AR561" s="2175"/>
      <c r="AS561" s="2175"/>
      <c r="AT561" s="2175"/>
      <c r="AU561" s="2175"/>
      <c r="AV561" s="2175"/>
      <c r="AW561" s="2175"/>
      <c r="AX561" s="2175"/>
      <c r="AY561" s="2175"/>
      <c r="AZ561" s="2175"/>
      <c r="BA561" s="2175"/>
      <c r="BB561" s="2175"/>
      <c r="BC561" s="2175"/>
      <c r="BD561" s="2175"/>
    </row>
    <row r="562" spans="1:56" x14ac:dyDescent="0.25">
      <c r="A562" s="2220"/>
      <c r="B562" s="2254"/>
      <c r="C562" s="2175"/>
      <c r="D562" s="2175"/>
      <c r="E562" s="2175"/>
      <c r="F562" s="2175"/>
      <c r="G562" s="2180"/>
      <c r="H562" s="2175"/>
      <c r="I562" s="2175"/>
      <c r="J562" s="2175"/>
      <c r="K562" s="2217"/>
      <c r="L562" s="2211"/>
      <c r="M562" s="2180"/>
      <c r="N562" s="2175"/>
      <c r="O562" s="2175"/>
      <c r="P562" s="2175"/>
      <c r="Q562" s="2175"/>
      <c r="R562" s="2175"/>
      <c r="S562" s="2175"/>
      <c r="T562" s="2267"/>
      <c r="U562" s="1049" t="s">
        <v>879</v>
      </c>
      <c r="V562" s="715">
        <v>40908</v>
      </c>
      <c r="W562" s="1178">
        <v>10750</v>
      </c>
      <c r="X562" s="2251"/>
      <c r="Y562" s="715">
        <v>40908</v>
      </c>
      <c r="Z562" s="715">
        <v>41274</v>
      </c>
      <c r="AA562" s="95"/>
      <c r="AB562" s="95"/>
      <c r="AC562" s="1177">
        <v>7044</v>
      </c>
      <c r="AD562" s="95"/>
      <c r="AE562" s="2241"/>
      <c r="AF562" s="2211"/>
      <c r="AG562" s="2211"/>
      <c r="AH562" s="2211"/>
      <c r="AI562" s="2239"/>
      <c r="AJ562" s="2239"/>
      <c r="AK562" s="2175"/>
      <c r="AL562" s="2175"/>
      <c r="AM562" s="2214"/>
      <c r="AN562" s="2214"/>
      <c r="AO562" s="2180"/>
      <c r="AP562" s="2175"/>
      <c r="AQ562" s="2180"/>
      <c r="AR562" s="2175"/>
      <c r="AS562" s="2175"/>
      <c r="AT562" s="2175"/>
      <c r="AU562" s="2175"/>
      <c r="AV562" s="2175"/>
      <c r="AW562" s="2175"/>
      <c r="AX562" s="2175"/>
      <c r="AY562" s="2175"/>
      <c r="AZ562" s="2175"/>
      <c r="BA562" s="2175"/>
      <c r="BB562" s="2175"/>
      <c r="BC562" s="2175"/>
      <c r="BD562" s="2175"/>
    </row>
    <row r="563" spans="1:56" x14ac:dyDescent="0.25">
      <c r="A563" s="2220"/>
      <c r="B563" s="2254"/>
      <c r="C563" s="2175"/>
      <c r="D563" s="2175"/>
      <c r="E563" s="2175"/>
      <c r="F563" s="2175"/>
      <c r="G563" s="2180"/>
      <c r="H563" s="2175"/>
      <c r="I563" s="2175"/>
      <c r="J563" s="2175"/>
      <c r="K563" s="2217"/>
      <c r="L563" s="2211"/>
      <c r="M563" s="2180"/>
      <c r="N563" s="2175"/>
      <c r="O563" s="2175"/>
      <c r="P563" s="2175"/>
      <c r="Q563" s="2175"/>
      <c r="R563" s="2175"/>
      <c r="S563" s="2175"/>
      <c r="T563" s="2267"/>
      <c r="U563" s="1049" t="s">
        <v>882</v>
      </c>
      <c r="V563" s="715">
        <v>41274</v>
      </c>
      <c r="W563" s="1178">
        <v>10968</v>
      </c>
      <c r="X563" s="2251"/>
      <c r="Y563" s="715">
        <v>41274</v>
      </c>
      <c r="Z563" s="715">
        <v>41639</v>
      </c>
      <c r="AA563" s="95">
        <v>7.4957399999999996</v>
      </c>
      <c r="AB563" s="95"/>
      <c r="AC563" s="1177">
        <v>7572</v>
      </c>
      <c r="AD563" s="95"/>
      <c r="AE563" s="2241"/>
      <c r="AF563" s="2211"/>
      <c r="AG563" s="2211"/>
      <c r="AH563" s="2211"/>
      <c r="AI563" s="2239"/>
      <c r="AJ563" s="2239"/>
      <c r="AK563" s="2175"/>
      <c r="AL563" s="2175"/>
      <c r="AM563" s="2214"/>
      <c r="AN563" s="2214"/>
      <c r="AO563" s="2180"/>
      <c r="AP563" s="2175"/>
      <c r="AQ563" s="2180"/>
      <c r="AR563" s="2175"/>
      <c r="AS563" s="2175"/>
      <c r="AT563" s="2175"/>
      <c r="AU563" s="2175"/>
      <c r="AV563" s="2175"/>
      <c r="AW563" s="2175"/>
      <c r="AX563" s="2175"/>
      <c r="AY563" s="2175"/>
      <c r="AZ563" s="2175"/>
      <c r="BA563" s="2175"/>
      <c r="BB563" s="2175"/>
      <c r="BC563" s="2175"/>
      <c r="BD563" s="2175"/>
    </row>
    <row r="564" spans="1:56" x14ac:dyDescent="0.25">
      <c r="A564" s="2220"/>
      <c r="B564" s="2254"/>
      <c r="C564" s="2175"/>
      <c r="D564" s="2175"/>
      <c r="E564" s="2175"/>
      <c r="F564" s="2175"/>
      <c r="G564" s="2180"/>
      <c r="H564" s="2175"/>
      <c r="I564" s="2175"/>
      <c r="J564" s="2175"/>
      <c r="K564" s="2217"/>
      <c r="L564" s="2211"/>
      <c r="M564" s="2180"/>
      <c r="N564" s="2175"/>
      <c r="O564" s="2175"/>
      <c r="P564" s="2175"/>
      <c r="Q564" s="2175"/>
      <c r="R564" s="2175"/>
      <c r="S564" s="2175"/>
      <c r="T564" s="2267"/>
      <c r="U564" s="1049" t="s">
        <v>1443</v>
      </c>
      <c r="V564" s="1175">
        <v>41639</v>
      </c>
      <c r="W564" s="1178">
        <v>11215</v>
      </c>
      <c r="X564" s="2232"/>
      <c r="Y564" s="1175">
        <v>41639</v>
      </c>
      <c r="Z564" s="1175">
        <v>42004</v>
      </c>
      <c r="AA564" s="95"/>
      <c r="AB564" s="95"/>
      <c r="AC564" s="1413">
        <v>7572</v>
      </c>
      <c r="AD564" s="95"/>
      <c r="AE564" s="2241"/>
      <c r="AF564" s="2211"/>
      <c r="AG564" s="2211"/>
      <c r="AH564" s="2211"/>
      <c r="AI564" s="2239"/>
      <c r="AJ564" s="2239"/>
      <c r="AK564" s="2175"/>
      <c r="AL564" s="2175"/>
      <c r="AM564" s="2214"/>
      <c r="AN564" s="2214"/>
      <c r="AO564" s="2180"/>
      <c r="AP564" s="2175"/>
      <c r="AQ564" s="2180"/>
      <c r="AR564" s="2175"/>
      <c r="AS564" s="2175"/>
      <c r="AT564" s="2175"/>
      <c r="AU564" s="2175"/>
      <c r="AV564" s="2175"/>
      <c r="AW564" s="2175"/>
      <c r="AX564" s="2175"/>
      <c r="AY564" s="2175"/>
      <c r="AZ564" s="2175"/>
      <c r="BA564" s="2175"/>
      <c r="BB564" s="2175"/>
      <c r="BC564" s="2175"/>
      <c r="BD564" s="2175"/>
    </row>
    <row r="565" spans="1:56" ht="38.25" x14ac:dyDescent="0.25">
      <c r="A565" s="2221"/>
      <c r="B565" s="2255"/>
      <c r="C565" s="2164"/>
      <c r="D565" s="2164"/>
      <c r="E565" s="2164"/>
      <c r="F565" s="2164"/>
      <c r="G565" s="2178"/>
      <c r="H565" s="2164"/>
      <c r="I565" s="2164"/>
      <c r="J565" s="2164"/>
      <c r="K565" s="2218"/>
      <c r="L565" s="2212"/>
      <c r="M565" s="2178"/>
      <c r="N565" s="2164"/>
      <c r="O565" s="2164"/>
      <c r="P565" s="2164"/>
      <c r="Q565" s="2164"/>
      <c r="R565" s="2164"/>
      <c r="S565" s="2164"/>
      <c r="T565" s="2268"/>
      <c r="U565" s="1049" t="s">
        <v>1444</v>
      </c>
      <c r="V565" s="1175">
        <v>41988</v>
      </c>
      <c r="W565" s="1178">
        <v>11460</v>
      </c>
      <c r="X565" s="1176" t="s">
        <v>2552</v>
      </c>
      <c r="Y565" s="1175">
        <v>42004</v>
      </c>
      <c r="Z565" s="1175">
        <v>42369</v>
      </c>
      <c r="AA565" s="95">
        <v>3.6543000000000001</v>
      </c>
      <c r="AB565" s="95"/>
      <c r="AC565" s="1413">
        <v>7848.72</v>
      </c>
      <c r="AD565" s="95"/>
      <c r="AE565" s="2242"/>
      <c r="AF565" s="2212"/>
      <c r="AG565" s="2212"/>
      <c r="AH565" s="2212"/>
      <c r="AI565" s="2226"/>
      <c r="AJ565" s="2226"/>
      <c r="AK565" s="2164"/>
      <c r="AL565" s="2164"/>
      <c r="AM565" s="2215"/>
      <c r="AN565" s="2215"/>
      <c r="AO565" s="2178"/>
      <c r="AP565" s="2164"/>
      <c r="AQ565" s="2178"/>
      <c r="AR565" s="2164"/>
      <c r="AS565" s="2164"/>
      <c r="AT565" s="2164"/>
      <c r="AU565" s="2164"/>
      <c r="AV565" s="2164"/>
      <c r="AW565" s="2164"/>
      <c r="AX565" s="2164"/>
      <c r="AY565" s="2164"/>
      <c r="AZ565" s="2164"/>
      <c r="BA565" s="2164"/>
      <c r="BB565" s="2164"/>
      <c r="BC565" s="2164"/>
      <c r="BD565" s="2164"/>
    </row>
    <row r="566" spans="1:56" ht="15" customHeight="1" x14ac:dyDescent="0.25">
      <c r="A566" s="2219">
        <v>305</v>
      </c>
      <c r="B566" s="2194" t="s">
        <v>2553</v>
      </c>
      <c r="C566" s="2163"/>
      <c r="D566" s="2163" t="s">
        <v>690</v>
      </c>
      <c r="E566" s="2163"/>
      <c r="F566" s="2163" t="s">
        <v>2554</v>
      </c>
      <c r="G566" s="2177" t="s">
        <v>677</v>
      </c>
      <c r="H566" s="2213" t="s">
        <v>2555</v>
      </c>
      <c r="I566" s="2163" t="s">
        <v>2470</v>
      </c>
      <c r="J566" s="1985" t="s">
        <v>2471</v>
      </c>
      <c r="K566" s="1996">
        <v>39951</v>
      </c>
      <c r="L566" s="2210">
        <v>3891.23</v>
      </c>
      <c r="M566" s="2177">
        <v>10067</v>
      </c>
      <c r="N566" s="1996">
        <v>39951</v>
      </c>
      <c r="O566" s="1996">
        <v>40178</v>
      </c>
      <c r="P566" s="2163" t="s">
        <v>1308</v>
      </c>
      <c r="Q566" s="2177"/>
      <c r="R566" s="2177"/>
      <c r="S566" s="2177"/>
      <c r="T566" s="2266" t="s">
        <v>696</v>
      </c>
      <c r="U566" s="1049" t="s">
        <v>867</v>
      </c>
      <c r="V566" s="1175">
        <v>40140</v>
      </c>
      <c r="W566" s="1178">
        <v>10208</v>
      </c>
      <c r="X566" s="2231" t="s">
        <v>2378</v>
      </c>
      <c r="Y566" s="715">
        <v>40178</v>
      </c>
      <c r="Z566" s="715">
        <v>40543</v>
      </c>
      <c r="AA566" s="1424"/>
      <c r="AB566" s="1424"/>
      <c r="AC566" s="1177">
        <v>6204</v>
      </c>
      <c r="AD566" s="95"/>
      <c r="AE566" s="2210">
        <f>L566-AD566+AC566-AD567+AC567-AD568+AC568-AD569+AC569-AD570+AC570</f>
        <v>33447.229999999996</v>
      </c>
      <c r="AF566" s="2210">
        <v>7056</v>
      </c>
      <c r="AG566" s="2210">
        <v>1293.5999999999999</v>
      </c>
      <c r="AH566" s="2210">
        <f>AF566+AG566</f>
        <v>8349.6</v>
      </c>
      <c r="AI566" s="2177"/>
      <c r="AJ566" s="2177"/>
      <c r="AK566" s="2177"/>
      <c r="AL566" s="2177"/>
      <c r="AM566" s="2213" t="s">
        <v>1311</v>
      </c>
      <c r="AN566" s="2213" t="s">
        <v>1312</v>
      </c>
      <c r="AO566" s="2177">
        <v>10067</v>
      </c>
      <c r="AP566" s="2172">
        <v>39976</v>
      </c>
      <c r="AQ566" s="2177">
        <v>10067</v>
      </c>
      <c r="AR566" s="2172">
        <v>39976</v>
      </c>
      <c r="AS566" s="2177"/>
      <c r="AT566" s="2177"/>
      <c r="AU566" s="2177"/>
      <c r="AV566" s="2177"/>
      <c r="AW566" s="2177"/>
      <c r="AX566" s="2177"/>
      <c r="AY566" s="2177"/>
      <c r="AZ566" s="2177"/>
      <c r="BA566" s="2177"/>
      <c r="BB566" s="2177"/>
      <c r="BC566" s="2177"/>
      <c r="BD566" s="2177"/>
    </row>
    <row r="567" spans="1:56" x14ac:dyDescent="0.25">
      <c r="A567" s="2220"/>
      <c r="B567" s="2195"/>
      <c r="C567" s="2175"/>
      <c r="D567" s="2175"/>
      <c r="E567" s="2175"/>
      <c r="F567" s="2175"/>
      <c r="G567" s="2180"/>
      <c r="H567" s="2214"/>
      <c r="I567" s="2175"/>
      <c r="J567" s="2021"/>
      <c r="K567" s="2033"/>
      <c r="L567" s="2211"/>
      <c r="M567" s="2180"/>
      <c r="N567" s="2033"/>
      <c r="O567" s="2033"/>
      <c r="P567" s="2175"/>
      <c r="Q567" s="2180"/>
      <c r="R567" s="2180"/>
      <c r="S567" s="2180"/>
      <c r="T567" s="2267"/>
      <c r="U567" s="1049" t="s">
        <v>871</v>
      </c>
      <c r="V567" s="1175">
        <v>40507</v>
      </c>
      <c r="W567" s="1178">
        <v>10441</v>
      </c>
      <c r="X567" s="2251"/>
      <c r="Y567" s="715">
        <v>40543</v>
      </c>
      <c r="Z567" s="715">
        <v>40908</v>
      </c>
      <c r="AA567" s="1424"/>
      <c r="AB567" s="1424"/>
      <c r="AC567" s="1177">
        <v>6204</v>
      </c>
      <c r="AD567" s="95"/>
      <c r="AE567" s="2211"/>
      <c r="AF567" s="2211"/>
      <c r="AG567" s="2211"/>
      <c r="AH567" s="2211"/>
      <c r="AI567" s="2180"/>
      <c r="AJ567" s="2180"/>
      <c r="AK567" s="2180"/>
      <c r="AL567" s="2180"/>
      <c r="AM567" s="2214"/>
      <c r="AN567" s="2214"/>
      <c r="AO567" s="2180"/>
      <c r="AP567" s="2173"/>
      <c r="AQ567" s="2180"/>
      <c r="AR567" s="2173"/>
      <c r="AS567" s="2180"/>
      <c r="AT567" s="2180"/>
      <c r="AU567" s="2180"/>
      <c r="AV567" s="2180"/>
      <c r="AW567" s="2180"/>
      <c r="AX567" s="2180"/>
      <c r="AY567" s="2180"/>
      <c r="AZ567" s="2180"/>
      <c r="BA567" s="2180"/>
      <c r="BB567" s="2180"/>
      <c r="BC567" s="2180"/>
      <c r="BD567" s="2180"/>
    </row>
    <row r="568" spans="1:56" x14ac:dyDescent="0.25">
      <c r="A568" s="2220"/>
      <c r="B568" s="2195"/>
      <c r="C568" s="2175"/>
      <c r="D568" s="2175"/>
      <c r="E568" s="2175"/>
      <c r="F568" s="2175"/>
      <c r="G568" s="2180"/>
      <c r="H568" s="2214"/>
      <c r="I568" s="2175"/>
      <c r="J568" s="2021"/>
      <c r="K568" s="2033"/>
      <c r="L568" s="2211"/>
      <c r="M568" s="2180"/>
      <c r="N568" s="2033"/>
      <c r="O568" s="2033"/>
      <c r="P568" s="2175"/>
      <c r="Q568" s="2180"/>
      <c r="R568" s="2180"/>
      <c r="S568" s="2180"/>
      <c r="T568" s="2267"/>
      <c r="U568" s="1049" t="s">
        <v>874</v>
      </c>
      <c r="V568" s="715">
        <v>40907</v>
      </c>
      <c r="W568" s="1178">
        <v>10735</v>
      </c>
      <c r="X568" s="2251"/>
      <c r="Y568" s="715">
        <v>40907</v>
      </c>
      <c r="Z568" s="715">
        <v>41274</v>
      </c>
      <c r="AA568" s="1425">
        <v>5.8026999999999997</v>
      </c>
      <c r="AB568" s="1424"/>
      <c r="AC568" s="1426">
        <v>6564</v>
      </c>
      <c r="AD568" s="95"/>
      <c r="AE568" s="2211"/>
      <c r="AF568" s="2211"/>
      <c r="AG568" s="2211"/>
      <c r="AH568" s="2211"/>
      <c r="AI568" s="2180"/>
      <c r="AJ568" s="2180"/>
      <c r="AK568" s="2180"/>
      <c r="AL568" s="2180"/>
      <c r="AM568" s="2214"/>
      <c r="AN568" s="2214"/>
      <c r="AO568" s="2180"/>
      <c r="AP568" s="2173"/>
      <c r="AQ568" s="2180"/>
      <c r="AR568" s="2173"/>
      <c r="AS568" s="2180"/>
      <c r="AT568" s="2180"/>
      <c r="AU568" s="2180"/>
      <c r="AV568" s="2180"/>
      <c r="AW568" s="2180"/>
      <c r="AX568" s="2180"/>
      <c r="AY568" s="2180"/>
      <c r="AZ568" s="2180"/>
      <c r="BA568" s="2180"/>
      <c r="BB568" s="2180"/>
      <c r="BC568" s="2180"/>
      <c r="BD568" s="2180"/>
    </row>
    <row r="569" spans="1:56" x14ac:dyDescent="0.25">
      <c r="A569" s="2220"/>
      <c r="B569" s="2195"/>
      <c r="C569" s="2175"/>
      <c r="D569" s="2175"/>
      <c r="E569" s="2175"/>
      <c r="F569" s="2175"/>
      <c r="G569" s="2180"/>
      <c r="H569" s="2214"/>
      <c r="I569" s="2175"/>
      <c r="J569" s="2021"/>
      <c r="K569" s="2033"/>
      <c r="L569" s="2211"/>
      <c r="M569" s="2180"/>
      <c r="N569" s="2033"/>
      <c r="O569" s="2033"/>
      <c r="P569" s="2175"/>
      <c r="Q569" s="2180"/>
      <c r="R569" s="2180"/>
      <c r="S569" s="2180"/>
      <c r="T569" s="2267"/>
      <c r="U569" s="1049" t="s">
        <v>876</v>
      </c>
      <c r="V569" s="1175">
        <v>41274</v>
      </c>
      <c r="W569" s="1178">
        <v>10963</v>
      </c>
      <c r="X569" s="2251"/>
      <c r="Y569" s="715">
        <v>41274</v>
      </c>
      <c r="Z569" s="715">
        <v>41639</v>
      </c>
      <c r="AA569" s="1425">
        <v>7.4954200000000002</v>
      </c>
      <c r="AB569" s="1424"/>
      <c r="AC569" s="1177">
        <v>7056</v>
      </c>
      <c r="AD569" s="95"/>
      <c r="AE569" s="2211"/>
      <c r="AF569" s="2211"/>
      <c r="AG569" s="2211"/>
      <c r="AH569" s="2211"/>
      <c r="AI569" s="2180"/>
      <c r="AJ569" s="2180"/>
      <c r="AK569" s="2180"/>
      <c r="AL569" s="2180"/>
      <c r="AM569" s="2214"/>
      <c r="AN569" s="2214"/>
      <c r="AO569" s="2180"/>
      <c r="AP569" s="2173"/>
      <c r="AQ569" s="2180"/>
      <c r="AR569" s="2173"/>
      <c r="AS569" s="2180"/>
      <c r="AT569" s="2180"/>
      <c r="AU569" s="2180"/>
      <c r="AV569" s="2180"/>
      <c r="AW569" s="2180"/>
      <c r="AX569" s="2180"/>
      <c r="AY569" s="2180"/>
      <c r="AZ569" s="2180"/>
      <c r="BA569" s="2180"/>
      <c r="BB569" s="2180"/>
      <c r="BC569" s="2180"/>
      <c r="BD569" s="2180"/>
    </row>
    <row r="570" spans="1:56" x14ac:dyDescent="0.25">
      <c r="A570" s="2220"/>
      <c r="B570" s="2195"/>
      <c r="C570" s="2175"/>
      <c r="D570" s="2175"/>
      <c r="E570" s="2175"/>
      <c r="F570" s="2175"/>
      <c r="G570" s="2180"/>
      <c r="H570" s="2214"/>
      <c r="I570" s="2175"/>
      <c r="J570" s="2021"/>
      <c r="K570" s="2033"/>
      <c r="L570" s="2211"/>
      <c r="M570" s="2180"/>
      <c r="N570" s="2033"/>
      <c r="O570" s="2033"/>
      <c r="P570" s="2175"/>
      <c r="Q570" s="2180"/>
      <c r="R570" s="2180"/>
      <c r="S570" s="2180"/>
      <c r="T570" s="2267"/>
      <c r="U570" s="1049" t="s">
        <v>879</v>
      </c>
      <c r="V570" s="1175">
        <v>41639</v>
      </c>
      <c r="W570" s="1178">
        <v>11014</v>
      </c>
      <c r="X570" s="2232"/>
      <c r="Y570" s="1175">
        <v>41639</v>
      </c>
      <c r="Z570" s="1175">
        <v>41820</v>
      </c>
      <c r="AA570" s="1424"/>
      <c r="AB570" s="1424"/>
      <c r="AC570" s="1177">
        <v>3528</v>
      </c>
      <c r="AD570" s="95"/>
      <c r="AE570" s="2211"/>
      <c r="AF570" s="2211"/>
      <c r="AG570" s="2211"/>
      <c r="AH570" s="2211"/>
      <c r="AI570" s="2180"/>
      <c r="AJ570" s="2180"/>
      <c r="AK570" s="2180"/>
      <c r="AL570" s="2180"/>
      <c r="AM570" s="2214"/>
      <c r="AN570" s="2214"/>
      <c r="AO570" s="2180"/>
      <c r="AP570" s="2173"/>
      <c r="AQ570" s="2180"/>
      <c r="AR570" s="2173"/>
      <c r="AS570" s="2178"/>
      <c r="AT570" s="2178"/>
      <c r="AU570" s="2178"/>
      <c r="AV570" s="2178"/>
      <c r="AW570" s="2178"/>
      <c r="AX570" s="2178"/>
      <c r="AY570" s="2178"/>
      <c r="AZ570" s="2178"/>
      <c r="BA570" s="2178"/>
      <c r="BB570" s="2178"/>
      <c r="BC570" s="2178"/>
      <c r="BD570" s="2178"/>
    </row>
    <row r="571" spans="1:56" s="419" customFormat="1" ht="63.75" x14ac:dyDescent="0.25">
      <c r="A571" s="2221"/>
      <c r="B571" s="2196"/>
      <c r="C571" s="2164"/>
      <c r="D571" s="2164"/>
      <c r="E571" s="2164"/>
      <c r="F571" s="2164"/>
      <c r="G571" s="2178"/>
      <c r="H571" s="2215"/>
      <c r="I571" s="2164"/>
      <c r="J571" s="1986"/>
      <c r="K571" s="1997"/>
      <c r="L571" s="2212"/>
      <c r="M571" s="2178"/>
      <c r="N571" s="1997"/>
      <c r="O571" s="1997"/>
      <c r="P571" s="2164"/>
      <c r="Q571" s="2178"/>
      <c r="R571" s="2178"/>
      <c r="S571" s="2178"/>
      <c r="T571" s="2268"/>
      <c r="U571" s="1049" t="s">
        <v>1355</v>
      </c>
      <c r="V571" s="1175">
        <v>41771</v>
      </c>
      <c r="W571" s="1178">
        <v>11261</v>
      </c>
      <c r="X571" s="1176" t="s">
        <v>2556</v>
      </c>
      <c r="Y571" s="1175"/>
      <c r="Z571" s="1175"/>
      <c r="AA571" s="1424"/>
      <c r="AB571" s="1424"/>
      <c r="AC571" s="1177"/>
      <c r="AD571" s="95"/>
      <c r="AE571" s="2212"/>
      <c r="AF571" s="2212"/>
      <c r="AG571" s="2212"/>
      <c r="AH571" s="2212"/>
      <c r="AI571" s="2178"/>
      <c r="AJ571" s="2178"/>
      <c r="AK571" s="2178"/>
      <c r="AL571" s="2178"/>
      <c r="AM571" s="2215"/>
      <c r="AN571" s="2215"/>
      <c r="AO571" s="2178"/>
      <c r="AP571" s="2174"/>
      <c r="AQ571" s="2178"/>
      <c r="AR571" s="2174"/>
      <c r="AS571" s="1106"/>
      <c r="AT571" s="1106"/>
      <c r="AU571" s="1106"/>
      <c r="AV571" s="1106"/>
      <c r="AW571" s="1106"/>
      <c r="AX571" s="1106"/>
      <c r="AY571" s="1106"/>
      <c r="AZ571" s="1106"/>
      <c r="BA571" s="1106"/>
      <c r="BB571" s="1106"/>
      <c r="BC571" s="1106"/>
      <c r="BD571" s="1106"/>
    </row>
    <row r="572" spans="1:56" ht="15" customHeight="1" x14ac:dyDescent="0.25">
      <c r="A572" s="2219">
        <v>306</v>
      </c>
      <c r="B572" s="2253">
        <v>123190069</v>
      </c>
      <c r="C572" s="2163"/>
      <c r="D572" s="2163" t="s">
        <v>690</v>
      </c>
      <c r="E572" s="2163"/>
      <c r="F572" s="2163" t="s">
        <v>2557</v>
      </c>
      <c r="G572" s="2177" t="s">
        <v>677</v>
      </c>
      <c r="H572" s="2213" t="s">
        <v>2558</v>
      </c>
      <c r="I572" s="1985" t="s">
        <v>2559</v>
      </c>
      <c r="J572" s="1985" t="s">
        <v>2560</v>
      </c>
      <c r="K572" s="2244">
        <v>40806</v>
      </c>
      <c r="L572" s="2210">
        <v>3166.66</v>
      </c>
      <c r="M572" s="2177">
        <v>10654</v>
      </c>
      <c r="N572" s="2244">
        <v>40806</v>
      </c>
      <c r="O572" s="1996">
        <v>40908</v>
      </c>
      <c r="P572" s="2163" t="s">
        <v>1308</v>
      </c>
      <c r="Q572" s="2163"/>
      <c r="R572" s="2163"/>
      <c r="S572" s="2163"/>
      <c r="T572" s="2266" t="s">
        <v>696</v>
      </c>
      <c r="U572" s="1049" t="s">
        <v>867</v>
      </c>
      <c r="V572" s="1175">
        <v>40907</v>
      </c>
      <c r="W572" s="1178">
        <v>10734</v>
      </c>
      <c r="X572" s="2231" t="s">
        <v>2378</v>
      </c>
      <c r="Y572" s="1175">
        <v>40907</v>
      </c>
      <c r="Z572" s="1175">
        <v>41274</v>
      </c>
      <c r="AA572" s="95"/>
      <c r="AB572" s="95"/>
      <c r="AC572" s="1177">
        <v>11400</v>
      </c>
      <c r="AD572" s="95"/>
      <c r="AE572" s="2210">
        <f>L572-AD572+AC572-AD573+AC573-AD574+AC574-AD575+AC575</f>
        <v>49183.3</v>
      </c>
      <c r="AF572" s="2210">
        <v>11400</v>
      </c>
      <c r="AG572" s="2210">
        <v>11400</v>
      </c>
      <c r="AH572" s="2262">
        <f>AF572+AG572</f>
        <v>22800</v>
      </c>
      <c r="AI572" s="2262"/>
      <c r="AJ572" s="2262"/>
      <c r="AK572" s="2262"/>
      <c r="AL572" s="2262"/>
      <c r="AM572" s="2213" t="s">
        <v>1311</v>
      </c>
      <c r="AN572" s="1985" t="s">
        <v>1312</v>
      </c>
      <c r="AO572" s="2177">
        <v>10654</v>
      </c>
      <c r="AP572" s="2172">
        <v>40827</v>
      </c>
      <c r="AQ572" s="2177">
        <v>10654</v>
      </c>
      <c r="AR572" s="2172">
        <v>40827</v>
      </c>
      <c r="AS572" s="2163"/>
      <c r="AT572" s="2163"/>
      <c r="AU572" s="2163"/>
      <c r="AV572" s="2163"/>
      <c r="AW572" s="2163"/>
      <c r="AX572" s="2163" t="s">
        <v>2561</v>
      </c>
      <c r="AY572" s="2163"/>
      <c r="AZ572" s="2163"/>
      <c r="BA572" s="2163"/>
      <c r="BB572" s="2163"/>
      <c r="BC572" s="2163"/>
      <c r="BD572" s="2163"/>
    </row>
    <row r="573" spans="1:56" x14ac:dyDescent="0.25">
      <c r="A573" s="2220"/>
      <c r="B573" s="2254"/>
      <c r="C573" s="2175"/>
      <c r="D573" s="2175"/>
      <c r="E573" s="2175"/>
      <c r="F573" s="2175"/>
      <c r="G573" s="2180"/>
      <c r="H573" s="2214"/>
      <c r="I573" s="2021"/>
      <c r="J573" s="2021"/>
      <c r="K573" s="2245"/>
      <c r="L573" s="2211"/>
      <c r="M573" s="2180"/>
      <c r="N573" s="2245"/>
      <c r="O573" s="2033"/>
      <c r="P573" s="2175"/>
      <c r="Q573" s="2175"/>
      <c r="R573" s="2175"/>
      <c r="S573" s="2175"/>
      <c r="T573" s="2267"/>
      <c r="U573" s="1049" t="s">
        <v>871</v>
      </c>
      <c r="V573" s="1175">
        <v>41274</v>
      </c>
      <c r="W573" s="1178">
        <v>10963</v>
      </c>
      <c r="X573" s="2251"/>
      <c r="Y573" s="1175">
        <v>41274</v>
      </c>
      <c r="Z573" s="1175">
        <v>41639</v>
      </c>
      <c r="AA573" s="95"/>
      <c r="AB573" s="95"/>
      <c r="AC573" s="1177">
        <v>11400</v>
      </c>
      <c r="AD573" s="95"/>
      <c r="AE573" s="2211"/>
      <c r="AF573" s="2211"/>
      <c r="AG573" s="2211"/>
      <c r="AH573" s="2263"/>
      <c r="AI573" s="2263"/>
      <c r="AJ573" s="2263"/>
      <c r="AK573" s="2263"/>
      <c r="AL573" s="2263"/>
      <c r="AM573" s="2214"/>
      <c r="AN573" s="2021"/>
      <c r="AO573" s="2180"/>
      <c r="AP573" s="2173"/>
      <c r="AQ573" s="2180"/>
      <c r="AR573" s="2173"/>
      <c r="AS573" s="2175"/>
      <c r="AT573" s="2175"/>
      <c r="AU573" s="2175"/>
      <c r="AV573" s="2175"/>
      <c r="AW573" s="2175"/>
      <c r="AX573" s="2175"/>
      <c r="AY573" s="2175"/>
      <c r="AZ573" s="2175"/>
      <c r="BA573" s="2175"/>
      <c r="BB573" s="2175"/>
      <c r="BC573" s="2175"/>
      <c r="BD573" s="2175"/>
    </row>
    <row r="574" spans="1:56" x14ac:dyDescent="0.25">
      <c r="A574" s="2220"/>
      <c r="B574" s="2254"/>
      <c r="C574" s="2175"/>
      <c r="D574" s="2175"/>
      <c r="E574" s="2175"/>
      <c r="F574" s="2175"/>
      <c r="G574" s="2180"/>
      <c r="H574" s="2214"/>
      <c r="I574" s="2021"/>
      <c r="J574" s="2021"/>
      <c r="K574" s="2245"/>
      <c r="L574" s="2211"/>
      <c r="M574" s="2180"/>
      <c r="N574" s="2245"/>
      <c r="O574" s="2033"/>
      <c r="P574" s="2175"/>
      <c r="Q574" s="2175"/>
      <c r="R574" s="2175"/>
      <c r="S574" s="2175"/>
      <c r="T574" s="2267"/>
      <c r="U574" s="1049" t="s">
        <v>874</v>
      </c>
      <c r="V574" s="1175">
        <v>41639</v>
      </c>
      <c r="W574" s="1178">
        <v>11213</v>
      </c>
      <c r="X574" s="2232"/>
      <c r="Y574" s="1175">
        <v>41639</v>
      </c>
      <c r="Z574" s="1175">
        <v>42004</v>
      </c>
      <c r="AA574" s="95"/>
      <c r="AB574" s="95"/>
      <c r="AC574" s="1177">
        <v>11400</v>
      </c>
      <c r="AD574" s="95"/>
      <c r="AE574" s="2211"/>
      <c r="AF574" s="2211"/>
      <c r="AG574" s="2211"/>
      <c r="AH574" s="2263"/>
      <c r="AI574" s="2263"/>
      <c r="AJ574" s="2263"/>
      <c r="AK574" s="2263"/>
      <c r="AL574" s="2263"/>
      <c r="AM574" s="2214"/>
      <c r="AN574" s="2021"/>
      <c r="AO574" s="2180"/>
      <c r="AP574" s="2173"/>
      <c r="AQ574" s="2180"/>
      <c r="AR574" s="2173"/>
      <c r="AS574" s="2175"/>
      <c r="AT574" s="2175"/>
      <c r="AU574" s="2175"/>
      <c r="AV574" s="2175"/>
      <c r="AW574" s="2175"/>
      <c r="AX574" s="2175"/>
      <c r="AY574" s="2175"/>
      <c r="AZ574" s="2175"/>
      <c r="BA574" s="2175"/>
      <c r="BB574" s="2175"/>
      <c r="BC574" s="2175"/>
      <c r="BD574" s="2175"/>
    </row>
    <row r="575" spans="1:56" ht="51" x14ac:dyDescent="0.25">
      <c r="A575" s="2221"/>
      <c r="B575" s="2255"/>
      <c r="C575" s="2164"/>
      <c r="D575" s="2164"/>
      <c r="E575" s="2164"/>
      <c r="F575" s="2164"/>
      <c r="G575" s="2178"/>
      <c r="H575" s="2215"/>
      <c r="I575" s="1986"/>
      <c r="J575" s="1986"/>
      <c r="K575" s="2246"/>
      <c r="L575" s="2212"/>
      <c r="M575" s="2178"/>
      <c r="N575" s="2246"/>
      <c r="O575" s="1997"/>
      <c r="P575" s="2164"/>
      <c r="Q575" s="2164"/>
      <c r="R575" s="2164"/>
      <c r="S575" s="2164"/>
      <c r="T575" s="2268"/>
      <c r="U575" s="1049" t="s">
        <v>876</v>
      </c>
      <c r="V575" s="1175">
        <v>41988</v>
      </c>
      <c r="W575" s="1178">
        <v>11461</v>
      </c>
      <c r="X575" s="1176" t="s">
        <v>2562</v>
      </c>
      <c r="Y575" s="1175">
        <v>42004</v>
      </c>
      <c r="Z575" s="1175">
        <v>42369</v>
      </c>
      <c r="AA575" s="95">
        <v>3.6543000000000001</v>
      </c>
      <c r="AB575" s="95"/>
      <c r="AC575" s="1177">
        <v>11816.64</v>
      </c>
      <c r="AD575" s="95"/>
      <c r="AE575" s="2212"/>
      <c r="AF575" s="2212"/>
      <c r="AG575" s="2212"/>
      <c r="AH575" s="2264"/>
      <c r="AI575" s="2264"/>
      <c r="AJ575" s="2264"/>
      <c r="AK575" s="2264"/>
      <c r="AL575" s="2264"/>
      <c r="AM575" s="2215"/>
      <c r="AN575" s="1986"/>
      <c r="AO575" s="2178"/>
      <c r="AP575" s="2174"/>
      <c r="AQ575" s="2178"/>
      <c r="AR575" s="2174"/>
      <c r="AS575" s="2164"/>
      <c r="AT575" s="2164"/>
      <c r="AU575" s="2164"/>
      <c r="AV575" s="2164"/>
      <c r="AW575" s="2164"/>
      <c r="AX575" s="2164"/>
      <c r="AY575" s="2164"/>
      <c r="AZ575" s="2164"/>
      <c r="BA575" s="2164"/>
      <c r="BB575" s="2164"/>
      <c r="BC575" s="2164"/>
      <c r="BD575" s="2164"/>
    </row>
    <row r="576" spans="1:56" ht="22.5" customHeight="1" x14ac:dyDescent="0.25">
      <c r="A576" s="2219">
        <v>307</v>
      </c>
      <c r="B576" s="2194" t="s">
        <v>2563</v>
      </c>
      <c r="C576" s="1985" t="s">
        <v>2564</v>
      </c>
      <c r="D576" s="1985" t="s">
        <v>2565</v>
      </c>
      <c r="E576" s="2163" t="s">
        <v>168</v>
      </c>
      <c r="F576" s="1985" t="s">
        <v>2566</v>
      </c>
      <c r="G576" s="2177">
        <v>10588</v>
      </c>
      <c r="H576" s="2213" t="s">
        <v>2567</v>
      </c>
      <c r="I576" s="2235" t="s">
        <v>7552</v>
      </c>
      <c r="J576" s="2235" t="s">
        <v>197</v>
      </c>
      <c r="K576" s="1996">
        <v>40749</v>
      </c>
      <c r="L576" s="2002">
        <v>53186.95</v>
      </c>
      <c r="M576" s="2177">
        <v>10603</v>
      </c>
      <c r="N576" s="1996">
        <v>40749</v>
      </c>
      <c r="O576" s="1996">
        <v>40908</v>
      </c>
      <c r="P576" s="2163" t="s">
        <v>1308</v>
      </c>
      <c r="Q576" s="2163"/>
      <c r="R576" s="2163"/>
      <c r="S576" s="2163"/>
      <c r="T576" s="1985" t="s">
        <v>1511</v>
      </c>
      <c r="U576" s="1049" t="s">
        <v>867</v>
      </c>
      <c r="V576" s="1175">
        <v>40907</v>
      </c>
      <c r="W576" s="1178">
        <v>10724</v>
      </c>
      <c r="X576" s="343" t="s">
        <v>2568</v>
      </c>
      <c r="Y576" s="1175">
        <v>40907</v>
      </c>
      <c r="Z576" s="1175">
        <v>41274</v>
      </c>
      <c r="AA576" s="95"/>
      <c r="AB576" s="95"/>
      <c r="AC576" s="1177">
        <v>127648.68</v>
      </c>
      <c r="AD576" s="95"/>
      <c r="AE576" s="2240">
        <f>L576-AD576+AC576-AD577+AC577-AD578+AC578-AD579+AC579-AD580+AC580</f>
        <v>377243.63</v>
      </c>
      <c r="AF576" s="2210">
        <v>138879.97</v>
      </c>
      <c r="AG576" s="2210">
        <v>21173.09</v>
      </c>
      <c r="AH576" s="2210">
        <f>AF576+AG576</f>
        <v>160053.06</v>
      </c>
      <c r="AI576" s="2225" t="s">
        <v>2569</v>
      </c>
      <c r="AJ576" s="2177">
        <v>10453</v>
      </c>
      <c r="AK576" s="2163" t="s">
        <v>2570</v>
      </c>
      <c r="AL576" s="1049"/>
      <c r="AM576" s="1427"/>
      <c r="AN576" s="1427"/>
      <c r="AO576" s="1178"/>
      <c r="AP576" s="1175"/>
      <c r="AQ576" s="1178"/>
      <c r="AR576" s="1175"/>
      <c r="AS576" s="1049"/>
      <c r="AT576" s="1049"/>
      <c r="AU576" s="1049"/>
      <c r="AV576" s="1049"/>
      <c r="AW576" s="1049"/>
      <c r="AX576" s="1049"/>
      <c r="AY576" s="1049"/>
      <c r="AZ576" s="1049"/>
      <c r="BA576" s="1049"/>
      <c r="BB576" s="1049"/>
      <c r="BC576" s="1049"/>
      <c r="BD576" s="1049"/>
    </row>
    <row r="577" spans="1:56" x14ac:dyDescent="0.25">
      <c r="A577" s="2220"/>
      <c r="B577" s="2195"/>
      <c r="C577" s="2021"/>
      <c r="D577" s="2021"/>
      <c r="E577" s="2175"/>
      <c r="F577" s="2021"/>
      <c r="G577" s="2180"/>
      <c r="H577" s="2214"/>
      <c r="I577" s="2243"/>
      <c r="J577" s="2243"/>
      <c r="K577" s="2033"/>
      <c r="L577" s="2187"/>
      <c r="M577" s="2180"/>
      <c r="N577" s="2033"/>
      <c r="O577" s="2033"/>
      <c r="P577" s="2175"/>
      <c r="Q577" s="2175"/>
      <c r="R577" s="2175"/>
      <c r="S577" s="2175"/>
      <c r="T577" s="2021"/>
      <c r="U577" s="1049" t="s">
        <v>871</v>
      </c>
      <c r="V577" s="1175">
        <v>41040</v>
      </c>
      <c r="W577" s="1178">
        <v>10804</v>
      </c>
      <c r="X577" s="1060" t="s">
        <v>2571</v>
      </c>
      <c r="Y577" s="1175">
        <v>41040</v>
      </c>
      <c r="Z577" s="1175">
        <v>41274</v>
      </c>
      <c r="AA577" s="95">
        <v>9.4114199999999997</v>
      </c>
      <c r="AB577" s="95"/>
      <c r="AC577" s="1177">
        <v>8009.04</v>
      </c>
      <c r="AD577" s="95"/>
      <c r="AE577" s="2241"/>
      <c r="AF577" s="2211"/>
      <c r="AG577" s="2211"/>
      <c r="AH577" s="2211"/>
      <c r="AI577" s="2239"/>
      <c r="AJ577" s="2180"/>
      <c r="AK577" s="2175"/>
      <c r="AL577" s="1112"/>
      <c r="AM577" s="1427"/>
      <c r="AN577" s="1427"/>
      <c r="AO577" s="1105"/>
      <c r="AP577" s="1108"/>
      <c r="AQ577" s="1105"/>
      <c r="AR577" s="1108"/>
      <c r="AS577" s="1049"/>
      <c r="AT577" s="1049"/>
      <c r="AU577" s="1049"/>
      <c r="AV577" s="1049"/>
      <c r="AW577" s="1049"/>
      <c r="AX577" s="1049"/>
      <c r="AY577" s="1049"/>
      <c r="AZ577" s="1049"/>
      <c r="BA577" s="1049"/>
      <c r="BB577" s="1049"/>
      <c r="BC577" s="1049"/>
      <c r="BD577" s="1049"/>
    </row>
    <row r="578" spans="1:56" x14ac:dyDescent="0.25">
      <c r="A578" s="2220"/>
      <c r="B578" s="2195"/>
      <c r="C578" s="2021"/>
      <c r="D578" s="2021"/>
      <c r="E578" s="2175"/>
      <c r="F578" s="2021"/>
      <c r="G578" s="2180"/>
      <c r="H578" s="2214"/>
      <c r="I578" s="2243"/>
      <c r="J578" s="2243"/>
      <c r="K578" s="2033"/>
      <c r="L578" s="2187"/>
      <c r="M578" s="2180"/>
      <c r="N578" s="2033"/>
      <c r="O578" s="2033"/>
      <c r="P578" s="2175"/>
      <c r="Q578" s="2175"/>
      <c r="R578" s="2175"/>
      <c r="S578" s="2175"/>
      <c r="T578" s="2021"/>
      <c r="U578" s="1049" t="s">
        <v>874</v>
      </c>
      <c r="V578" s="1175">
        <v>41274</v>
      </c>
      <c r="W578" s="1178">
        <v>10968</v>
      </c>
      <c r="X578" s="343" t="s">
        <v>2568</v>
      </c>
      <c r="Y578" s="1175">
        <v>41274</v>
      </c>
      <c r="Z578" s="1175">
        <v>41639</v>
      </c>
      <c r="AA578" s="95"/>
      <c r="AB578" s="95"/>
      <c r="AC578" s="1177">
        <v>139662.24</v>
      </c>
      <c r="AD578" s="95"/>
      <c r="AE578" s="2241"/>
      <c r="AF578" s="2211"/>
      <c r="AG578" s="2211"/>
      <c r="AH578" s="2211"/>
      <c r="AI578" s="2239"/>
      <c r="AJ578" s="2180"/>
      <c r="AK578" s="2175"/>
      <c r="AL578" s="1112"/>
      <c r="AM578" s="1112"/>
      <c r="AN578" s="1179"/>
      <c r="AO578" s="1105"/>
      <c r="AP578" s="1108"/>
      <c r="AQ578" s="1105"/>
      <c r="AR578" s="1108"/>
      <c r="AS578" s="1049"/>
      <c r="AT578" s="1049"/>
      <c r="AU578" s="1049"/>
      <c r="AV578" s="1049"/>
      <c r="AW578" s="1049"/>
      <c r="AX578" s="1049"/>
      <c r="AY578" s="1049"/>
      <c r="AZ578" s="1049"/>
      <c r="BA578" s="1049"/>
      <c r="BB578" s="1049"/>
      <c r="BC578" s="1049"/>
      <c r="BD578" s="1049"/>
    </row>
    <row r="579" spans="1:56" x14ac:dyDescent="0.25">
      <c r="A579" s="2220"/>
      <c r="B579" s="2195"/>
      <c r="C579" s="2021"/>
      <c r="D579" s="2021"/>
      <c r="E579" s="2175"/>
      <c r="F579" s="2021"/>
      <c r="G579" s="2180"/>
      <c r="H579" s="2214"/>
      <c r="I579" s="2243"/>
      <c r="J579" s="2243"/>
      <c r="K579" s="2033"/>
      <c r="L579" s="2187"/>
      <c r="M579" s="2180"/>
      <c r="N579" s="2033"/>
      <c r="O579" s="2033"/>
      <c r="P579" s="2175"/>
      <c r="Q579" s="2175"/>
      <c r="R579" s="2175"/>
      <c r="S579" s="2175"/>
      <c r="T579" s="2021"/>
      <c r="U579" s="1049" t="s">
        <v>876</v>
      </c>
      <c r="V579" s="1175">
        <v>41515</v>
      </c>
      <c r="W579" s="1178">
        <v>11129</v>
      </c>
      <c r="X579" s="1060" t="s">
        <v>2571</v>
      </c>
      <c r="Y579" s="1175">
        <v>41456</v>
      </c>
      <c r="Z579" s="1175">
        <v>41639</v>
      </c>
      <c r="AA579" s="95">
        <v>13.70251</v>
      </c>
      <c r="AB579" s="95"/>
      <c r="AC579" s="1177">
        <v>9036.85</v>
      </c>
      <c r="AD579" s="95"/>
      <c r="AE579" s="2241"/>
      <c r="AF579" s="2211"/>
      <c r="AG579" s="2211"/>
      <c r="AH579" s="2211"/>
      <c r="AI579" s="2239"/>
      <c r="AJ579" s="2180"/>
      <c r="AK579" s="2175"/>
      <c r="AL579" s="1112"/>
      <c r="AM579" s="1112"/>
      <c r="AN579" s="1179"/>
      <c r="AO579" s="1105"/>
      <c r="AP579" s="1108"/>
      <c r="AQ579" s="1105"/>
      <c r="AR579" s="1108"/>
      <c r="AS579" s="1049"/>
      <c r="AT579" s="1049"/>
      <c r="AU579" s="1049"/>
      <c r="AV579" s="1049"/>
      <c r="AW579" s="1049"/>
      <c r="AX579" s="1049"/>
      <c r="AY579" s="1049"/>
      <c r="AZ579" s="1049"/>
      <c r="BA579" s="1049"/>
      <c r="BB579" s="1049"/>
      <c r="BC579" s="1049"/>
      <c r="BD579" s="1049"/>
    </row>
    <row r="580" spans="1:56" x14ac:dyDescent="0.25">
      <c r="A580" s="2220"/>
      <c r="B580" s="2195"/>
      <c r="C580" s="2021"/>
      <c r="D580" s="2021"/>
      <c r="E580" s="2175"/>
      <c r="F580" s="2021"/>
      <c r="G580" s="2180"/>
      <c r="H580" s="2214"/>
      <c r="I580" s="2243"/>
      <c r="J580" s="2243"/>
      <c r="K580" s="2033"/>
      <c r="L580" s="2187"/>
      <c r="M580" s="2180"/>
      <c r="N580" s="2033"/>
      <c r="O580" s="2033"/>
      <c r="P580" s="2175"/>
      <c r="Q580" s="2175"/>
      <c r="R580" s="2175"/>
      <c r="S580" s="2175"/>
      <c r="T580" s="2021"/>
      <c r="U580" s="1049" t="s">
        <v>879</v>
      </c>
      <c r="V580" s="1175">
        <v>41639</v>
      </c>
      <c r="W580" s="1178">
        <v>11255</v>
      </c>
      <c r="X580" s="343" t="s">
        <v>2568</v>
      </c>
      <c r="Y580" s="1175">
        <v>41639</v>
      </c>
      <c r="Z580" s="1175">
        <v>41729</v>
      </c>
      <c r="AA580" s="95"/>
      <c r="AB580" s="95"/>
      <c r="AC580" s="1177">
        <v>39699.870000000003</v>
      </c>
      <c r="AD580" s="95"/>
      <c r="AE580" s="2241"/>
      <c r="AF580" s="2211"/>
      <c r="AG580" s="2211"/>
      <c r="AH580" s="2211"/>
      <c r="AI580" s="2239"/>
      <c r="AJ580" s="2180"/>
      <c r="AK580" s="2175"/>
      <c r="AL580" s="1112"/>
      <c r="AM580" s="1112"/>
      <c r="AN580" s="1179"/>
      <c r="AO580" s="1105"/>
      <c r="AP580" s="1108"/>
      <c r="AQ580" s="1105"/>
      <c r="AR580" s="1108"/>
      <c r="AS580" s="1049"/>
      <c r="AT580" s="1049"/>
      <c r="AU580" s="1049"/>
      <c r="AV580" s="1049"/>
      <c r="AW580" s="1049"/>
      <c r="AX580" s="1049"/>
      <c r="AY580" s="1049"/>
      <c r="AZ580" s="1049"/>
      <c r="BA580" s="1049"/>
      <c r="BB580" s="1049"/>
      <c r="BC580" s="1049"/>
      <c r="BD580" s="1049"/>
    </row>
    <row r="581" spans="1:56" s="419" customFormat="1" ht="51" x14ac:dyDescent="0.25">
      <c r="A581" s="2221"/>
      <c r="B581" s="2196"/>
      <c r="C581" s="1986"/>
      <c r="D581" s="1986"/>
      <c r="E581" s="2164"/>
      <c r="F581" s="1986"/>
      <c r="G581" s="2178"/>
      <c r="H581" s="2215"/>
      <c r="I581" s="2236"/>
      <c r="J581" s="2236"/>
      <c r="K581" s="1997"/>
      <c r="L581" s="2003"/>
      <c r="M581" s="2178"/>
      <c r="N581" s="1997"/>
      <c r="O581" s="1997"/>
      <c r="P581" s="2164"/>
      <c r="Q581" s="2164"/>
      <c r="R581" s="2164"/>
      <c r="S581" s="2164"/>
      <c r="T581" s="1986"/>
      <c r="U581" s="1049" t="s">
        <v>1355</v>
      </c>
      <c r="V581" s="1175">
        <v>41690</v>
      </c>
      <c r="W581" s="1178">
        <v>11255</v>
      </c>
      <c r="X581" s="343" t="s">
        <v>2572</v>
      </c>
      <c r="Y581" s="1175"/>
      <c r="Z581" s="1175"/>
      <c r="AA581" s="95"/>
      <c r="AB581" s="95"/>
      <c r="AC581" s="1177"/>
      <c r="AD581" s="95"/>
      <c r="AE581" s="2242"/>
      <c r="AF581" s="2212"/>
      <c r="AG581" s="2212"/>
      <c r="AH581" s="2212"/>
      <c r="AI581" s="2226"/>
      <c r="AJ581" s="2178"/>
      <c r="AK581" s="2164"/>
      <c r="AL581" s="1112"/>
      <c r="AM581" s="1112"/>
      <c r="AN581" s="1179"/>
      <c r="AO581" s="1105"/>
      <c r="AP581" s="1108"/>
      <c r="AQ581" s="1105"/>
      <c r="AR581" s="1108"/>
      <c r="AS581" s="1049"/>
      <c r="AT581" s="1049"/>
      <c r="AU581" s="1049"/>
      <c r="AV581" s="1049"/>
      <c r="AW581" s="1049"/>
      <c r="AX581" s="1049"/>
      <c r="AY581" s="1049"/>
      <c r="AZ581" s="1049"/>
      <c r="BA581" s="1049"/>
      <c r="BB581" s="1049"/>
      <c r="BC581" s="1049"/>
      <c r="BD581" s="1049"/>
    </row>
    <row r="582" spans="1:56" ht="15" customHeight="1" x14ac:dyDescent="0.25">
      <c r="A582" s="2219">
        <v>308</v>
      </c>
      <c r="B582" s="2253" t="s">
        <v>2573</v>
      </c>
      <c r="C582" s="2163"/>
      <c r="D582" s="2163" t="s">
        <v>690</v>
      </c>
      <c r="E582" s="2163"/>
      <c r="F582" s="2163" t="s">
        <v>2574</v>
      </c>
      <c r="G582" s="2177" t="s">
        <v>677</v>
      </c>
      <c r="H582" s="2163" t="s">
        <v>2575</v>
      </c>
      <c r="I582" s="2163" t="s">
        <v>2576</v>
      </c>
      <c r="J582" s="2163" t="s">
        <v>2577</v>
      </c>
      <c r="K582" s="2216">
        <v>39377</v>
      </c>
      <c r="L582" s="2210">
        <v>7776</v>
      </c>
      <c r="M582" s="2177">
        <v>9676</v>
      </c>
      <c r="N582" s="2172">
        <v>39377</v>
      </c>
      <c r="O582" s="2172">
        <v>39742</v>
      </c>
      <c r="P582" s="2163" t="s">
        <v>1308</v>
      </c>
      <c r="Q582" s="2163"/>
      <c r="R582" s="2163"/>
      <c r="S582" s="2163"/>
      <c r="T582" s="2266" t="s">
        <v>696</v>
      </c>
      <c r="U582" s="1049" t="s">
        <v>867</v>
      </c>
      <c r="V582" s="715">
        <v>39743</v>
      </c>
      <c r="W582" s="1178">
        <v>9931</v>
      </c>
      <c r="X582" s="2231" t="s">
        <v>2378</v>
      </c>
      <c r="Y582" s="715">
        <v>39743</v>
      </c>
      <c r="Z582" s="715">
        <v>39813</v>
      </c>
      <c r="AA582" s="1049">
        <v>8.7962900000000008</v>
      </c>
      <c r="AB582" s="1049"/>
      <c r="AC582" s="1177">
        <v>1645</v>
      </c>
      <c r="AD582" s="95"/>
      <c r="AE582" s="2240">
        <f>L582-AD582+AC582-AD583+AC583-AD584+AC584-AD585+AC585-AD586++AC586-AD587+AC587-AD588+AC588-AD589+AC589</f>
        <v>74683.12</v>
      </c>
      <c r="AF582" s="2210">
        <v>9528</v>
      </c>
      <c r="AG582" s="2210">
        <v>10020</v>
      </c>
      <c r="AH582" s="2210">
        <f>AF582+AG582</f>
        <v>19548</v>
      </c>
      <c r="AI582" s="2225"/>
      <c r="AJ582" s="2225"/>
      <c r="AK582" s="2163"/>
      <c r="AL582" s="2163"/>
      <c r="AM582" s="2213" t="s">
        <v>1311</v>
      </c>
      <c r="AN582" s="2213" t="s">
        <v>1312</v>
      </c>
      <c r="AO582" s="2177">
        <v>9676</v>
      </c>
      <c r="AP582" s="2163" t="s">
        <v>2551</v>
      </c>
      <c r="AQ582" s="2177">
        <v>9676</v>
      </c>
      <c r="AR582" s="2163" t="s">
        <v>2551</v>
      </c>
      <c r="AS582" s="1049"/>
      <c r="AT582" s="1049"/>
      <c r="AU582" s="1049"/>
      <c r="AV582" s="1049"/>
      <c r="AW582" s="1049"/>
      <c r="AX582" s="1049"/>
      <c r="AY582" s="1049"/>
      <c r="AZ582" s="1049"/>
      <c r="BA582" s="1049"/>
      <c r="BB582" s="1049"/>
      <c r="BC582" s="1049"/>
      <c r="BD582" s="1049"/>
    </row>
    <row r="583" spans="1:56" x14ac:dyDescent="0.25">
      <c r="A583" s="2220"/>
      <c r="B583" s="2254"/>
      <c r="C583" s="2175"/>
      <c r="D583" s="2175"/>
      <c r="E583" s="2175"/>
      <c r="F583" s="2175"/>
      <c r="G583" s="2180"/>
      <c r="H583" s="2175"/>
      <c r="I583" s="2175"/>
      <c r="J583" s="2175"/>
      <c r="K583" s="2217"/>
      <c r="L583" s="2211"/>
      <c r="M583" s="2180"/>
      <c r="N583" s="2173"/>
      <c r="O583" s="2173"/>
      <c r="P583" s="2175"/>
      <c r="Q583" s="2175"/>
      <c r="R583" s="2175"/>
      <c r="S583" s="2175"/>
      <c r="T583" s="2267"/>
      <c r="U583" s="1049" t="s">
        <v>871</v>
      </c>
      <c r="V583" s="715">
        <v>39813</v>
      </c>
      <c r="W583" s="1423">
        <v>9931</v>
      </c>
      <c r="X583" s="2251"/>
      <c r="Y583" s="715">
        <v>39813</v>
      </c>
      <c r="Z583" s="715">
        <v>40178</v>
      </c>
      <c r="AA583" s="1049">
        <v>3.1205599999999998</v>
      </c>
      <c r="AB583" s="1049"/>
      <c r="AC583" s="1177">
        <v>8724</v>
      </c>
      <c r="AD583" s="95"/>
      <c r="AE583" s="2241"/>
      <c r="AF583" s="2211"/>
      <c r="AG583" s="2211"/>
      <c r="AH583" s="2211"/>
      <c r="AI583" s="2239"/>
      <c r="AJ583" s="2239"/>
      <c r="AK583" s="2175"/>
      <c r="AL583" s="2175"/>
      <c r="AM583" s="2214"/>
      <c r="AN583" s="2214"/>
      <c r="AO583" s="2180"/>
      <c r="AP583" s="2175"/>
      <c r="AQ583" s="2180"/>
      <c r="AR583" s="2175"/>
      <c r="AS583" s="1049"/>
      <c r="AT583" s="1049"/>
      <c r="AU583" s="1049"/>
      <c r="AV583" s="1049"/>
      <c r="AW583" s="1049"/>
      <c r="AX583" s="1049"/>
      <c r="AY583" s="1049"/>
      <c r="AZ583" s="1049"/>
      <c r="BA583" s="1049"/>
      <c r="BB583" s="1049"/>
      <c r="BC583" s="1049"/>
      <c r="BD583" s="1049"/>
    </row>
    <row r="584" spans="1:56" x14ac:dyDescent="0.25">
      <c r="A584" s="2220"/>
      <c r="B584" s="2254"/>
      <c r="C584" s="2175"/>
      <c r="D584" s="2175"/>
      <c r="E584" s="2175"/>
      <c r="F584" s="2175"/>
      <c r="G584" s="2180"/>
      <c r="H584" s="2175"/>
      <c r="I584" s="2175"/>
      <c r="J584" s="2175"/>
      <c r="K584" s="2217"/>
      <c r="L584" s="2211"/>
      <c r="M584" s="2180"/>
      <c r="N584" s="2173"/>
      <c r="O584" s="2173"/>
      <c r="P584" s="2175"/>
      <c r="Q584" s="2175"/>
      <c r="R584" s="2175"/>
      <c r="S584" s="2175"/>
      <c r="T584" s="2267"/>
      <c r="U584" s="1049" t="s">
        <v>874</v>
      </c>
      <c r="V584" s="715">
        <v>40178</v>
      </c>
      <c r="W584" s="1178">
        <v>10211</v>
      </c>
      <c r="X584" s="2251"/>
      <c r="Y584" s="715">
        <v>40178</v>
      </c>
      <c r="Z584" s="715">
        <v>40543</v>
      </c>
      <c r="AA584" s="1049">
        <v>1.6506099999999999</v>
      </c>
      <c r="AB584" s="1049"/>
      <c r="AC584" s="1177">
        <v>8868</v>
      </c>
      <c r="AD584" s="95"/>
      <c r="AE584" s="2241"/>
      <c r="AF584" s="2211"/>
      <c r="AG584" s="2211"/>
      <c r="AH584" s="2211"/>
      <c r="AI584" s="2239"/>
      <c r="AJ584" s="2239"/>
      <c r="AK584" s="2175"/>
      <c r="AL584" s="2175"/>
      <c r="AM584" s="2214"/>
      <c r="AN584" s="2214"/>
      <c r="AO584" s="2180"/>
      <c r="AP584" s="2175"/>
      <c r="AQ584" s="2180"/>
      <c r="AR584" s="2175"/>
      <c r="AS584" s="1049"/>
      <c r="AT584" s="1049"/>
      <c r="AU584" s="1049"/>
      <c r="AV584" s="1049"/>
      <c r="AW584" s="1049"/>
      <c r="AX584" s="1049"/>
      <c r="AY584" s="1049"/>
      <c r="AZ584" s="1049"/>
      <c r="BA584" s="1049"/>
      <c r="BB584" s="1049"/>
      <c r="BC584" s="1049"/>
      <c r="BD584" s="1049"/>
    </row>
    <row r="585" spans="1:56" x14ac:dyDescent="0.25">
      <c r="A585" s="2220"/>
      <c r="B585" s="2254"/>
      <c r="C585" s="2175"/>
      <c r="D585" s="2175"/>
      <c r="E585" s="2175"/>
      <c r="F585" s="2175"/>
      <c r="G585" s="2180"/>
      <c r="H585" s="2175"/>
      <c r="I585" s="2175"/>
      <c r="J585" s="2175"/>
      <c r="K585" s="2217"/>
      <c r="L585" s="2211"/>
      <c r="M585" s="2180"/>
      <c r="N585" s="2173"/>
      <c r="O585" s="2173"/>
      <c r="P585" s="2175"/>
      <c r="Q585" s="2175"/>
      <c r="R585" s="2175"/>
      <c r="S585" s="2175"/>
      <c r="T585" s="2267"/>
      <c r="U585" s="1049" t="s">
        <v>876</v>
      </c>
      <c r="V585" s="715">
        <v>40543</v>
      </c>
      <c r="W585" s="1178">
        <v>10445</v>
      </c>
      <c r="X585" s="2251"/>
      <c r="Y585" s="715">
        <v>40543</v>
      </c>
      <c r="Z585" s="715">
        <v>40908</v>
      </c>
      <c r="AA585" s="1049"/>
      <c r="AB585" s="1049"/>
      <c r="AC585" s="1177">
        <v>8868</v>
      </c>
      <c r="AD585" s="95"/>
      <c r="AE585" s="2241"/>
      <c r="AF585" s="2211"/>
      <c r="AG585" s="2211"/>
      <c r="AH585" s="2211"/>
      <c r="AI585" s="2239"/>
      <c r="AJ585" s="2239"/>
      <c r="AK585" s="2175"/>
      <c r="AL585" s="2175"/>
      <c r="AM585" s="2214"/>
      <c r="AN585" s="2214"/>
      <c r="AO585" s="2180"/>
      <c r="AP585" s="2175"/>
      <c r="AQ585" s="2180"/>
      <c r="AR585" s="2175"/>
      <c r="AS585" s="1049"/>
      <c r="AT585" s="1049"/>
      <c r="AU585" s="1049"/>
      <c r="AV585" s="1049"/>
      <c r="AW585" s="1049"/>
      <c r="AX585" s="1049"/>
      <c r="AY585" s="1049"/>
      <c r="AZ585" s="1049"/>
      <c r="BA585" s="1049"/>
      <c r="BB585" s="1049"/>
      <c r="BC585" s="1049"/>
      <c r="BD585" s="1049"/>
    </row>
    <row r="586" spans="1:56" x14ac:dyDescent="0.25">
      <c r="A586" s="2220"/>
      <c r="B586" s="2254"/>
      <c r="C586" s="2175"/>
      <c r="D586" s="2175"/>
      <c r="E586" s="2175"/>
      <c r="F586" s="2175"/>
      <c r="G586" s="2180"/>
      <c r="H586" s="2175"/>
      <c r="I586" s="2175"/>
      <c r="J586" s="2175"/>
      <c r="K586" s="2217"/>
      <c r="L586" s="2211"/>
      <c r="M586" s="2180"/>
      <c r="N586" s="2173"/>
      <c r="O586" s="2173"/>
      <c r="P586" s="2175"/>
      <c r="Q586" s="2175"/>
      <c r="R586" s="2175"/>
      <c r="S586" s="2175"/>
      <c r="T586" s="2267"/>
      <c r="U586" s="1049" t="s">
        <v>879</v>
      </c>
      <c r="V586" s="715">
        <v>40908</v>
      </c>
      <c r="W586" s="1178">
        <v>10724</v>
      </c>
      <c r="X586" s="2251"/>
      <c r="Y586" s="715">
        <v>40908</v>
      </c>
      <c r="Z586" s="715">
        <v>41274</v>
      </c>
      <c r="AA586" s="1049"/>
      <c r="AB586" s="1049"/>
      <c r="AC586" s="1177">
        <v>8868</v>
      </c>
      <c r="AD586" s="95"/>
      <c r="AE586" s="2241"/>
      <c r="AF586" s="2211"/>
      <c r="AG586" s="2211"/>
      <c r="AH586" s="2211"/>
      <c r="AI586" s="2239"/>
      <c r="AJ586" s="2239"/>
      <c r="AK586" s="2175"/>
      <c r="AL586" s="2175"/>
      <c r="AM586" s="2214"/>
      <c r="AN586" s="2214"/>
      <c r="AO586" s="2180"/>
      <c r="AP586" s="2175"/>
      <c r="AQ586" s="2180"/>
      <c r="AR586" s="2175"/>
      <c r="AS586" s="1049"/>
      <c r="AT586" s="1049"/>
      <c r="AU586" s="1049"/>
      <c r="AV586" s="1049"/>
      <c r="AW586" s="1049"/>
      <c r="AX586" s="1049"/>
      <c r="AY586" s="1049"/>
      <c r="AZ586" s="1049"/>
      <c r="BA586" s="1049"/>
      <c r="BB586" s="1049"/>
      <c r="BC586" s="1049"/>
      <c r="BD586" s="1049"/>
    </row>
    <row r="587" spans="1:56" x14ac:dyDescent="0.25">
      <c r="A587" s="2220"/>
      <c r="B587" s="2254"/>
      <c r="C587" s="2175"/>
      <c r="D587" s="2175"/>
      <c r="E587" s="2175"/>
      <c r="F587" s="2175"/>
      <c r="G587" s="2180"/>
      <c r="H587" s="2175"/>
      <c r="I587" s="2175"/>
      <c r="J587" s="2175"/>
      <c r="K587" s="2217"/>
      <c r="L587" s="2211"/>
      <c r="M587" s="2180"/>
      <c r="N587" s="2173"/>
      <c r="O587" s="2173"/>
      <c r="P587" s="2175"/>
      <c r="Q587" s="2175"/>
      <c r="R587" s="2175"/>
      <c r="S587" s="2175"/>
      <c r="T587" s="2267"/>
      <c r="U587" s="1049" t="s">
        <v>882</v>
      </c>
      <c r="V587" s="715">
        <v>41274</v>
      </c>
      <c r="W587" s="1178">
        <v>10976</v>
      </c>
      <c r="X587" s="2251"/>
      <c r="Y587" s="715">
        <v>41274</v>
      </c>
      <c r="Z587" s="715">
        <v>41639</v>
      </c>
      <c r="AA587" s="1049">
        <v>7.4424799999999998</v>
      </c>
      <c r="AB587" s="1049"/>
      <c r="AC587" s="1177">
        <v>9528</v>
      </c>
      <c r="AD587" s="95"/>
      <c r="AE587" s="2241"/>
      <c r="AF587" s="2211"/>
      <c r="AG587" s="2211"/>
      <c r="AH587" s="2211"/>
      <c r="AI587" s="2239"/>
      <c r="AJ587" s="2239"/>
      <c r="AK587" s="2175"/>
      <c r="AL587" s="2175"/>
      <c r="AM587" s="2214"/>
      <c r="AN587" s="2214"/>
      <c r="AO587" s="2180"/>
      <c r="AP587" s="2175"/>
      <c r="AQ587" s="2180"/>
      <c r="AR587" s="2175"/>
      <c r="AS587" s="1049"/>
      <c r="AT587" s="1049"/>
      <c r="AU587" s="1049"/>
      <c r="AV587" s="1049"/>
      <c r="AW587" s="1049"/>
      <c r="AX587" s="1049"/>
      <c r="AY587" s="1049"/>
      <c r="AZ587" s="1049"/>
      <c r="BA587" s="1049"/>
      <c r="BB587" s="1049"/>
      <c r="BC587" s="1049"/>
      <c r="BD587" s="1049"/>
    </row>
    <row r="588" spans="1:56" x14ac:dyDescent="0.25">
      <c r="A588" s="2220"/>
      <c r="B588" s="2254"/>
      <c r="C588" s="2175"/>
      <c r="D588" s="2175"/>
      <c r="E588" s="2175"/>
      <c r="F588" s="2175"/>
      <c r="G588" s="2180"/>
      <c r="H588" s="2175"/>
      <c r="I588" s="2175"/>
      <c r="J588" s="2175"/>
      <c r="K588" s="2217"/>
      <c r="L588" s="2211"/>
      <c r="M588" s="2180"/>
      <c r="N588" s="2173"/>
      <c r="O588" s="2173"/>
      <c r="P588" s="2175"/>
      <c r="Q588" s="2175"/>
      <c r="R588" s="2175"/>
      <c r="S588" s="2175"/>
      <c r="T588" s="2267"/>
      <c r="U588" s="1049" t="s">
        <v>1443</v>
      </c>
      <c r="V588" s="1175">
        <v>41639</v>
      </c>
      <c r="W588" s="1178">
        <v>11215</v>
      </c>
      <c r="X588" s="2232"/>
      <c r="Y588" s="1175">
        <v>41639</v>
      </c>
      <c r="Z588" s="1175">
        <v>42004</v>
      </c>
      <c r="AA588" s="1049">
        <v>5.1637199999999996</v>
      </c>
      <c r="AB588" s="1049"/>
      <c r="AC588" s="1413">
        <v>10020</v>
      </c>
      <c r="AD588" s="95"/>
      <c r="AE588" s="2241"/>
      <c r="AF588" s="2211"/>
      <c r="AG588" s="2211"/>
      <c r="AH588" s="2211"/>
      <c r="AI588" s="2239"/>
      <c r="AJ588" s="2239"/>
      <c r="AK588" s="2175"/>
      <c r="AL588" s="2175"/>
      <c r="AM588" s="2214"/>
      <c r="AN588" s="2214"/>
      <c r="AO588" s="2180"/>
      <c r="AP588" s="2175"/>
      <c r="AQ588" s="2180"/>
      <c r="AR588" s="2175"/>
      <c r="AS588" s="1049"/>
      <c r="AT588" s="1049"/>
      <c r="AU588" s="1049"/>
      <c r="AV588" s="1049"/>
      <c r="AW588" s="1049"/>
      <c r="AX588" s="1049"/>
      <c r="AY588" s="1049"/>
      <c r="AZ588" s="1049"/>
      <c r="BA588" s="1049"/>
      <c r="BB588" s="1049"/>
      <c r="BC588" s="1049"/>
      <c r="BD588" s="1049"/>
    </row>
    <row r="589" spans="1:56" ht="38.25" x14ac:dyDescent="0.25">
      <c r="A589" s="2221"/>
      <c r="B589" s="2255"/>
      <c r="C589" s="2164"/>
      <c r="D589" s="2164"/>
      <c r="E589" s="2164"/>
      <c r="F589" s="2164"/>
      <c r="G589" s="2178"/>
      <c r="H589" s="2164"/>
      <c r="I589" s="2164"/>
      <c r="J589" s="2164"/>
      <c r="K589" s="2218"/>
      <c r="L589" s="2212"/>
      <c r="M589" s="2178"/>
      <c r="N589" s="2174"/>
      <c r="O589" s="2174"/>
      <c r="P589" s="2164"/>
      <c r="Q589" s="2164"/>
      <c r="R589" s="2164"/>
      <c r="S589" s="2164"/>
      <c r="T589" s="2268"/>
      <c r="U589" s="1049" t="s">
        <v>1444</v>
      </c>
      <c r="V589" s="1175">
        <v>41988</v>
      </c>
      <c r="W589" s="1178">
        <v>11462</v>
      </c>
      <c r="X589" s="1176" t="s">
        <v>2578</v>
      </c>
      <c r="Y589" s="1175">
        <v>42004</v>
      </c>
      <c r="Z589" s="1175">
        <v>42369</v>
      </c>
      <c r="AA589" s="1049">
        <v>3.6543000000000001</v>
      </c>
      <c r="AB589" s="1049"/>
      <c r="AC589" s="1413">
        <v>10386.120000000001</v>
      </c>
      <c r="AD589" s="95"/>
      <c r="AE589" s="2242"/>
      <c r="AF589" s="2212"/>
      <c r="AG589" s="2212"/>
      <c r="AH589" s="2212"/>
      <c r="AI589" s="2226"/>
      <c r="AJ589" s="2226"/>
      <c r="AK589" s="2164"/>
      <c r="AL589" s="2164"/>
      <c r="AM589" s="2215"/>
      <c r="AN589" s="2215"/>
      <c r="AO589" s="2178"/>
      <c r="AP589" s="2164"/>
      <c r="AQ589" s="2178"/>
      <c r="AR589" s="2164"/>
      <c r="AS589" s="1112"/>
      <c r="AT589" s="1112"/>
      <c r="AU589" s="1112"/>
      <c r="AV589" s="1112"/>
      <c r="AW589" s="1112"/>
      <c r="AX589" s="1112"/>
      <c r="AY589" s="1112"/>
      <c r="AZ589" s="1112"/>
      <c r="BA589" s="1112"/>
      <c r="BB589" s="1112"/>
      <c r="BC589" s="1112"/>
      <c r="BD589" s="1112"/>
    </row>
    <row r="590" spans="1:56" x14ac:dyDescent="0.25">
      <c r="A590" s="2219">
        <v>309</v>
      </c>
      <c r="B590" s="2222" t="s">
        <v>2416</v>
      </c>
      <c r="C590" s="1985" t="s">
        <v>2579</v>
      </c>
      <c r="D590" s="2233" t="s">
        <v>2580</v>
      </c>
      <c r="E590" s="1985" t="s">
        <v>1358</v>
      </c>
      <c r="F590" s="2233" t="s">
        <v>2581</v>
      </c>
      <c r="G590" s="2177">
        <v>10126</v>
      </c>
      <c r="H590" s="2213" t="s">
        <v>2582</v>
      </c>
      <c r="I590" s="2233" t="s">
        <v>2583</v>
      </c>
      <c r="J590" s="2114" t="s">
        <v>2584</v>
      </c>
      <c r="K590" s="2216">
        <v>40133</v>
      </c>
      <c r="L590" s="2002">
        <v>1200</v>
      </c>
      <c r="M590" s="2177">
        <v>10194</v>
      </c>
      <c r="N590" s="2216">
        <v>40133</v>
      </c>
      <c r="O590" s="1985" t="s">
        <v>2414</v>
      </c>
      <c r="P590" s="2163" t="s">
        <v>1308</v>
      </c>
      <c r="Q590" s="2163"/>
      <c r="R590" s="2163"/>
      <c r="S590" s="2163"/>
      <c r="T590" s="1985" t="s">
        <v>158</v>
      </c>
      <c r="U590" s="1049" t="s">
        <v>867</v>
      </c>
      <c r="V590" s="1175">
        <v>40178</v>
      </c>
      <c r="W590" s="1178">
        <v>10207</v>
      </c>
      <c r="X590" s="2233" t="s">
        <v>2585</v>
      </c>
      <c r="Y590" s="715">
        <v>40178</v>
      </c>
      <c r="Z590" s="715">
        <v>40543</v>
      </c>
      <c r="AA590" s="95"/>
      <c r="AB590" s="95"/>
      <c r="AC590" s="1177">
        <v>9600</v>
      </c>
      <c r="AD590" s="95"/>
      <c r="AE590" s="2240">
        <f>L590-AD590+AC590-AD591+AC591-AD592+AC592-AD593+AC593-AD594+AC594</f>
        <v>47600</v>
      </c>
      <c r="AF590" s="2210">
        <v>9600</v>
      </c>
      <c r="AG590" s="2210">
        <v>8000</v>
      </c>
      <c r="AH590" s="2240">
        <f>AF590+AG590</f>
        <v>17600</v>
      </c>
      <c r="AI590" s="2225"/>
      <c r="AJ590" s="2225"/>
      <c r="AK590" s="2225"/>
      <c r="AL590" s="2225"/>
      <c r="AM590" s="2225"/>
      <c r="AN590" s="2225"/>
      <c r="AO590" s="2225"/>
      <c r="AP590" s="2225"/>
      <c r="AQ590" s="2225"/>
      <c r="AR590" s="2225"/>
      <c r="AS590" s="2225"/>
      <c r="AT590" s="2225"/>
      <c r="AU590" s="2225"/>
      <c r="AV590" s="2225"/>
      <c r="AW590" s="2225"/>
      <c r="AX590" s="2225"/>
      <c r="AY590" s="2225"/>
      <c r="AZ590" s="2225"/>
      <c r="BA590" s="2225"/>
      <c r="BB590" s="2225"/>
      <c r="BC590" s="2225"/>
      <c r="BD590" s="2225"/>
    </row>
    <row r="591" spans="1:56" x14ac:dyDescent="0.25">
      <c r="A591" s="2220"/>
      <c r="B591" s="2223"/>
      <c r="C591" s="2021"/>
      <c r="D591" s="2252"/>
      <c r="E591" s="2021"/>
      <c r="F591" s="2252"/>
      <c r="G591" s="2180"/>
      <c r="H591" s="2214"/>
      <c r="I591" s="2252"/>
      <c r="J591" s="2265"/>
      <c r="K591" s="2217"/>
      <c r="L591" s="2187"/>
      <c r="M591" s="2180"/>
      <c r="N591" s="2217"/>
      <c r="O591" s="2021"/>
      <c r="P591" s="2175"/>
      <c r="Q591" s="2175"/>
      <c r="R591" s="2175"/>
      <c r="S591" s="2175"/>
      <c r="T591" s="2021"/>
      <c r="U591" s="1049" t="s">
        <v>871</v>
      </c>
      <c r="V591" s="715">
        <v>40543</v>
      </c>
      <c r="W591" s="1178">
        <v>10456</v>
      </c>
      <c r="X591" s="2252"/>
      <c r="Y591" s="715">
        <v>40543</v>
      </c>
      <c r="Z591" s="715">
        <v>40908</v>
      </c>
      <c r="AA591" s="95"/>
      <c r="AB591" s="95"/>
      <c r="AC591" s="1177">
        <v>9600</v>
      </c>
      <c r="AD591" s="95"/>
      <c r="AE591" s="2241"/>
      <c r="AF591" s="2211"/>
      <c r="AG591" s="2211"/>
      <c r="AH591" s="2239"/>
      <c r="AI591" s="2239"/>
      <c r="AJ591" s="2239"/>
      <c r="AK591" s="2239"/>
      <c r="AL591" s="2239"/>
      <c r="AM591" s="2239"/>
      <c r="AN591" s="2239"/>
      <c r="AO591" s="2239"/>
      <c r="AP591" s="2239"/>
      <c r="AQ591" s="2239"/>
      <c r="AR591" s="2239"/>
      <c r="AS591" s="2239"/>
      <c r="AT591" s="2239"/>
      <c r="AU591" s="2239"/>
      <c r="AV591" s="2239"/>
      <c r="AW591" s="2239"/>
      <c r="AX591" s="2239"/>
      <c r="AY591" s="2239"/>
      <c r="AZ591" s="2239"/>
      <c r="BA591" s="2239"/>
      <c r="BB591" s="2239"/>
      <c r="BC591" s="2239"/>
      <c r="BD591" s="2239"/>
    </row>
    <row r="592" spans="1:56" x14ac:dyDescent="0.25">
      <c r="A592" s="2220"/>
      <c r="B592" s="2223"/>
      <c r="C592" s="2021"/>
      <c r="D592" s="2252"/>
      <c r="E592" s="2021"/>
      <c r="F592" s="2252"/>
      <c r="G592" s="2180"/>
      <c r="H592" s="2214"/>
      <c r="I592" s="2252"/>
      <c r="J592" s="2265"/>
      <c r="K592" s="2217"/>
      <c r="L592" s="2187"/>
      <c r="M592" s="2180"/>
      <c r="N592" s="2217"/>
      <c r="O592" s="2021"/>
      <c r="P592" s="2175"/>
      <c r="Q592" s="2175"/>
      <c r="R592" s="2175"/>
      <c r="S592" s="2175"/>
      <c r="T592" s="2021"/>
      <c r="U592" s="1049" t="s">
        <v>874</v>
      </c>
      <c r="V592" s="715">
        <v>40908</v>
      </c>
      <c r="W592" s="1178">
        <v>10718</v>
      </c>
      <c r="X592" s="2252"/>
      <c r="Y592" s="715">
        <v>40908</v>
      </c>
      <c r="Z592" s="715">
        <v>41274</v>
      </c>
      <c r="AA592" s="95"/>
      <c r="AB592" s="95"/>
      <c r="AC592" s="1177">
        <v>9600</v>
      </c>
      <c r="AD592" s="95"/>
      <c r="AE592" s="2241"/>
      <c r="AF592" s="2211"/>
      <c r="AG592" s="2211"/>
      <c r="AH592" s="2239"/>
      <c r="AI592" s="2239"/>
      <c r="AJ592" s="2239"/>
      <c r="AK592" s="2239"/>
      <c r="AL592" s="2239"/>
      <c r="AM592" s="2239"/>
      <c r="AN592" s="2239"/>
      <c r="AO592" s="2239"/>
      <c r="AP592" s="2239"/>
      <c r="AQ592" s="2239"/>
      <c r="AR592" s="2239"/>
      <c r="AS592" s="2239"/>
      <c r="AT592" s="2239"/>
      <c r="AU592" s="2239"/>
      <c r="AV592" s="2239"/>
      <c r="AW592" s="2239"/>
      <c r="AX592" s="2239"/>
      <c r="AY592" s="2239"/>
      <c r="AZ592" s="2239"/>
      <c r="BA592" s="2239"/>
      <c r="BB592" s="2239"/>
      <c r="BC592" s="2239"/>
      <c r="BD592" s="2239"/>
    </row>
    <row r="593" spans="1:56" x14ac:dyDescent="0.25">
      <c r="A593" s="2220"/>
      <c r="B593" s="2223"/>
      <c r="C593" s="2021"/>
      <c r="D593" s="2252"/>
      <c r="E593" s="2021"/>
      <c r="F593" s="2252"/>
      <c r="G593" s="2180"/>
      <c r="H593" s="2214"/>
      <c r="I593" s="2252"/>
      <c r="J593" s="2265"/>
      <c r="K593" s="2217"/>
      <c r="L593" s="2187"/>
      <c r="M593" s="2180"/>
      <c r="N593" s="2217"/>
      <c r="O593" s="2021"/>
      <c r="P593" s="2175"/>
      <c r="Q593" s="2175"/>
      <c r="R593" s="2175"/>
      <c r="S593" s="2175"/>
      <c r="T593" s="2021"/>
      <c r="U593" s="1049" t="s">
        <v>876</v>
      </c>
      <c r="V593" s="715">
        <v>41274</v>
      </c>
      <c r="W593" s="1178">
        <v>10970</v>
      </c>
      <c r="X593" s="2252"/>
      <c r="Y593" s="715">
        <v>41274</v>
      </c>
      <c r="Z593" s="715">
        <v>41639</v>
      </c>
      <c r="AA593" s="95"/>
      <c r="AB593" s="95"/>
      <c r="AC593" s="1177">
        <v>9600</v>
      </c>
      <c r="AD593" s="95"/>
      <c r="AE593" s="2241"/>
      <c r="AF593" s="2211"/>
      <c r="AG593" s="2211"/>
      <c r="AH593" s="2239"/>
      <c r="AI593" s="2239"/>
      <c r="AJ593" s="2239"/>
      <c r="AK593" s="2239"/>
      <c r="AL593" s="2239"/>
      <c r="AM593" s="2239"/>
      <c r="AN593" s="2239"/>
      <c r="AO593" s="2239"/>
      <c r="AP593" s="2239"/>
      <c r="AQ593" s="2239"/>
      <c r="AR593" s="2239"/>
      <c r="AS593" s="2239"/>
      <c r="AT593" s="2239"/>
      <c r="AU593" s="2239"/>
      <c r="AV593" s="2239"/>
      <c r="AW593" s="2239"/>
      <c r="AX593" s="2239"/>
      <c r="AY593" s="2239"/>
      <c r="AZ593" s="2239"/>
      <c r="BA593" s="2239"/>
      <c r="BB593" s="2239"/>
      <c r="BC593" s="2239"/>
      <c r="BD593" s="2239"/>
    </row>
    <row r="594" spans="1:56" x14ac:dyDescent="0.25">
      <c r="A594" s="2221"/>
      <c r="B594" s="2224"/>
      <c r="C594" s="1986"/>
      <c r="D594" s="2234"/>
      <c r="E594" s="1986"/>
      <c r="F594" s="2234"/>
      <c r="G594" s="2178"/>
      <c r="H594" s="2215"/>
      <c r="I594" s="2234"/>
      <c r="J594" s="2115"/>
      <c r="K594" s="2218"/>
      <c r="L594" s="2003"/>
      <c r="M594" s="2178"/>
      <c r="N594" s="2218"/>
      <c r="O594" s="1986"/>
      <c r="P594" s="2164"/>
      <c r="Q594" s="2164"/>
      <c r="R594" s="2164"/>
      <c r="S594" s="2164"/>
      <c r="T594" s="1986"/>
      <c r="U594" s="1049" t="s">
        <v>879</v>
      </c>
      <c r="V594" s="1175">
        <v>41639</v>
      </c>
      <c r="W594" s="1178">
        <v>11215</v>
      </c>
      <c r="X594" s="2234"/>
      <c r="Y594" s="1175">
        <v>41639</v>
      </c>
      <c r="Z594" s="1175">
        <v>41943</v>
      </c>
      <c r="AA594" s="95"/>
      <c r="AB594" s="95"/>
      <c r="AC594" s="1177">
        <v>8000</v>
      </c>
      <c r="AD594" s="95"/>
      <c r="AE594" s="2242"/>
      <c r="AF594" s="2212"/>
      <c r="AG594" s="2212"/>
      <c r="AH594" s="2226"/>
      <c r="AI594" s="2226"/>
      <c r="AJ594" s="2226"/>
      <c r="AK594" s="2226"/>
      <c r="AL594" s="2226"/>
      <c r="AM594" s="2226"/>
      <c r="AN594" s="2226"/>
      <c r="AO594" s="2226"/>
      <c r="AP594" s="2226"/>
      <c r="AQ594" s="2226"/>
      <c r="AR594" s="2226"/>
      <c r="AS594" s="2226"/>
      <c r="AT594" s="2226"/>
      <c r="AU594" s="2226"/>
      <c r="AV594" s="2226"/>
      <c r="AW594" s="2226"/>
      <c r="AX594" s="2226"/>
      <c r="AY594" s="2226"/>
      <c r="AZ594" s="2226"/>
      <c r="BA594" s="2226"/>
      <c r="BB594" s="2226"/>
      <c r="BC594" s="2226"/>
      <c r="BD594" s="2226"/>
    </row>
    <row r="595" spans="1:56" ht="25.5" customHeight="1" x14ac:dyDescent="0.25">
      <c r="A595" s="2219">
        <v>310</v>
      </c>
      <c r="B595" s="2253">
        <v>112900141</v>
      </c>
      <c r="C595" s="1985" t="s">
        <v>2586</v>
      </c>
      <c r="D595" s="1985" t="s">
        <v>1331</v>
      </c>
      <c r="E595" s="1985" t="s">
        <v>153</v>
      </c>
      <c r="F595" s="1985" t="s">
        <v>2587</v>
      </c>
      <c r="G595" s="2177">
        <v>10670</v>
      </c>
      <c r="H595" s="2213" t="s">
        <v>948</v>
      </c>
      <c r="I595" s="1985" t="s">
        <v>2588</v>
      </c>
      <c r="J595" s="1985" t="s">
        <v>2589</v>
      </c>
      <c r="K595" s="2216">
        <v>41022</v>
      </c>
      <c r="L595" s="2002">
        <v>11250</v>
      </c>
      <c r="M595" s="2177">
        <v>10786</v>
      </c>
      <c r="N595" s="2216">
        <v>41022</v>
      </c>
      <c r="O595" s="1996">
        <v>41274</v>
      </c>
      <c r="P595" s="1985" t="s">
        <v>2590</v>
      </c>
      <c r="Q595" s="2163"/>
      <c r="R595" s="2163"/>
      <c r="S595" s="2163"/>
      <c r="T595" s="1985" t="s">
        <v>696</v>
      </c>
      <c r="U595" s="1049" t="s">
        <v>867</v>
      </c>
      <c r="V595" s="1175">
        <v>41274</v>
      </c>
      <c r="W595" s="1178">
        <v>10970</v>
      </c>
      <c r="X595" s="2231" t="s">
        <v>2591</v>
      </c>
      <c r="Y595" s="715">
        <v>41274</v>
      </c>
      <c r="Z595" s="715">
        <v>41639</v>
      </c>
      <c r="AA595" s="95"/>
      <c r="AB595" s="95"/>
      <c r="AC595" s="1177">
        <v>15000</v>
      </c>
      <c r="AD595" s="95"/>
      <c r="AE595" s="2210">
        <f>L595-AD595+AC595-AD596+AC596-AD597+AC597</f>
        <v>56250</v>
      </c>
      <c r="AF595" s="2210">
        <v>15000</v>
      </c>
      <c r="AG595" s="2210">
        <v>15000</v>
      </c>
      <c r="AH595" s="2210">
        <f>AF595+AG595</f>
        <v>30000</v>
      </c>
      <c r="AI595" s="2225"/>
      <c r="AJ595" s="2225"/>
      <c r="AK595" s="2225"/>
      <c r="AL595" s="2225"/>
      <c r="AM595" s="2225"/>
      <c r="AN595" s="2225"/>
      <c r="AO595" s="2225"/>
      <c r="AP595" s="2225"/>
      <c r="AQ595" s="2225"/>
      <c r="AR595" s="2225"/>
      <c r="AS595" s="2225"/>
      <c r="AT595" s="2225"/>
      <c r="AU595" s="2225"/>
      <c r="AV595" s="2225"/>
      <c r="AW595" s="2225"/>
      <c r="AX595" s="2225"/>
      <c r="AY595" s="2225"/>
      <c r="AZ595" s="2225"/>
      <c r="BA595" s="2225"/>
      <c r="BB595" s="2225"/>
      <c r="BC595" s="2225"/>
      <c r="BD595" s="2225"/>
    </row>
    <row r="596" spans="1:56" ht="29.25" customHeight="1" x14ac:dyDescent="0.25">
      <c r="A596" s="2220"/>
      <c r="B596" s="2254"/>
      <c r="C596" s="2021"/>
      <c r="D596" s="2021"/>
      <c r="E596" s="2021"/>
      <c r="F596" s="2021"/>
      <c r="G596" s="2180"/>
      <c r="H596" s="2214"/>
      <c r="I596" s="2021"/>
      <c r="J596" s="2021"/>
      <c r="K596" s="2217"/>
      <c r="L596" s="2187"/>
      <c r="M596" s="2180"/>
      <c r="N596" s="2217"/>
      <c r="O596" s="2033"/>
      <c r="P596" s="2021"/>
      <c r="Q596" s="2175"/>
      <c r="R596" s="2175"/>
      <c r="S596" s="2175"/>
      <c r="T596" s="2021"/>
      <c r="U596" s="1049" t="s">
        <v>871</v>
      </c>
      <c r="V596" s="715">
        <v>41639</v>
      </c>
      <c r="W596" s="1178">
        <v>11215</v>
      </c>
      <c r="X596" s="2232"/>
      <c r="Y596" s="715">
        <v>41639</v>
      </c>
      <c r="Z596" s="715">
        <v>42004</v>
      </c>
      <c r="AA596" s="95"/>
      <c r="AB596" s="95"/>
      <c r="AC596" s="1177">
        <v>15000</v>
      </c>
      <c r="AD596" s="95"/>
      <c r="AE596" s="2211"/>
      <c r="AF596" s="2211"/>
      <c r="AG596" s="2211"/>
      <c r="AH596" s="2211"/>
      <c r="AI596" s="2239"/>
      <c r="AJ596" s="2239"/>
      <c r="AK596" s="2239"/>
      <c r="AL596" s="2239"/>
      <c r="AM596" s="2239"/>
      <c r="AN596" s="2239"/>
      <c r="AO596" s="2239"/>
      <c r="AP596" s="2239"/>
      <c r="AQ596" s="2239"/>
      <c r="AR596" s="2239"/>
      <c r="AS596" s="2239"/>
      <c r="AT596" s="2239"/>
      <c r="AU596" s="2239"/>
      <c r="AV596" s="2239"/>
      <c r="AW596" s="2239"/>
      <c r="AX596" s="2239"/>
      <c r="AY596" s="2239"/>
      <c r="AZ596" s="2239"/>
      <c r="BA596" s="2239"/>
      <c r="BB596" s="2239"/>
      <c r="BC596" s="2239"/>
      <c r="BD596" s="2239"/>
    </row>
    <row r="597" spans="1:56" ht="44.25" customHeight="1" x14ac:dyDescent="0.25">
      <c r="A597" s="2221"/>
      <c r="B597" s="2255"/>
      <c r="C597" s="1986"/>
      <c r="D597" s="1986"/>
      <c r="E597" s="1986"/>
      <c r="F597" s="1986"/>
      <c r="G597" s="2178"/>
      <c r="H597" s="2215"/>
      <c r="I597" s="1986"/>
      <c r="J597" s="1986"/>
      <c r="K597" s="2218"/>
      <c r="L597" s="2003"/>
      <c r="M597" s="2178"/>
      <c r="N597" s="2218"/>
      <c r="O597" s="1997"/>
      <c r="P597" s="1986"/>
      <c r="Q597" s="2164"/>
      <c r="R597" s="2164"/>
      <c r="S597" s="2164"/>
      <c r="T597" s="1986"/>
      <c r="U597" s="1049" t="s">
        <v>874</v>
      </c>
      <c r="V597" s="715">
        <v>42004</v>
      </c>
      <c r="W597" s="1178">
        <v>11475</v>
      </c>
      <c r="X597" s="1176" t="s">
        <v>2493</v>
      </c>
      <c r="Y597" s="715">
        <v>42004</v>
      </c>
      <c r="Z597" s="715">
        <v>42369</v>
      </c>
      <c r="AA597" s="95"/>
      <c r="AB597" s="95"/>
      <c r="AC597" s="1177">
        <v>15000</v>
      </c>
      <c r="AD597" s="95"/>
      <c r="AE597" s="2212"/>
      <c r="AF597" s="2212"/>
      <c r="AG597" s="2212"/>
      <c r="AH597" s="2212"/>
      <c r="AI597" s="2226"/>
      <c r="AJ597" s="2226"/>
      <c r="AK597" s="2226"/>
      <c r="AL597" s="2226"/>
      <c r="AM597" s="2226"/>
      <c r="AN597" s="2226"/>
      <c r="AO597" s="2226"/>
      <c r="AP597" s="2226"/>
      <c r="AQ597" s="2226"/>
      <c r="AR597" s="2226"/>
      <c r="AS597" s="2226"/>
      <c r="AT597" s="2226"/>
      <c r="AU597" s="2226"/>
      <c r="AV597" s="2226"/>
      <c r="AW597" s="2226"/>
      <c r="AX597" s="2226"/>
      <c r="AY597" s="2226"/>
      <c r="AZ597" s="2226"/>
      <c r="BA597" s="2226"/>
      <c r="BB597" s="2226"/>
      <c r="BC597" s="2226"/>
      <c r="BD597" s="2226"/>
    </row>
    <row r="598" spans="1:56" ht="15" customHeight="1" x14ac:dyDescent="0.25">
      <c r="A598" s="2219">
        <v>311</v>
      </c>
      <c r="B598" s="2194" t="s">
        <v>2416</v>
      </c>
      <c r="C598" s="1985" t="s">
        <v>2579</v>
      </c>
      <c r="D598" s="1985" t="s">
        <v>2580</v>
      </c>
      <c r="E598" s="1985" t="s">
        <v>1358</v>
      </c>
      <c r="F598" s="1985" t="s">
        <v>2592</v>
      </c>
      <c r="G598" s="2177">
        <v>10126</v>
      </c>
      <c r="H598" s="2213" t="s">
        <v>2593</v>
      </c>
      <c r="I598" s="1985" t="s">
        <v>2594</v>
      </c>
      <c r="J598" s="1985" t="s">
        <v>1503</v>
      </c>
      <c r="K598" s="2216">
        <v>40444</v>
      </c>
      <c r="L598" s="2002">
        <v>11699.64</v>
      </c>
      <c r="M598" s="2177">
        <v>10390</v>
      </c>
      <c r="N598" s="2216">
        <v>40444</v>
      </c>
      <c r="O598" s="1985" t="s">
        <v>2595</v>
      </c>
      <c r="P598" s="1060" t="s">
        <v>2596</v>
      </c>
      <c r="Q598" s="2163"/>
      <c r="R598" s="2163"/>
      <c r="S598" s="2163"/>
      <c r="T598" s="1985" t="s">
        <v>208</v>
      </c>
      <c r="U598" s="1049" t="s">
        <v>867</v>
      </c>
      <c r="V598" s="1175">
        <v>40543</v>
      </c>
      <c r="W598" s="1178">
        <v>10456</v>
      </c>
      <c r="X598" s="2231" t="s">
        <v>2423</v>
      </c>
      <c r="Y598" s="1175">
        <v>40543</v>
      </c>
      <c r="Z598" s="1175">
        <v>40908</v>
      </c>
      <c r="AA598" s="95"/>
      <c r="AB598" s="95"/>
      <c r="AC598" s="1177">
        <v>39000</v>
      </c>
      <c r="AD598" s="95"/>
      <c r="AE598" s="2210">
        <f>L598-AD598+AC598-AD599+AC599-AD600+AC600-AD601+AC601</f>
        <v>167699.64000000001</v>
      </c>
      <c r="AF598" s="2210">
        <v>39000</v>
      </c>
      <c r="AG598" s="2210">
        <v>13758.31</v>
      </c>
      <c r="AH598" s="2210">
        <f>AF598+AG598</f>
        <v>52758.31</v>
      </c>
      <c r="AI598" s="1021"/>
      <c r="AJ598" s="1021"/>
      <c r="AK598" s="1049"/>
      <c r="AL598" s="1049"/>
      <c r="AM598" s="1049"/>
      <c r="AN598" s="1172"/>
      <c r="AO598" s="1178"/>
      <c r="AP598" s="1175"/>
      <c r="AQ598" s="1178"/>
      <c r="AR598" s="1175"/>
      <c r="AS598" s="1049"/>
      <c r="AT598" s="1049"/>
      <c r="AU598" s="1049"/>
      <c r="AV598" s="1049"/>
      <c r="AW598" s="1049"/>
      <c r="AX598" s="1049"/>
      <c r="AY598" s="1049"/>
      <c r="AZ598" s="1049"/>
      <c r="BA598" s="1049"/>
      <c r="BB598" s="1049"/>
      <c r="BC598" s="1049"/>
      <c r="BD598" s="1049"/>
    </row>
    <row r="599" spans="1:56" x14ac:dyDescent="0.25">
      <c r="A599" s="2220"/>
      <c r="B599" s="2195"/>
      <c r="C599" s="2021"/>
      <c r="D599" s="2021"/>
      <c r="E599" s="2021"/>
      <c r="F599" s="2021"/>
      <c r="G599" s="2180"/>
      <c r="H599" s="2214"/>
      <c r="I599" s="2021"/>
      <c r="J599" s="2021"/>
      <c r="K599" s="2217"/>
      <c r="L599" s="2187"/>
      <c r="M599" s="2180"/>
      <c r="N599" s="2217"/>
      <c r="O599" s="2021"/>
      <c r="P599" s="1985" t="s">
        <v>1900</v>
      </c>
      <c r="Q599" s="2175"/>
      <c r="R599" s="2175"/>
      <c r="S599" s="2175"/>
      <c r="T599" s="2021"/>
      <c r="U599" s="1049" t="s">
        <v>871</v>
      </c>
      <c r="V599" s="1175">
        <v>40907</v>
      </c>
      <c r="W599" s="1178">
        <v>10715</v>
      </c>
      <c r="X599" s="2251"/>
      <c r="Y599" s="1175">
        <v>40907</v>
      </c>
      <c r="Z599" s="1175">
        <v>41274</v>
      </c>
      <c r="AA599" s="95"/>
      <c r="AB599" s="95"/>
      <c r="AC599" s="1177">
        <v>39000</v>
      </c>
      <c r="AD599" s="95"/>
      <c r="AE599" s="2211"/>
      <c r="AF599" s="2211"/>
      <c r="AG599" s="2211"/>
      <c r="AH599" s="2211"/>
      <c r="AI599" s="1021"/>
      <c r="AJ599" s="1021"/>
      <c r="AK599" s="1049"/>
      <c r="AL599" s="1049"/>
      <c r="AM599" s="1049"/>
      <c r="AN599" s="1172"/>
      <c r="AO599" s="1178"/>
      <c r="AP599" s="1175"/>
      <c r="AQ599" s="1178"/>
      <c r="AR599" s="1175"/>
      <c r="AS599" s="1049"/>
      <c r="AT599" s="1049"/>
      <c r="AU599" s="1049"/>
      <c r="AV599" s="1049"/>
      <c r="AW599" s="1049"/>
      <c r="AX599" s="1049"/>
      <c r="AY599" s="1049"/>
      <c r="AZ599" s="1049"/>
      <c r="BA599" s="1049"/>
      <c r="BB599" s="1049"/>
      <c r="BC599" s="1049"/>
      <c r="BD599" s="1049"/>
    </row>
    <row r="600" spans="1:56" x14ac:dyDescent="0.25">
      <c r="A600" s="2220"/>
      <c r="B600" s="2195"/>
      <c r="C600" s="2021"/>
      <c r="D600" s="2021"/>
      <c r="E600" s="2021"/>
      <c r="F600" s="2021"/>
      <c r="G600" s="2180"/>
      <c r="H600" s="2214"/>
      <c r="I600" s="2021"/>
      <c r="J600" s="2021"/>
      <c r="K600" s="2217"/>
      <c r="L600" s="2187"/>
      <c r="M600" s="2180"/>
      <c r="N600" s="2217"/>
      <c r="O600" s="2021"/>
      <c r="P600" s="2021"/>
      <c r="Q600" s="2175"/>
      <c r="R600" s="2175"/>
      <c r="S600" s="2175"/>
      <c r="T600" s="2021"/>
      <c r="U600" s="1049" t="s">
        <v>874</v>
      </c>
      <c r="V600" s="1175">
        <v>41274</v>
      </c>
      <c r="W600" s="1178">
        <v>10970</v>
      </c>
      <c r="X600" s="2251"/>
      <c r="Y600" s="1175">
        <v>41274</v>
      </c>
      <c r="Z600" s="1175">
        <v>41639</v>
      </c>
      <c r="AA600" s="95"/>
      <c r="AB600" s="95"/>
      <c r="AC600" s="1177">
        <v>39000</v>
      </c>
      <c r="AD600" s="95"/>
      <c r="AE600" s="2211"/>
      <c r="AF600" s="2211"/>
      <c r="AG600" s="2211"/>
      <c r="AH600" s="2211"/>
      <c r="AI600" s="1021"/>
      <c r="AJ600" s="1021"/>
      <c r="AK600" s="1049"/>
      <c r="AL600" s="1049"/>
      <c r="AM600" s="1049"/>
      <c r="AN600" s="1172"/>
      <c r="AO600" s="1178"/>
      <c r="AP600" s="1175"/>
      <c r="AQ600" s="1178"/>
      <c r="AR600" s="1175"/>
      <c r="AS600" s="1049"/>
      <c r="AT600" s="1049"/>
      <c r="AU600" s="1049"/>
      <c r="AV600" s="1049"/>
      <c r="AW600" s="1049"/>
      <c r="AX600" s="1049"/>
      <c r="AY600" s="1049"/>
      <c r="AZ600" s="1049"/>
      <c r="BA600" s="1049"/>
      <c r="BB600" s="1049"/>
      <c r="BC600" s="1049"/>
      <c r="BD600" s="1049"/>
    </row>
    <row r="601" spans="1:56" x14ac:dyDescent="0.25">
      <c r="A601" s="2220"/>
      <c r="B601" s="2195"/>
      <c r="C601" s="2021"/>
      <c r="D601" s="2021"/>
      <c r="E601" s="2021"/>
      <c r="F601" s="2021"/>
      <c r="G601" s="2180"/>
      <c r="H601" s="2214"/>
      <c r="I601" s="2021"/>
      <c r="J601" s="2021"/>
      <c r="K601" s="2217"/>
      <c r="L601" s="2187"/>
      <c r="M601" s="2180"/>
      <c r="N601" s="2217"/>
      <c r="O601" s="2021"/>
      <c r="P601" s="1986"/>
      <c r="Q601" s="2175"/>
      <c r="R601" s="2175"/>
      <c r="S601" s="2175"/>
      <c r="T601" s="2021"/>
      <c r="U601" s="1049" t="s">
        <v>876</v>
      </c>
      <c r="V601" s="1175">
        <v>41639</v>
      </c>
      <c r="W601" s="1178">
        <v>11215</v>
      </c>
      <c r="X601" s="2232"/>
      <c r="Y601" s="1175">
        <v>41639</v>
      </c>
      <c r="Z601" s="1175">
        <v>42004</v>
      </c>
      <c r="AA601" s="95"/>
      <c r="AB601" s="95"/>
      <c r="AC601" s="1177">
        <v>39000</v>
      </c>
      <c r="AD601" s="95"/>
      <c r="AE601" s="2211"/>
      <c r="AF601" s="2211"/>
      <c r="AG601" s="2211"/>
      <c r="AH601" s="2211"/>
      <c r="AI601" s="1021"/>
      <c r="AJ601" s="1021"/>
      <c r="AK601" s="1049"/>
      <c r="AL601" s="1049"/>
      <c r="AM601" s="1049"/>
      <c r="AN601" s="1172"/>
      <c r="AO601" s="1178"/>
      <c r="AP601" s="1175"/>
      <c r="AQ601" s="1178"/>
      <c r="AR601" s="1175"/>
      <c r="AS601" s="1049"/>
      <c r="AT601" s="1049"/>
      <c r="AU601" s="1049"/>
      <c r="AV601" s="1049"/>
      <c r="AW601" s="1049"/>
      <c r="AX601" s="1049"/>
      <c r="AY601" s="1049"/>
      <c r="AZ601" s="1049"/>
      <c r="BA601" s="1049"/>
      <c r="BB601" s="1049"/>
      <c r="BC601" s="1049"/>
      <c r="BD601" s="1049"/>
    </row>
    <row r="602" spans="1:56" s="419" customFormat="1" ht="103.5" customHeight="1" x14ac:dyDescent="0.25">
      <c r="A602" s="2221"/>
      <c r="B602" s="2196"/>
      <c r="C602" s="1986"/>
      <c r="D602" s="1986"/>
      <c r="E602" s="1986"/>
      <c r="F602" s="1986"/>
      <c r="G602" s="2178"/>
      <c r="H602" s="2215"/>
      <c r="I602" s="1986"/>
      <c r="J602" s="1986"/>
      <c r="K602" s="2218"/>
      <c r="L602" s="2003"/>
      <c r="M602" s="2178"/>
      <c r="N602" s="2218"/>
      <c r="O602" s="1986"/>
      <c r="P602" s="1039"/>
      <c r="Q602" s="2164"/>
      <c r="R602" s="2164"/>
      <c r="S602" s="2164"/>
      <c r="T602" s="1986"/>
      <c r="U602" s="1049" t="s">
        <v>1355</v>
      </c>
      <c r="V602" s="1175">
        <v>41771</v>
      </c>
      <c r="W602" s="1178">
        <v>11324</v>
      </c>
      <c r="X602" s="1176" t="s">
        <v>2597</v>
      </c>
      <c r="Y602" s="1175"/>
      <c r="Z602" s="1175"/>
      <c r="AA602" s="1113"/>
      <c r="AB602" s="1113"/>
      <c r="AC602" s="1177"/>
      <c r="AD602" s="95"/>
      <c r="AE602" s="2212"/>
      <c r="AF602" s="2212"/>
      <c r="AG602" s="2212"/>
      <c r="AH602" s="2212"/>
      <c r="AI602" s="1021"/>
      <c r="AJ602" s="1021"/>
      <c r="AK602" s="1049"/>
      <c r="AL602" s="1049"/>
      <c r="AM602" s="1049"/>
      <c r="AN602" s="1172"/>
      <c r="AO602" s="1178"/>
      <c r="AP602" s="1175"/>
      <c r="AQ602" s="1178"/>
      <c r="AR602" s="1175"/>
      <c r="AS602" s="1049"/>
      <c r="AT602" s="1049"/>
      <c r="AU602" s="1049"/>
      <c r="AV602" s="1049"/>
      <c r="AW602" s="1049"/>
      <c r="AX602" s="1049"/>
      <c r="AY602" s="1049"/>
      <c r="AZ602" s="1049"/>
      <c r="BA602" s="1049"/>
      <c r="BB602" s="1049"/>
      <c r="BC602" s="1049"/>
      <c r="BD602" s="1049"/>
    </row>
    <row r="603" spans="1:56" ht="15" customHeight="1" x14ac:dyDescent="0.25">
      <c r="A603" s="2219">
        <v>312</v>
      </c>
      <c r="B603" s="2194" t="s">
        <v>2416</v>
      </c>
      <c r="C603" s="1985" t="s">
        <v>2579</v>
      </c>
      <c r="D603" s="1985" t="s">
        <v>2580</v>
      </c>
      <c r="E603" s="1985" t="s">
        <v>1358</v>
      </c>
      <c r="F603" s="1985" t="s">
        <v>2598</v>
      </c>
      <c r="G603" s="2177">
        <v>10126</v>
      </c>
      <c r="H603" s="2213" t="s">
        <v>2599</v>
      </c>
      <c r="I603" s="1985" t="s">
        <v>2594</v>
      </c>
      <c r="J603" s="1985" t="s">
        <v>1503</v>
      </c>
      <c r="K603" s="2216">
        <v>40444</v>
      </c>
      <c r="L603" s="2002">
        <v>11699.64</v>
      </c>
      <c r="M603" s="2177">
        <v>10390</v>
      </c>
      <c r="N603" s="2216">
        <v>40444</v>
      </c>
      <c r="O603" s="1985" t="s">
        <v>2595</v>
      </c>
      <c r="P603" s="1060" t="s">
        <v>2596</v>
      </c>
      <c r="Q603" s="2163"/>
      <c r="R603" s="2163"/>
      <c r="S603" s="2163"/>
      <c r="T603" s="1985" t="s">
        <v>208</v>
      </c>
      <c r="U603" s="1049" t="s">
        <v>867</v>
      </c>
      <c r="V603" s="1175">
        <v>40543</v>
      </c>
      <c r="W603" s="1178">
        <v>10456</v>
      </c>
      <c r="X603" s="2231" t="s">
        <v>2423</v>
      </c>
      <c r="Y603" s="1175">
        <v>40543</v>
      </c>
      <c r="Z603" s="1175">
        <v>40908</v>
      </c>
      <c r="AA603" s="95"/>
      <c r="AB603" s="95"/>
      <c r="AC603" s="1177">
        <v>39000</v>
      </c>
      <c r="AD603" s="95"/>
      <c r="AE603" s="2210">
        <f>L603-AD603+AC603-AD604+AC604-AD605+AC605-AD606+AC606-AD607+AC607</f>
        <v>193699.64</v>
      </c>
      <c r="AF603" s="2210">
        <v>39000</v>
      </c>
      <c r="AG603" s="2210">
        <v>39000</v>
      </c>
      <c r="AH603" s="2210">
        <f>AF603+AG603</f>
        <v>78000</v>
      </c>
      <c r="AI603" s="1021"/>
      <c r="AJ603" s="1021"/>
      <c r="AK603" s="1049"/>
      <c r="AL603" s="1049"/>
      <c r="AM603" s="1049"/>
      <c r="AN603" s="1172"/>
      <c r="AO603" s="1178"/>
      <c r="AP603" s="1175"/>
      <c r="AQ603" s="1178"/>
      <c r="AR603" s="1175"/>
      <c r="AS603" s="1049"/>
      <c r="AT603" s="1049"/>
      <c r="AU603" s="1049"/>
      <c r="AV603" s="1049"/>
      <c r="AW603" s="1049"/>
      <c r="AX603" s="1049"/>
      <c r="AY603" s="1049"/>
      <c r="AZ603" s="1049"/>
      <c r="BA603" s="1049"/>
      <c r="BB603" s="1049"/>
      <c r="BC603" s="1049"/>
      <c r="BD603" s="1049"/>
    </row>
    <row r="604" spans="1:56" x14ac:dyDescent="0.25">
      <c r="A604" s="2220"/>
      <c r="B604" s="2195"/>
      <c r="C604" s="2021"/>
      <c r="D604" s="2021"/>
      <c r="E604" s="2021"/>
      <c r="F604" s="2021"/>
      <c r="G604" s="2180"/>
      <c r="H604" s="2214"/>
      <c r="I604" s="2021"/>
      <c r="J604" s="2021"/>
      <c r="K604" s="2217"/>
      <c r="L604" s="2187"/>
      <c r="M604" s="2180"/>
      <c r="N604" s="2217"/>
      <c r="O604" s="2021"/>
      <c r="P604" s="1985" t="s">
        <v>1900</v>
      </c>
      <c r="Q604" s="2175"/>
      <c r="R604" s="2175"/>
      <c r="S604" s="2175"/>
      <c r="T604" s="2021"/>
      <c r="U604" s="1049" t="s">
        <v>871</v>
      </c>
      <c r="V604" s="1175">
        <v>40907</v>
      </c>
      <c r="W604" s="1178">
        <v>10714</v>
      </c>
      <c r="X604" s="2251"/>
      <c r="Y604" s="1175">
        <v>40907</v>
      </c>
      <c r="Z604" s="1175">
        <v>41274</v>
      </c>
      <c r="AA604" s="95"/>
      <c r="AB604" s="95"/>
      <c r="AC604" s="1177">
        <v>39000</v>
      </c>
      <c r="AD604" s="95"/>
      <c r="AE604" s="2211"/>
      <c r="AF604" s="2211"/>
      <c r="AG604" s="2211"/>
      <c r="AH604" s="2211"/>
      <c r="AI604" s="1021"/>
      <c r="AJ604" s="1021"/>
      <c r="AK604" s="1049"/>
      <c r="AL604" s="1049"/>
      <c r="AM604" s="1049"/>
      <c r="AN604" s="1172"/>
      <c r="AO604" s="1178"/>
      <c r="AP604" s="1175"/>
      <c r="AQ604" s="1178"/>
      <c r="AR604" s="1175"/>
      <c r="AS604" s="1049"/>
      <c r="AT604" s="1049"/>
      <c r="AU604" s="1049"/>
      <c r="AV604" s="1049"/>
      <c r="AW604" s="1049"/>
      <c r="AX604" s="1049"/>
      <c r="AY604" s="1049"/>
      <c r="AZ604" s="1049"/>
      <c r="BA604" s="1049"/>
      <c r="BB604" s="1049"/>
      <c r="BC604" s="1049"/>
      <c r="BD604" s="1049"/>
    </row>
    <row r="605" spans="1:56" x14ac:dyDescent="0.25">
      <c r="A605" s="2220"/>
      <c r="B605" s="2195"/>
      <c r="C605" s="2021"/>
      <c r="D605" s="2021"/>
      <c r="E605" s="2021"/>
      <c r="F605" s="2021"/>
      <c r="G605" s="2180"/>
      <c r="H605" s="2214"/>
      <c r="I605" s="2021"/>
      <c r="J605" s="2021"/>
      <c r="K605" s="2217"/>
      <c r="L605" s="2187"/>
      <c r="M605" s="2180"/>
      <c r="N605" s="2217"/>
      <c r="O605" s="2021"/>
      <c r="P605" s="2021"/>
      <c r="Q605" s="2175"/>
      <c r="R605" s="2175"/>
      <c r="S605" s="2175"/>
      <c r="T605" s="2021"/>
      <c r="U605" s="1049" t="s">
        <v>874</v>
      </c>
      <c r="V605" s="1175">
        <v>41274</v>
      </c>
      <c r="W605" s="1178">
        <v>10970</v>
      </c>
      <c r="X605" s="2251"/>
      <c r="Y605" s="1175">
        <v>41274</v>
      </c>
      <c r="Z605" s="1175">
        <v>41639</v>
      </c>
      <c r="AA605" s="95"/>
      <c r="AB605" s="95"/>
      <c r="AC605" s="1177">
        <v>39000</v>
      </c>
      <c r="AD605" s="95"/>
      <c r="AE605" s="2211"/>
      <c r="AF605" s="2211"/>
      <c r="AG605" s="2211"/>
      <c r="AH605" s="2211"/>
      <c r="AI605" s="1021"/>
      <c r="AJ605" s="1021"/>
      <c r="AK605" s="1049"/>
      <c r="AL605" s="1049"/>
      <c r="AM605" s="1049"/>
      <c r="AN605" s="1172"/>
      <c r="AO605" s="1178"/>
      <c r="AP605" s="1175"/>
      <c r="AQ605" s="1178"/>
      <c r="AR605" s="1175"/>
      <c r="AS605" s="1049"/>
      <c r="AT605" s="1049"/>
      <c r="AU605" s="1049"/>
      <c r="AV605" s="1049"/>
      <c r="AW605" s="1049"/>
      <c r="AX605" s="1049"/>
      <c r="AY605" s="1049"/>
      <c r="AZ605" s="1049"/>
      <c r="BA605" s="1049"/>
      <c r="BB605" s="1049"/>
      <c r="BC605" s="1049"/>
      <c r="BD605" s="1049"/>
    </row>
    <row r="606" spans="1:56" x14ac:dyDescent="0.25">
      <c r="A606" s="2220"/>
      <c r="B606" s="2195"/>
      <c r="C606" s="2021"/>
      <c r="D606" s="2021"/>
      <c r="E606" s="2021"/>
      <c r="F606" s="2021"/>
      <c r="G606" s="2180"/>
      <c r="H606" s="2214"/>
      <c r="I606" s="2021"/>
      <c r="J606" s="2021"/>
      <c r="K606" s="2217"/>
      <c r="L606" s="2187"/>
      <c r="M606" s="2180"/>
      <c r="N606" s="2217"/>
      <c r="O606" s="2021"/>
      <c r="P606" s="2021"/>
      <c r="Q606" s="2175"/>
      <c r="R606" s="2175"/>
      <c r="S606" s="2175"/>
      <c r="T606" s="2021"/>
      <c r="U606" s="1049" t="s">
        <v>876</v>
      </c>
      <c r="V606" s="1175">
        <v>41639</v>
      </c>
      <c r="W606" s="1178">
        <v>11215</v>
      </c>
      <c r="X606" s="2232"/>
      <c r="Y606" s="1175">
        <v>41639</v>
      </c>
      <c r="Z606" s="1175">
        <v>42004</v>
      </c>
      <c r="AA606" s="95"/>
      <c r="AB606" s="95"/>
      <c r="AC606" s="1177">
        <v>39000</v>
      </c>
      <c r="AD606" s="95"/>
      <c r="AE606" s="2211"/>
      <c r="AF606" s="2211"/>
      <c r="AG606" s="2211"/>
      <c r="AH606" s="2211"/>
      <c r="AI606" s="1021"/>
      <c r="AJ606" s="1021"/>
      <c r="AK606" s="1049"/>
      <c r="AL606" s="1049"/>
      <c r="AM606" s="1049"/>
      <c r="AN606" s="1172"/>
      <c r="AO606" s="1178"/>
      <c r="AP606" s="1175"/>
      <c r="AQ606" s="1178"/>
      <c r="AR606" s="1175"/>
      <c r="AS606" s="1049"/>
      <c r="AT606" s="1049"/>
      <c r="AU606" s="1049"/>
      <c r="AV606" s="1049"/>
      <c r="AW606" s="1049"/>
      <c r="AX606" s="1049"/>
      <c r="AY606" s="1049"/>
      <c r="AZ606" s="1049"/>
      <c r="BA606" s="1049"/>
      <c r="BB606" s="1049"/>
      <c r="BC606" s="1049"/>
      <c r="BD606" s="1049"/>
    </row>
    <row r="607" spans="1:56" ht="25.5" x14ac:dyDescent="0.25">
      <c r="A607" s="2221"/>
      <c r="B607" s="2196"/>
      <c r="C607" s="1986"/>
      <c r="D607" s="1986"/>
      <c r="E607" s="1986"/>
      <c r="F607" s="1986"/>
      <c r="G607" s="2178"/>
      <c r="H607" s="2215"/>
      <c r="I607" s="1986"/>
      <c r="J607" s="1986"/>
      <c r="K607" s="2218"/>
      <c r="L607" s="2003"/>
      <c r="M607" s="2178"/>
      <c r="N607" s="2218"/>
      <c r="O607" s="1986"/>
      <c r="P607" s="1986"/>
      <c r="Q607" s="2164"/>
      <c r="R607" s="2164"/>
      <c r="S607" s="2164"/>
      <c r="T607" s="1986"/>
      <c r="U607" s="1049" t="s">
        <v>879</v>
      </c>
      <c r="V607" s="1175">
        <v>42004</v>
      </c>
      <c r="W607" s="1178">
        <v>11475</v>
      </c>
      <c r="X607" s="1176" t="s">
        <v>2600</v>
      </c>
      <c r="Y607" s="1175">
        <v>42004</v>
      </c>
      <c r="Z607" s="1175">
        <v>42247</v>
      </c>
      <c r="AA607" s="95"/>
      <c r="AB607" s="95"/>
      <c r="AC607" s="1177">
        <v>26000</v>
      </c>
      <c r="AD607" s="95"/>
      <c r="AE607" s="2212"/>
      <c r="AF607" s="2212"/>
      <c r="AG607" s="2212"/>
      <c r="AH607" s="2212"/>
      <c r="AI607" s="1428"/>
      <c r="AJ607" s="1428"/>
      <c r="AK607" s="1112"/>
      <c r="AL607" s="1112"/>
      <c r="AM607" s="1112"/>
      <c r="AN607" s="1179"/>
      <c r="AO607" s="1105"/>
      <c r="AP607" s="1108"/>
      <c r="AQ607" s="1105"/>
      <c r="AR607" s="1108"/>
      <c r="AS607" s="1112"/>
      <c r="AT607" s="1112"/>
      <c r="AU607" s="1112"/>
      <c r="AV607" s="1112"/>
      <c r="AW607" s="1112"/>
      <c r="AX607" s="1112"/>
      <c r="AY607" s="1112"/>
      <c r="AZ607" s="1112"/>
      <c r="BA607" s="1112"/>
      <c r="BB607" s="1112"/>
      <c r="BC607" s="1112"/>
      <c r="BD607" s="1112"/>
    </row>
    <row r="608" spans="1:56" x14ac:dyDescent="0.25">
      <c r="A608" s="2219">
        <v>313</v>
      </c>
      <c r="B608" s="2222" t="s">
        <v>2416</v>
      </c>
      <c r="C608" s="1985" t="s">
        <v>2579</v>
      </c>
      <c r="D608" s="2233" t="s">
        <v>2580</v>
      </c>
      <c r="E608" s="1985" t="s">
        <v>1358</v>
      </c>
      <c r="F608" s="2233" t="s">
        <v>2601</v>
      </c>
      <c r="G608" s="2177">
        <v>10126</v>
      </c>
      <c r="H608" s="2213" t="s">
        <v>2602</v>
      </c>
      <c r="I608" s="2233" t="s">
        <v>2603</v>
      </c>
      <c r="J608" s="1985" t="s">
        <v>2604</v>
      </c>
      <c r="K608" s="2216">
        <v>40133</v>
      </c>
      <c r="L608" s="2002">
        <v>1935</v>
      </c>
      <c r="M608" s="2177">
        <v>10194</v>
      </c>
      <c r="N608" s="2216">
        <v>40133</v>
      </c>
      <c r="O608" s="1985" t="s">
        <v>2414</v>
      </c>
      <c r="P608" s="1985" t="s">
        <v>1354</v>
      </c>
      <c r="Q608" s="2163"/>
      <c r="R608" s="2163"/>
      <c r="S608" s="2163"/>
      <c r="T608" s="1985" t="s">
        <v>158</v>
      </c>
      <c r="U608" s="1049" t="s">
        <v>867</v>
      </c>
      <c r="V608" s="1175">
        <v>40178</v>
      </c>
      <c r="W608" s="1178">
        <v>10207</v>
      </c>
      <c r="X608" s="2233" t="s">
        <v>2585</v>
      </c>
      <c r="Y608" s="715">
        <v>40178</v>
      </c>
      <c r="Z608" s="715">
        <v>40543</v>
      </c>
      <c r="AA608" s="95"/>
      <c r="AB608" s="95"/>
      <c r="AC608" s="1177">
        <v>15480</v>
      </c>
      <c r="AD608" s="95"/>
      <c r="AE608" s="2240">
        <f>L608-AD608+AC608-AD609+AC609-AD610+AC610-AD611+AC611-AD612+AC612</f>
        <v>76755</v>
      </c>
      <c r="AF608" s="2210">
        <v>15480</v>
      </c>
      <c r="AG608" s="2210">
        <v>12900</v>
      </c>
      <c r="AH608" s="2240">
        <f>AF608+AG608</f>
        <v>28380</v>
      </c>
      <c r="AI608" s="2163"/>
      <c r="AJ608" s="2163"/>
      <c r="AK608" s="2163"/>
      <c r="AL608" s="2163"/>
      <c r="AM608" s="2163"/>
      <c r="AN608" s="2163"/>
      <c r="AO608" s="2163"/>
      <c r="AP608" s="2163"/>
      <c r="AQ608" s="2163"/>
      <c r="AR608" s="2163"/>
      <c r="AS608" s="2163"/>
      <c r="AT608" s="2163"/>
      <c r="AU608" s="2163"/>
      <c r="AV608" s="2163"/>
      <c r="AW608" s="2163"/>
      <c r="AX608" s="2163"/>
      <c r="AY608" s="2163"/>
      <c r="AZ608" s="2163"/>
      <c r="BA608" s="2163"/>
      <c r="BB608" s="2163"/>
      <c r="BC608" s="2163"/>
      <c r="BD608" s="2163"/>
    </row>
    <row r="609" spans="1:56" x14ac:dyDescent="0.25">
      <c r="A609" s="2220"/>
      <c r="B609" s="2223"/>
      <c r="C609" s="2021"/>
      <c r="D609" s="2252"/>
      <c r="E609" s="2021"/>
      <c r="F609" s="2252"/>
      <c r="G609" s="2180"/>
      <c r="H609" s="2214"/>
      <c r="I609" s="2252"/>
      <c r="J609" s="2021"/>
      <c r="K609" s="2217"/>
      <c r="L609" s="2187"/>
      <c r="M609" s="2180"/>
      <c r="N609" s="2217"/>
      <c r="O609" s="2021"/>
      <c r="P609" s="2021"/>
      <c r="Q609" s="2175"/>
      <c r="R609" s="2175"/>
      <c r="S609" s="2175"/>
      <c r="T609" s="2021"/>
      <c r="U609" s="1049" t="s">
        <v>871</v>
      </c>
      <c r="V609" s="715">
        <v>40543</v>
      </c>
      <c r="W609" s="1178">
        <v>10456</v>
      </c>
      <c r="X609" s="2252"/>
      <c r="Y609" s="715">
        <v>40543</v>
      </c>
      <c r="Z609" s="715">
        <v>40908</v>
      </c>
      <c r="AA609" s="95"/>
      <c r="AB609" s="95"/>
      <c r="AC609" s="1177">
        <v>15480</v>
      </c>
      <c r="AD609" s="95"/>
      <c r="AE609" s="2241"/>
      <c r="AF609" s="2211"/>
      <c r="AG609" s="2211"/>
      <c r="AH609" s="2175"/>
      <c r="AI609" s="2175"/>
      <c r="AJ609" s="2175"/>
      <c r="AK609" s="2175"/>
      <c r="AL609" s="2175"/>
      <c r="AM609" s="2175"/>
      <c r="AN609" s="2175"/>
      <c r="AO609" s="2175"/>
      <c r="AP609" s="2175"/>
      <c r="AQ609" s="2175"/>
      <c r="AR609" s="2175"/>
      <c r="AS609" s="2175"/>
      <c r="AT609" s="2175"/>
      <c r="AU609" s="2175"/>
      <c r="AV609" s="2175"/>
      <c r="AW609" s="2175"/>
      <c r="AX609" s="2175"/>
      <c r="AY609" s="2175"/>
      <c r="AZ609" s="2175"/>
      <c r="BA609" s="2175"/>
      <c r="BB609" s="2175"/>
      <c r="BC609" s="2175"/>
      <c r="BD609" s="2175"/>
    </row>
    <row r="610" spans="1:56" x14ac:dyDescent="0.25">
      <c r="A610" s="2220"/>
      <c r="B610" s="2223"/>
      <c r="C610" s="2021"/>
      <c r="D610" s="2252"/>
      <c r="E610" s="2021"/>
      <c r="F610" s="2252"/>
      <c r="G610" s="2180"/>
      <c r="H610" s="2214"/>
      <c r="I610" s="2252"/>
      <c r="J610" s="2021"/>
      <c r="K610" s="2217"/>
      <c r="L610" s="2187"/>
      <c r="M610" s="2180"/>
      <c r="N610" s="2217"/>
      <c r="O610" s="2021"/>
      <c r="P610" s="2021"/>
      <c r="Q610" s="2175"/>
      <c r="R610" s="2175"/>
      <c r="S610" s="2175"/>
      <c r="T610" s="2021"/>
      <c r="U610" s="1049" t="s">
        <v>874</v>
      </c>
      <c r="V610" s="715">
        <v>40908</v>
      </c>
      <c r="W610" s="1178">
        <v>10718</v>
      </c>
      <c r="X610" s="2252"/>
      <c r="Y610" s="715">
        <v>40908</v>
      </c>
      <c r="Z610" s="715">
        <v>41274</v>
      </c>
      <c r="AA610" s="95"/>
      <c r="AB610" s="95"/>
      <c r="AC610" s="1177">
        <v>15480</v>
      </c>
      <c r="AD610" s="95"/>
      <c r="AE610" s="2241"/>
      <c r="AF610" s="2211"/>
      <c r="AG610" s="2211"/>
      <c r="AH610" s="2175"/>
      <c r="AI610" s="2175"/>
      <c r="AJ610" s="2175"/>
      <c r="AK610" s="2175"/>
      <c r="AL610" s="2175"/>
      <c r="AM610" s="2175"/>
      <c r="AN610" s="2175"/>
      <c r="AO610" s="2175"/>
      <c r="AP610" s="2175"/>
      <c r="AQ610" s="2175"/>
      <c r="AR610" s="2175"/>
      <c r="AS610" s="2175"/>
      <c r="AT610" s="2175"/>
      <c r="AU610" s="2175"/>
      <c r="AV610" s="2175"/>
      <c r="AW610" s="2175"/>
      <c r="AX610" s="2175"/>
      <c r="AY610" s="2175"/>
      <c r="AZ610" s="2175"/>
      <c r="BA610" s="2175"/>
      <c r="BB610" s="2175"/>
      <c r="BC610" s="2175"/>
      <c r="BD610" s="2175"/>
    </row>
    <row r="611" spans="1:56" x14ac:dyDescent="0.25">
      <c r="A611" s="2220"/>
      <c r="B611" s="2223"/>
      <c r="C611" s="2021"/>
      <c r="D611" s="2252"/>
      <c r="E611" s="2021"/>
      <c r="F611" s="2252"/>
      <c r="G611" s="2180"/>
      <c r="H611" s="2214"/>
      <c r="I611" s="2252"/>
      <c r="J611" s="2021"/>
      <c r="K611" s="2217"/>
      <c r="L611" s="2187"/>
      <c r="M611" s="2180"/>
      <c r="N611" s="2217"/>
      <c r="O611" s="2021"/>
      <c r="P611" s="2021"/>
      <c r="Q611" s="2175"/>
      <c r="R611" s="2175"/>
      <c r="S611" s="2175"/>
      <c r="T611" s="2021"/>
      <c r="U611" s="1049" t="s">
        <v>876</v>
      </c>
      <c r="V611" s="715">
        <v>41274</v>
      </c>
      <c r="W611" s="1178">
        <v>10973</v>
      </c>
      <c r="X611" s="2252"/>
      <c r="Y611" s="715">
        <v>41274</v>
      </c>
      <c r="Z611" s="715">
        <v>41639</v>
      </c>
      <c r="AA611" s="95"/>
      <c r="AB611" s="95"/>
      <c r="AC611" s="1177">
        <v>15480</v>
      </c>
      <c r="AD611" s="95"/>
      <c r="AE611" s="2241"/>
      <c r="AF611" s="2211"/>
      <c r="AG611" s="2211"/>
      <c r="AH611" s="2175"/>
      <c r="AI611" s="2175"/>
      <c r="AJ611" s="2175"/>
      <c r="AK611" s="2175"/>
      <c r="AL611" s="2175"/>
      <c r="AM611" s="2175"/>
      <c r="AN611" s="2175"/>
      <c r="AO611" s="2175"/>
      <c r="AP611" s="2175"/>
      <c r="AQ611" s="2175"/>
      <c r="AR611" s="2175"/>
      <c r="AS611" s="2175"/>
      <c r="AT611" s="2175"/>
      <c r="AU611" s="2175"/>
      <c r="AV611" s="2175"/>
      <c r="AW611" s="2175"/>
      <c r="AX611" s="2175"/>
      <c r="AY611" s="2175"/>
      <c r="AZ611" s="2175"/>
      <c r="BA611" s="2175"/>
      <c r="BB611" s="2175"/>
      <c r="BC611" s="2175"/>
      <c r="BD611" s="2175"/>
    </row>
    <row r="612" spans="1:56" x14ac:dyDescent="0.25">
      <c r="A612" s="2221"/>
      <c r="B612" s="2224"/>
      <c r="C612" s="1986"/>
      <c r="D612" s="2234"/>
      <c r="E612" s="1986"/>
      <c r="F612" s="2234"/>
      <c r="G612" s="2178"/>
      <c r="H612" s="2215"/>
      <c r="I612" s="2234"/>
      <c r="J612" s="1986"/>
      <c r="K612" s="2218"/>
      <c r="L612" s="2003"/>
      <c r="M612" s="2178"/>
      <c r="N612" s="2218"/>
      <c r="O612" s="1986"/>
      <c r="P612" s="1986"/>
      <c r="Q612" s="2164"/>
      <c r="R612" s="2164"/>
      <c r="S612" s="2164"/>
      <c r="T612" s="1986"/>
      <c r="U612" s="1049" t="s">
        <v>879</v>
      </c>
      <c r="V612" s="1175">
        <v>41639</v>
      </c>
      <c r="W612" s="1178">
        <v>11215</v>
      </c>
      <c r="X612" s="2234"/>
      <c r="Y612" s="1175">
        <v>41639</v>
      </c>
      <c r="Z612" s="1175">
        <v>41943</v>
      </c>
      <c r="AA612" s="95"/>
      <c r="AB612" s="95"/>
      <c r="AC612" s="1177">
        <v>12900</v>
      </c>
      <c r="AD612" s="95"/>
      <c r="AE612" s="2242"/>
      <c r="AF612" s="2212"/>
      <c r="AG612" s="2212"/>
      <c r="AH612" s="2164"/>
      <c r="AI612" s="2164"/>
      <c r="AJ612" s="2164"/>
      <c r="AK612" s="2164"/>
      <c r="AL612" s="2164"/>
      <c r="AM612" s="2164"/>
      <c r="AN612" s="2164"/>
      <c r="AO612" s="2164"/>
      <c r="AP612" s="2164"/>
      <c r="AQ612" s="2164"/>
      <c r="AR612" s="2164"/>
      <c r="AS612" s="2164"/>
      <c r="AT612" s="2164"/>
      <c r="AU612" s="2164"/>
      <c r="AV612" s="2164"/>
      <c r="AW612" s="2164"/>
      <c r="AX612" s="2164"/>
      <c r="AY612" s="2164"/>
      <c r="AZ612" s="2164"/>
      <c r="BA612" s="2164"/>
      <c r="BB612" s="2164"/>
      <c r="BC612" s="2164"/>
      <c r="BD612" s="2164"/>
    </row>
    <row r="613" spans="1:56" x14ac:dyDescent="0.25">
      <c r="A613" s="2219">
        <v>314</v>
      </c>
      <c r="B613" s="2229">
        <v>123250039</v>
      </c>
      <c r="C613" s="2163"/>
      <c r="D613" s="2231" t="s">
        <v>690</v>
      </c>
      <c r="E613" s="2163"/>
      <c r="F613" s="2231" t="s">
        <v>2605</v>
      </c>
      <c r="G613" s="2177" t="s">
        <v>677</v>
      </c>
      <c r="H613" s="2213" t="s">
        <v>2606</v>
      </c>
      <c r="I613" s="2233" t="s">
        <v>2607</v>
      </c>
      <c r="J613" s="2235" t="s">
        <v>2608</v>
      </c>
      <c r="K613" s="1996">
        <v>40000</v>
      </c>
      <c r="L613" s="2210">
        <v>3729.39</v>
      </c>
      <c r="M613" s="2177">
        <v>10111</v>
      </c>
      <c r="N613" s="1996">
        <v>40000</v>
      </c>
      <c r="O613" s="1985" t="s">
        <v>2414</v>
      </c>
      <c r="P613" s="2256" t="s">
        <v>1354</v>
      </c>
      <c r="Q613" s="2163"/>
      <c r="R613" s="2163"/>
      <c r="S613" s="2163"/>
      <c r="T613" s="2256" t="s">
        <v>696</v>
      </c>
      <c r="U613" s="1049" t="s">
        <v>1807</v>
      </c>
      <c r="V613" s="1175">
        <v>40169</v>
      </c>
      <c r="W613" s="1178">
        <v>10221</v>
      </c>
      <c r="X613" s="2231" t="s">
        <v>2378</v>
      </c>
      <c r="Y613" s="1175">
        <v>40178</v>
      </c>
      <c r="Z613" s="1175">
        <v>40359</v>
      </c>
      <c r="AA613" s="1049"/>
      <c r="AB613" s="1049"/>
      <c r="AC613" s="1177">
        <v>3924</v>
      </c>
      <c r="AD613" s="1049"/>
      <c r="AE613" s="2210">
        <f>L613-AD613+AC613-AD614+AC614-AD615+AC615-AD616+AC616-AD617+AC617-AD618+AC618</f>
        <v>49367.55</v>
      </c>
      <c r="AF613" s="2210">
        <v>9732</v>
      </c>
      <c r="AG613" s="2210">
        <v>10236</v>
      </c>
      <c r="AH613" s="2240">
        <f>AF613+AG613</f>
        <v>19968</v>
      </c>
      <c r="AI613" s="2163"/>
      <c r="AJ613" s="2163"/>
      <c r="AK613" s="2163"/>
      <c r="AL613" s="2163"/>
      <c r="AM613" s="2163" t="s">
        <v>1311</v>
      </c>
      <c r="AN613" s="1985" t="s">
        <v>1312</v>
      </c>
      <c r="AO613" s="2177">
        <v>10111</v>
      </c>
      <c r="AP613" s="2172">
        <v>40042</v>
      </c>
      <c r="AQ613" s="2177">
        <v>10111</v>
      </c>
      <c r="AR613" s="2172">
        <v>40042</v>
      </c>
      <c r="AS613" s="1049"/>
      <c r="AT613" s="1049"/>
      <c r="AU613" s="1049"/>
      <c r="AV613" s="1049"/>
      <c r="AW613" s="1049"/>
      <c r="AX613" s="1049"/>
      <c r="AY613" s="1049"/>
      <c r="AZ613" s="1049"/>
      <c r="BA613" s="1049"/>
      <c r="BB613" s="1049"/>
      <c r="BC613" s="1049"/>
      <c r="BD613" s="1049"/>
    </row>
    <row r="614" spans="1:56" x14ac:dyDescent="0.25">
      <c r="A614" s="2220"/>
      <c r="B614" s="2247"/>
      <c r="C614" s="2175"/>
      <c r="D614" s="2251"/>
      <c r="E614" s="2175"/>
      <c r="F614" s="2251"/>
      <c r="G614" s="2180"/>
      <c r="H614" s="2214"/>
      <c r="I614" s="2252"/>
      <c r="J614" s="2243"/>
      <c r="K614" s="2033"/>
      <c r="L614" s="2211"/>
      <c r="M614" s="2180"/>
      <c r="N614" s="2033"/>
      <c r="O614" s="2021"/>
      <c r="P614" s="2257"/>
      <c r="Q614" s="2175"/>
      <c r="R614" s="2175"/>
      <c r="S614" s="2175"/>
      <c r="T614" s="2257"/>
      <c r="U614" s="1049" t="s">
        <v>871</v>
      </c>
      <c r="V614" s="1175">
        <v>40358</v>
      </c>
      <c r="W614" s="1178">
        <v>10456</v>
      </c>
      <c r="X614" s="2251"/>
      <c r="Y614" s="1175">
        <v>40359</v>
      </c>
      <c r="Z614" s="1175">
        <v>40543</v>
      </c>
      <c r="AA614" s="1049"/>
      <c r="AB614" s="1049"/>
      <c r="AC614" s="1177">
        <v>3924</v>
      </c>
      <c r="AD614" s="1049"/>
      <c r="AE614" s="2211"/>
      <c r="AF614" s="2211"/>
      <c r="AG614" s="2211"/>
      <c r="AH614" s="2175"/>
      <c r="AI614" s="2175"/>
      <c r="AJ614" s="2175"/>
      <c r="AK614" s="2175"/>
      <c r="AL614" s="2175"/>
      <c r="AM614" s="2175"/>
      <c r="AN614" s="2021"/>
      <c r="AO614" s="2180"/>
      <c r="AP614" s="2173"/>
      <c r="AQ614" s="2180"/>
      <c r="AR614" s="2173"/>
      <c r="AS614" s="1049"/>
      <c r="AT614" s="1049"/>
      <c r="AU614" s="1049"/>
      <c r="AV614" s="1049"/>
      <c r="AW614" s="1049"/>
      <c r="AX614" s="1049"/>
      <c r="AY614" s="1049"/>
      <c r="AZ614" s="1049"/>
      <c r="BA614" s="1049"/>
      <c r="BB614" s="1049"/>
      <c r="BC614" s="1049"/>
      <c r="BD614" s="1049"/>
    </row>
    <row r="615" spans="1:56" x14ac:dyDescent="0.25">
      <c r="A615" s="2220"/>
      <c r="B615" s="2247"/>
      <c r="C615" s="2175"/>
      <c r="D615" s="2251"/>
      <c r="E615" s="2175"/>
      <c r="F615" s="2251"/>
      <c r="G615" s="2180"/>
      <c r="H615" s="2214"/>
      <c r="I615" s="2252"/>
      <c r="J615" s="2243"/>
      <c r="K615" s="2033"/>
      <c r="L615" s="2211"/>
      <c r="M615" s="2180"/>
      <c r="N615" s="2033"/>
      <c r="O615" s="2021"/>
      <c r="P615" s="2257"/>
      <c r="Q615" s="2175"/>
      <c r="R615" s="2175"/>
      <c r="S615" s="2175"/>
      <c r="T615" s="2257"/>
      <c r="U615" s="1049" t="s">
        <v>874</v>
      </c>
      <c r="V615" s="1175">
        <v>40532</v>
      </c>
      <c r="W615" s="1178">
        <v>10445</v>
      </c>
      <c r="X615" s="2251"/>
      <c r="Y615" s="1175">
        <v>40543</v>
      </c>
      <c r="Z615" s="1175">
        <v>40908</v>
      </c>
      <c r="AA615" s="1049">
        <v>10.272169999999999</v>
      </c>
      <c r="AB615" s="1049"/>
      <c r="AC615" s="1177">
        <v>8654.16</v>
      </c>
      <c r="AD615" s="1049"/>
      <c r="AE615" s="2211"/>
      <c r="AF615" s="2211"/>
      <c r="AG615" s="2211"/>
      <c r="AH615" s="2175"/>
      <c r="AI615" s="2175"/>
      <c r="AJ615" s="2175"/>
      <c r="AK615" s="2175"/>
      <c r="AL615" s="2175"/>
      <c r="AM615" s="2175"/>
      <c r="AN615" s="2021"/>
      <c r="AO615" s="2180"/>
      <c r="AP615" s="2173"/>
      <c r="AQ615" s="2180"/>
      <c r="AR615" s="2173"/>
      <c r="AS615" s="1049"/>
      <c r="AT615" s="1049"/>
      <c r="AU615" s="1049"/>
      <c r="AV615" s="1049"/>
      <c r="AW615" s="1049"/>
      <c r="AX615" s="1049"/>
      <c r="AY615" s="1049"/>
      <c r="AZ615" s="1049"/>
      <c r="BA615" s="1049"/>
      <c r="BB615" s="1049"/>
      <c r="BC615" s="1049"/>
      <c r="BD615" s="1049"/>
    </row>
    <row r="616" spans="1:56" x14ac:dyDescent="0.25">
      <c r="A616" s="2220"/>
      <c r="B616" s="2247"/>
      <c r="C616" s="2175"/>
      <c r="D616" s="2251"/>
      <c r="E616" s="2175"/>
      <c r="F616" s="2251"/>
      <c r="G616" s="2180"/>
      <c r="H616" s="2214"/>
      <c r="I616" s="2252"/>
      <c r="J616" s="2243"/>
      <c r="K616" s="2033"/>
      <c r="L616" s="2211"/>
      <c r="M616" s="2180"/>
      <c r="N616" s="2033"/>
      <c r="O616" s="2021"/>
      <c r="P616" s="2257"/>
      <c r="Q616" s="2175"/>
      <c r="R616" s="2175"/>
      <c r="S616" s="2175"/>
      <c r="T616" s="2257"/>
      <c r="U616" s="1049" t="s">
        <v>876</v>
      </c>
      <c r="V616" s="1175">
        <v>40907</v>
      </c>
      <c r="W616" s="1178">
        <v>10734</v>
      </c>
      <c r="X616" s="2251"/>
      <c r="Y616" s="1175">
        <v>40908</v>
      </c>
      <c r="Z616" s="1175">
        <v>41274</v>
      </c>
      <c r="AA616" s="1049">
        <v>5.9374900000000004</v>
      </c>
      <c r="AB616" s="1049"/>
      <c r="AC616" s="1177">
        <v>9168</v>
      </c>
      <c r="AD616" s="1049"/>
      <c r="AE616" s="2211"/>
      <c r="AF616" s="2211"/>
      <c r="AG616" s="2211"/>
      <c r="AH616" s="2175"/>
      <c r="AI616" s="2175"/>
      <c r="AJ616" s="2175"/>
      <c r="AK616" s="2175"/>
      <c r="AL616" s="2175"/>
      <c r="AM616" s="2175"/>
      <c r="AN616" s="2021"/>
      <c r="AO616" s="2180"/>
      <c r="AP616" s="2173"/>
      <c r="AQ616" s="2180"/>
      <c r="AR616" s="2173"/>
      <c r="AS616" s="1049"/>
      <c r="AT616" s="1049"/>
      <c r="AU616" s="1049"/>
      <c r="AV616" s="1049"/>
      <c r="AW616" s="1049"/>
      <c r="AX616" s="1049"/>
      <c r="AY616" s="1049"/>
      <c r="AZ616" s="1049"/>
      <c r="BA616" s="1049"/>
      <c r="BB616" s="1049"/>
      <c r="BC616" s="1049"/>
      <c r="BD616" s="1049"/>
    </row>
    <row r="617" spans="1:56" x14ac:dyDescent="0.25">
      <c r="A617" s="2220"/>
      <c r="B617" s="2247"/>
      <c r="C617" s="2175"/>
      <c r="D617" s="2251"/>
      <c r="E617" s="2175"/>
      <c r="F617" s="2251"/>
      <c r="G617" s="2180"/>
      <c r="H617" s="2214"/>
      <c r="I617" s="2252"/>
      <c r="J617" s="2243"/>
      <c r="K617" s="2033"/>
      <c r="L617" s="2211"/>
      <c r="M617" s="2180"/>
      <c r="N617" s="2033"/>
      <c r="O617" s="2021"/>
      <c r="P617" s="2257"/>
      <c r="Q617" s="2175"/>
      <c r="R617" s="2175"/>
      <c r="S617" s="2175"/>
      <c r="T617" s="2257"/>
      <c r="U617" s="1049" t="s">
        <v>879</v>
      </c>
      <c r="V617" s="1175">
        <v>41274</v>
      </c>
      <c r="W617" s="1178">
        <v>10973</v>
      </c>
      <c r="X617" s="2251"/>
      <c r="Y617" s="1175">
        <v>41274</v>
      </c>
      <c r="Z617" s="1175">
        <v>41639</v>
      </c>
      <c r="AA617" s="1049">
        <v>6.1518300000000004</v>
      </c>
      <c r="AB617" s="1049"/>
      <c r="AC617" s="1177">
        <v>9732</v>
      </c>
      <c r="AD617" s="1049"/>
      <c r="AE617" s="2211"/>
      <c r="AF617" s="2211"/>
      <c r="AG617" s="2211"/>
      <c r="AH617" s="2175"/>
      <c r="AI617" s="2175"/>
      <c r="AJ617" s="2175"/>
      <c r="AK617" s="2175"/>
      <c r="AL617" s="2175"/>
      <c r="AM617" s="2175"/>
      <c r="AN617" s="2021"/>
      <c r="AO617" s="2180"/>
      <c r="AP617" s="2173"/>
      <c r="AQ617" s="2180"/>
      <c r="AR617" s="2173"/>
      <c r="AS617" s="1049"/>
      <c r="AT617" s="1049"/>
      <c r="AU617" s="1049"/>
      <c r="AV617" s="1049"/>
      <c r="AW617" s="1049"/>
      <c r="AX617" s="1049"/>
      <c r="AY617" s="1049"/>
      <c r="AZ617" s="1049"/>
      <c r="BA617" s="1049"/>
      <c r="BB617" s="1049"/>
      <c r="BC617" s="1049"/>
      <c r="BD617" s="1049"/>
    </row>
    <row r="618" spans="1:56" x14ac:dyDescent="0.25">
      <c r="A618" s="2221"/>
      <c r="B618" s="2230"/>
      <c r="C618" s="2164"/>
      <c r="D618" s="2232"/>
      <c r="E618" s="2164"/>
      <c r="F618" s="2232"/>
      <c r="G618" s="2178"/>
      <c r="H618" s="2215"/>
      <c r="I618" s="2234"/>
      <c r="J618" s="2236"/>
      <c r="K618" s="1997"/>
      <c r="L618" s="2212"/>
      <c r="M618" s="2178"/>
      <c r="N618" s="1997"/>
      <c r="O618" s="1986"/>
      <c r="P618" s="2258"/>
      <c r="Q618" s="2164"/>
      <c r="R618" s="2164"/>
      <c r="S618" s="2164"/>
      <c r="T618" s="2258"/>
      <c r="U618" s="1049" t="s">
        <v>882</v>
      </c>
      <c r="V618" s="1175">
        <v>41639</v>
      </c>
      <c r="W618" s="1178">
        <v>11215</v>
      </c>
      <c r="X618" s="2232"/>
      <c r="Y618" s="1175">
        <v>41639</v>
      </c>
      <c r="Z618" s="1175">
        <v>42004</v>
      </c>
      <c r="AA618" s="1049">
        <v>5.1787900000000002</v>
      </c>
      <c r="AB618" s="1049"/>
      <c r="AC618" s="1177">
        <v>10236</v>
      </c>
      <c r="AD618" s="1049"/>
      <c r="AE618" s="2212"/>
      <c r="AF618" s="2212"/>
      <c r="AG618" s="2212"/>
      <c r="AH618" s="2164"/>
      <c r="AI618" s="2164"/>
      <c r="AJ618" s="2164"/>
      <c r="AK618" s="2164"/>
      <c r="AL618" s="2164"/>
      <c r="AM618" s="2164"/>
      <c r="AN618" s="1986"/>
      <c r="AO618" s="2178"/>
      <c r="AP618" s="2174"/>
      <c r="AQ618" s="2178"/>
      <c r="AR618" s="2174"/>
      <c r="AS618" s="1049"/>
      <c r="AT618" s="1049"/>
      <c r="AU618" s="1049"/>
      <c r="AV618" s="1049"/>
      <c r="AW618" s="1049"/>
      <c r="AX618" s="1049"/>
      <c r="AY618" s="1049"/>
      <c r="AZ618" s="1049"/>
      <c r="BA618" s="1049"/>
      <c r="BB618" s="1049"/>
      <c r="BC618" s="1049"/>
      <c r="BD618" s="1049"/>
    </row>
    <row r="619" spans="1:56" ht="15" customHeight="1" x14ac:dyDescent="0.25">
      <c r="A619" s="2219">
        <v>315</v>
      </c>
      <c r="B619" s="2253" t="s">
        <v>2609</v>
      </c>
      <c r="C619" s="1985" t="s">
        <v>2610</v>
      </c>
      <c r="D619" s="1985" t="s">
        <v>2611</v>
      </c>
      <c r="E619" s="1985" t="s">
        <v>1358</v>
      </c>
      <c r="F619" s="2235" t="s">
        <v>2612</v>
      </c>
      <c r="G619" s="2177">
        <v>10139</v>
      </c>
      <c r="H619" s="2213" t="s">
        <v>2613</v>
      </c>
      <c r="I619" s="1985" t="s">
        <v>2614</v>
      </c>
      <c r="J619" s="1985" t="s">
        <v>2615</v>
      </c>
      <c r="K619" s="2216">
        <v>40465</v>
      </c>
      <c r="L619" s="2002">
        <v>2169</v>
      </c>
      <c r="M619" s="2177">
        <v>10401</v>
      </c>
      <c r="N619" s="2216">
        <v>40465</v>
      </c>
      <c r="O619" s="1985" t="s">
        <v>2595</v>
      </c>
      <c r="P619" s="1060" t="s">
        <v>2596</v>
      </c>
      <c r="Q619" s="2163"/>
      <c r="R619" s="2163"/>
      <c r="S619" s="2163"/>
      <c r="T619" s="1985" t="s">
        <v>158</v>
      </c>
      <c r="U619" s="1049" t="s">
        <v>867</v>
      </c>
      <c r="V619" s="1175">
        <v>40543</v>
      </c>
      <c r="W619" s="1178">
        <v>11213</v>
      </c>
      <c r="X619" s="2231" t="s">
        <v>2585</v>
      </c>
      <c r="Y619" s="1175">
        <v>40543</v>
      </c>
      <c r="Z619" s="1175">
        <v>40908</v>
      </c>
      <c r="AA619" s="95"/>
      <c r="AB619" s="95"/>
      <c r="AC619" s="1177">
        <v>8676</v>
      </c>
      <c r="AD619" s="1049"/>
      <c r="AE619" s="2262">
        <f>L619-AD619+AC619-AD620+AC620-AD621+AC621-AD622+AC622-AD623+AC623</f>
        <v>43380</v>
      </c>
      <c r="AF619" s="2210">
        <v>8676</v>
      </c>
      <c r="AG619" s="2210">
        <v>8676</v>
      </c>
      <c r="AH619" s="2210">
        <f>AF619+AG619</f>
        <v>17352</v>
      </c>
      <c r="AI619" s="1021"/>
      <c r="AJ619" s="1021"/>
      <c r="AK619" s="1049"/>
      <c r="AL619" s="1049"/>
      <c r="AM619" s="1049"/>
      <c r="AN619" s="1172"/>
      <c r="AO619" s="1178"/>
      <c r="AP619" s="1175"/>
      <c r="AQ619" s="1178"/>
      <c r="AR619" s="1175"/>
      <c r="AS619" s="1049"/>
      <c r="AT619" s="1049"/>
      <c r="AU619" s="1049"/>
      <c r="AV619" s="1049"/>
      <c r="AW619" s="1049"/>
      <c r="AX619" s="1049"/>
      <c r="AY619" s="1049"/>
      <c r="AZ619" s="1049"/>
      <c r="BA619" s="1049"/>
      <c r="BB619" s="1049"/>
      <c r="BC619" s="1049"/>
      <c r="BD619" s="1049"/>
    </row>
    <row r="620" spans="1:56" x14ac:dyDescent="0.25">
      <c r="A620" s="2220"/>
      <c r="B620" s="2254"/>
      <c r="C620" s="2021"/>
      <c r="D620" s="2021"/>
      <c r="E620" s="2021"/>
      <c r="F620" s="2243"/>
      <c r="G620" s="2180"/>
      <c r="H620" s="2214"/>
      <c r="I620" s="2021"/>
      <c r="J620" s="2021"/>
      <c r="K620" s="2217"/>
      <c r="L620" s="2187"/>
      <c r="M620" s="2180"/>
      <c r="N620" s="2217"/>
      <c r="O620" s="2021"/>
      <c r="P620" s="1985" t="s">
        <v>2616</v>
      </c>
      <c r="Q620" s="2175"/>
      <c r="R620" s="2175"/>
      <c r="S620" s="2175"/>
      <c r="T620" s="2021"/>
      <c r="U620" s="1049" t="s">
        <v>871</v>
      </c>
      <c r="V620" s="1175">
        <v>40907</v>
      </c>
      <c r="W620" s="1178">
        <v>10714</v>
      </c>
      <c r="X620" s="2251"/>
      <c r="Y620" s="1175">
        <v>40907</v>
      </c>
      <c r="Z620" s="1175">
        <v>41274</v>
      </c>
      <c r="AA620" s="95"/>
      <c r="AB620" s="95"/>
      <c r="AC620" s="1177">
        <v>8676</v>
      </c>
      <c r="AD620" s="1049"/>
      <c r="AE620" s="2263"/>
      <c r="AF620" s="2211"/>
      <c r="AG620" s="2211"/>
      <c r="AH620" s="2211"/>
      <c r="AI620" s="1021"/>
      <c r="AJ620" s="1021"/>
      <c r="AK620" s="1049"/>
      <c r="AL620" s="1049"/>
      <c r="AM620" s="1049"/>
      <c r="AN620" s="1172"/>
      <c r="AO620" s="1178"/>
      <c r="AP620" s="1175"/>
      <c r="AQ620" s="1178"/>
      <c r="AR620" s="1175"/>
      <c r="AS620" s="1049"/>
      <c r="AT620" s="1049"/>
      <c r="AU620" s="1049"/>
      <c r="AV620" s="1049"/>
      <c r="AW620" s="1049"/>
      <c r="AX620" s="1049"/>
      <c r="AY620" s="1049"/>
      <c r="AZ620" s="1049"/>
      <c r="BA620" s="1049"/>
      <c r="BB620" s="1049"/>
      <c r="BC620" s="1049"/>
      <c r="BD620" s="1049"/>
    </row>
    <row r="621" spans="1:56" x14ac:dyDescent="0.25">
      <c r="A621" s="2220"/>
      <c r="B621" s="2254"/>
      <c r="C621" s="2021"/>
      <c r="D621" s="2021"/>
      <c r="E621" s="2021"/>
      <c r="F621" s="2243"/>
      <c r="G621" s="2180"/>
      <c r="H621" s="2214"/>
      <c r="I621" s="2021"/>
      <c r="J621" s="2021"/>
      <c r="K621" s="2217"/>
      <c r="L621" s="2187"/>
      <c r="M621" s="2180"/>
      <c r="N621" s="2217"/>
      <c r="O621" s="2021"/>
      <c r="P621" s="2021"/>
      <c r="Q621" s="2175"/>
      <c r="R621" s="2175"/>
      <c r="S621" s="2175"/>
      <c r="T621" s="2021"/>
      <c r="U621" s="1049" t="s">
        <v>874</v>
      </c>
      <c r="V621" s="1175">
        <v>41274</v>
      </c>
      <c r="W621" s="1178">
        <v>10973</v>
      </c>
      <c r="X621" s="2251"/>
      <c r="Y621" s="1175">
        <v>41274</v>
      </c>
      <c r="Z621" s="1175">
        <v>41639</v>
      </c>
      <c r="AA621" s="95"/>
      <c r="AB621" s="95"/>
      <c r="AC621" s="1177">
        <v>8676</v>
      </c>
      <c r="AD621" s="1049"/>
      <c r="AE621" s="2263"/>
      <c r="AF621" s="2211"/>
      <c r="AG621" s="2211"/>
      <c r="AH621" s="2211"/>
      <c r="AI621" s="1021"/>
      <c r="AJ621" s="1021"/>
      <c r="AK621" s="1049"/>
      <c r="AL621" s="1049"/>
      <c r="AM621" s="1049"/>
      <c r="AN621" s="1172"/>
      <c r="AO621" s="1178"/>
      <c r="AP621" s="1175"/>
      <c r="AQ621" s="1178"/>
      <c r="AR621" s="1175"/>
      <c r="AS621" s="1049"/>
      <c r="AT621" s="1049"/>
      <c r="AU621" s="1049"/>
      <c r="AV621" s="1049"/>
      <c r="AW621" s="1049"/>
      <c r="AX621" s="1049"/>
      <c r="AY621" s="1049"/>
      <c r="AZ621" s="1049"/>
      <c r="BA621" s="1049"/>
      <c r="BB621" s="1049"/>
      <c r="BC621" s="1049"/>
      <c r="BD621" s="1049"/>
    </row>
    <row r="622" spans="1:56" x14ac:dyDescent="0.25">
      <c r="A622" s="2220"/>
      <c r="B622" s="2254"/>
      <c r="C622" s="2021"/>
      <c r="D622" s="2021"/>
      <c r="E622" s="2021"/>
      <c r="F622" s="2243"/>
      <c r="G622" s="2180"/>
      <c r="H622" s="2214"/>
      <c r="I622" s="2021"/>
      <c r="J622" s="2021"/>
      <c r="K622" s="2217"/>
      <c r="L622" s="2187"/>
      <c r="M622" s="2180"/>
      <c r="N622" s="2217"/>
      <c r="O622" s="2021"/>
      <c r="P622" s="2021"/>
      <c r="Q622" s="2175"/>
      <c r="R622" s="2175"/>
      <c r="S622" s="2175"/>
      <c r="T622" s="2021"/>
      <c r="U622" s="1049" t="s">
        <v>876</v>
      </c>
      <c r="V622" s="1175">
        <v>41639</v>
      </c>
      <c r="W622" s="1178">
        <v>11215</v>
      </c>
      <c r="X622" s="2232"/>
      <c r="Y622" s="1175">
        <v>41639</v>
      </c>
      <c r="Z622" s="1175">
        <v>42004</v>
      </c>
      <c r="AA622" s="95"/>
      <c r="AB622" s="95"/>
      <c r="AC622" s="1177">
        <v>8676</v>
      </c>
      <c r="AD622" s="1049"/>
      <c r="AE622" s="2263"/>
      <c r="AF622" s="2211"/>
      <c r="AG622" s="2211"/>
      <c r="AH622" s="2211"/>
      <c r="AI622" s="1021"/>
      <c r="AJ622" s="1021"/>
      <c r="AK622" s="1049"/>
      <c r="AL622" s="1049"/>
      <c r="AM622" s="1049"/>
      <c r="AN622" s="1172"/>
      <c r="AO622" s="1178"/>
      <c r="AP622" s="1175"/>
      <c r="AQ622" s="1178"/>
      <c r="AR622" s="1175"/>
      <c r="AS622" s="1049"/>
      <c r="AT622" s="1049"/>
      <c r="AU622" s="1049"/>
      <c r="AV622" s="1049"/>
      <c r="AW622" s="1049"/>
      <c r="AX622" s="1049"/>
      <c r="AY622" s="1049"/>
      <c r="AZ622" s="1049"/>
      <c r="BA622" s="1049"/>
      <c r="BB622" s="1049"/>
      <c r="BC622" s="1049"/>
      <c r="BD622" s="1049"/>
    </row>
    <row r="623" spans="1:56" ht="25.5" x14ac:dyDescent="0.25">
      <c r="A623" s="2221"/>
      <c r="B623" s="2255"/>
      <c r="C623" s="1986"/>
      <c r="D623" s="1986"/>
      <c r="E623" s="1986"/>
      <c r="F623" s="2236"/>
      <c r="G623" s="2178"/>
      <c r="H623" s="2215"/>
      <c r="I623" s="1986"/>
      <c r="J623" s="1986"/>
      <c r="K623" s="2218"/>
      <c r="L623" s="2003"/>
      <c r="M623" s="2178"/>
      <c r="N623" s="2218"/>
      <c r="O623" s="1986"/>
      <c r="P623" s="1986"/>
      <c r="Q623" s="2164"/>
      <c r="R623" s="2164"/>
      <c r="S623" s="2164"/>
      <c r="T623" s="1986"/>
      <c r="U623" s="1049" t="s">
        <v>879</v>
      </c>
      <c r="V623" s="1175">
        <v>42004</v>
      </c>
      <c r="W623" s="1178">
        <v>11470</v>
      </c>
      <c r="X623" s="1176" t="s">
        <v>2617</v>
      </c>
      <c r="Y623" s="1175">
        <v>42004</v>
      </c>
      <c r="Z623" s="1175">
        <v>42277</v>
      </c>
      <c r="AA623" s="95"/>
      <c r="AB623" s="95"/>
      <c r="AC623" s="1177">
        <v>6507</v>
      </c>
      <c r="AD623" s="1049"/>
      <c r="AE623" s="2264"/>
      <c r="AF623" s="2212"/>
      <c r="AG623" s="2212"/>
      <c r="AH623" s="2212"/>
      <c r="AI623" s="1428"/>
      <c r="AJ623" s="1428"/>
      <c r="AK623" s="1112"/>
      <c r="AL623" s="1112"/>
      <c r="AM623" s="1112"/>
      <c r="AN623" s="1179"/>
      <c r="AO623" s="1105"/>
      <c r="AP623" s="1108"/>
      <c r="AQ623" s="1105"/>
      <c r="AR623" s="1108"/>
      <c r="AS623" s="1112"/>
      <c r="AT623" s="1112"/>
      <c r="AU623" s="1112"/>
      <c r="AV623" s="1112"/>
      <c r="AW623" s="1112"/>
      <c r="AX623" s="1112"/>
      <c r="AY623" s="1112"/>
      <c r="AZ623" s="1112"/>
      <c r="BA623" s="1112"/>
      <c r="BB623" s="1112"/>
      <c r="BC623" s="1112"/>
      <c r="BD623" s="1112"/>
    </row>
    <row r="624" spans="1:56" ht="15" customHeight="1" x14ac:dyDescent="0.25">
      <c r="A624" s="2219">
        <v>316</v>
      </c>
      <c r="B624" s="2194" t="s">
        <v>2618</v>
      </c>
      <c r="C624" s="1985" t="s">
        <v>2487</v>
      </c>
      <c r="D624" s="1985" t="s">
        <v>2619</v>
      </c>
      <c r="E624" s="1985" t="s">
        <v>1358</v>
      </c>
      <c r="F624" s="1985" t="s">
        <v>2620</v>
      </c>
      <c r="G624" s="2177">
        <v>10419</v>
      </c>
      <c r="H624" s="2213" t="s">
        <v>2621</v>
      </c>
      <c r="I624" s="1985" t="s">
        <v>2622</v>
      </c>
      <c r="J624" s="1985" t="s">
        <v>2623</v>
      </c>
      <c r="K624" s="2216">
        <v>40723</v>
      </c>
      <c r="L624" s="2002">
        <v>6400</v>
      </c>
      <c r="M624" s="2177">
        <v>10581</v>
      </c>
      <c r="N624" s="2216">
        <v>40723</v>
      </c>
      <c r="O624" s="1996">
        <v>40908</v>
      </c>
      <c r="P624" s="2256" t="s">
        <v>1354</v>
      </c>
      <c r="Q624" s="2163"/>
      <c r="R624" s="2163"/>
      <c r="S624" s="2163"/>
      <c r="T624" s="1985" t="s">
        <v>158</v>
      </c>
      <c r="U624" s="1049" t="s">
        <v>867</v>
      </c>
      <c r="V624" s="1175">
        <v>40907</v>
      </c>
      <c r="W624" s="1178">
        <v>10718</v>
      </c>
      <c r="X624" s="2231" t="s">
        <v>2585</v>
      </c>
      <c r="Y624" s="1175">
        <v>40907</v>
      </c>
      <c r="Z624" s="1175">
        <v>41274</v>
      </c>
      <c r="AA624" s="95"/>
      <c r="AB624" s="95"/>
      <c r="AC624" s="1177">
        <v>9600</v>
      </c>
      <c r="AD624" s="95"/>
      <c r="AE624" s="2240">
        <f>L624-AD624+AC624-AD625+AC625-AD626+AC626-AD627+AC627</f>
        <v>44800</v>
      </c>
      <c r="AF624" s="2210">
        <v>9600</v>
      </c>
      <c r="AG624" s="2210">
        <v>9600</v>
      </c>
      <c r="AH624" s="2240">
        <f>AF624+AG624</f>
        <v>19200</v>
      </c>
      <c r="AI624" s="2163"/>
      <c r="AJ624" s="2163"/>
      <c r="AK624" s="2163"/>
      <c r="AL624" s="2163"/>
      <c r="AM624" s="2163"/>
      <c r="AN624" s="2163"/>
      <c r="AO624" s="2163"/>
      <c r="AP624" s="2163"/>
      <c r="AQ624" s="2163"/>
      <c r="AR624" s="2163"/>
      <c r="AS624" s="2163"/>
      <c r="AT624" s="2163"/>
      <c r="AU624" s="2163"/>
      <c r="AV624" s="2163"/>
      <c r="AW624" s="2163"/>
      <c r="AX624" s="2163"/>
      <c r="AY624" s="2163"/>
      <c r="AZ624" s="2163"/>
      <c r="BA624" s="2163"/>
      <c r="BB624" s="2163"/>
      <c r="BC624" s="2163"/>
      <c r="BD624" s="2163"/>
    </row>
    <row r="625" spans="1:56" x14ac:dyDescent="0.25">
      <c r="A625" s="2220"/>
      <c r="B625" s="2195"/>
      <c r="C625" s="2021"/>
      <c r="D625" s="2021"/>
      <c r="E625" s="2021"/>
      <c r="F625" s="2021"/>
      <c r="G625" s="2180"/>
      <c r="H625" s="2214"/>
      <c r="I625" s="2021"/>
      <c r="J625" s="2021"/>
      <c r="K625" s="2217"/>
      <c r="L625" s="2187"/>
      <c r="M625" s="2180"/>
      <c r="N625" s="2217"/>
      <c r="O625" s="2033"/>
      <c r="P625" s="2257"/>
      <c r="Q625" s="2175"/>
      <c r="R625" s="2175"/>
      <c r="S625" s="2175"/>
      <c r="T625" s="2021"/>
      <c r="U625" s="1049" t="s">
        <v>871</v>
      </c>
      <c r="V625" s="1175">
        <v>41274</v>
      </c>
      <c r="W625" s="1178">
        <v>10973</v>
      </c>
      <c r="X625" s="2251"/>
      <c r="Y625" s="1175">
        <v>41274</v>
      </c>
      <c r="Z625" s="1175">
        <v>41639</v>
      </c>
      <c r="AA625" s="95"/>
      <c r="AB625" s="95"/>
      <c r="AC625" s="1177">
        <v>9600</v>
      </c>
      <c r="AD625" s="95"/>
      <c r="AE625" s="2241"/>
      <c r="AF625" s="2211"/>
      <c r="AG625" s="2211"/>
      <c r="AH625" s="2241"/>
      <c r="AI625" s="2175"/>
      <c r="AJ625" s="2175"/>
      <c r="AK625" s="2175"/>
      <c r="AL625" s="2175"/>
      <c r="AM625" s="2175"/>
      <c r="AN625" s="2175"/>
      <c r="AO625" s="2175"/>
      <c r="AP625" s="2175"/>
      <c r="AQ625" s="2175"/>
      <c r="AR625" s="2175"/>
      <c r="AS625" s="2175"/>
      <c r="AT625" s="2175"/>
      <c r="AU625" s="2175"/>
      <c r="AV625" s="2175"/>
      <c r="AW625" s="2175"/>
      <c r="AX625" s="2175"/>
      <c r="AY625" s="2175"/>
      <c r="AZ625" s="2175"/>
      <c r="BA625" s="2175"/>
      <c r="BB625" s="2175"/>
      <c r="BC625" s="2175"/>
      <c r="BD625" s="2175"/>
    </row>
    <row r="626" spans="1:56" x14ac:dyDescent="0.25">
      <c r="A626" s="2220"/>
      <c r="B626" s="2195"/>
      <c r="C626" s="2021"/>
      <c r="D626" s="2021"/>
      <c r="E626" s="2021"/>
      <c r="F626" s="2021"/>
      <c r="G626" s="2180"/>
      <c r="H626" s="2214"/>
      <c r="I626" s="2021"/>
      <c r="J626" s="2021"/>
      <c r="K626" s="2217"/>
      <c r="L626" s="2187"/>
      <c r="M626" s="2180"/>
      <c r="N626" s="2217"/>
      <c r="O626" s="2033"/>
      <c r="P626" s="2257"/>
      <c r="Q626" s="2175"/>
      <c r="R626" s="2175"/>
      <c r="S626" s="2175"/>
      <c r="T626" s="2021"/>
      <c r="U626" s="1049" t="s">
        <v>874</v>
      </c>
      <c r="V626" s="1175">
        <v>41639</v>
      </c>
      <c r="W626" s="1178">
        <v>11215</v>
      </c>
      <c r="X626" s="2232"/>
      <c r="Y626" s="1175">
        <v>41639</v>
      </c>
      <c r="Z626" s="1175">
        <v>42004</v>
      </c>
      <c r="AA626" s="95"/>
      <c r="AB626" s="95"/>
      <c r="AC626" s="1177">
        <v>9600</v>
      </c>
      <c r="AD626" s="95"/>
      <c r="AE626" s="2241"/>
      <c r="AF626" s="2211"/>
      <c r="AG626" s="2211"/>
      <c r="AH626" s="2241"/>
      <c r="AI626" s="2175"/>
      <c r="AJ626" s="2175"/>
      <c r="AK626" s="2175"/>
      <c r="AL626" s="2175"/>
      <c r="AM626" s="2175"/>
      <c r="AN626" s="2175"/>
      <c r="AO626" s="2175"/>
      <c r="AP626" s="2175"/>
      <c r="AQ626" s="2175"/>
      <c r="AR626" s="2175"/>
      <c r="AS626" s="2175"/>
      <c r="AT626" s="2175"/>
      <c r="AU626" s="2175"/>
      <c r="AV626" s="2175"/>
      <c r="AW626" s="2175"/>
      <c r="AX626" s="2175"/>
      <c r="AY626" s="2175"/>
      <c r="AZ626" s="2175"/>
      <c r="BA626" s="2175"/>
      <c r="BB626" s="2175"/>
      <c r="BC626" s="2175"/>
      <c r="BD626" s="2175"/>
    </row>
    <row r="627" spans="1:56" ht="25.5" x14ac:dyDescent="0.25">
      <c r="A627" s="2221"/>
      <c r="B627" s="2196"/>
      <c r="C627" s="1986"/>
      <c r="D627" s="1986"/>
      <c r="E627" s="1986"/>
      <c r="F627" s="1986"/>
      <c r="G627" s="2178"/>
      <c r="H627" s="2215"/>
      <c r="I627" s="1986"/>
      <c r="J627" s="1986"/>
      <c r="K627" s="2218"/>
      <c r="L627" s="2003"/>
      <c r="M627" s="2178"/>
      <c r="N627" s="2218"/>
      <c r="O627" s="1997"/>
      <c r="P627" s="2258"/>
      <c r="Q627" s="2164"/>
      <c r="R627" s="2164"/>
      <c r="S627" s="2164"/>
      <c r="T627" s="1986"/>
      <c r="U627" s="1049" t="s">
        <v>876</v>
      </c>
      <c r="V627" s="1175">
        <v>42004</v>
      </c>
      <c r="W627" s="1178">
        <v>11473</v>
      </c>
      <c r="X627" s="1176" t="s">
        <v>2493</v>
      </c>
      <c r="Y627" s="1175">
        <v>42004</v>
      </c>
      <c r="Z627" s="1175">
        <v>42369</v>
      </c>
      <c r="AA627" s="95"/>
      <c r="AB627" s="95"/>
      <c r="AC627" s="1177">
        <v>9600</v>
      </c>
      <c r="AD627" s="95"/>
      <c r="AE627" s="2242"/>
      <c r="AF627" s="2212"/>
      <c r="AG627" s="2212"/>
      <c r="AH627" s="2242"/>
      <c r="AI627" s="2164"/>
      <c r="AJ627" s="2164"/>
      <c r="AK627" s="2164"/>
      <c r="AL627" s="2164"/>
      <c r="AM627" s="2164"/>
      <c r="AN627" s="2164"/>
      <c r="AO627" s="2164"/>
      <c r="AP627" s="2164"/>
      <c r="AQ627" s="2164"/>
      <c r="AR627" s="2164"/>
      <c r="AS627" s="2164"/>
      <c r="AT627" s="2164"/>
      <c r="AU627" s="2164"/>
      <c r="AV627" s="2164"/>
      <c r="AW627" s="2164"/>
      <c r="AX627" s="2164"/>
      <c r="AY627" s="2164"/>
      <c r="AZ627" s="2164"/>
      <c r="BA627" s="2164"/>
      <c r="BB627" s="2164"/>
      <c r="BC627" s="2164"/>
      <c r="BD627" s="2164"/>
    </row>
    <row r="628" spans="1:56" ht="31.5" customHeight="1" x14ac:dyDescent="0.25">
      <c r="A628" s="2219">
        <v>317</v>
      </c>
      <c r="B628" s="2194" t="s">
        <v>2624</v>
      </c>
      <c r="C628" s="1985" t="s">
        <v>2586</v>
      </c>
      <c r="D628" s="1985" t="s">
        <v>1331</v>
      </c>
      <c r="E628" s="1985" t="s">
        <v>1358</v>
      </c>
      <c r="F628" s="1985" t="s">
        <v>7553</v>
      </c>
      <c r="G628" s="2177">
        <v>10670</v>
      </c>
      <c r="H628" s="2213" t="s">
        <v>2625</v>
      </c>
      <c r="I628" s="1985" t="s">
        <v>2626</v>
      </c>
      <c r="J628" s="1985" t="s">
        <v>2627</v>
      </c>
      <c r="K628" s="2216">
        <v>41243</v>
      </c>
      <c r="L628" s="2002">
        <v>2640</v>
      </c>
      <c r="M628" s="2177">
        <v>10939</v>
      </c>
      <c r="N628" s="2216">
        <v>41243</v>
      </c>
      <c r="O628" s="1996">
        <v>41274</v>
      </c>
      <c r="P628" s="2256" t="s">
        <v>1354</v>
      </c>
      <c r="Q628" s="2163"/>
      <c r="R628" s="2163"/>
      <c r="S628" s="2163"/>
      <c r="T628" s="1985" t="s">
        <v>696</v>
      </c>
      <c r="U628" s="1049" t="s">
        <v>867</v>
      </c>
      <c r="V628" s="1175">
        <v>41274</v>
      </c>
      <c r="W628" s="1178">
        <v>10973</v>
      </c>
      <c r="X628" s="2231" t="s">
        <v>2585</v>
      </c>
      <c r="Y628" s="1175">
        <v>41274</v>
      </c>
      <c r="Z628" s="1175">
        <v>41639</v>
      </c>
      <c r="AA628" s="95"/>
      <c r="AB628" s="95"/>
      <c r="AC628" s="1177">
        <v>15840</v>
      </c>
      <c r="AD628" s="95"/>
      <c r="AE628" s="2240">
        <f>L628-AD628+AC628-AD629+AC629-AD630+AC630</f>
        <v>50160</v>
      </c>
      <c r="AF628" s="2210">
        <v>15840</v>
      </c>
      <c r="AG628" s="2210">
        <v>15840</v>
      </c>
      <c r="AH628" s="2240">
        <f>AF628+AG628</f>
        <v>31680</v>
      </c>
      <c r="AI628" s="2163"/>
      <c r="AJ628" s="2163"/>
      <c r="AK628" s="2163"/>
      <c r="AL628" s="2163"/>
      <c r="AM628" s="2163"/>
      <c r="AN628" s="2163"/>
      <c r="AO628" s="2163"/>
      <c r="AP628" s="2163"/>
      <c r="AQ628" s="2163"/>
      <c r="AR628" s="2163"/>
      <c r="AS628" s="2163"/>
      <c r="AT628" s="2163"/>
      <c r="AU628" s="2163"/>
      <c r="AV628" s="2163"/>
      <c r="AW628" s="2163"/>
      <c r="AX628" s="2163"/>
      <c r="AY628" s="2163"/>
      <c r="AZ628" s="2163"/>
      <c r="BA628" s="2163"/>
      <c r="BB628" s="2163"/>
      <c r="BC628" s="2163"/>
      <c r="BD628" s="2163"/>
    </row>
    <row r="629" spans="1:56" ht="39" customHeight="1" x14ac:dyDescent="0.25">
      <c r="A629" s="2220"/>
      <c r="B629" s="2195"/>
      <c r="C629" s="2021"/>
      <c r="D629" s="2021"/>
      <c r="E629" s="2021"/>
      <c r="F629" s="2021"/>
      <c r="G629" s="2180"/>
      <c r="H629" s="2214"/>
      <c r="I629" s="2021"/>
      <c r="J629" s="2021"/>
      <c r="K629" s="2217"/>
      <c r="L629" s="2187"/>
      <c r="M629" s="2180"/>
      <c r="N629" s="2217"/>
      <c r="O629" s="2033"/>
      <c r="P629" s="2257"/>
      <c r="Q629" s="2175"/>
      <c r="R629" s="2175"/>
      <c r="S629" s="2175"/>
      <c r="T629" s="2021"/>
      <c r="U629" s="1049" t="s">
        <v>871</v>
      </c>
      <c r="V629" s="1175">
        <v>41639</v>
      </c>
      <c r="W629" s="1178">
        <v>11215</v>
      </c>
      <c r="X629" s="2232"/>
      <c r="Y629" s="1175">
        <v>41639</v>
      </c>
      <c r="Z629" s="1175">
        <v>42004</v>
      </c>
      <c r="AA629" s="95"/>
      <c r="AB629" s="95"/>
      <c r="AC629" s="1177">
        <v>15840</v>
      </c>
      <c r="AD629" s="95"/>
      <c r="AE629" s="2241"/>
      <c r="AF629" s="2211"/>
      <c r="AG629" s="2211"/>
      <c r="AH629" s="2241"/>
      <c r="AI629" s="2175"/>
      <c r="AJ629" s="2175"/>
      <c r="AK629" s="2175"/>
      <c r="AL629" s="2175"/>
      <c r="AM629" s="2175"/>
      <c r="AN629" s="2175"/>
      <c r="AO629" s="2175"/>
      <c r="AP629" s="2175"/>
      <c r="AQ629" s="2175"/>
      <c r="AR629" s="2175"/>
      <c r="AS629" s="2175"/>
      <c r="AT629" s="2175"/>
      <c r="AU629" s="2175"/>
      <c r="AV629" s="2175"/>
      <c r="AW629" s="2175"/>
      <c r="AX629" s="2175"/>
      <c r="AY629" s="2175"/>
      <c r="AZ629" s="2175"/>
      <c r="BA629" s="2175"/>
      <c r="BB629" s="2175"/>
      <c r="BC629" s="2175"/>
      <c r="BD629" s="2175"/>
    </row>
    <row r="630" spans="1:56" ht="51" customHeight="1" x14ac:dyDescent="0.25">
      <c r="A630" s="2221"/>
      <c r="B630" s="2196"/>
      <c r="C630" s="1986"/>
      <c r="D630" s="1986"/>
      <c r="E630" s="1986"/>
      <c r="F630" s="1986"/>
      <c r="G630" s="2178"/>
      <c r="H630" s="2215"/>
      <c r="I630" s="1986"/>
      <c r="J630" s="1986"/>
      <c r="K630" s="2218"/>
      <c r="L630" s="2003"/>
      <c r="M630" s="2178"/>
      <c r="N630" s="2218"/>
      <c r="O630" s="1997"/>
      <c r="P630" s="2258"/>
      <c r="Q630" s="2164"/>
      <c r="R630" s="2164"/>
      <c r="S630" s="2164"/>
      <c r="T630" s="1986"/>
      <c r="U630" s="1049" t="s">
        <v>874</v>
      </c>
      <c r="V630" s="1175">
        <v>42004</v>
      </c>
      <c r="W630" s="1178">
        <v>11470</v>
      </c>
      <c r="X630" s="1173" t="s">
        <v>2493</v>
      </c>
      <c r="Y630" s="1175">
        <v>42004</v>
      </c>
      <c r="Z630" s="1175">
        <v>42369</v>
      </c>
      <c r="AA630" s="95"/>
      <c r="AB630" s="95"/>
      <c r="AC630" s="1177">
        <v>15840</v>
      </c>
      <c r="AD630" s="95"/>
      <c r="AE630" s="2242"/>
      <c r="AF630" s="2212"/>
      <c r="AG630" s="2212"/>
      <c r="AH630" s="2242"/>
      <c r="AI630" s="2164"/>
      <c r="AJ630" s="2164"/>
      <c r="AK630" s="2164"/>
      <c r="AL630" s="2164"/>
      <c r="AM630" s="2164"/>
      <c r="AN630" s="2164"/>
      <c r="AO630" s="2164"/>
      <c r="AP630" s="2164"/>
      <c r="AQ630" s="2164"/>
      <c r="AR630" s="2164"/>
      <c r="AS630" s="2164"/>
      <c r="AT630" s="2164"/>
      <c r="AU630" s="2164"/>
      <c r="AV630" s="2164"/>
      <c r="AW630" s="2164"/>
      <c r="AX630" s="2164"/>
      <c r="AY630" s="2164"/>
      <c r="AZ630" s="2164"/>
      <c r="BA630" s="2164"/>
      <c r="BB630" s="2164"/>
      <c r="BC630" s="2164"/>
      <c r="BD630" s="2164"/>
    </row>
    <row r="631" spans="1:56" ht="33.75" customHeight="1" x14ac:dyDescent="0.25">
      <c r="A631" s="2219">
        <v>318</v>
      </c>
      <c r="B631" s="2253">
        <v>123190058</v>
      </c>
      <c r="C631" s="2163"/>
      <c r="D631" s="2163" t="s">
        <v>690</v>
      </c>
      <c r="E631" s="2163"/>
      <c r="F631" s="2235" t="s">
        <v>2628</v>
      </c>
      <c r="G631" s="2177" t="s">
        <v>677</v>
      </c>
      <c r="H631" s="2213" t="s">
        <v>2629</v>
      </c>
      <c r="I631" s="2235" t="s">
        <v>2630</v>
      </c>
      <c r="J631" s="2235" t="s">
        <v>2631</v>
      </c>
      <c r="K631" s="2244">
        <v>41110</v>
      </c>
      <c r="L631" s="2259">
        <v>4319.99</v>
      </c>
      <c r="M631" s="2177">
        <v>10858</v>
      </c>
      <c r="N631" s="2244">
        <v>41110</v>
      </c>
      <c r="O631" s="2244">
        <v>41274</v>
      </c>
      <c r="P631" s="2256" t="s">
        <v>1354</v>
      </c>
      <c r="Q631" s="2163"/>
      <c r="R631" s="2163"/>
      <c r="S631" s="2163"/>
      <c r="T631" s="2235" t="s">
        <v>1309</v>
      </c>
      <c r="U631" s="1049" t="s">
        <v>867</v>
      </c>
      <c r="V631" s="1175">
        <v>41274</v>
      </c>
      <c r="W631" s="1178">
        <v>10974</v>
      </c>
      <c r="X631" s="95" t="s">
        <v>2378</v>
      </c>
      <c r="Y631" s="1175">
        <v>41274</v>
      </c>
      <c r="Z631" s="1175">
        <v>41639</v>
      </c>
      <c r="AA631" s="1049"/>
      <c r="AB631" s="1049"/>
      <c r="AC631" s="1177">
        <v>9600</v>
      </c>
      <c r="AD631" s="1049"/>
      <c r="AE631" s="2210">
        <f>L631-AD631+AC631-AD632+AC632-AD633+AC633-AD634+AC634-AD635+AC635</f>
        <v>35215.03</v>
      </c>
      <c r="AF631" s="2210">
        <v>8965.68</v>
      </c>
      <c r="AG631" s="2210">
        <v>10359.52</v>
      </c>
      <c r="AH631" s="2210">
        <f>AF631+AG631</f>
        <v>19325.2</v>
      </c>
      <c r="AI631" s="1021"/>
      <c r="AJ631" s="1021"/>
      <c r="AK631" s="1049"/>
      <c r="AL631" s="1049"/>
      <c r="AM631" s="2163" t="s">
        <v>1311</v>
      </c>
      <c r="AN631" s="1985" t="s">
        <v>1312</v>
      </c>
      <c r="AO631" s="2177">
        <v>10849</v>
      </c>
      <c r="AP631" s="2172">
        <v>41115</v>
      </c>
      <c r="AQ631" s="2177">
        <v>10849</v>
      </c>
      <c r="AR631" s="2172">
        <v>41115</v>
      </c>
      <c r="AS631" s="1049"/>
      <c r="AT631" s="1049"/>
      <c r="AU631" s="1049"/>
      <c r="AV631" s="1049"/>
      <c r="AW631" s="1049"/>
      <c r="AX631" s="1049"/>
      <c r="AY631" s="1049"/>
      <c r="AZ631" s="1049"/>
      <c r="BA631" s="1049"/>
      <c r="BB631" s="1049"/>
      <c r="BC631" s="1049"/>
      <c r="BD631" s="1049"/>
    </row>
    <row r="632" spans="1:56" x14ac:dyDescent="0.25">
      <c r="A632" s="2220"/>
      <c r="B632" s="2254"/>
      <c r="C632" s="2175"/>
      <c r="D632" s="2175"/>
      <c r="E632" s="2175"/>
      <c r="F632" s="2243"/>
      <c r="G632" s="2180"/>
      <c r="H632" s="2214"/>
      <c r="I632" s="2243"/>
      <c r="J632" s="2243"/>
      <c r="K632" s="2245"/>
      <c r="L632" s="2260"/>
      <c r="M632" s="2180"/>
      <c r="N632" s="2245"/>
      <c r="O632" s="2245"/>
      <c r="P632" s="2257"/>
      <c r="Q632" s="2175"/>
      <c r="R632" s="2175"/>
      <c r="S632" s="2175"/>
      <c r="T632" s="2243"/>
      <c r="U632" s="1049" t="s">
        <v>871</v>
      </c>
      <c r="V632" s="1175">
        <v>41505</v>
      </c>
      <c r="W632" s="1178">
        <v>11122</v>
      </c>
      <c r="X632" s="95" t="s">
        <v>2632</v>
      </c>
      <c r="Y632" s="1175">
        <v>41487</v>
      </c>
      <c r="Z632" s="1175">
        <v>41639</v>
      </c>
      <c r="AA632" s="1049">
        <v>2.1572900000000002</v>
      </c>
      <c r="AB632" s="1049"/>
      <c r="AC632" s="1177">
        <v>207.1</v>
      </c>
      <c r="AD632" s="1049"/>
      <c r="AE632" s="2211"/>
      <c r="AF632" s="2211"/>
      <c r="AG632" s="2211"/>
      <c r="AH632" s="2211"/>
      <c r="AI632" s="1021"/>
      <c r="AJ632" s="1021"/>
      <c r="AK632" s="1049"/>
      <c r="AL632" s="1049"/>
      <c r="AM632" s="2175"/>
      <c r="AN632" s="2021"/>
      <c r="AO632" s="2180"/>
      <c r="AP632" s="2173"/>
      <c r="AQ632" s="2180"/>
      <c r="AR632" s="2173"/>
      <c r="AS632" s="1049"/>
      <c r="AT632" s="1049"/>
      <c r="AU632" s="1049"/>
      <c r="AV632" s="1049"/>
      <c r="AW632" s="1049"/>
      <c r="AX632" s="1049"/>
      <c r="AY632" s="1049"/>
      <c r="AZ632" s="1049"/>
      <c r="BA632" s="1049"/>
      <c r="BB632" s="1049"/>
      <c r="BC632" s="1049"/>
      <c r="BD632" s="1049"/>
    </row>
    <row r="633" spans="1:56" x14ac:dyDescent="0.25">
      <c r="A633" s="2220"/>
      <c r="B633" s="2254"/>
      <c r="C633" s="2175"/>
      <c r="D633" s="2175"/>
      <c r="E633" s="2175"/>
      <c r="F633" s="2243"/>
      <c r="G633" s="2180"/>
      <c r="H633" s="2214"/>
      <c r="I633" s="2243"/>
      <c r="J633" s="2243"/>
      <c r="K633" s="2245"/>
      <c r="L633" s="2260"/>
      <c r="M633" s="2180"/>
      <c r="N633" s="2245"/>
      <c r="O633" s="2245"/>
      <c r="P633" s="2257"/>
      <c r="Q633" s="2175"/>
      <c r="R633" s="2175"/>
      <c r="S633" s="2175"/>
      <c r="T633" s="2243"/>
      <c r="U633" s="1049" t="s">
        <v>874</v>
      </c>
      <c r="V633" s="1175">
        <v>41639</v>
      </c>
      <c r="W633" s="1178">
        <v>11215</v>
      </c>
      <c r="X633" s="95" t="s">
        <v>2378</v>
      </c>
      <c r="Y633" s="1175">
        <v>41639</v>
      </c>
      <c r="Z633" s="1175">
        <v>42004</v>
      </c>
      <c r="AA633" s="1049"/>
      <c r="AB633" s="1049"/>
      <c r="AC633" s="1177">
        <v>10097.040000000001</v>
      </c>
      <c r="AD633" s="1049"/>
      <c r="AE633" s="2211"/>
      <c r="AF633" s="2211"/>
      <c r="AG633" s="2211"/>
      <c r="AH633" s="2211"/>
      <c r="AI633" s="1021"/>
      <c r="AJ633" s="1021"/>
      <c r="AK633" s="1049"/>
      <c r="AL633" s="1049"/>
      <c r="AM633" s="2175"/>
      <c r="AN633" s="2021"/>
      <c r="AO633" s="2180"/>
      <c r="AP633" s="2173"/>
      <c r="AQ633" s="2180"/>
      <c r="AR633" s="2173"/>
      <c r="AS633" s="1049"/>
      <c r="AT633" s="1049"/>
      <c r="AU633" s="1049"/>
      <c r="AV633" s="1049"/>
      <c r="AW633" s="1049"/>
      <c r="AX633" s="1049"/>
      <c r="AY633" s="1049"/>
      <c r="AZ633" s="1049"/>
      <c r="BA633" s="1049"/>
      <c r="BB633" s="1049"/>
      <c r="BC633" s="1049"/>
      <c r="BD633" s="1049"/>
    </row>
    <row r="634" spans="1:56" x14ac:dyDescent="0.25">
      <c r="A634" s="2220"/>
      <c r="B634" s="2254"/>
      <c r="C634" s="2175"/>
      <c r="D634" s="2175"/>
      <c r="E634" s="2175"/>
      <c r="F634" s="2243"/>
      <c r="G634" s="2180"/>
      <c r="H634" s="2214"/>
      <c r="I634" s="2243"/>
      <c r="J634" s="2243"/>
      <c r="K634" s="2245"/>
      <c r="L634" s="2260"/>
      <c r="M634" s="2180"/>
      <c r="N634" s="2245"/>
      <c r="O634" s="2245"/>
      <c r="P634" s="2257"/>
      <c r="Q634" s="2175"/>
      <c r="R634" s="2175"/>
      <c r="S634" s="2175"/>
      <c r="T634" s="2243"/>
      <c r="U634" s="1049" t="s">
        <v>876</v>
      </c>
      <c r="V634" s="1175">
        <v>41851</v>
      </c>
      <c r="W634" s="1178">
        <v>11250</v>
      </c>
      <c r="X634" s="95" t="s">
        <v>2632</v>
      </c>
      <c r="Y634" s="1175">
        <v>41852</v>
      </c>
      <c r="Z634" s="1175">
        <v>42004</v>
      </c>
      <c r="AA634" s="1049">
        <v>2.6037300000000001</v>
      </c>
      <c r="AB634" s="1049"/>
      <c r="AC634" s="1177">
        <v>262.89999999999998</v>
      </c>
      <c r="AD634" s="1049"/>
      <c r="AE634" s="2211"/>
      <c r="AF634" s="2211"/>
      <c r="AG634" s="2211"/>
      <c r="AH634" s="2211"/>
      <c r="AI634" s="1021"/>
      <c r="AJ634" s="1021"/>
      <c r="AK634" s="1049"/>
      <c r="AL634" s="1049"/>
      <c r="AM634" s="2175"/>
      <c r="AN634" s="2021"/>
      <c r="AO634" s="2180"/>
      <c r="AP634" s="2173"/>
      <c r="AQ634" s="2180"/>
      <c r="AR634" s="2173"/>
      <c r="AS634" s="1049"/>
      <c r="AT634" s="1049"/>
      <c r="AU634" s="1049"/>
      <c r="AV634" s="1049"/>
      <c r="AW634" s="1049"/>
      <c r="AX634" s="1049"/>
      <c r="AY634" s="1049"/>
      <c r="AZ634" s="1049"/>
      <c r="BA634" s="1049"/>
      <c r="BB634" s="1049"/>
      <c r="BC634" s="1049"/>
      <c r="BD634" s="1049"/>
    </row>
    <row r="635" spans="1:56" ht="38.25" x14ac:dyDescent="0.25">
      <c r="A635" s="2221"/>
      <c r="B635" s="2255"/>
      <c r="C635" s="2164"/>
      <c r="D635" s="2164"/>
      <c r="E635" s="2164"/>
      <c r="F635" s="2236"/>
      <c r="G635" s="2178"/>
      <c r="H635" s="2215"/>
      <c r="I635" s="2236"/>
      <c r="J635" s="2236"/>
      <c r="K635" s="2246"/>
      <c r="L635" s="2261"/>
      <c r="M635" s="2178"/>
      <c r="N635" s="2246"/>
      <c r="O635" s="2246"/>
      <c r="P635" s="2258"/>
      <c r="Q635" s="2164"/>
      <c r="R635" s="2164"/>
      <c r="S635" s="2164"/>
      <c r="T635" s="2236"/>
      <c r="U635" s="1049" t="s">
        <v>879</v>
      </c>
      <c r="V635" s="1175">
        <v>41988</v>
      </c>
      <c r="W635" s="1178">
        <v>11468</v>
      </c>
      <c r="X635" s="727" t="s">
        <v>2633</v>
      </c>
      <c r="Y635" s="1175">
        <v>42004</v>
      </c>
      <c r="Z635" s="1175">
        <v>42369</v>
      </c>
      <c r="AA635" s="1049">
        <v>3.6543000000000001</v>
      </c>
      <c r="AB635" s="1049"/>
      <c r="AC635" s="1177">
        <v>10728</v>
      </c>
      <c r="AD635" s="1049"/>
      <c r="AE635" s="2212"/>
      <c r="AF635" s="2212"/>
      <c r="AG635" s="2212"/>
      <c r="AH635" s="2212"/>
      <c r="AI635" s="1428"/>
      <c r="AJ635" s="1428"/>
      <c r="AK635" s="1112"/>
      <c r="AL635" s="1112"/>
      <c r="AM635" s="2164"/>
      <c r="AN635" s="1986"/>
      <c r="AO635" s="2178"/>
      <c r="AP635" s="2174"/>
      <c r="AQ635" s="2178"/>
      <c r="AR635" s="2174"/>
      <c r="AS635" s="1112"/>
      <c r="AT635" s="1112"/>
      <c r="AU635" s="1112"/>
      <c r="AV635" s="1112"/>
      <c r="AW635" s="1112"/>
      <c r="AX635" s="1112"/>
      <c r="AY635" s="1112"/>
      <c r="AZ635" s="1112"/>
      <c r="BA635" s="1112"/>
      <c r="BB635" s="1112"/>
      <c r="BC635" s="1112"/>
      <c r="BD635" s="1112"/>
    </row>
    <row r="636" spans="1:56" ht="24.75" customHeight="1" x14ac:dyDescent="0.25">
      <c r="A636" s="2219">
        <v>319</v>
      </c>
      <c r="B636" s="2253">
        <v>123180196</v>
      </c>
      <c r="C636" s="2163"/>
      <c r="D636" s="2163" t="s">
        <v>690</v>
      </c>
      <c r="E636" s="2163"/>
      <c r="F636" s="2235" t="s">
        <v>2634</v>
      </c>
      <c r="G636" s="2177" t="s">
        <v>677</v>
      </c>
      <c r="H636" s="2213" t="s">
        <v>2635</v>
      </c>
      <c r="I636" s="2235" t="s">
        <v>2636</v>
      </c>
      <c r="J636" s="2235" t="s">
        <v>2637</v>
      </c>
      <c r="K636" s="2244">
        <v>41093</v>
      </c>
      <c r="L636" s="2259">
        <v>2580</v>
      </c>
      <c r="M636" s="2177">
        <v>10840</v>
      </c>
      <c r="N636" s="2244">
        <v>41093</v>
      </c>
      <c r="O636" s="2244">
        <v>41274</v>
      </c>
      <c r="P636" s="2256" t="s">
        <v>1354</v>
      </c>
      <c r="Q636" s="2163"/>
      <c r="R636" s="2163"/>
      <c r="S636" s="2163"/>
      <c r="T636" s="2235" t="s">
        <v>1309</v>
      </c>
      <c r="U636" s="1049" t="s">
        <v>867</v>
      </c>
      <c r="V636" s="1175">
        <v>41274</v>
      </c>
      <c r="W636" s="1178">
        <v>10974</v>
      </c>
      <c r="X636" s="2231" t="s">
        <v>2378</v>
      </c>
      <c r="Y636" s="1175">
        <v>41274</v>
      </c>
      <c r="Z636" s="1175">
        <v>41639</v>
      </c>
      <c r="AA636" s="1049"/>
      <c r="AB636" s="1049"/>
      <c r="AC636" s="1177">
        <v>5160</v>
      </c>
      <c r="AD636" s="1049"/>
      <c r="AE636" s="2210">
        <f>L636-AD636+AC636-AD637+AC637-AD638+AC638</f>
        <v>15070.36</v>
      </c>
      <c r="AF636" s="2210">
        <v>5160</v>
      </c>
      <c r="AG636" s="2210">
        <v>4994</v>
      </c>
      <c r="AH636" s="2210">
        <f>AF636+AG636</f>
        <v>10154</v>
      </c>
      <c r="AI636" s="2225"/>
      <c r="AJ636" s="2225"/>
      <c r="AK636" s="2163"/>
      <c r="AL636" s="2163"/>
      <c r="AM636" s="2163" t="s">
        <v>1311</v>
      </c>
      <c r="AN636" s="1985" t="s">
        <v>1312</v>
      </c>
      <c r="AO636" s="2177">
        <v>10835</v>
      </c>
      <c r="AP636" s="2172">
        <v>41096</v>
      </c>
      <c r="AQ636" s="2177">
        <v>10835</v>
      </c>
      <c r="AR636" s="2172">
        <v>41096</v>
      </c>
      <c r="AS636" s="2163"/>
      <c r="AT636" s="2163"/>
      <c r="AU636" s="2163"/>
      <c r="AV636" s="2163"/>
      <c r="AW636" s="2163"/>
      <c r="AX636" s="2163"/>
      <c r="AY636" s="2163"/>
      <c r="AZ636" s="2163"/>
      <c r="BA636" s="2163"/>
      <c r="BB636" s="2163"/>
      <c r="BC636" s="2163"/>
      <c r="BD636" s="2163"/>
    </row>
    <row r="637" spans="1:56" ht="18" customHeight="1" x14ac:dyDescent="0.25">
      <c r="A637" s="2220"/>
      <c r="B637" s="2254"/>
      <c r="C637" s="2175"/>
      <c r="D637" s="2175"/>
      <c r="E637" s="2175"/>
      <c r="F637" s="2243"/>
      <c r="G637" s="2180"/>
      <c r="H637" s="2214"/>
      <c r="I637" s="2243"/>
      <c r="J637" s="2243"/>
      <c r="K637" s="2245"/>
      <c r="L637" s="2260"/>
      <c r="M637" s="2180"/>
      <c r="N637" s="2245"/>
      <c r="O637" s="2245"/>
      <c r="P637" s="2257"/>
      <c r="Q637" s="2175"/>
      <c r="R637" s="2175"/>
      <c r="S637" s="2175"/>
      <c r="T637" s="2243"/>
      <c r="U637" s="1049" t="s">
        <v>871</v>
      </c>
      <c r="V637" s="1175">
        <v>41639</v>
      </c>
      <c r="W637" s="1178">
        <v>11215</v>
      </c>
      <c r="X637" s="2232"/>
      <c r="Y637" s="1175">
        <v>41639</v>
      </c>
      <c r="Z637" s="1175">
        <v>42004</v>
      </c>
      <c r="AA637" s="1049">
        <v>5.5813899999999999</v>
      </c>
      <c r="AB637" s="1049"/>
      <c r="AC637" s="1177">
        <v>5448</v>
      </c>
      <c r="AD637" s="1049"/>
      <c r="AE637" s="2211"/>
      <c r="AF637" s="2211"/>
      <c r="AG637" s="2211"/>
      <c r="AH637" s="2211"/>
      <c r="AI637" s="2239"/>
      <c r="AJ637" s="2239"/>
      <c r="AK637" s="2175"/>
      <c r="AL637" s="2175"/>
      <c r="AM637" s="2175"/>
      <c r="AN637" s="2021"/>
      <c r="AO637" s="2180"/>
      <c r="AP637" s="2173"/>
      <c r="AQ637" s="2180"/>
      <c r="AR637" s="2173"/>
      <c r="AS637" s="2175"/>
      <c r="AT637" s="2175"/>
      <c r="AU637" s="2175"/>
      <c r="AV637" s="2175"/>
      <c r="AW637" s="2175"/>
      <c r="AX637" s="2175"/>
      <c r="AY637" s="2175"/>
      <c r="AZ637" s="2175"/>
      <c r="BA637" s="2175"/>
      <c r="BB637" s="2175"/>
      <c r="BC637" s="2175"/>
      <c r="BD637" s="2175"/>
    </row>
    <row r="638" spans="1:56" ht="98.25" customHeight="1" x14ac:dyDescent="0.25">
      <c r="A638" s="2221"/>
      <c r="B638" s="2255"/>
      <c r="C638" s="2164"/>
      <c r="D638" s="2164"/>
      <c r="E638" s="2164"/>
      <c r="F638" s="2236"/>
      <c r="G638" s="2178"/>
      <c r="H638" s="2215"/>
      <c r="I638" s="2236"/>
      <c r="J638" s="2236"/>
      <c r="K638" s="2246"/>
      <c r="L638" s="2261"/>
      <c r="M638" s="2178"/>
      <c r="N638" s="2246"/>
      <c r="O638" s="2246"/>
      <c r="P638" s="2258"/>
      <c r="Q638" s="2164"/>
      <c r="R638" s="2164"/>
      <c r="S638" s="2164"/>
      <c r="T638" s="2236"/>
      <c r="U638" s="1049" t="s">
        <v>874</v>
      </c>
      <c r="V638" s="1175">
        <v>42003</v>
      </c>
      <c r="W638" s="1178">
        <v>11472</v>
      </c>
      <c r="X638" s="1176" t="s">
        <v>2638</v>
      </c>
      <c r="Y638" s="1175">
        <v>42004</v>
      </c>
      <c r="Z638" s="1175">
        <v>42124</v>
      </c>
      <c r="AA638" s="1049">
        <v>3.6543000000000001</v>
      </c>
      <c r="AB638" s="1049"/>
      <c r="AC638" s="1177">
        <v>1882.36</v>
      </c>
      <c r="AD638" s="1049"/>
      <c r="AE638" s="2212"/>
      <c r="AF638" s="2212"/>
      <c r="AG638" s="2212"/>
      <c r="AH638" s="2212"/>
      <c r="AI638" s="2226"/>
      <c r="AJ638" s="2226"/>
      <c r="AK638" s="2164"/>
      <c r="AL638" s="2164"/>
      <c r="AM638" s="2164"/>
      <c r="AN638" s="1986"/>
      <c r="AO638" s="2178"/>
      <c r="AP638" s="2174"/>
      <c r="AQ638" s="2178"/>
      <c r="AR638" s="2174"/>
      <c r="AS638" s="2164"/>
      <c r="AT638" s="2164"/>
      <c r="AU638" s="2164"/>
      <c r="AV638" s="2164"/>
      <c r="AW638" s="2164"/>
      <c r="AX638" s="2164"/>
      <c r="AY638" s="2164"/>
      <c r="AZ638" s="2164"/>
      <c r="BA638" s="2164"/>
      <c r="BB638" s="2164"/>
      <c r="BC638" s="2164"/>
      <c r="BD638" s="2164"/>
    </row>
    <row r="639" spans="1:56" ht="15" customHeight="1" x14ac:dyDescent="0.25">
      <c r="A639" s="2219">
        <v>320</v>
      </c>
      <c r="B639" s="2194" t="s">
        <v>2416</v>
      </c>
      <c r="C639" s="1985" t="s">
        <v>2579</v>
      </c>
      <c r="D639" s="1985" t="s">
        <v>2580</v>
      </c>
      <c r="E639" s="1985" t="s">
        <v>1358</v>
      </c>
      <c r="F639" s="1985" t="s">
        <v>2639</v>
      </c>
      <c r="G639" s="2177">
        <v>10126</v>
      </c>
      <c r="H639" s="2213" t="s">
        <v>2640</v>
      </c>
      <c r="I639" s="1985" t="s">
        <v>2641</v>
      </c>
      <c r="J639" s="1985" t="s">
        <v>2642</v>
      </c>
      <c r="K639" s="2172">
        <v>40133</v>
      </c>
      <c r="L639" s="2002">
        <v>4500</v>
      </c>
      <c r="M639" s="2177">
        <v>10194</v>
      </c>
      <c r="N639" s="2216">
        <v>40133</v>
      </c>
      <c r="O639" s="1985" t="s">
        <v>2414</v>
      </c>
      <c r="P639" s="1985" t="s">
        <v>1354</v>
      </c>
      <c r="Q639" s="2163"/>
      <c r="R639" s="2163"/>
      <c r="S639" s="2163"/>
      <c r="T639" s="1985" t="s">
        <v>158</v>
      </c>
      <c r="U639" s="1049" t="s">
        <v>867</v>
      </c>
      <c r="V639" s="1175">
        <v>40178</v>
      </c>
      <c r="W639" s="1178">
        <v>10207</v>
      </c>
      <c r="X639" s="2233" t="s">
        <v>2585</v>
      </c>
      <c r="Y639" s="715">
        <v>40178</v>
      </c>
      <c r="Z639" s="715">
        <v>40543</v>
      </c>
      <c r="AA639" s="95"/>
      <c r="AB639" s="95"/>
      <c r="AC639" s="1177">
        <v>36000</v>
      </c>
      <c r="AD639" s="95"/>
      <c r="AE639" s="2240">
        <f>L639-AD639+AC639-AD640+AC640-AD641+AC641-AD642+AC642-AD643+AC643</f>
        <v>178500</v>
      </c>
      <c r="AF639" s="2210">
        <v>36000</v>
      </c>
      <c r="AG639" s="2210">
        <v>36000</v>
      </c>
      <c r="AH639" s="2240">
        <f>AF639+AG639</f>
        <v>72000</v>
      </c>
      <c r="AI639" s="2163"/>
      <c r="AJ639" s="2163"/>
      <c r="AK639" s="2163"/>
      <c r="AL639" s="2163"/>
      <c r="AM639" s="2163"/>
      <c r="AN639" s="2163"/>
      <c r="AO639" s="2163"/>
      <c r="AP639" s="2163"/>
      <c r="AQ639" s="2163"/>
      <c r="AR639" s="2163"/>
      <c r="AS639" s="2163"/>
      <c r="AT639" s="2163"/>
      <c r="AU639" s="2163"/>
      <c r="AV639" s="2163"/>
      <c r="AW639" s="2163"/>
      <c r="AX639" s="2163"/>
      <c r="AY639" s="2163"/>
      <c r="AZ639" s="2163"/>
      <c r="BA639" s="2163"/>
      <c r="BB639" s="2163"/>
      <c r="BC639" s="2163"/>
      <c r="BD639" s="2163"/>
    </row>
    <row r="640" spans="1:56" x14ac:dyDescent="0.25">
      <c r="A640" s="2220"/>
      <c r="B640" s="2195"/>
      <c r="C640" s="2021"/>
      <c r="D640" s="2021"/>
      <c r="E640" s="2021"/>
      <c r="F640" s="2021"/>
      <c r="G640" s="2180"/>
      <c r="H640" s="2214"/>
      <c r="I640" s="2021"/>
      <c r="J640" s="2021"/>
      <c r="K640" s="2173"/>
      <c r="L640" s="2187"/>
      <c r="M640" s="2180"/>
      <c r="N640" s="2217"/>
      <c r="O640" s="2021"/>
      <c r="P640" s="2021"/>
      <c r="Q640" s="2175"/>
      <c r="R640" s="2175"/>
      <c r="S640" s="2175"/>
      <c r="T640" s="2021"/>
      <c r="U640" s="1049" t="s">
        <v>871</v>
      </c>
      <c r="V640" s="715">
        <v>40543</v>
      </c>
      <c r="W640" s="1178">
        <v>10455</v>
      </c>
      <c r="X640" s="2252"/>
      <c r="Y640" s="715">
        <v>40543</v>
      </c>
      <c r="Z640" s="715">
        <v>40908</v>
      </c>
      <c r="AA640" s="95"/>
      <c r="AB640" s="95"/>
      <c r="AC640" s="1177">
        <v>36000</v>
      </c>
      <c r="AD640" s="95"/>
      <c r="AE640" s="2241"/>
      <c r="AF640" s="2211"/>
      <c r="AG640" s="2211"/>
      <c r="AH640" s="2241"/>
      <c r="AI640" s="2175"/>
      <c r="AJ640" s="2175"/>
      <c r="AK640" s="2175"/>
      <c r="AL640" s="2175"/>
      <c r="AM640" s="2175"/>
      <c r="AN640" s="2175"/>
      <c r="AO640" s="2175"/>
      <c r="AP640" s="2175"/>
      <c r="AQ640" s="2175"/>
      <c r="AR640" s="2175"/>
      <c r="AS640" s="2175"/>
      <c r="AT640" s="2175"/>
      <c r="AU640" s="2175"/>
      <c r="AV640" s="2175"/>
      <c r="AW640" s="2175"/>
      <c r="AX640" s="2175"/>
      <c r="AY640" s="2175"/>
      <c r="AZ640" s="2175"/>
      <c r="BA640" s="2175"/>
      <c r="BB640" s="2175"/>
      <c r="BC640" s="2175"/>
      <c r="BD640" s="2175"/>
    </row>
    <row r="641" spans="1:56" x14ac:dyDescent="0.25">
      <c r="A641" s="2220"/>
      <c r="B641" s="2195"/>
      <c r="C641" s="2021"/>
      <c r="D641" s="2021"/>
      <c r="E641" s="2021"/>
      <c r="F641" s="2021"/>
      <c r="G641" s="2180"/>
      <c r="H641" s="2214"/>
      <c r="I641" s="2021"/>
      <c r="J641" s="2021"/>
      <c r="K641" s="2173"/>
      <c r="L641" s="2187"/>
      <c r="M641" s="2180"/>
      <c r="N641" s="2217"/>
      <c r="O641" s="2021"/>
      <c r="P641" s="2021"/>
      <c r="Q641" s="2175"/>
      <c r="R641" s="2175"/>
      <c r="S641" s="2175"/>
      <c r="T641" s="2021"/>
      <c r="U641" s="1049" t="s">
        <v>874</v>
      </c>
      <c r="V641" s="715">
        <v>40908</v>
      </c>
      <c r="W641" s="1178">
        <v>10720</v>
      </c>
      <c r="X641" s="2252"/>
      <c r="Y641" s="715">
        <v>40908</v>
      </c>
      <c r="Z641" s="715">
        <v>41274</v>
      </c>
      <c r="AA641" s="95"/>
      <c r="AB641" s="95"/>
      <c r="AC641" s="1177">
        <v>36000</v>
      </c>
      <c r="AD641" s="95"/>
      <c r="AE641" s="2241"/>
      <c r="AF641" s="2211"/>
      <c r="AG641" s="2211"/>
      <c r="AH641" s="2241"/>
      <c r="AI641" s="2175"/>
      <c r="AJ641" s="2175"/>
      <c r="AK641" s="2175"/>
      <c r="AL641" s="2175"/>
      <c r="AM641" s="2175"/>
      <c r="AN641" s="2175"/>
      <c r="AO641" s="2175"/>
      <c r="AP641" s="2175"/>
      <c r="AQ641" s="2175"/>
      <c r="AR641" s="2175"/>
      <c r="AS641" s="2175"/>
      <c r="AT641" s="2175"/>
      <c r="AU641" s="2175"/>
      <c r="AV641" s="2175"/>
      <c r="AW641" s="2175"/>
      <c r="AX641" s="2175"/>
      <c r="AY641" s="2175"/>
      <c r="AZ641" s="2175"/>
      <c r="BA641" s="2175"/>
      <c r="BB641" s="2175"/>
      <c r="BC641" s="2175"/>
      <c r="BD641" s="2175"/>
    </row>
    <row r="642" spans="1:56" x14ac:dyDescent="0.25">
      <c r="A642" s="2220"/>
      <c r="B642" s="2195"/>
      <c r="C642" s="2021"/>
      <c r="D642" s="2021"/>
      <c r="E642" s="2021"/>
      <c r="F642" s="2021"/>
      <c r="G642" s="2180"/>
      <c r="H642" s="2214"/>
      <c r="I642" s="2021"/>
      <c r="J642" s="2021"/>
      <c r="K642" s="2173"/>
      <c r="L642" s="2187"/>
      <c r="M642" s="2180"/>
      <c r="N642" s="2217"/>
      <c r="O642" s="2021"/>
      <c r="P642" s="2021"/>
      <c r="Q642" s="2175"/>
      <c r="R642" s="2175"/>
      <c r="S642" s="2175"/>
      <c r="T642" s="2021"/>
      <c r="U642" s="1049" t="s">
        <v>876</v>
      </c>
      <c r="V642" s="715">
        <v>41274</v>
      </c>
      <c r="W642" s="1178">
        <v>10977</v>
      </c>
      <c r="X642" s="2252"/>
      <c r="Y642" s="715">
        <v>41274</v>
      </c>
      <c r="Z642" s="715">
        <v>41639</v>
      </c>
      <c r="AA642" s="95"/>
      <c r="AB642" s="95"/>
      <c r="AC642" s="1177">
        <v>36000</v>
      </c>
      <c r="AD642" s="95"/>
      <c r="AE642" s="2241"/>
      <c r="AF642" s="2211"/>
      <c r="AG642" s="2211"/>
      <c r="AH642" s="2241"/>
      <c r="AI642" s="2175"/>
      <c r="AJ642" s="2175"/>
      <c r="AK642" s="2175"/>
      <c r="AL642" s="2175"/>
      <c r="AM642" s="2175"/>
      <c r="AN642" s="2175"/>
      <c r="AO642" s="2175"/>
      <c r="AP642" s="2175"/>
      <c r="AQ642" s="2175"/>
      <c r="AR642" s="2175"/>
      <c r="AS642" s="2175"/>
      <c r="AT642" s="2175"/>
      <c r="AU642" s="2175"/>
      <c r="AV642" s="2175"/>
      <c r="AW642" s="2175"/>
      <c r="AX642" s="2175"/>
      <c r="AY642" s="2175"/>
      <c r="AZ642" s="2175"/>
      <c r="BA642" s="2175"/>
      <c r="BB642" s="2175"/>
      <c r="BC642" s="2175"/>
      <c r="BD642" s="2175"/>
    </row>
    <row r="643" spans="1:56" x14ac:dyDescent="0.25">
      <c r="A643" s="2220"/>
      <c r="B643" s="2195"/>
      <c r="C643" s="2021"/>
      <c r="D643" s="2021"/>
      <c r="E643" s="2021"/>
      <c r="F643" s="2021"/>
      <c r="G643" s="2180"/>
      <c r="H643" s="2214"/>
      <c r="I643" s="2021"/>
      <c r="J643" s="2021"/>
      <c r="K643" s="2173"/>
      <c r="L643" s="2187"/>
      <c r="M643" s="2180"/>
      <c r="N643" s="2217"/>
      <c r="O643" s="2021"/>
      <c r="P643" s="2021"/>
      <c r="Q643" s="2175"/>
      <c r="R643" s="2175"/>
      <c r="S643" s="2175"/>
      <c r="T643" s="2021"/>
      <c r="U643" s="1049" t="s">
        <v>879</v>
      </c>
      <c r="V643" s="1175">
        <v>41639</v>
      </c>
      <c r="W643" s="1178">
        <v>11215</v>
      </c>
      <c r="X643" s="2234"/>
      <c r="Y643" s="1175">
        <v>41639</v>
      </c>
      <c r="Z643" s="1429">
        <v>41943</v>
      </c>
      <c r="AA643" s="95"/>
      <c r="AB643" s="95"/>
      <c r="AC643" s="1177">
        <v>30000</v>
      </c>
      <c r="AD643" s="95"/>
      <c r="AE643" s="2241"/>
      <c r="AF643" s="2211"/>
      <c r="AG643" s="2211"/>
      <c r="AH643" s="2241"/>
      <c r="AI643" s="2175"/>
      <c r="AJ643" s="2175"/>
      <c r="AK643" s="2175"/>
      <c r="AL643" s="2175"/>
      <c r="AM643" s="2175"/>
      <c r="AN643" s="2175"/>
      <c r="AO643" s="2175"/>
      <c r="AP643" s="2175"/>
      <c r="AQ643" s="2175"/>
      <c r="AR643" s="2175"/>
      <c r="AS643" s="2175"/>
      <c r="AT643" s="2175"/>
      <c r="AU643" s="2175"/>
      <c r="AV643" s="2175"/>
      <c r="AW643" s="2175"/>
      <c r="AX643" s="2175"/>
      <c r="AY643" s="2175"/>
      <c r="AZ643" s="2175"/>
      <c r="BA643" s="2175"/>
      <c r="BB643" s="2175"/>
      <c r="BC643" s="2175"/>
      <c r="BD643" s="2175"/>
    </row>
    <row r="644" spans="1:56" ht="51" x14ac:dyDescent="0.25">
      <c r="A644" s="2221"/>
      <c r="B644" s="2196"/>
      <c r="C644" s="1986"/>
      <c r="D644" s="1986"/>
      <c r="E644" s="1986"/>
      <c r="F644" s="1986"/>
      <c r="G644" s="2178"/>
      <c r="H644" s="2215"/>
      <c r="I644" s="1986"/>
      <c r="J644" s="1986"/>
      <c r="K644" s="2174"/>
      <c r="L644" s="2003"/>
      <c r="M644" s="2178"/>
      <c r="N644" s="2218"/>
      <c r="O644" s="1986"/>
      <c r="P644" s="1986"/>
      <c r="Q644" s="2164"/>
      <c r="R644" s="2164"/>
      <c r="S644" s="2164"/>
      <c r="T644" s="1986"/>
      <c r="U644" s="1049" t="s">
        <v>1355</v>
      </c>
      <c r="V644" s="1175">
        <v>41729</v>
      </c>
      <c r="W644" s="1178">
        <v>11279</v>
      </c>
      <c r="X644" s="1126" t="s">
        <v>2643</v>
      </c>
      <c r="Y644" s="1175"/>
      <c r="Z644" s="1429"/>
      <c r="AA644" s="1049"/>
      <c r="AB644" s="1049"/>
      <c r="AC644" s="1177"/>
      <c r="AD644" s="95"/>
      <c r="AE644" s="2242"/>
      <c r="AF644" s="2212"/>
      <c r="AG644" s="2212"/>
      <c r="AH644" s="2242"/>
      <c r="AI644" s="2164"/>
      <c r="AJ644" s="2164"/>
      <c r="AK644" s="2164"/>
      <c r="AL644" s="2164"/>
      <c r="AM644" s="2164"/>
      <c r="AN644" s="2164"/>
      <c r="AO644" s="2164"/>
      <c r="AP644" s="2164"/>
      <c r="AQ644" s="2164"/>
      <c r="AR644" s="2164"/>
      <c r="AS644" s="2164"/>
      <c r="AT644" s="2164"/>
      <c r="AU644" s="2164"/>
      <c r="AV644" s="2164"/>
      <c r="AW644" s="2164"/>
      <c r="AX644" s="2164"/>
      <c r="AY644" s="2164"/>
      <c r="AZ644" s="2164"/>
      <c r="BA644" s="2164"/>
      <c r="BB644" s="2164"/>
      <c r="BC644" s="2164"/>
      <c r="BD644" s="2164"/>
    </row>
    <row r="645" spans="1:56" ht="25.5" x14ac:dyDescent="0.25">
      <c r="A645" s="2219">
        <v>321</v>
      </c>
      <c r="B645" s="2229">
        <v>121700032</v>
      </c>
      <c r="C645" s="2163"/>
      <c r="D645" s="2231" t="s">
        <v>2644</v>
      </c>
      <c r="E645" s="2163"/>
      <c r="F645" s="2231" t="s">
        <v>2645</v>
      </c>
      <c r="G645" s="2177" t="s">
        <v>677</v>
      </c>
      <c r="H645" s="2213" t="s">
        <v>998</v>
      </c>
      <c r="I645" s="2231" t="s">
        <v>2646</v>
      </c>
      <c r="J645" s="2163" t="s">
        <v>2647</v>
      </c>
      <c r="K645" s="2216">
        <v>41092</v>
      </c>
      <c r="L645" s="2210">
        <v>585304.67000000004</v>
      </c>
      <c r="M645" s="2177">
        <v>10833</v>
      </c>
      <c r="N645" s="2172">
        <v>41092</v>
      </c>
      <c r="O645" s="2172">
        <v>41457</v>
      </c>
      <c r="P645" s="95" t="s">
        <v>2648</v>
      </c>
      <c r="Q645" s="2163"/>
      <c r="R645" s="2163"/>
      <c r="S645" s="2163"/>
      <c r="T645" s="2163" t="s">
        <v>2649</v>
      </c>
      <c r="U645" s="95"/>
      <c r="V645" s="95"/>
      <c r="W645" s="1178"/>
      <c r="X645" s="95"/>
      <c r="Y645" s="1049"/>
      <c r="Z645" s="1049"/>
      <c r="AA645" s="95"/>
      <c r="AB645" s="95"/>
      <c r="AC645" s="1177"/>
      <c r="AD645" s="95"/>
      <c r="AE645" s="2240">
        <f>L645-AD645+AC645-AD646+AC646-AD647+AC647-AD648+AC648-AD649+AC649</f>
        <v>2092303.7300000002</v>
      </c>
      <c r="AF645" s="2210">
        <v>771935.7</v>
      </c>
      <c r="AG645" s="2210">
        <v>921915.72</v>
      </c>
      <c r="AH645" s="2240">
        <f>AF645+AG645</f>
        <v>1693851.42</v>
      </c>
      <c r="AI645" s="2163"/>
      <c r="AJ645" s="2163"/>
      <c r="AK645" s="2163"/>
      <c r="AL645" s="2163"/>
      <c r="AM645" s="2163"/>
      <c r="AN645" s="2163"/>
      <c r="AO645" s="2163"/>
      <c r="AP645" s="2163"/>
      <c r="AQ645" s="2163"/>
      <c r="AR645" s="2163"/>
      <c r="AS645" s="2163"/>
      <c r="AT645" s="2163"/>
      <c r="AU645" s="2163"/>
      <c r="AV645" s="2163"/>
      <c r="AW645" s="2163"/>
      <c r="AX645" s="2163"/>
      <c r="AY645" s="2163"/>
      <c r="AZ645" s="2163"/>
      <c r="BA645" s="2163"/>
      <c r="BB645" s="2163"/>
      <c r="BC645" s="2163"/>
      <c r="BD645" s="2163"/>
    </row>
    <row r="646" spans="1:56" ht="25.5" x14ac:dyDescent="0.25">
      <c r="A646" s="2220"/>
      <c r="B646" s="2247"/>
      <c r="C646" s="2175"/>
      <c r="D646" s="2251"/>
      <c r="E646" s="2175"/>
      <c r="F646" s="2251"/>
      <c r="G646" s="2180"/>
      <c r="H646" s="2214"/>
      <c r="I646" s="2251"/>
      <c r="J646" s="2175"/>
      <c r="K646" s="2217"/>
      <c r="L646" s="2211"/>
      <c r="M646" s="2180"/>
      <c r="N646" s="2173"/>
      <c r="O646" s="2173"/>
      <c r="P646" s="1049" t="s">
        <v>1308</v>
      </c>
      <c r="Q646" s="2175"/>
      <c r="R646" s="2175"/>
      <c r="S646" s="2175"/>
      <c r="T646" s="2175"/>
      <c r="U646" s="1049" t="s">
        <v>867</v>
      </c>
      <c r="V646" s="1175">
        <v>41092</v>
      </c>
      <c r="W646" s="1178">
        <v>10870</v>
      </c>
      <c r="X646" s="95" t="s">
        <v>2650</v>
      </c>
      <c r="Y646" s="1175">
        <v>41092</v>
      </c>
      <c r="Z646" s="1175">
        <v>41456</v>
      </c>
      <c r="AA646" s="95"/>
      <c r="AB646" s="95"/>
      <c r="AC646" s="1177">
        <v>185000</v>
      </c>
      <c r="AD646" s="95"/>
      <c r="AE646" s="2241"/>
      <c r="AF646" s="2211"/>
      <c r="AG646" s="2211"/>
      <c r="AH646" s="2175"/>
      <c r="AI646" s="2175"/>
      <c r="AJ646" s="2175"/>
      <c r="AK646" s="2175"/>
      <c r="AL646" s="2175"/>
      <c r="AM646" s="2175"/>
      <c r="AN646" s="2175"/>
      <c r="AO646" s="2175"/>
      <c r="AP646" s="2175"/>
      <c r="AQ646" s="2175"/>
      <c r="AR646" s="2175"/>
      <c r="AS646" s="2175"/>
      <c r="AT646" s="2175"/>
      <c r="AU646" s="2175"/>
      <c r="AV646" s="2175"/>
      <c r="AW646" s="2175"/>
      <c r="AX646" s="2175"/>
      <c r="AY646" s="2175"/>
      <c r="AZ646" s="2175"/>
      <c r="BA646" s="2175"/>
      <c r="BB646" s="2175"/>
      <c r="BC646" s="2175"/>
      <c r="BD646" s="2175"/>
    </row>
    <row r="647" spans="1:56" ht="25.5" x14ac:dyDescent="0.25">
      <c r="A647" s="2220"/>
      <c r="B647" s="2247"/>
      <c r="C647" s="2175"/>
      <c r="D647" s="2251"/>
      <c r="E647" s="2175"/>
      <c r="F647" s="2251"/>
      <c r="G647" s="2180"/>
      <c r="H647" s="2214"/>
      <c r="I647" s="2251"/>
      <c r="J647" s="2175"/>
      <c r="K647" s="2217"/>
      <c r="L647" s="2211"/>
      <c r="M647" s="2180"/>
      <c r="N647" s="2173"/>
      <c r="O647" s="2173"/>
      <c r="P647" s="2163" t="s">
        <v>2648</v>
      </c>
      <c r="Q647" s="2175"/>
      <c r="R647" s="2175"/>
      <c r="S647" s="2175"/>
      <c r="T647" s="2175"/>
      <c r="U647" s="1049" t="s">
        <v>871</v>
      </c>
      <c r="V647" s="1175">
        <v>41327</v>
      </c>
      <c r="W647" s="1178">
        <v>11004</v>
      </c>
      <c r="X647" s="95" t="s">
        <v>2651</v>
      </c>
      <c r="Y647" s="1175">
        <v>41455</v>
      </c>
      <c r="Z647" s="1175">
        <v>41516</v>
      </c>
      <c r="AA647" s="95"/>
      <c r="AB647" s="95"/>
      <c r="AC647" s="1177">
        <v>29800</v>
      </c>
      <c r="AD647" s="95"/>
      <c r="AE647" s="2241"/>
      <c r="AF647" s="2211"/>
      <c r="AG647" s="2211"/>
      <c r="AH647" s="2175"/>
      <c r="AI647" s="2175"/>
      <c r="AJ647" s="2175"/>
      <c r="AK647" s="2175"/>
      <c r="AL647" s="2175"/>
      <c r="AM647" s="2175"/>
      <c r="AN647" s="2175"/>
      <c r="AO647" s="2175"/>
      <c r="AP647" s="2175"/>
      <c r="AQ647" s="2175"/>
      <c r="AR647" s="2175"/>
      <c r="AS647" s="2175"/>
      <c r="AT647" s="2175"/>
      <c r="AU647" s="2175"/>
      <c r="AV647" s="2175"/>
      <c r="AW647" s="2175"/>
      <c r="AX647" s="2175"/>
      <c r="AY647" s="2175"/>
      <c r="AZ647" s="2175"/>
      <c r="BA647" s="2175"/>
      <c r="BB647" s="2175"/>
      <c r="BC647" s="2175"/>
      <c r="BD647" s="2175"/>
    </row>
    <row r="648" spans="1:56" ht="38.25" x14ac:dyDescent="0.25">
      <c r="A648" s="2220"/>
      <c r="B648" s="2247"/>
      <c r="C648" s="2175"/>
      <c r="D648" s="2251"/>
      <c r="E648" s="2175"/>
      <c r="F648" s="2251"/>
      <c r="G648" s="2180"/>
      <c r="H648" s="2214"/>
      <c r="I648" s="2251"/>
      <c r="J648" s="2175"/>
      <c r="K648" s="2217"/>
      <c r="L648" s="2211"/>
      <c r="M648" s="2180"/>
      <c r="N648" s="2173"/>
      <c r="O648" s="2173"/>
      <c r="P648" s="2175"/>
      <c r="Q648" s="2175"/>
      <c r="R648" s="2175"/>
      <c r="S648" s="2175"/>
      <c r="T648" s="2175"/>
      <c r="U648" s="1049" t="s">
        <v>874</v>
      </c>
      <c r="V648" s="1175">
        <v>41484</v>
      </c>
      <c r="W648" s="1178">
        <v>11100</v>
      </c>
      <c r="X648" s="95" t="s">
        <v>2652</v>
      </c>
      <c r="Y648" s="1175">
        <v>41516</v>
      </c>
      <c r="Z648" s="1175">
        <v>41639</v>
      </c>
      <c r="AA648" s="95"/>
      <c r="AB648" s="95"/>
      <c r="AC648" s="1177">
        <v>370283.26</v>
      </c>
      <c r="AD648" s="95"/>
      <c r="AE648" s="2241"/>
      <c r="AF648" s="2211"/>
      <c r="AG648" s="2211"/>
      <c r="AH648" s="2175"/>
      <c r="AI648" s="2175"/>
      <c r="AJ648" s="2175"/>
      <c r="AK648" s="2175"/>
      <c r="AL648" s="2175"/>
      <c r="AM648" s="2175"/>
      <c r="AN648" s="2175"/>
      <c r="AO648" s="2175"/>
      <c r="AP648" s="2175"/>
      <c r="AQ648" s="2175"/>
      <c r="AR648" s="2175"/>
      <c r="AS648" s="2175"/>
      <c r="AT648" s="2175"/>
      <c r="AU648" s="2175"/>
      <c r="AV648" s="2175"/>
      <c r="AW648" s="2175"/>
      <c r="AX648" s="2175"/>
      <c r="AY648" s="2175"/>
      <c r="AZ648" s="2175"/>
      <c r="BA648" s="2175"/>
      <c r="BB648" s="2175"/>
      <c r="BC648" s="2175"/>
      <c r="BD648" s="2175"/>
    </row>
    <row r="649" spans="1:56" ht="38.25" x14ac:dyDescent="0.25">
      <c r="A649" s="2221"/>
      <c r="B649" s="2230"/>
      <c r="C649" s="2164"/>
      <c r="D649" s="2232"/>
      <c r="E649" s="2164"/>
      <c r="F649" s="2232"/>
      <c r="G649" s="2178"/>
      <c r="H649" s="2215"/>
      <c r="I649" s="2232"/>
      <c r="J649" s="2164"/>
      <c r="K649" s="2218"/>
      <c r="L649" s="2212"/>
      <c r="M649" s="2178"/>
      <c r="N649" s="2174"/>
      <c r="O649" s="2174"/>
      <c r="P649" s="2164"/>
      <c r="Q649" s="2164"/>
      <c r="R649" s="2164"/>
      <c r="S649" s="2164"/>
      <c r="T649" s="2164"/>
      <c r="U649" s="1049" t="s">
        <v>876</v>
      </c>
      <c r="V649" s="1175">
        <v>41638</v>
      </c>
      <c r="W649" s="1178">
        <v>11221</v>
      </c>
      <c r="X649" s="95" t="s">
        <v>2653</v>
      </c>
      <c r="Y649" s="1175">
        <v>41639</v>
      </c>
      <c r="Z649" s="1175">
        <v>42003</v>
      </c>
      <c r="AA649" s="95"/>
      <c r="AB649" s="95"/>
      <c r="AC649" s="1177">
        <v>921915.8</v>
      </c>
      <c r="AD649" s="95"/>
      <c r="AE649" s="2242"/>
      <c r="AF649" s="2211"/>
      <c r="AG649" s="2212"/>
      <c r="AH649" s="2164"/>
      <c r="AI649" s="2164"/>
      <c r="AJ649" s="2164"/>
      <c r="AK649" s="2164"/>
      <c r="AL649" s="2164"/>
      <c r="AM649" s="2164"/>
      <c r="AN649" s="2164"/>
      <c r="AO649" s="2164"/>
      <c r="AP649" s="2164"/>
      <c r="AQ649" s="2164"/>
      <c r="AR649" s="2164"/>
      <c r="AS649" s="2164"/>
      <c r="AT649" s="2164"/>
      <c r="AU649" s="2164"/>
      <c r="AV649" s="2164"/>
      <c r="AW649" s="2164"/>
      <c r="AX649" s="2164"/>
      <c r="AY649" s="2164"/>
      <c r="AZ649" s="2164"/>
      <c r="BA649" s="2164"/>
      <c r="BB649" s="2164"/>
      <c r="BC649" s="2164"/>
      <c r="BD649" s="2164"/>
    </row>
    <row r="650" spans="1:56" ht="45" customHeight="1" x14ac:dyDescent="0.25">
      <c r="A650" s="2219">
        <v>322</v>
      </c>
      <c r="B650" s="2194">
        <v>122410017</v>
      </c>
      <c r="C650" s="2163"/>
      <c r="D650" s="1985" t="s">
        <v>690</v>
      </c>
      <c r="E650" s="2163"/>
      <c r="F650" s="2002" t="s">
        <v>2654</v>
      </c>
      <c r="G650" s="2177" t="s">
        <v>677</v>
      </c>
      <c r="H650" s="2213" t="s">
        <v>950</v>
      </c>
      <c r="I650" s="1985" t="s">
        <v>2655</v>
      </c>
      <c r="J650" s="2235" t="s">
        <v>2656</v>
      </c>
      <c r="K650" s="2244">
        <v>41274</v>
      </c>
      <c r="L650" s="2002">
        <v>40800</v>
      </c>
      <c r="M650" s="1994">
        <v>10984</v>
      </c>
      <c r="N650" s="2244">
        <v>41274</v>
      </c>
      <c r="O650" s="1996">
        <v>41639</v>
      </c>
      <c r="P650" s="1985" t="s">
        <v>1308</v>
      </c>
      <c r="Q650" s="2163"/>
      <c r="R650" s="2163"/>
      <c r="S650" s="2163"/>
      <c r="T650" s="1985" t="s">
        <v>685</v>
      </c>
      <c r="U650" s="1049" t="s">
        <v>867</v>
      </c>
      <c r="V650" s="1175">
        <v>41639</v>
      </c>
      <c r="W650" s="1178">
        <v>11215</v>
      </c>
      <c r="X650" s="95" t="s">
        <v>2378</v>
      </c>
      <c r="Y650" s="1175">
        <v>41639</v>
      </c>
      <c r="Z650" s="1175">
        <v>42004</v>
      </c>
      <c r="AA650" s="1049">
        <v>5.5882300000000003</v>
      </c>
      <c r="AB650" s="1049"/>
      <c r="AC650" s="1177">
        <v>43080</v>
      </c>
      <c r="AD650" s="95"/>
      <c r="AE650" s="2210">
        <f>L650-AD650+AC650-AD651+AC651</f>
        <v>83880</v>
      </c>
      <c r="AF650" s="2210">
        <v>40800</v>
      </c>
      <c r="AG650" s="2210">
        <v>34823.07</v>
      </c>
      <c r="AH650" s="2210">
        <f>AF650+AG650</f>
        <v>75623.070000000007</v>
      </c>
      <c r="AI650" s="2225"/>
      <c r="AJ650" s="2225"/>
      <c r="AK650" s="2163"/>
      <c r="AL650" s="2163"/>
      <c r="AM650" s="2163" t="s">
        <v>1311</v>
      </c>
      <c r="AN650" s="1985" t="s">
        <v>1312</v>
      </c>
      <c r="AO650" s="1994">
        <v>10973</v>
      </c>
      <c r="AP650" s="1996">
        <v>41296</v>
      </c>
      <c r="AQ650" s="1994">
        <v>10974</v>
      </c>
      <c r="AR650" s="1996">
        <v>41297</v>
      </c>
      <c r="AS650" s="1049"/>
      <c r="AT650" s="1049"/>
      <c r="AU650" s="1049"/>
      <c r="AV650" s="1049"/>
      <c r="AW650" s="1049"/>
      <c r="AX650" s="1049"/>
      <c r="AY650" s="1049"/>
      <c r="AZ650" s="1049"/>
      <c r="BA650" s="1049"/>
      <c r="BB650" s="1049"/>
      <c r="BC650" s="1049"/>
      <c r="BD650" s="1049"/>
    </row>
    <row r="651" spans="1:56" s="239" customFormat="1" ht="63.75" x14ac:dyDescent="0.25">
      <c r="A651" s="2221"/>
      <c r="B651" s="2196"/>
      <c r="C651" s="2164"/>
      <c r="D651" s="1986"/>
      <c r="E651" s="2164"/>
      <c r="F651" s="2003"/>
      <c r="G651" s="2178"/>
      <c r="H651" s="2215"/>
      <c r="I651" s="1986"/>
      <c r="J651" s="2236"/>
      <c r="K651" s="2246"/>
      <c r="L651" s="2003"/>
      <c r="M651" s="1995"/>
      <c r="N651" s="2246"/>
      <c r="O651" s="1997"/>
      <c r="P651" s="1986"/>
      <c r="Q651" s="2164"/>
      <c r="R651" s="2164"/>
      <c r="S651" s="2164"/>
      <c r="T651" s="1986"/>
      <c r="U651" s="1049" t="s">
        <v>1355</v>
      </c>
      <c r="V651" s="1175">
        <v>41935</v>
      </c>
      <c r="W651" s="1178">
        <v>11425</v>
      </c>
      <c r="X651" s="727" t="s">
        <v>2657</v>
      </c>
      <c r="Y651" s="1175"/>
      <c r="Z651" s="1175"/>
      <c r="AA651" s="1049"/>
      <c r="AB651" s="1049"/>
      <c r="AC651" s="1177"/>
      <c r="AD651" s="95"/>
      <c r="AE651" s="2212"/>
      <c r="AF651" s="2212"/>
      <c r="AG651" s="2212"/>
      <c r="AH651" s="2212"/>
      <c r="AI651" s="2226"/>
      <c r="AJ651" s="2226"/>
      <c r="AK651" s="2164"/>
      <c r="AL651" s="2164"/>
      <c r="AM651" s="2164"/>
      <c r="AN651" s="1986"/>
      <c r="AO651" s="1995"/>
      <c r="AP651" s="1997"/>
      <c r="AQ651" s="1995"/>
      <c r="AR651" s="1997"/>
      <c r="AS651" s="1049"/>
      <c r="AT651" s="1049"/>
      <c r="AU651" s="1049"/>
      <c r="AV651" s="1049"/>
      <c r="AW651" s="1049"/>
      <c r="AX651" s="1049"/>
      <c r="AY651" s="1049"/>
      <c r="AZ651" s="1049"/>
      <c r="BA651" s="1049"/>
      <c r="BB651" s="1049"/>
      <c r="BC651" s="1049"/>
      <c r="BD651" s="1049"/>
    </row>
    <row r="652" spans="1:56" ht="21" customHeight="1" x14ac:dyDescent="0.25">
      <c r="A652" s="2219">
        <v>323</v>
      </c>
      <c r="B652" s="2194">
        <v>121770006</v>
      </c>
      <c r="C652" s="2163"/>
      <c r="D652" s="1985" t="s">
        <v>690</v>
      </c>
      <c r="E652" s="2163"/>
      <c r="F652" s="2002" t="s">
        <v>2658</v>
      </c>
      <c r="G652" s="2163" t="s">
        <v>677</v>
      </c>
      <c r="H652" s="2213" t="s">
        <v>1570</v>
      </c>
      <c r="I652" s="1985" t="s">
        <v>2659</v>
      </c>
      <c r="J652" s="2235" t="s">
        <v>2660</v>
      </c>
      <c r="K652" s="2244">
        <v>41297</v>
      </c>
      <c r="L652" s="2002">
        <v>12309</v>
      </c>
      <c r="M652" s="1994">
        <v>10985</v>
      </c>
      <c r="N652" s="1996">
        <v>41297</v>
      </c>
      <c r="O652" s="1996">
        <v>41639</v>
      </c>
      <c r="P652" s="1985" t="s">
        <v>1308</v>
      </c>
      <c r="Q652" s="2163"/>
      <c r="R652" s="2163"/>
      <c r="S652" s="2163"/>
      <c r="T652" s="1985" t="s">
        <v>696</v>
      </c>
      <c r="U652" s="1049" t="s">
        <v>867</v>
      </c>
      <c r="V652" s="1175">
        <v>41639</v>
      </c>
      <c r="W652" s="1178">
        <v>11215</v>
      </c>
      <c r="X652" s="2231" t="s">
        <v>2378</v>
      </c>
      <c r="Y652" s="1175">
        <v>41639</v>
      </c>
      <c r="Z652" s="1175">
        <v>42004</v>
      </c>
      <c r="AA652" s="1049"/>
      <c r="AB652" s="1177"/>
      <c r="AC652" s="1177">
        <v>13428</v>
      </c>
      <c r="AD652" s="1049"/>
      <c r="AE652" s="2210">
        <f>L652-AD652+AC652-AD653+AC653-AD654+AC654</f>
        <v>40614</v>
      </c>
      <c r="AF652" s="2210">
        <v>12309</v>
      </c>
      <c r="AG652" s="2210">
        <v>14121</v>
      </c>
      <c r="AH652" s="2210">
        <f>AF652+AG652</f>
        <v>26430</v>
      </c>
      <c r="AI652" s="2225"/>
      <c r="AJ652" s="2225"/>
      <c r="AK652" s="2163"/>
      <c r="AL652" s="727"/>
      <c r="AM652" s="2163" t="s">
        <v>1311</v>
      </c>
      <c r="AN652" s="1985" t="s">
        <v>1312</v>
      </c>
      <c r="AO652" s="1994">
        <v>10994</v>
      </c>
      <c r="AP652" s="1996">
        <v>41330</v>
      </c>
      <c r="AQ652" s="1994">
        <v>11003</v>
      </c>
      <c r="AR652" s="1996">
        <v>41340</v>
      </c>
      <c r="AS652" s="2163"/>
      <c r="AT652" s="2163"/>
      <c r="AU652" s="2163"/>
      <c r="AV652" s="2163"/>
      <c r="AW652" s="2163"/>
      <c r="AX652" s="2163"/>
      <c r="AY652" s="2163"/>
      <c r="AZ652" s="2163"/>
      <c r="BA652" s="2163"/>
      <c r="BB652" s="2163"/>
      <c r="BC652" s="2163"/>
      <c r="BD652" s="2163"/>
    </row>
    <row r="653" spans="1:56" ht="24" customHeight="1" x14ac:dyDescent="0.25">
      <c r="A653" s="2220"/>
      <c r="B653" s="2195"/>
      <c r="C653" s="2175"/>
      <c r="D653" s="2021"/>
      <c r="E653" s="2175"/>
      <c r="F653" s="2187"/>
      <c r="G653" s="2175"/>
      <c r="H653" s="2214"/>
      <c r="I653" s="2021"/>
      <c r="J653" s="2243"/>
      <c r="K653" s="2245"/>
      <c r="L653" s="2187"/>
      <c r="M653" s="2197"/>
      <c r="N653" s="2033"/>
      <c r="O653" s="2033"/>
      <c r="P653" s="2021"/>
      <c r="Q653" s="2175"/>
      <c r="R653" s="2175"/>
      <c r="S653" s="2175"/>
      <c r="T653" s="2021"/>
      <c r="U653" s="1049" t="s">
        <v>871</v>
      </c>
      <c r="V653" s="1175">
        <v>41687</v>
      </c>
      <c r="W653" s="1178">
        <v>11250</v>
      </c>
      <c r="X653" s="2232"/>
      <c r="Y653" s="1175" t="s">
        <v>2661</v>
      </c>
      <c r="Z653" s="1175">
        <v>42004</v>
      </c>
      <c r="AA653" s="1049">
        <v>5.63</v>
      </c>
      <c r="AB653" s="1177"/>
      <c r="AC653" s="1177">
        <v>693</v>
      </c>
      <c r="AD653" s="1049"/>
      <c r="AE653" s="2211"/>
      <c r="AF653" s="2211"/>
      <c r="AG653" s="2211"/>
      <c r="AH653" s="2211"/>
      <c r="AI653" s="2239"/>
      <c r="AJ653" s="2239"/>
      <c r="AK653" s="2175"/>
      <c r="AL653" s="1414"/>
      <c r="AM653" s="2175"/>
      <c r="AN653" s="2021"/>
      <c r="AO653" s="2197"/>
      <c r="AP653" s="2033"/>
      <c r="AQ653" s="2197"/>
      <c r="AR653" s="2033"/>
      <c r="AS653" s="2175"/>
      <c r="AT653" s="2175"/>
      <c r="AU653" s="2175"/>
      <c r="AV653" s="2175"/>
      <c r="AW653" s="2175"/>
      <c r="AX653" s="2175"/>
      <c r="AY653" s="2175"/>
      <c r="AZ653" s="2175"/>
      <c r="BA653" s="2175"/>
      <c r="BB653" s="2175"/>
      <c r="BC653" s="2175"/>
      <c r="BD653" s="2175"/>
    </row>
    <row r="654" spans="1:56" ht="79.5" customHeight="1" x14ac:dyDescent="0.25">
      <c r="A654" s="2221"/>
      <c r="B654" s="2196"/>
      <c r="C654" s="2164"/>
      <c r="D654" s="1986"/>
      <c r="E654" s="2164"/>
      <c r="F654" s="2003"/>
      <c r="G654" s="2164"/>
      <c r="H654" s="2215"/>
      <c r="I654" s="1986"/>
      <c r="J654" s="2236"/>
      <c r="K654" s="2246"/>
      <c r="L654" s="2003"/>
      <c r="M654" s="1995"/>
      <c r="N654" s="1997"/>
      <c r="O654" s="1997"/>
      <c r="P654" s="1986"/>
      <c r="Q654" s="2164"/>
      <c r="R654" s="2164"/>
      <c r="S654" s="2164"/>
      <c r="T654" s="1986"/>
      <c r="U654" s="1049" t="s">
        <v>874</v>
      </c>
      <c r="V654" s="1175">
        <v>41988</v>
      </c>
      <c r="W654" s="1178">
        <v>11461</v>
      </c>
      <c r="X654" s="1173" t="s">
        <v>2662</v>
      </c>
      <c r="Y654" s="1175">
        <v>42004</v>
      </c>
      <c r="Z654" s="1175">
        <v>42369</v>
      </c>
      <c r="AA654" s="1049"/>
      <c r="AB654" s="1177"/>
      <c r="AC654" s="1177">
        <v>14184</v>
      </c>
      <c r="AD654" s="1049"/>
      <c r="AE654" s="2212"/>
      <c r="AF654" s="2212"/>
      <c r="AG654" s="2212"/>
      <c r="AH654" s="2212"/>
      <c r="AI654" s="2226"/>
      <c r="AJ654" s="2226"/>
      <c r="AK654" s="2164"/>
      <c r="AL654" s="717"/>
      <c r="AM654" s="2164"/>
      <c r="AN654" s="1986"/>
      <c r="AO654" s="1995"/>
      <c r="AP654" s="1997"/>
      <c r="AQ654" s="1995"/>
      <c r="AR654" s="1997"/>
      <c r="AS654" s="2164"/>
      <c r="AT654" s="2164"/>
      <c r="AU654" s="2164"/>
      <c r="AV654" s="2164"/>
      <c r="AW654" s="2164"/>
      <c r="AX654" s="2164"/>
      <c r="AY654" s="2164"/>
      <c r="AZ654" s="2164"/>
      <c r="BA654" s="2164"/>
      <c r="BB654" s="2164"/>
      <c r="BC654" s="2164"/>
      <c r="BD654" s="2164"/>
    </row>
    <row r="655" spans="1:56" ht="45" customHeight="1" x14ac:dyDescent="0.25">
      <c r="A655" s="2219">
        <v>324</v>
      </c>
      <c r="B655" s="2194">
        <v>123190144</v>
      </c>
      <c r="C655" s="2163"/>
      <c r="D655" s="1985" t="s">
        <v>690</v>
      </c>
      <c r="E655" s="2163"/>
      <c r="F655" s="2002" t="s">
        <v>2663</v>
      </c>
      <c r="G655" s="2177" t="s">
        <v>677</v>
      </c>
      <c r="H655" s="2213" t="s">
        <v>1639</v>
      </c>
      <c r="I655" s="1985" t="s">
        <v>2664</v>
      </c>
      <c r="J655" s="2235" t="s">
        <v>2665</v>
      </c>
      <c r="K655" s="2244">
        <v>41303</v>
      </c>
      <c r="L655" s="2002">
        <v>14400</v>
      </c>
      <c r="M655" s="1994">
        <v>10981</v>
      </c>
      <c r="N655" s="1996">
        <v>41303</v>
      </c>
      <c r="O655" s="1996">
        <v>41639</v>
      </c>
      <c r="P655" s="1985" t="s">
        <v>1308</v>
      </c>
      <c r="Q655" s="2163"/>
      <c r="R655" s="2163"/>
      <c r="S655" s="2163"/>
      <c r="T655" s="1985" t="s">
        <v>696</v>
      </c>
      <c r="U655" s="1049" t="s">
        <v>867</v>
      </c>
      <c r="V655" s="1175">
        <v>41639</v>
      </c>
      <c r="W655" s="1178">
        <v>11215</v>
      </c>
      <c r="X655" s="95" t="s">
        <v>2378</v>
      </c>
      <c r="Y655" s="1175">
        <v>41639</v>
      </c>
      <c r="Z655" s="1175">
        <v>42004</v>
      </c>
      <c r="AA655" s="1049"/>
      <c r="AB655" s="1049"/>
      <c r="AC655" s="1177">
        <v>14400</v>
      </c>
      <c r="AD655" s="1049"/>
      <c r="AE655" s="2210">
        <f>L655-AD655+AC655-AD656+AC656-AD657+AC657</f>
        <v>44764</v>
      </c>
      <c r="AF655" s="2210">
        <v>13200</v>
      </c>
      <c r="AG655" s="2210">
        <v>15148</v>
      </c>
      <c r="AH655" s="2210">
        <f>AF655+AG655</f>
        <v>28348</v>
      </c>
      <c r="AI655" s="2225"/>
      <c r="AJ655" s="2225"/>
      <c r="AK655" s="2163"/>
      <c r="AL655" s="2163"/>
      <c r="AM655" s="2163" t="s">
        <v>1311</v>
      </c>
      <c r="AN655" s="1985" t="s">
        <v>1312</v>
      </c>
      <c r="AO655" s="1994">
        <v>10972</v>
      </c>
      <c r="AP655" s="1996">
        <v>41295</v>
      </c>
      <c r="AQ655" s="1994">
        <v>10973</v>
      </c>
      <c r="AR655" s="1996">
        <v>41296</v>
      </c>
      <c r="AS655" s="2163"/>
      <c r="AT655" s="2163"/>
      <c r="AU655" s="2163"/>
      <c r="AV655" s="2163"/>
      <c r="AW655" s="2163"/>
      <c r="AX655" s="2163"/>
      <c r="AY655" s="2163"/>
      <c r="AZ655" s="2163"/>
      <c r="BA655" s="2163"/>
      <c r="BB655" s="2163"/>
      <c r="BC655" s="2163"/>
      <c r="BD655" s="2163"/>
    </row>
    <row r="656" spans="1:56" ht="63.75" x14ac:dyDescent="0.25">
      <c r="A656" s="2220"/>
      <c r="B656" s="2195"/>
      <c r="C656" s="2175"/>
      <c r="D656" s="2021"/>
      <c r="E656" s="2175"/>
      <c r="F656" s="2187"/>
      <c r="G656" s="2180"/>
      <c r="H656" s="2214"/>
      <c r="I656" s="2021"/>
      <c r="J656" s="2243"/>
      <c r="K656" s="2245"/>
      <c r="L656" s="2187"/>
      <c r="M656" s="2197"/>
      <c r="N656" s="2033"/>
      <c r="O656" s="2033"/>
      <c r="P656" s="2021"/>
      <c r="Q656" s="2175"/>
      <c r="R656" s="2175"/>
      <c r="S656" s="2175"/>
      <c r="T656" s="2021"/>
      <c r="U656" s="1049" t="s">
        <v>871</v>
      </c>
      <c r="V656" s="1175">
        <v>41687</v>
      </c>
      <c r="W656" s="1178">
        <v>11251</v>
      </c>
      <c r="X656" s="95" t="s">
        <v>2666</v>
      </c>
      <c r="Y656" s="1175"/>
      <c r="Z656" s="1175"/>
      <c r="AA656" s="1049">
        <v>5.67</v>
      </c>
      <c r="AB656" s="1049"/>
      <c r="AC656" s="1177">
        <v>748</v>
      </c>
      <c r="AD656" s="1049"/>
      <c r="AE656" s="2211"/>
      <c r="AF656" s="2211"/>
      <c r="AG656" s="2211"/>
      <c r="AH656" s="2211"/>
      <c r="AI656" s="2239"/>
      <c r="AJ656" s="2239"/>
      <c r="AK656" s="2175"/>
      <c r="AL656" s="2175"/>
      <c r="AM656" s="2175"/>
      <c r="AN656" s="2021"/>
      <c r="AO656" s="2197"/>
      <c r="AP656" s="2033"/>
      <c r="AQ656" s="2197"/>
      <c r="AR656" s="2033"/>
      <c r="AS656" s="2175"/>
      <c r="AT656" s="2175"/>
      <c r="AU656" s="2175"/>
      <c r="AV656" s="2175"/>
      <c r="AW656" s="2175"/>
      <c r="AX656" s="2175"/>
      <c r="AY656" s="2175"/>
      <c r="AZ656" s="2175"/>
      <c r="BA656" s="2175"/>
      <c r="BB656" s="2175"/>
      <c r="BC656" s="2175"/>
      <c r="BD656" s="2175"/>
    </row>
    <row r="657" spans="1:56" ht="51" x14ac:dyDescent="0.25">
      <c r="A657" s="2221"/>
      <c r="B657" s="2196"/>
      <c r="C657" s="2164"/>
      <c r="D657" s="1986"/>
      <c r="E657" s="2164"/>
      <c r="F657" s="2003"/>
      <c r="G657" s="2178"/>
      <c r="H657" s="2215"/>
      <c r="I657" s="1986"/>
      <c r="J657" s="2236"/>
      <c r="K657" s="2246"/>
      <c r="L657" s="2003"/>
      <c r="M657" s="1995"/>
      <c r="N657" s="1997"/>
      <c r="O657" s="1997"/>
      <c r="P657" s="1986"/>
      <c r="Q657" s="2164"/>
      <c r="R657" s="2164"/>
      <c r="S657" s="2164"/>
      <c r="T657" s="1986"/>
      <c r="U657" s="1049" t="s">
        <v>874</v>
      </c>
      <c r="V657" s="1175">
        <v>41988</v>
      </c>
      <c r="W657" s="1178">
        <v>11460</v>
      </c>
      <c r="X657" s="95" t="s">
        <v>2667</v>
      </c>
      <c r="Y657" s="1175">
        <v>42004</v>
      </c>
      <c r="Z657" s="1175">
        <v>42369</v>
      </c>
      <c r="AA657" s="1049"/>
      <c r="AB657" s="1049"/>
      <c r="AC657" s="1177">
        <v>15216</v>
      </c>
      <c r="AD657" s="1049"/>
      <c r="AE657" s="2212"/>
      <c r="AF657" s="2212"/>
      <c r="AG657" s="2212"/>
      <c r="AH657" s="2212"/>
      <c r="AI657" s="2226"/>
      <c r="AJ657" s="2226"/>
      <c r="AK657" s="2164"/>
      <c r="AL657" s="2164"/>
      <c r="AM657" s="2164"/>
      <c r="AN657" s="1986"/>
      <c r="AO657" s="1995"/>
      <c r="AP657" s="1997"/>
      <c r="AQ657" s="1995"/>
      <c r="AR657" s="1997"/>
      <c r="AS657" s="2164"/>
      <c r="AT657" s="2164"/>
      <c r="AU657" s="2164"/>
      <c r="AV657" s="2164"/>
      <c r="AW657" s="2164"/>
      <c r="AX657" s="2164"/>
      <c r="AY657" s="2164"/>
      <c r="AZ657" s="2164"/>
      <c r="BA657" s="2164"/>
      <c r="BB657" s="2164"/>
      <c r="BC657" s="2164"/>
      <c r="BD657" s="2164"/>
    </row>
    <row r="658" spans="1:56" x14ac:dyDescent="0.25">
      <c r="A658" s="2219">
        <v>325</v>
      </c>
      <c r="B658" s="2229" t="s">
        <v>2668</v>
      </c>
      <c r="C658" s="2248" t="s">
        <v>2669</v>
      </c>
      <c r="D658" s="2231" t="s">
        <v>2670</v>
      </c>
      <c r="E658" s="2163" t="s">
        <v>168</v>
      </c>
      <c r="F658" s="2163" t="s">
        <v>2671</v>
      </c>
      <c r="G658" s="2177">
        <v>10792</v>
      </c>
      <c r="H658" s="2213" t="s">
        <v>925</v>
      </c>
      <c r="I658" s="2163" t="s">
        <v>2672</v>
      </c>
      <c r="J658" s="2163" t="s">
        <v>927</v>
      </c>
      <c r="K658" s="2216">
        <v>41071</v>
      </c>
      <c r="L658" s="2210">
        <v>285288.06</v>
      </c>
      <c r="M658" s="2177">
        <v>10849</v>
      </c>
      <c r="N658" s="2216">
        <v>41071</v>
      </c>
      <c r="O658" s="2172">
        <v>41274</v>
      </c>
      <c r="P658" s="1985" t="s">
        <v>2334</v>
      </c>
      <c r="Q658" s="2163"/>
      <c r="R658" s="2163"/>
      <c r="S658" s="2163"/>
      <c r="T658" s="2163" t="s">
        <v>2673</v>
      </c>
      <c r="U658" s="1049" t="s">
        <v>867</v>
      </c>
      <c r="V658" s="1175">
        <v>41270</v>
      </c>
      <c r="W658" s="1178">
        <v>10961</v>
      </c>
      <c r="X658" s="95" t="s">
        <v>2674</v>
      </c>
      <c r="Y658" s="1175">
        <v>41270</v>
      </c>
      <c r="Z658" s="1175">
        <v>41455</v>
      </c>
      <c r="AA658" s="95"/>
      <c r="AB658" s="95"/>
      <c r="AC658" s="1177">
        <f>42793*6</f>
        <v>256758</v>
      </c>
      <c r="AD658" s="95"/>
      <c r="AE658" s="2240">
        <f>L658-AD658+AC658-AD659+AC659-AD660+AC660-AD661+AC661</f>
        <v>1312320.06</v>
      </c>
      <c r="AF658" s="2210">
        <v>470721.59</v>
      </c>
      <c r="AG658" s="2210">
        <v>470723</v>
      </c>
      <c r="AH658" s="2210">
        <f>AF658+AG658</f>
        <v>941444.59000000008</v>
      </c>
      <c r="AI658" s="2210"/>
      <c r="AJ658" s="2210"/>
      <c r="AK658" s="2210"/>
      <c r="AL658" s="2210"/>
      <c r="AM658" s="2210"/>
      <c r="AN658" s="2210"/>
      <c r="AO658" s="2210"/>
      <c r="AP658" s="2210"/>
      <c r="AQ658" s="2210"/>
      <c r="AR658" s="2210"/>
      <c r="AS658" s="2210"/>
      <c r="AT658" s="2210"/>
      <c r="AU658" s="2210"/>
      <c r="AV658" s="2210"/>
      <c r="AW658" s="2210"/>
      <c r="AX658" s="2210"/>
      <c r="AY658" s="2210"/>
      <c r="AZ658" s="2210"/>
      <c r="BA658" s="2210"/>
      <c r="BB658" s="2210"/>
      <c r="BC658" s="2210"/>
      <c r="BD658" s="2210"/>
    </row>
    <row r="659" spans="1:56" x14ac:dyDescent="0.25">
      <c r="A659" s="2220"/>
      <c r="B659" s="2247"/>
      <c r="C659" s="2249"/>
      <c r="D659" s="2251"/>
      <c r="E659" s="2175"/>
      <c r="F659" s="2175"/>
      <c r="G659" s="2180"/>
      <c r="H659" s="2214"/>
      <c r="I659" s="2175"/>
      <c r="J659" s="2175"/>
      <c r="K659" s="2217"/>
      <c r="L659" s="2211"/>
      <c r="M659" s="2180"/>
      <c r="N659" s="2217"/>
      <c r="O659" s="2173"/>
      <c r="P659" s="1986"/>
      <c r="Q659" s="2175"/>
      <c r="R659" s="2175"/>
      <c r="S659" s="2175"/>
      <c r="T659" s="2175"/>
      <c r="U659" s="1049" t="s">
        <v>871</v>
      </c>
      <c r="V659" s="1175">
        <v>41453</v>
      </c>
      <c r="W659" s="1178">
        <v>11111</v>
      </c>
      <c r="X659" s="95" t="s">
        <v>2675</v>
      </c>
      <c r="Y659" s="1430">
        <v>41455</v>
      </c>
      <c r="Z659" s="1175">
        <v>41638</v>
      </c>
      <c r="AA659" s="95"/>
      <c r="AB659" s="95"/>
      <c r="AC659" s="1177">
        <f>42793*6</f>
        <v>256758</v>
      </c>
      <c r="AD659" s="95"/>
      <c r="AE659" s="2241"/>
      <c r="AF659" s="2211"/>
      <c r="AG659" s="2211"/>
      <c r="AH659" s="2211"/>
      <c r="AI659" s="2211"/>
      <c r="AJ659" s="2211"/>
      <c r="AK659" s="2211"/>
      <c r="AL659" s="2211"/>
      <c r="AM659" s="2211"/>
      <c r="AN659" s="2211"/>
      <c r="AO659" s="2211"/>
      <c r="AP659" s="2211"/>
      <c r="AQ659" s="2211"/>
      <c r="AR659" s="2211"/>
      <c r="AS659" s="2211"/>
      <c r="AT659" s="2211"/>
      <c r="AU659" s="2211"/>
      <c r="AV659" s="2211"/>
      <c r="AW659" s="2211"/>
      <c r="AX659" s="2211"/>
      <c r="AY659" s="2211"/>
      <c r="AZ659" s="2211"/>
      <c r="BA659" s="2211"/>
      <c r="BB659" s="2211"/>
      <c r="BC659" s="2211"/>
      <c r="BD659" s="2211"/>
    </row>
    <row r="660" spans="1:56" x14ac:dyDescent="0.25">
      <c r="A660" s="2220"/>
      <c r="B660" s="2247"/>
      <c r="C660" s="2249"/>
      <c r="D660" s="2251"/>
      <c r="E660" s="2175"/>
      <c r="F660" s="2175"/>
      <c r="G660" s="2180"/>
      <c r="H660" s="2214"/>
      <c r="I660" s="2175"/>
      <c r="J660" s="2175"/>
      <c r="K660" s="2217"/>
      <c r="L660" s="2211"/>
      <c r="M660" s="2180"/>
      <c r="N660" s="2217"/>
      <c r="O660" s="2173"/>
      <c r="P660" s="1038"/>
      <c r="Q660" s="2175"/>
      <c r="R660" s="2175"/>
      <c r="S660" s="2175"/>
      <c r="T660" s="2175"/>
      <c r="U660" s="1049" t="s">
        <v>874</v>
      </c>
      <c r="V660" s="1175">
        <v>41637</v>
      </c>
      <c r="W660" s="1178">
        <v>11244</v>
      </c>
      <c r="X660" s="95" t="s">
        <v>2675</v>
      </c>
      <c r="Y660" s="1175">
        <v>41638</v>
      </c>
      <c r="Z660" s="1175">
        <v>41820</v>
      </c>
      <c r="AA660" s="95"/>
      <c r="AB660" s="95"/>
      <c r="AC660" s="1177">
        <f>42793*6</f>
        <v>256758</v>
      </c>
      <c r="AD660" s="95"/>
      <c r="AE660" s="2241"/>
      <c r="AF660" s="2211"/>
      <c r="AG660" s="2211"/>
      <c r="AH660" s="2211"/>
      <c r="AI660" s="2211"/>
      <c r="AJ660" s="2211"/>
      <c r="AK660" s="2211"/>
      <c r="AL660" s="2211"/>
      <c r="AM660" s="2211"/>
      <c r="AN660" s="2211"/>
      <c r="AO660" s="2211"/>
      <c r="AP660" s="2211"/>
      <c r="AQ660" s="2211"/>
      <c r="AR660" s="2211"/>
      <c r="AS660" s="2211"/>
      <c r="AT660" s="2211"/>
      <c r="AU660" s="2211"/>
      <c r="AV660" s="2211"/>
      <c r="AW660" s="2211"/>
      <c r="AX660" s="2211"/>
      <c r="AY660" s="2211"/>
      <c r="AZ660" s="2211"/>
      <c r="BA660" s="2211"/>
      <c r="BB660" s="2211"/>
      <c r="BC660" s="2211"/>
      <c r="BD660" s="2211"/>
    </row>
    <row r="661" spans="1:56" x14ac:dyDescent="0.25">
      <c r="A661" s="2221"/>
      <c r="B661" s="2230"/>
      <c r="C661" s="2250"/>
      <c r="D661" s="2232"/>
      <c r="E661" s="2164"/>
      <c r="F661" s="2164"/>
      <c r="G661" s="2178"/>
      <c r="H661" s="2215"/>
      <c r="I661" s="2164"/>
      <c r="J661" s="2164"/>
      <c r="K661" s="2218"/>
      <c r="L661" s="2212"/>
      <c r="M661" s="2178"/>
      <c r="N661" s="2218"/>
      <c r="O661" s="2174"/>
      <c r="P661" s="1038"/>
      <c r="Q661" s="2164"/>
      <c r="R661" s="2164"/>
      <c r="S661" s="2164"/>
      <c r="T661" s="2164"/>
      <c r="U661" s="1049" t="s">
        <v>876</v>
      </c>
      <c r="V661" s="1175">
        <v>41820</v>
      </c>
      <c r="W661" s="1178">
        <v>11354</v>
      </c>
      <c r="X661" s="95" t="s">
        <v>2675</v>
      </c>
      <c r="Y661" s="1175">
        <v>41820</v>
      </c>
      <c r="Z661" s="1175">
        <v>42004</v>
      </c>
      <c r="AA661" s="95"/>
      <c r="AB661" s="95"/>
      <c r="AC661" s="1177">
        <f>42793*6</f>
        <v>256758</v>
      </c>
      <c r="AD661" s="95"/>
      <c r="AE661" s="2242"/>
      <c r="AF661" s="2212"/>
      <c r="AG661" s="2212"/>
      <c r="AH661" s="2212"/>
      <c r="AI661" s="2212"/>
      <c r="AJ661" s="2212"/>
      <c r="AK661" s="2212"/>
      <c r="AL661" s="2212"/>
      <c r="AM661" s="2212"/>
      <c r="AN661" s="2212"/>
      <c r="AO661" s="2212"/>
      <c r="AP661" s="2212"/>
      <c r="AQ661" s="2212"/>
      <c r="AR661" s="2212"/>
      <c r="AS661" s="2212"/>
      <c r="AT661" s="2212"/>
      <c r="AU661" s="2212"/>
      <c r="AV661" s="2212"/>
      <c r="AW661" s="2212"/>
      <c r="AX661" s="2212"/>
      <c r="AY661" s="2212"/>
      <c r="AZ661" s="2212"/>
      <c r="BA661" s="2212"/>
      <c r="BB661" s="2212"/>
      <c r="BC661" s="2212"/>
      <c r="BD661" s="2212"/>
    </row>
    <row r="662" spans="1:56" x14ac:dyDescent="0.25">
      <c r="A662" s="2219">
        <v>326</v>
      </c>
      <c r="B662" s="2222" t="s">
        <v>2676</v>
      </c>
      <c r="C662" s="1985" t="s">
        <v>1289</v>
      </c>
      <c r="D662" s="1985" t="s">
        <v>1645</v>
      </c>
      <c r="E662" s="1985" t="s">
        <v>168</v>
      </c>
      <c r="F662" s="1985" t="s">
        <v>2677</v>
      </c>
      <c r="G662" s="2177">
        <v>11073</v>
      </c>
      <c r="H662" s="2213" t="s">
        <v>2678</v>
      </c>
      <c r="I662" s="1985" t="s">
        <v>2679</v>
      </c>
      <c r="J662" s="1985" t="s">
        <v>2680</v>
      </c>
      <c r="K662" s="2216">
        <v>41480</v>
      </c>
      <c r="L662" s="2002">
        <v>800000</v>
      </c>
      <c r="M662" s="2177">
        <v>11101</v>
      </c>
      <c r="N662" s="2216">
        <v>41480</v>
      </c>
      <c r="O662" s="1996">
        <v>41639</v>
      </c>
      <c r="P662" s="1985" t="s">
        <v>2334</v>
      </c>
      <c r="Q662" s="2163"/>
      <c r="R662" s="2163"/>
      <c r="S662" s="2163"/>
      <c r="T662" s="1985" t="s">
        <v>233</v>
      </c>
      <c r="U662" s="1049"/>
      <c r="V662" s="1049"/>
      <c r="W662" s="1178"/>
      <c r="X662" s="95"/>
      <c r="Y662" s="1049"/>
      <c r="Z662" s="1049"/>
      <c r="AA662" s="1049"/>
      <c r="AB662" s="1049"/>
      <c r="AC662" s="1177"/>
      <c r="AD662" s="1049"/>
      <c r="AE662" s="2210">
        <f>L662-AD662+AC662-AD663+AC663-AD664+AC664</f>
        <v>1000000</v>
      </c>
      <c r="AF662" s="2210">
        <v>241557</v>
      </c>
      <c r="AG662" s="2210">
        <v>758442.87</v>
      </c>
      <c r="AH662" s="2210">
        <f>AF662+AG662</f>
        <v>999999.87</v>
      </c>
      <c r="AI662" s="1021"/>
      <c r="AJ662" s="1021"/>
      <c r="AK662" s="1049"/>
      <c r="AL662" s="1049"/>
      <c r="AM662" s="1049"/>
      <c r="AN662" s="1172"/>
      <c r="AO662" s="1178"/>
      <c r="AP662" s="1175"/>
      <c r="AQ662" s="1178"/>
      <c r="AR662" s="1175"/>
      <c r="AS662" s="2163" t="s">
        <v>2681</v>
      </c>
      <c r="AT662" s="2163" t="s">
        <v>1457</v>
      </c>
      <c r="AU662" s="1175">
        <v>41486</v>
      </c>
      <c r="AV662" s="1175">
        <v>41639</v>
      </c>
      <c r="AW662" s="1049"/>
      <c r="AX662" s="1049"/>
      <c r="AY662" s="2172">
        <v>41486</v>
      </c>
      <c r="AZ662" s="1049"/>
      <c r="BA662" s="1049"/>
      <c r="BB662" s="1049"/>
      <c r="BC662" s="1049"/>
      <c r="BD662" s="1049"/>
    </row>
    <row r="663" spans="1:56" ht="25.5" x14ac:dyDescent="0.25">
      <c r="A663" s="2220"/>
      <c r="B663" s="2223"/>
      <c r="C663" s="2021"/>
      <c r="D663" s="2021"/>
      <c r="E663" s="2021"/>
      <c r="F663" s="2021"/>
      <c r="G663" s="2180"/>
      <c r="H663" s="2214"/>
      <c r="I663" s="2021"/>
      <c r="J663" s="2021"/>
      <c r="K663" s="2217"/>
      <c r="L663" s="2187"/>
      <c r="M663" s="2180"/>
      <c r="N663" s="2217"/>
      <c r="O663" s="2033"/>
      <c r="P663" s="2021"/>
      <c r="Q663" s="2175"/>
      <c r="R663" s="2175"/>
      <c r="S663" s="2175"/>
      <c r="T663" s="2021"/>
      <c r="U663" s="1049" t="s">
        <v>867</v>
      </c>
      <c r="V663" s="1175">
        <v>41639</v>
      </c>
      <c r="W663" s="1178">
        <v>11213</v>
      </c>
      <c r="X663" s="1060" t="s">
        <v>2682</v>
      </c>
      <c r="Y663" s="1175">
        <v>41639</v>
      </c>
      <c r="Z663" s="1175">
        <v>42004</v>
      </c>
      <c r="AA663" s="1049"/>
      <c r="AB663" s="1049"/>
      <c r="AC663" s="1177"/>
      <c r="AD663" s="1049"/>
      <c r="AE663" s="2211"/>
      <c r="AF663" s="2211"/>
      <c r="AG663" s="2211"/>
      <c r="AH663" s="2211"/>
      <c r="AI663" s="1021"/>
      <c r="AJ663" s="1021"/>
      <c r="AK663" s="1049"/>
      <c r="AL663" s="1049"/>
      <c r="AM663" s="1049"/>
      <c r="AN663" s="1172"/>
      <c r="AO663" s="1178"/>
      <c r="AP663" s="1175"/>
      <c r="AQ663" s="1178"/>
      <c r="AR663" s="1175"/>
      <c r="AS663" s="2175"/>
      <c r="AT663" s="2175"/>
      <c r="AU663" s="1175">
        <v>41639</v>
      </c>
      <c r="AV663" s="1175">
        <v>42004</v>
      </c>
      <c r="AW663" s="1049"/>
      <c r="AX663" s="1049"/>
      <c r="AY663" s="2173"/>
      <c r="AZ663" s="1049"/>
      <c r="BA663" s="1049"/>
      <c r="BB663" s="1049"/>
      <c r="BC663" s="1049"/>
      <c r="BD663" s="1049"/>
    </row>
    <row r="664" spans="1:56" x14ac:dyDescent="0.25">
      <c r="A664" s="2221"/>
      <c r="B664" s="2224"/>
      <c r="C664" s="1986"/>
      <c r="D664" s="1986"/>
      <c r="E664" s="1986"/>
      <c r="F664" s="1986"/>
      <c r="G664" s="2178"/>
      <c r="H664" s="2215"/>
      <c r="I664" s="1986"/>
      <c r="J664" s="1986"/>
      <c r="K664" s="2218"/>
      <c r="L664" s="2003"/>
      <c r="M664" s="2178"/>
      <c r="N664" s="2218"/>
      <c r="O664" s="1997"/>
      <c r="P664" s="1986"/>
      <c r="Q664" s="2164"/>
      <c r="R664" s="2164"/>
      <c r="S664" s="2164"/>
      <c r="T664" s="1986"/>
      <c r="U664" s="1049" t="s">
        <v>2683</v>
      </c>
      <c r="V664" s="1175">
        <v>41767</v>
      </c>
      <c r="W664" s="1178">
        <v>11306</v>
      </c>
      <c r="X664" s="95" t="s">
        <v>2684</v>
      </c>
      <c r="Y664" s="1175"/>
      <c r="Z664" s="1175"/>
      <c r="AA664" s="1421">
        <v>25</v>
      </c>
      <c r="AB664" s="1049"/>
      <c r="AC664" s="1177">
        <v>200000</v>
      </c>
      <c r="AD664" s="1049"/>
      <c r="AE664" s="2212"/>
      <c r="AF664" s="2212"/>
      <c r="AG664" s="2212"/>
      <c r="AH664" s="2212"/>
      <c r="AI664" s="1021"/>
      <c r="AJ664" s="1021"/>
      <c r="AK664" s="1049"/>
      <c r="AL664" s="1049"/>
      <c r="AM664" s="1049"/>
      <c r="AN664" s="1172"/>
      <c r="AO664" s="1178"/>
      <c r="AP664" s="1175"/>
      <c r="AQ664" s="1178"/>
      <c r="AR664" s="1175"/>
      <c r="AS664" s="2164"/>
      <c r="AT664" s="2164"/>
      <c r="AU664" s="1175"/>
      <c r="AV664" s="1175"/>
      <c r="AW664" s="1049"/>
      <c r="AX664" s="1049"/>
      <c r="AY664" s="2174"/>
      <c r="AZ664" s="1049"/>
      <c r="BA664" s="1049"/>
      <c r="BB664" s="1049"/>
      <c r="BC664" s="1049"/>
      <c r="BD664" s="1049"/>
    </row>
    <row r="665" spans="1:56" ht="90" customHeight="1" x14ac:dyDescent="0.25">
      <c r="A665" s="2219">
        <v>327</v>
      </c>
      <c r="B665" s="2194">
        <v>1234200149</v>
      </c>
      <c r="C665" s="1985" t="s">
        <v>2685</v>
      </c>
      <c r="D665" s="1985" t="s">
        <v>1548</v>
      </c>
      <c r="E665" s="1985" t="s">
        <v>1358</v>
      </c>
      <c r="F665" s="1985" t="s">
        <v>1549</v>
      </c>
      <c r="G665" s="2177">
        <v>10965</v>
      </c>
      <c r="H665" s="2213" t="s">
        <v>2686</v>
      </c>
      <c r="I665" s="1985" t="s">
        <v>2687</v>
      </c>
      <c r="J665" s="1985" t="s">
        <v>2688</v>
      </c>
      <c r="K665" s="2216">
        <v>41325</v>
      </c>
      <c r="L665" s="2002">
        <v>56680</v>
      </c>
      <c r="M665" s="2177">
        <v>11020</v>
      </c>
      <c r="N665" s="2216">
        <v>41325</v>
      </c>
      <c r="O665" s="1996">
        <v>41639</v>
      </c>
      <c r="P665" s="1985" t="s">
        <v>2689</v>
      </c>
      <c r="Q665" s="2163"/>
      <c r="R665" s="2163"/>
      <c r="S665" s="2163"/>
      <c r="T665" s="1985" t="s">
        <v>208</v>
      </c>
      <c r="U665" s="1049" t="s">
        <v>867</v>
      </c>
      <c r="V665" s="1175">
        <v>41639</v>
      </c>
      <c r="W665" s="1178">
        <v>11213</v>
      </c>
      <c r="X665" s="95" t="s">
        <v>2690</v>
      </c>
      <c r="Y665" s="1175">
        <v>41639</v>
      </c>
      <c r="Z665" s="1175">
        <v>42004</v>
      </c>
      <c r="AA665" s="1049"/>
      <c r="AB665" s="1049"/>
      <c r="AC665" s="1177">
        <v>56680</v>
      </c>
      <c r="AD665" s="1049"/>
      <c r="AE665" s="2210">
        <f>L665-AD665+AC665-AD666+AC666</f>
        <v>170040</v>
      </c>
      <c r="AF665" s="2210">
        <v>10010</v>
      </c>
      <c r="AG665" s="2210">
        <v>11760</v>
      </c>
      <c r="AH665" s="2210">
        <f>AF665+AG665</f>
        <v>21770</v>
      </c>
      <c r="AI665" s="2163"/>
      <c r="AJ665" s="2163"/>
      <c r="AK665" s="2163"/>
      <c r="AL665" s="2163"/>
      <c r="AM665" s="2163"/>
      <c r="AN665" s="2163"/>
      <c r="AO665" s="2163"/>
      <c r="AP665" s="2163"/>
      <c r="AQ665" s="2163"/>
      <c r="AR665" s="2163"/>
      <c r="AS665" s="2163"/>
      <c r="AT665" s="2163"/>
      <c r="AU665" s="2163"/>
      <c r="AV665" s="2163"/>
      <c r="AW665" s="2163"/>
      <c r="AX665" s="2163"/>
      <c r="AY665" s="2163"/>
      <c r="AZ665" s="2163"/>
      <c r="BA665" s="2163"/>
      <c r="BB665" s="2163"/>
      <c r="BC665" s="2163"/>
      <c r="BD665" s="2163"/>
    </row>
    <row r="666" spans="1:56" ht="25.5" x14ac:dyDescent="0.25">
      <c r="A666" s="2221"/>
      <c r="B666" s="2196"/>
      <c r="C666" s="1986"/>
      <c r="D666" s="1986"/>
      <c r="E666" s="1986"/>
      <c r="F666" s="1986"/>
      <c r="G666" s="2178"/>
      <c r="H666" s="2215"/>
      <c r="I666" s="1986"/>
      <c r="J666" s="1986"/>
      <c r="K666" s="2218"/>
      <c r="L666" s="2003"/>
      <c r="M666" s="2178"/>
      <c r="N666" s="2218"/>
      <c r="O666" s="1997"/>
      <c r="P666" s="1986"/>
      <c r="Q666" s="2164"/>
      <c r="R666" s="2164"/>
      <c r="S666" s="2164"/>
      <c r="T666" s="1986"/>
      <c r="U666" s="1049" t="s">
        <v>871</v>
      </c>
      <c r="V666" s="1175">
        <v>42004</v>
      </c>
      <c r="W666" s="1178">
        <v>11472</v>
      </c>
      <c r="X666" s="95" t="s">
        <v>1552</v>
      </c>
      <c r="Y666" s="1175">
        <v>42004</v>
      </c>
      <c r="Z666" s="1175">
        <v>42369</v>
      </c>
      <c r="AA666" s="1049"/>
      <c r="AB666" s="1049"/>
      <c r="AC666" s="1177">
        <v>56680</v>
      </c>
      <c r="AD666" s="1049"/>
      <c r="AE666" s="2212"/>
      <c r="AF666" s="2212"/>
      <c r="AG666" s="2212"/>
      <c r="AH666" s="2212"/>
      <c r="AI666" s="2164"/>
      <c r="AJ666" s="2164"/>
      <c r="AK666" s="2164"/>
      <c r="AL666" s="2164"/>
      <c r="AM666" s="2164"/>
      <c r="AN666" s="2164"/>
      <c r="AO666" s="2164"/>
      <c r="AP666" s="2164"/>
      <c r="AQ666" s="2164"/>
      <c r="AR666" s="2164"/>
      <c r="AS666" s="2164"/>
      <c r="AT666" s="2164"/>
      <c r="AU666" s="2164"/>
      <c r="AV666" s="2164"/>
      <c r="AW666" s="2164"/>
      <c r="AX666" s="2164"/>
      <c r="AY666" s="2164"/>
      <c r="AZ666" s="2164"/>
      <c r="BA666" s="2164"/>
      <c r="BB666" s="2164"/>
      <c r="BC666" s="2164"/>
      <c r="BD666" s="2164"/>
    </row>
    <row r="667" spans="1:56" ht="22.5" customHeight="1" x14ac:dyDescent="0.25">
      <c r="A667" s="2219">
        <v>328</v>
      </c>
      <c r="B667" s="2194" t="s">
        <v>2691</v>
      </c>
      <c r="C667" s="1985" t="s">
        <v>2692</v>
      </c>
      <c r="D667" s="1985" t="s">
        <v>1548</v>
      </c>
      <c r="E667" s="1985" t="s">
        <v>1358</v>
      </c>
      <c r="F667" s="1985" t="s">
        <v>2693</v>
      </c>
      <c r="G667" s="2177">
        <v>10789</v>
      </c>
      <c r="H667" s="2213" t="s">
        <v>993</v>
      </c>
      <c r="I667" s="1985" t="s">
        <v>2694</v>
      </c>
      <c r="J667" s="1985" t="s">
        <v>2695</v>
      </c>
      <c r="K667" s="2216">
        <v>41282</v>
      </c>
      <c r="L667" s="2002">
        <v>79005.119999999995</v>
      </c>
      <c r="M667" s="2177">
        <v>10967</v>
      </c>
      <c r="N667" s="2216">
        <v>41282</v>
      </c>
      <c r="O667" s="1996">
        <v>41639</v>
      </c>
      <c r="P667" s="1985" t="s">
        <v>1308</v>
      </c>
      <c r="Q667" s="2163"/>
      <c r="R667" s="2163"/>
      <c r="S667" s="2163"/>
      <c r="T667" s="1985" t="s">
        <v>208</v>
      </c>
      <c r="U667" s="1049" t="s">
        <v>867</v>
      </c>
      <c r="V667" s="1175">
        <v>41639</v>
      </c>
      <c r="W667" s="1178">
        <v>11213</v>
      </c>
      <c r="X667" s="95" t="s">
        <v>2696</v>
      </c>
      <c r="Y667" s="1175">
        <v>41639</v>
      </c>
      <c r="Z667" s="1175">
        <v>42004</v>
      </c>
      <c r="AA667" s="1364"/>
      <c r="AB667" s="1364"/>
      <c r="AC667" s="1177">
        <v>79005.119999999995</v>
      </c>
      <c r="AD667" s="1364"/>
      <c r="AE667" s="2210">
        <f>L667-AD667+AC667-AD668+AC668-AD669+AC669</f>
        <v>273226.03999999998</v>
      </c>
      <c r="AF667" s="2210">
        <v>79005.119999999995</v>
      </c>
      <c r="AG667" s="2210">
        <v>95464.52</v>
      </c>
      <c r="AH667" s="2210">
        <f>AF667+AG667</f>
        <v>174469.64</v>
      </c>
      <c r="AI667" s="1021"/>
      <c r="AJ667" s="1021"/>
      <c r="AK667" s="1049"/>
      <c r="AL667" s="1049"/>
      <c r="AM667" s="1049"/>
      <c r="AN667" s="1172"/>
      <c r="AO667" s="1178"/>
      <c r="AP667" s="1175"/>
      <c r="AQ667" s="1178"/>
      <c r="AR667" s="1175"/>
      <c r="AS667" s="1049"/>
      <c r="AT667" s="1049"/>
      <c r="AU667" s="1049"/>
      <c r="AV667" s="1049"/>
      <c r="AW667" s="1049"/>
      <c r="AX667" s="1049"/>
      <c r="AY667" s="1049"/>
      <c r="AZ667" s="1049"/>
      <c r="BA667" s="1049"/>
      <c r="BB667" s="1049"/>
      <c r="BC667" s="1049"/>
      <c r="BD667" s="1049"/>
    </row>
    <row r="668" spans="1:56" x14ac:dyDescent="0.25">
      <c r="A668" s="2220"/>
      <c r="B668" s="2195"/>
      <c r="C668" s="2021"/>
      <c r="D668" s="2021"/>
      <c r="E668" s="2021"/>
      <c r="F668" s="2021"/>
      <c r="G668" s="2180"/>
      <c r="H668" s="2214"/>
      <c r="I668" s="2021"/>
      <c r="J668" s="2021"/>
      <c r="K668" s="2217"/>
      <c r="L668" s="2187"/>
      <c r="M668" s="2180"/>
      <c r="N668" s="2217"/>
      <c r="O668" s="2033"/>
      <c r="P668" s="2021"/>
      <c r="Q668" s="2175"/>
      <c r="R668" s="2175"/>
      <c r="S668" s="2175"/>
      <c r="T668" s="2021"/>
      <c r="U668" s="1049" t="s">
        <v>871</v>
      </c>
      <c r="V668" s="1175">
        <v>41698</v>
      </c>
      <c r="W668" s="1178">
        <v>11262</v>
      </c>
      <c r="X668" s="95" t="s">
        <v>2697</v>
      </c>
      <c r="Y668" s="1175">
        <v>41699</v>
      </c>
      <c r="Z668" s="1175">
        <v>42004</v>
      </c>
      <c r="AA668" s="1419">
        <v>20.833300000000001</v>
      </c>
      <c r="AB668" s="1364"/>
      <c r="AC668" s="1177">
        <v>16459.400000000001</v>
      </c>
      <c r="AD668" s="1364"/>
      <c r="AE668" s="2211"/>
      <c r="AF668" s="2211"/>
      <c r="AG668" s="2211"/>
      <c r="AH668" s="2211"/>
      <c r="AI668" s="1021"/>
      <c r="AJ668" s="1021"/>
      <c r="AK668" s="1049"/>
      <c r="AL668" s="1049"/>
      <c r="AM668" s="1049"/>
      <c r="AN668" s="1172"/>
      <c r="AO668" s="1178"/>
      <c r="AP668" s="1175"/>
      <c r="AQ668" s="1178"/>
      <c r="AR668" s="1175"/>
      <c r="AS668" s="1049"/>
      <c r="AT668" s="1049"/>
      <c r="AU668" s="1049"/>
      <c r="AV668" s="1049"/>
      <c r="AW668" s="1049"/>
      <c r="AX668" s="1049"/>
      <c r="AY668" s="1049"/>
      <c r="AZ668" s="1049"/>
      <c r="BA668" s="1049"/>
      <c r="BB668" s="1049"/>
      <c r="BC668" s="1049"/>
      <c r="BD668" s="1049"/>
    </row>
    <row r="669" spans="1:56" ht="25.5" x14ac:dyDescent="0.25">
      <c r="A669" s="2221"/>
      <c r="B669" s="2196"/>
      <c r="C669" s="1986"/>
      <c r="D669" s="1986"/>
      <c r="E669" s="1986"/>
      <c r="F669" s="1986"/>
      <c r="G669" s="2178"/>
      <c r="H669" s="2215"/>
      <c r="I669" s="1986"/>
      <c r="J669" s="1986"/>
      <c r="K669" s="2218"/>
      <c r="L669" s="2003"/>
      <c r="M669" s="2178"/>
      <c r="N669" s="2218"/>
      <c r="O669" s="1997"/>
      <c r="P669" s="1986"/>
      <c r="Q669" s="2164"/>
      <c r="R669" s="2164"/>
      <c r="S669" s="2164"/>
      <c r="T669" s="1986"/>
      <c r="U669" s="1049" t="s">
        <v>874</v>
      </c>
      <c r="V669" s="1175">
        <v>42004</v>
      </c>
      <c r="W669" s="1178">
        <v>11475</v>
      </c>
      <c r="X669" s="95" t="s">
        <v>1552</v>
      </c>
      <c r="Y669" s="1175">
        <v>42004</v>
      </c>
      <c r="Z669" s="1175">
        <v>42369</v>
      </c>
      <c r="AA669" s="1419"/>
      <c r="AB669" s="1364"/>
      <c r="AC669" s="1177">
        <v>98756.4</v>
      </c>
      <c r="AD669" s="1364"/>
      <c r="AE669" s="2212"/>
      <c r="AF669" s="2212"/>
      <c r="AG669" s="2212"/>
      <c r="AH669" s="2212"/>
      <c r="AI669" s="1428"/>
      <c r="AJ669" s="1428"/>
      <c r="AK669" s="1112"/>
      <c r="AL669" s="1049"/>
      <c r="AM669" s="1049"/>
      <c r="AN669" s="1172"/>
      <c r="AO669" s="1178"/>
      <c r="AP669" s="1175"/>
      <c r="AQ669" s="1178"/>
      <c r="AR669" s="1175"/>
      <c r="AS669" s="1049"/>
      <c r="AT669" s="1049"/>
      <c r="AU669" s="1049"/>
      <c r="AV669" s="1049"/>
      <c r="AW669" s="1049"/>
      <c r="AX669" s="1049"/>
      <c r="AY669" s="1049"/>
      <c r="AZ669" s="1049"/>
      <c r="BA669" s="1049"/>
      <c r="BB669" s="1049"/>
      <c r="BC669" s="1049"/>
      <c r="BD669" s="1049"/>
    </row>
    <row r="670" spans="1:56" x14ac:dyDescent="0.25">
      <c r="A670" s="2219">
        <v>329</v>
      </c>
      <c r="B670" s="2222" t="s">
        <v>2698</v>
      </c>
      <c r="C670" s="1985" t="s">
        <v>1056</v>
      </c>
      <c r="D670" s="1985" t="s">
        <v>2699</v>
      </c>
      <c r="E670" s="2163"/>
      <c r="F670" s="1985" t="s">
        <v>2700</v>
      </c>
      <c r="G670" s="2177">
        <v>10999</v>
      </c>
      <c r="H670" s="2213" t="s">
        <v>2701</v>
      </c>
      <c r="I670" s="1967" t="s">
        <v>2702</v>
      </c>
      <c r="J670" s="1967" t="s">
        <v>759</v>
      </c>
      <c r="K670" s="2216">
        <v>41444</v>
      </c>
      <c r="L670" s="2002">
        <v>122400</v>
      </c>
      <c r="M670" s="2177">
        <v>11076</v>
      </c>
      <c r="N670" s="2216">
        <v>41444</v>
      </c>
      <c r="O670" s="1996">
        <v>41639</v>
      </c>
      <c r="P670" s="1985" t="s">
        <v>1320</v>
      </c>
      <c r="Q670" s="2163"/>
      <c r="R670" s="2163"/>
      <c r="S670" s="2163"/>
      <c r="T670" s="1985" t="s">
        <v>208</v>
      </c>
      <c r="U670" s="1049" t="s">
        <v>867</v>
      </c>
      <c r="V670" s="715">
        <v>41639</v>
      </c>
      <c r="W670" s="1178">
        <v>11213</v>
      </c>
      <c r="X670" s="95" t="s">
        <v>2703</v>
      </c>
      <c r="Y670" s="715">
        <v>41639</v>
      </c>
      <c r="Z670" s="715">
        <v>41820</v>
      </c>
      <c r="AA670" s="95"/>
      <c r="AB670" s="95"/>
      <c r="AC670" s="1364">
        <v>122400</v>
      </c>
      <c r="AD670" s="95"/>
      <c r="AE670" s="2240">
        <f>L670-AD670+AC670-AD671+AC671-AD672+AC672-AD673+AC673</f>
        <v>377888.01</v>
      </c>
      <c r="AF670" s="2210">
        <v>122400</v>
      </c>
      <c r="AG670" s="2210">
        <v>168695.45</v>
      </c>
      <c r="AH670" s="2210">
        <f>AF670+AG670</f>
        <v>291095.45</v>
      </c>
      <c r="AI670" s="2225" t="s">
        <v>403</v>
      </c>
      <c r="AJ670" s="2177">
        <v>11023</v>
      </c>
      <c r="AK670" s="1985" t="s">
        <v>2704</v>
      </c>
      <c r="AL670" s="1049"/>
      <c r="AM670" s="1049"/>
      <c r="AN670" s="1172"/>
      <c r="AO670" s="1178"/>
      <c r="AP670" s="1175"/>
      <c r="AQ670" s="1178"/>
      <c r="AR670" s="1175"/>
      <c r="AS670" s="1049"/>
      <c r="AT670" s="1049"/>
      <c r="AU670" s="1049"/>
      <c r="AV670" s="1049"/>
      <c r="AW670" s="1049"/>
      <c r="AX670" s="1049"/>
      <c r="AY670" s="1049"/>
      <c r="AZ670" s="1049"/>
      <c r="BA670" s="1049"/>
      <c r="BB670" s="1049"/>
      <c r="BC670" s="1049"/>
      <c r="BD670" s="1049"/>
    </row>
    <row r="671" spans="1:56" x14ac:dyDescent="0.25">
      <c r="A671" s="2220"/>
      <c r="B671" s="2223"/>
      <c r="C671" s="2021"/>
      <c r="D671" s="2021"/>
      <c r="E671" s="2175"/>
      <c r="F671" s="2021"/>
      <c r="G671" s="2180"/>
      <c r="H671" s="2214"/>
      <c r="I671" s="1967"/>
      <c r="J671" s="1967"/>
      <c r="K671" s="2217"/>
      <c r="L671" s="2187"/>
      <c r="M671" s="2180"/>
      <c r="N671" s="2217"/>
      <c r="O671" s="2033"/>
      <c r="P671" s="2021"/>
      <c r="Q671" s="2175"/>
      <c r="R671" s="2175"/>
      <c r="S671" s="2175"/>
      <c r="T671" s="2021"/>
      <c r="U671" s="1049" t="s">
        <v>871</v>
      </c>
      <c r="V671" s="715">
        <v>41820</v>
      </c>
      <c r="W671" s="1178">
        <v>11347</v>
      </c>
      <c r="X671" s="95" t="s">
        <v>2703</v>
      </c>
      <c r="Y671" s="715">
        <v>41820</v>
      </c>
      <c r="Z671" s="715">
        <v>42004</v>
      </c>
      <c r="AA671" s="95"/>
      <c r="AB671" s="95"/>
      <c r="AC671" s="1364">
        <v>122400</v>
      </c>
      <c r="AD671" s="95"/>
      <c r="AE671" s="2241"/>
      <c r="AF671" s="2211"/>
      <c r="AG671" s="2211"/>
      <c r="AH671" s="2211"/>
      <c r="AI671" s="2239"/>
      <c r="AJ671" s="2180"/>
      <c r="AK671" s="2021"/>
      <c r="AL671" s="1049"/>
      <c r="AM671" s="1049"/>
      <c r="AN671" s="1172"/>
      <c r="AO671" s="1178"/>
      <c r="AP671" s="1175"/>
      <c r="AQ671" s="1178"/>
      <c r="AR671" s="1175"/>
      <c r="AS671" s="1049"/>
      <c r="AT671" s="1049"/>
      <c r="AU671" s="1049"/>
      <c r="AV671" s="1049"/>
      <c r="AW671" s="1049"/>
      <c r="AX671" s="1049"/>
      <c r="AY671" s="1049"/>
      <c r="AZ671" s="1049"/>
      <c r="BA671" s="1049"/>
      <c r="BB671" s="1049"/>
      <c r="BC671" s="1049"/>
      <c r="BD671" s="1049"/>
    </row>
    <row r="672" spans="1:56" ht="25.5" x14ac:dyDescent="0.25">
      <c r="A672" s="2220"/>
      <c r="B672" s="2223"/>
      <c r="C672" s="2021"/>
      <c r="D672" s="2021"/>
      <c r="E672" s="2175"/>
      <c r="F672" s="2021"/>
      <c r="G672" s="2180"/>
      <c r="H672" s="2214"/>
      <c r="I672" s="1967"/>
      <c r="J672" s="1967"/>
      <c r="K672" s="2217"/>
      <c r="L672" s="2187"/>
      <c r="M672" s="2180"/>
      <c r="N672" s="2217"/>
      <c r="O672" s="2033"/>
      <c r="P672" s="2021"/>
      <c r="Q672" s="2175"/>
      <c r="R672" s="2175"/>
      <c r="S672" s="2175"/>
      <c r="T672" s="2021"/>
      <c r="U672" s="1049" t="s">
        <v>874</v>
      </c>
      <c r="V672" s="715">
        <v>41852</v>
      </c>
      <c r="W672" s="1178">
        <v>11370</v>
      </c>
      <c r="X672" s="95" t="s">
        <v>2705</v>
      </c>
      <c r="Y672" s="1431"/>
      <c r="Z672" s="1431"/>
      <c r="AA672" s="1049">
        <v>8.73203</v>
      </c>
      <c r="AB672" s="1049"/>
      <c r="AC672" s="1364">
        <v>10688.01</v>
      </c>
      <c r="AD672" s="1114"/>
      <c r="AE672" s="2241"/>
      <c r="AF672" s="2211"/>
      <c r="AG672" s="2211"/>
      <c r="AH672" s="2211"/>
      <c r="AI672" s="2239"/>
      <c r="AJ672" s="2180"/>
      <c r="AK672" s="2021"/>
      <c r="AL672" s="1049"/>
      <c r="AM672" s="1049"/>
      <c r="AN672" s="1172"/>
      <c r="AO672" s="1178"/>
      <c r="AP672" s="1175"/>
      <c r="AQ672" s="1178"/>
      <c r="AR672" s="1175"/>
      <c r="AS672" s="1049"/>
      <c r="AT672" s="1049"/>
      <c r="AU672" s="1049"/>
      <c r="AV672" s="1049"/>
      <c r="AW672" s="1049"/>
      <c r="AX672" s="1049"/>
      <c r="AY672" s="1049"/>
      <c r="AZ672" s="1049"/>
      <c r="BA672" s="1049"/>
      <c r="BB672" s="1049"/>
      <c r="BC672" s="1049"/>
      <c r="BD672" s="1049"/>
    </row>
    <row r="673" spans="1:56" x14ac:dyDescent="0.25">
      <c r="A673" s="2221"/>
      <c r="B673" s="2224"/>
      <c r="C673" s="1986"/>
      <c r="D673" s="1986"/>
      <c r="E673" s="2164"/>
      <c r="F673" s="1986"/>
      <c r="G673" s="2178"/>
      <c r="H673" s="2215"/>
      <c r="I673" s="1967"/>
      <c r="J673" s="1967"/>
      <c r="K673" s="2218"/>
      <c r="L673" s="2003"/>
      <c r="M673" s="2178"/>
      <c r="N673" s="2218"/>
      <c r="O673" s="1997"/>
      <c r="P673" s="1986"/>
      <c r="Q673" s="2164"/>
      <c r="R673" s="2164"/>
      <c r="S673" s="2164"/>
      <c r="T673" s="1986"/>
      <c r="U673" s="1049" t="s">
        <v>1355</v>
      </c>
      <c r="V673" s="715">
        <v>41880</v>
      </c>
      <c r="W673" s="1178">
        <v>11387</v>
      </c>
      <c r="X673" s="1379" t="s">
        <v>2706</v>
      </c>
      <c r="Y673" s="1431"/>
      <c r="Z673" s="1431"/>
      <c r="AA673" s="1049"/>
      <c r="AB673" s="1049"/>
      <c r="AC673" s="1364"/>
      <c r="AD673" s="1114"/>
      <c r="AE673" s="2242"/>
      <c r="AF673" s="2212"/>
      <c r="AG673" s="2212"/>
      <c r="AH673" s="2212"/>
      <c r="AI673" s="2226"/>
      <c r="AJ673" s="2178"/>
      <c r="AK673" s="1986"/>
      <c r="AL673" s="1049"/>
      <c r="AM673" s="1049"/>
      <c r="AN673" s="1172"/>
      <c r="AO673" s="1178"/>
      <c r="AP673" s="1175"/>
      <c r="AQ673" s="1178"/>
      <c r="AR673" s="1175"/>
      <c r="AS673" s="1049"/>
      <c r="AT673" s="1049"/>
      <c r="AU673" s="1049"/>
      <c r="AV673" s="1049"/>
      <c r="AW673" s="1049"/>
      <c r="AX673" s="1049"/>
      <c r="AY673" s="1049"/>
      <c r="AZ673" s="1049"/>
      <c r="BA673" s="1049"/>
      <c r="BB673" s="1049"/>
      <c r="BC673" s="1049"/>
      <c r="BD673" s="1049"/>
    </row>
    <row r="674" spans="1:56" ht="78.75" customHeight="1" x14ac:dyDescent="0.25">
      <c r="A674" s="2219">
        <v>330</v>
      </c>
      <c r="B674" s="2227" t="s">
        <v>2707</v>
      </c>
      <c r="C674" s="1985" t="s">
        <v>403</v>
      </c>
      <c r="D674" s="1985" t="s">
        <v>1548</v>
      </c>
      <c r="E674" s="1985" t="s">
        <v>1358</v>
      </c>
      <c r="F674" s="1985" t="s">
        <v>2708</v>
      </c>
      <c r="G674" s="2177">
        <v>10973</v>
      </c>
      <c r="H674" s="2213" t="s">
        <v>321</v>
      </c>
      <c r="I674" s="2235" t="s">
        <v>7554</v>
      </c>
      <c r="J674" s="1985" t="s">
        <v>2709</v>
      </c>
      <c r="K674" s="2216">
        <v>41352</v>
      </c>
      <c r="L674" s="2002">
        <v>41600</v>
      </c>
      <c r="M674" s="2177">
        <v>11018</v>
      </c>
      <c r="N674" s="2216">
        <v>41352</v>
      </c>
      <c r="O674" s="1996">
        <v>41639</v>
      </c>
      <c r="P674" s="1985" t="s">
        <v>2710</v>
      </c>
      <c r="Q674" s="2163"/>
      <c r="R674" s="2163"/>
      <c r="S674" s="2163"/>
      <c r="T674" s="1985" t="s">
        <v>208</v>
      </c>
      <c r="U674" s="75" t="s">
        <v>867</v>
      </c>
      <c r="V674" s="1109">
        <v>41639</v>
      </c>
      <c r="W674" s="1107">
        <v>11213</v>
      </c>
      <c r="X674" s="114" t="s">
        <v>2711</v>
      </c>
      <c r="Y674" s="1109">
        <v>41639</v>
      </c>
      <c r="Z674" s="1109">
        <v>42004</v>
      </c>
      <c r="AA674" s="1049"/>
      <c r="AB674" s="1049"/>
      <c r="AC674" s="1061">
        <v>41600</v>
      </c>
      <c r="AD674" s="1114"/>
      <c r="AE674" s="2210">
        <f>L674-AD674+AC674-AD675+AC675</f>
        <v>124800</v>
      </c>
      <c r="AF674" s="2210">
        <v>12960</v>
      </c>
      <c r="AG674" s="2210">
        <v>9848</v>
      </c>
      <c r="AH674" s="2210">
        <f>AF674+AG674</f>
        <v>22808</v>
      </c>
      <c r="AI674" s="2163"/>
      <c r="AJ674" s="2163"/>
      <c r="AK674" s="2163"/>
      <c r="AL674" s="2163"/>
      <c r="AM674" s="2163"/>
      <c r="AN674" s="2163"/>
      <c r="AO674" s="2163"/>
      <c r="AP674" s="2163"/>
      <c r="AQ674" s="2163"/>
      <c r="AR674" s="2163"/>
      <c r="AS674" s="2163"/>
      <c r="AT674" s="2163"/>
      <c r="AU674" s="2163"/>
      <c r="AV674" s="2163"/>
      <c r="AW674" s="2163"/>
      <c r="AX674" s="2163"/>
      <c r="AY674" s="2163"/>
      <c r="AZ674" s="2163"/>
      <c r="BA674" s="2163"/>
      <c r="BB674" s="2163"/>
      <c r="BC674" s="2163"/>
      <c r="BD674" s="2163"/>
    </row>
    <row r="675" spans="1:56" ht="25.5" x14ac:dyDescent="0.25">
      <c r="A675" s="2221"/>
      <c r="B675" s="2228"/>
      <c r="C675" s="1986"/>
      <c r="D675" s="1986"/>
      <c r="E675" s="1986"/>
      <c r="F675" s="1986"/>
      <c r="G675" s="2178"/>
      <c r="H675" s="2215"/>
      <c r="I675" s="2236"/>
      <c r="J675" s="1986"/>
      <c r="K675" s="2218"/>
      <c r="L675" s="2003"/>
      <c r="M675" s="2178"/>
      <c r="N675" s="2218"/>
      <c r="O675" s="1997"/>
      <c r="P675" s="1986"/>
      <c r="Q675" s="2164"/>
      <c r="R675" s="2164"/>
      <c r="S675" s="2164"/>
      <c r="T675" s="1986"/>
      <c r="U675" s="1030" t="s">
        <v>871</v>
      </c>
      <c r="V675" s="1109">
        <v>42004</v>
      </c>
      <c r="W675" s="1107">
        <v>11470</v>
      </c>
      <c r="X675" s="1060" t="s">
        <v>1552</v>
      </c>
      <c r="Y675" s="1109">
        <v>42004</v>
      </c>
      <c r="Z675" s="1109">
        <v>42369</v>
      </c>
      <c r="AA675" s="1049"/>
      <c r="AB675" s="1049"/>
      <c r="AC675" s="1061">
        <v>41600</v>
      </c>
      <c r="AD675" s="1114"/>
      <c r="AE675" s="2212"/>
      <c r="AF675" s="2212"/>
      <c r="AG675" s="2212"/>
      <c r="AH675" s="2212"/>
      <c r="AI675" s="2164"/>
      <c r="AJ675" s="2164"/>
      <c r="AK675" s="2164"/>
      <c r="AL675" s="2164"/>
      <c r="AM675" s="2164"/>
      <c r="AN675" s="2164"/>
      <c r="AO675" s="2164"/>
      <c r="AP675" s="2164"/>
      <c r="AQ675" s="2164"/>
      <c r="AR675" s="2164"/>
      <c r="AS675" s="2164"/>
      <c r="AT675" s="2164"/>
      <c r="AU675" s="2164"/>
      <c r="AV675" s="2164"/>
      <c r="AW675" s="2164"/>
      <c r="AX675" s="2164"/>
      <c r="AY675" s="2164"/>
      <c r="AZ675" s="2164"/>
      <c r="BA675" s="2164"/>
      <c r="BB675" s="2164"/>
      <c r="BC675" s="2164"/>
      <c r="BD675" s="2164"/>
    </row>
    <row r="676" spans="1:56" ht="78.75" customHeight="1" x14ac:dyDescent="0.25">
      <c r="A676" s="2219">
        <v>331</v>
      </c>
      <c r="B676" s="2194" t="s">
        <v>2712</v>
      </c>
      <c r="C676" s="1985" t="s">
        <v>2713</v>
      </c>
      <c r="D676" s="1985" t="s">
        <v>2714</v>
      </c>
      <c r="E676" s="1985" t="s">
        <v>2715</v>
      </c>
      <c r="F676" s="1985" t="s">
        <v>2716</v>
      </c>
      <c r="G676" s="2177">
        <v>10890</v>
      </c>
      <c r="H676" s="2213" t="s">
        <v>1003</v>
      </c>
      <c r="I676" s="1985" t="s">
        <v>2717</v>
      </c>
      <c r="J676" s="2235" t="s">
        <v>7555</v>
      </c>
      <c r="K676" s="2216">
        <v>41282</v>
      </c>
      <c r="L676" s="2002">
        <v>83815</v>
      </c>
      <c r="M676" s="2177">
        <v>11014</v>
      </c>
      <c r="N676" s="2216">
        <v>41282</v>
      </c>
      <c r="O676" s="1996">
        <v>41639</v>
      </c>
      <c r="P676" s="1985" t="s">
        <v>2718</v>
      </c>
      <c r="Q676" s="2163"/>
      <c r="R676" s="2163"/>
      <c r="S676" s="2163"/>
      <c r="T676" s="1985" t="s">
        <v>685</v>
      </c>
      <c r="U676" s="1049" t="s">
        <v>867</v>
      </c>
      <c r="V676" s="1175">
        <v>41639</v>
      </c>
      <c r="W676" s="1178">
        <v>11213</v>
      </c>
      <c r="X676" s="95" t="s">
        <v>2719</v>
      </c>
      <c r="Y676" s="1175">
        <v>41639</v>
      </c>
      <c r="Z676" s="1175">
        <v>42004</v>
      </c>
      <c r="AA676" s="1049"/>
      <c r="AB676" s="1049"/>
      <c r="AC676" s="1177">
        <v>83815</v>
      </c>
      <c r="AD676" s="1049"/>
      <c r="AE676" s="2210">
        <f>L676-AD676+AC676-AD677+AC677</f>
        <v>251445</v>
      </c>
      <c r="AF676" s="2210">
        <v>83803.100000000006</v>
      </c>
      <c r="AG676" s="2210">
        <v>82901.279999999999</v>
      </c>
      <c r="AH676" s="2210">
        <f>AF676+AG676</f>
        <v>166704.38</v>
      </c>
      <c r="AI676" s="2225"/>
      <c r="AJ676" s="2225"/>
      <c r="AK676" s="2225"/>
      <c r="AL676" s="2225"/>
      <c r="AM676" s="2225"/>
      <c r="AN676" s="2225"/>
      <c r="AO676" s="2225"/>
      <c r="AP676" s="2225"/>
      <c r="AQ676" s="2225"/>
      <c r="AR676" s="2225"/>
      <c r="AS676" s="2225"/>
      <c r="AT676" s="2225"/>
      <c r="AU676" s="2225"/>
      <c r="AV676" s="2225"/>
      <c r="AW676" s="2225"/>
      <c r="AX676" s="2225"/>
      <c r="AY676" s="2225"/>
      <c r="AZ676" s="2225"/>
      <c r="BA676" s="2225"/>
      <c r="BB676" s="2225"/>
      <c r="BC676" s="2225"/>
      <c r="BD676" s="2225"/>
    </row>
    <row r="677" spans="1:56" ht="25.5" x14ac:dyDescent="0.25">
      <c r="A677" s="2221"/>
      <c r="B677" s="2196"/>
      <c r="C677" s="1986"/>
      <c r="D677" s="1986"/>
      <c r="E677" s="1986"/>
      <c r="F677" s="1986"/>
      <c r="G677" s="2178"/>
      <c r="H677" s="2215"/>
      <c r="I677" s="1986"/>
      <c r="J677" s="2236"/>
      <c r="K677" s="2218"/>
      <c r="L677" s="2003"/>
      <c r="M677" s="2178"/>
      <c r="N677" s="2218"/>
      <c r="O677" s="1997"/>
      <c r="P677" s="1986"/>
      <c r="Q677" s="2164"/>
      <c r="R677" s="2164"/>
      <c r="S677" s="2164"/>
      <c r="T677" s="1986"/>
      <c r="U677" s="1049" t="s">
        <v>871</v>
      </c>
      <c r="V677" s="1175">
        <v>42004</v>
      </c>
      <c r="W677" s="1178">
        <v>11472</v>
      </c>
      <c r="X677" s="95" t="s">
        <v>2720</v>
      </c>
      <c r="Y677" s="1175">
        <v>42004</v>
      </c>
      <c r="Z677" s="1175">
        <v>42369</v>
      </c>
      <c r="AA677" s="1049"/>
      <c r="AB677" s="1049"/>
      <c r="AC677" s="1177">
        <v>83815</v>
      </c>
      <c r="AD677" s="1049"/>
      <c r="AE677" s="2212"/>
      <c r="AF677" s="2212"/>
      <c r="AG677" s="2212"/>
      <c r="AH677" s="2212"/>
      <c r="AI677" s="2226"/>
      <c r="AJ677" s="2226"/>
      <c r="AK677" s="2226"/>
      <c r="AL677" s="2226"/>
      <c r="AM677" s="2226"/>
      <c r="AN677" s="2226"/>
      <c r="AO677" s="2226"/>
      <c r="AP677" s="2226"/>
      <c r="AQ677" s="2226"/>
      <c r="AR677" s="2226"/>
      <c r="AS677" s="2226"/>
      <c r="AT677" s="2226"/>
      <c r="AU677" s="2226"/>
      <c r="AV677" s="2226"/>
      <c r="AW677" s="2226"/>
      <c r="AX677" s="2226"/>
      <c r="AY677" s="2226"/>
      <c r="AZ677" s="2226"/>
      <c r="BA677" s="2226"/>
      <c r="BB677" s="2226"/>
      <c r="BC677" s="2226"/>
      <c r="BD677" s="2226"/>
    </row>
    <row r="678" spans="1:56" ht="45" customHeight="1" x14ac:dyDescent="0.25">
      <c r="A678" s="2219">
        <v>332</v>
      </c>
      <c r="B678" s="2194" t="s">
        <v>2721</v>
      </c>
      <c r="C678" s="1985" t="s">
        <v>975</v>
      </c>
      <c r="D678" s="1985" t="s">
        <v>2722</v>
      </c>
      <c r="E678" s="1985" t="s">
        <v>1358</v>
      </c>
      <c r="F678" s="1985" t="s">
        <v>2723</v>
      </c>
      <c r="G678" s="2177">
        <v>10937</v>
      </c>
      <c r="H678" s="2213" t="s">
        <v>1668</v>
      </c>
      <c r="I678" s="1985" t="s">
        <v>1052</v>
      </c>
      <c r="J678" s="1985" t="s">
        <v>1053</v>
      </c>
      <c r="K678" s="2216">
        <v>41325</v>
      </c>
      <c r="L678" s="2002">
        <v>540250</v>
      </c>
      <c r="M678" s="2177">
        <v>10996</v>
      </c>
      <c r="N678" s="2216">
        <v>41325</v>
      </c>
      <c r="O678" s="1996">
        <v>41639</v>
      </c>
      <c r="P678" s="1985" t="s">
        <v>1320</v>
      </c>
      <c r="Q678" s="2163"/>
      <c r="R678" s="2163"/>
      <c r="S678" s="2163"/>
      <c r="T678" s="1967" t="s">
        <v>316</v>
      </c>
      <c r="U678" s="1049" t="s">
        <v>867</v>
      </c>
      <c r="V678" s="1175">
        <v>41639</v>
      </c>
      <c r="W678" s="1178">
        <v>11213</v>
      </c>
      <c r="X678" s="95" t="s">
        <v>2724</v>
      </c>
      <c r="Y678" s="1175">
        <v>41639</v>
      </c>
      <c r="Z678" s="1175">
        <v>42004</v>
      </c>
      <c r="AA678" s="1049"/>
      <c r="AB678" s="1049"/>
      <c r="AC678" s="1177">
        <v>540250</v>
      </c>
      <c r="AD678" s="1049"/>
      <c r="AE678" s="2210">
        <f>L678-AD678+AC678-AD679+AC679</f>
        <v>1620750</v>
      </c>
      <c r="AF678" s="2210">
        <v>442459.5</v>
      </c>
      <c r="AG678" s="2210">
        <v>346994.24</v>
      </c>
      <c r="AH678" s="2210">
        <f>AF678+AG678</f>
        <v>789453.74</v>
      </c>
      <c r="AI678" s="1021" t="s">
        <v>614</v>
      </c>
      <c r="AJ678" s="1178">
        <v>10970</v>
      </c>
      <c r="AK678" s="95" t="s">
        <v>2725</v>
      </c>
      <c r="AL678" s="95"/>
      <c r="AM678" s="95"/>
      <c r="AN678" s="95"/>
      <c r="AO678" s="95"/>
      <c r="AP678" s="95"/>
      <c r="AQ678" s="95"/>
      <c r="AR678" s="95"/>
      <c r="AS678" s="95"/>
      <c r="AT678" s="95"/>
      <c r="AU678" s="95"/>
      <c r="AV678" s="95"/>
      <c r="AW678" s="95"/>
      <c r="AX678" s="95"/>
      <c r="AY678" s="95"/>
      <c r="AZ678" s="95"/>
      <c r="BA678" s="95"/>
      <c r="BB678" s="95"/>
      <c r="BC678" s="95"/>
      <c r="BD678" s="95"/>
    </row>
    <row r="679" spans="1:56" ht="25.5" x14ac:dyDescent="0.25">
      <c r="A679" s="2221"/>
      <c r="B679" s="2196"/>
      <c r="C679" s="1986"/>
      <c r="D679" s="1986"/>
      <c r="E679" s="1986"/>
      <c r="F679" s="1986"/>
      <c r="G679" s="2178"/>
      <c r="H679" s="2215"/>
      <c r="I679" s="1986"/>
      <c r="J679" s="1986"/>
      <c r="K679" s="2218"/>
      <c r="L679" s="2003"/>
      <c r="M679" s="2178"/>
      <c r="N679" s="2218"/>
      <c r="O679" s="1997"/>
      <c r="P679" s="1986"/>
      <c r="Q679" s="2164"/>
      <c r="R679" s="2164"/>
      <c r="S679" s="2164"/>
      <c r="T679" s="1967"/>
      <c r="U679" s="1049" t="s">
        <v>871</v>
      </c>
      <c r="V679" s="1175">
        <v>42004</v>
      </c>
      <c r="W679" s="1178">
        <v>11476</v>
      </c>
      <c r="X679" s="95" t="s">
        <v>2493</v>
      </c>
      <c r="Y679" s="1175">
        <v>42004</v>
      </c>
      <c r="Z679" s="1175">
        <v>42369</v>
      </c>
      <c r="AA679" s="1049"/>
      <c r="AB679" s="1049"/>
      <c r="AC679" s="1177">
        <v>540250</v>
      </c>
      <c r="AD679" s="1049"/>
      <c r="AE679" s="2212"/>
      <c r="AF679" s="2212"/>
      <c r="AG679" s="2212"/>
      <c r="AH679" s="2212"/>
      <c r="AI679" s="1021"/>
      <c r="AJ679" s="1178"/>
      <c r="AK679" s="95"/>
      <c r="AL679" s="95"/>
      <c r="AM679" s="95"/>
      <c r="AN679" s="95"/>
      <c r="AO679" s="95"/>
      <c r="AP679" s="95"/>
      <c r="AQ679" s="95"/>
      <c r="AR679" s="95"/>
      <c r="AS679" s="95"/>
      <c r="AT679" s="95"/>
      <c r="AU679" s="95"/>
      <c r="AV679" s="95"/>
      <c r="AW679" s="95"/>
      <c r="AX679" s="95"/>
      <c r="AY679" s="95"/>
      <c r="AZ679" s="95"/>
      <c r="BA679" s="95"/>
      <c r="BB679" s="95"/>
      <c r="BC679" s="95"/>
      <c r="BD679" s="95"/>
    </row>
    <row r="680" spans="1:56" ht="101.25" customHeight="1" x14ac:dyDescent="0.25">
      <c r="A680" s="2219">
        <v>333</v>
      </c>
      <c r="B680" s="2194" t="s">
        <v>2726</v>
      </c>
      <c r="C680" s="1985" t="s">
        <v>2727</v>
      </c>
      <c r="D680" s="1985" t="s">
        <v>1331</v>
      </c>
      <c r="E680" s="1985" t="s">
        <v>1358</v>
      </c>
      <c r="F680" s="1985" t="s">
        <v>2728</v>
      </c>
      <c r="G680" s="2177">
        <v>10968</v>
      </c>
      <c r="H680" s="2213" t="s">
        <v>2729</v>
      </c>
      <c r="I680" s="1985" t="s">
        <v>2730</v>
      </c>
      <c r="J680" s="1985" t="s">
        <v>265</v>
      </c>
      <c r="K680" s="2216">
        <v>41352</v>
      </c>
      <c r="L680" s="2002">
        <v>280000</v>
      </c>
      <c r="M680" s="2177">
        <v>11015</v>
      </c>
      <c r="N680" s="2216">
        <v>41352</v>
      </c>
      <c r="O680" s="1996">
        <v>41639</v>
      </c>
      <c r="P680" s="1985" t="s">
        <v>2731</v>
      </c>
      <c r="Q680" s="2163"/>
      <c r="R680" s="2163"/>
      <c r="S680" s="2163"/>
      <c r="T680" s="1985" t="s">
        <v>130</v>
      </c>
      <c r="U680" s="1049" t="s">
        <v>867</v>
      </c>
      <c r="V680" s="1175">
        <v>41639</v>
      </c>
      <c r="W680" s="1178">
        <v>11213</v>
      </c>
      <c r="X680" s="95" t="s">
        <v>2724</v>
      </c>
      <c r="Y680" s="1175">
        <v>41639</v>
      </c>
      <c r="Z680" s="1175">
        <v>42004</v>
      </c>
      <c r="AA680" s="1049"/>
      <c r="AB680" s="1049"/>
      <c r="AC680" s="1177">
        <v>280000</v>
      </c>
      <c r="AD680" s="1049"/>
      <c r="AE680" s="2210">
        <f>L680-AD680+AC680-AD681+AC681</f>
        <v>840000</v>
      </c>
      <c r="AF680" s="2210">
        <v>146106.76</v>
      </c>
      <c r="AG680" s="2210">
        <v>99840.38</v>
      </c>
      <c r="AH680" s="2210">
        <f>AF680+AG680</f>
        <v>245947.14</v>
      </c>
      <c r="AI680" s="2225"/>
      <c r="AJ680" s="2225"/>
      <c r="AK680" s="2225"/>
      <c r="AL680" s="2225"/>
      <c r="AM680" s="2225"/>
      <c r="AN680" s="2225"/>
      <c r="AO680" s="2225"/>
      <c r="AP680" s="2225"/>
      <c r="AQ680" s="2225"/>
      <c r="AR680" s="2225"/>
      <c r="AS680" s="2225"/>
      <c r="AT680" s="2225"/>
      <c r="AU680" s="2225"/>
      <c r="AV680" s="2225"/>
      <c r="AW680" s="2225"/>
      <c r="AX680" s="2225"/>
      <c r="AY680" s="2225"/>
      <c r="AZ680" s="2225"/>
      <c r="BA680" s="2225"/>
      <c r="BB680" s="2225"/>
      <c r="BC680" s="2225"/>
      <c r="BD680" s="2225"/>
    </row>
    <row r="681" spans="1:56" ht="25.5" x14ac:dyDescent="0.25">
      <c r="A681" s="2221"/>
      <c r="B681" s="2196"/>
      <c r="C681" s="1986"/>
      <c r="D681" s="1986"/>
      <c r="E681" s="1986"/>
      <c r="F681" s="1986"/>
      <c r="G681" s="2178"/>
      <c r="H681" s="2215"/>
      <c r="I681" s="1986"/>
      <c r="J681" s="1986"/>
      <c r="K681" s="2218"/>
      <c r="L681" s="2003"/>
      <c r="M681" s="2178"/>
      <c r="N681" s="2218"/>
      <c r="O681" s="1997"/>
      <c r="P681" s="1986"/>
      <c r="Q681" s="2164"/>
      <c r="R681" s="2164"/>
      <c r="S681" s="2164"/>
      <c r="T681" s="1986"/>
      <c r="U681" s="1049" t="s">
        <v>871</v>
      </c>
      <c r="V681" s="1175">
        <v>42004</v>
      </c>
      <c r="W681" s="1178"/>
      <c r="X681" s="95" t="s">
        <v>1552</v>
      </c>
      <c r="Y681" s="1175">
        <v>42004</v>
      </c>
      <c r="Z681" s="1175">
        <v>42369</v>
      </c>
      <c r="AA681" s="1049"/>
      <c r="AB681" s="1049"/>
      <c r="AC681" s="1177">
        <v>280000</v>
      </c>
      <c r="AD681" s="1049"/>
      <c r="AE681" s="2212"/>
      <c r="AF681" s="2212"/>
      <c r="AG681" s="2212"/>
      <c r="AH681" s="2212"/>
      <c r="AI681" s="2226"/>
      <c r="AJ681" s="2226"/>
      <c r="AK681" s="2226"/>
      <c r="AL681" s="2226"/>
      <c r="AM681" s="2226"/>
      <c r="AN681" s="2226"/>
      <c r="AO681" s="2226"/>
      <c r="AP681" s="2226"/>
      <c r="AQ681" s="2226"/>
      <c r="AR681" s="2226"/>
      <c r="AS681" s="2226"/>
      <c r="AT681" s="2226"/>
      <c r="AU681" s="2226"/>
      <c r="AV681" s="2226"/>
      <c r="AW681" s="2226"/>
      <c r="AX681" s="2226"/>
      <c r="AY681" s="2226"/>
      <c r="AZ681" s="2226"/>
      <c r="BA681" s="2226"/>
      <c r="BB681" s="2226"/>
      <c r="BC681" s="2226"/>
      <c r="BD681" s="2226"/>
    </row>
    <row r="682" spans="1:56" x14ac:dyDescent="0.25">
      <c r="A682" s="2219">
        <v>334</v>
      </c>
      <c r="B682" s="2237" t="s">
        <v>2732</v>
      </c>
      <c r="C682" s="2235" t="s">
        <v>1003</v>
      </c>
      <c r="D682" s="2233" t="s">
        <v>1331</v>
      </c>
      <c r="E682" s="1985" t="s">
        <v>1358</v>
      </c>
      <c r="F682" s="2233" t="s">
        <v>2733</v>
      </c>
      <c r="G682" s="2177">
        <v>10965</v>
      </c>
      <c r="H682" s="2213" t="s">
        <v>727</v>
      </c>
      <c r="I682" s="2233" t="s">
        <v>2734</v>
      </c>
      <c r="J682" s="1985" t="s">
        <v>2735</v>
      </c>
      <c r="K682" s="2216">
        <v>41309</v>
      </c>
      <c r="L682" s="2002">
        <v>1149500</v>
      </c>
      <c r="M682" s="2177">
        <v>10987</v>
      </c>
      <c r="N682" s="2216">
        <v>41309</v>
      </c>
      <c r="O682" s="1996">
        <v>41639</v>
      </c>
      <c r="P682" s="1985" t="s">
        <v>1320</v>
      </c>
      <c r="Q682" s="2163"/>
      <c r="R682" s="2163"/>
      <c r="S682" s="2163"/>
      <c r="T682" s="1985" t="s">
        <v>2736</v>
      </c>
      <c r="U682" s="1049" t="s">
        <v>867</v>
      </c>
      <c r="V682" s="1175">
        <v>41639</v>
      </c>
      <c r="W682" s="1178">
        <v>11213</v>
      </c>
      <c r="X682" s="95" t="s">
        <v>2737</v>
      </c>
      <c r="Y682" s="1175">
        <v>41639</v>
      </c>
      <c r="Z682" s="1175">
        <v>42004</v>
      </c>
      <c r="AA682" s="1049"/>
      <c r="AB682" s="1049"/>
      <c r="AC682" s="1177">
        <v>1149500</v>
      </c>
      <c r="AD682" s="1049"/>
      <c r="AE682" s="2210">
        <f>L682-AD682+AC682-AD683+AC683</f>
        <v>2435900</v>
      </c>
      <c r="AF682" s="2210">
        <v>596748.74</v>
      </c>
      <c r="AG682" s="2210">
        <v>1160721.56</v>
      </c>
      <c r="AH682" s="2210">
        <f>AF682+AG682</f>
        <v>1757470.3</v>
      </c>
      <c r="AI682" s="1021"/>
      <c r="AJ682" s="1021"/>
      <c r="AK682" s="1049"/>
      <c r="AL682" s="1049"/>
      <c r="AM682" s="1049"/>
      <c r="AN682" s="1172"/>
      <c r="AO682" s="1178"/>
      <c r="AP682" s="1175"/>
      <c r="AQ682" s="1178"/>
      <c r="AR682" s="1175"/>
      <c r="AS682" s="1049"/>
      <c r="AT682" s="1049"/>
      <c r="AU682" s="1049"/>
      <c r="AV682" s="1049"/>
      <c r="AW682" s="1049"/>
      <c r="AX682" s="1049"/>
      <c r="AY682" s="1049"/>
      <c r="AZ682" s="1049"/>
      <c r="BA682" s="1049"/>
      <c r="BB682" s="1049"/>
      <c r="BC682" s="1049"/>
      <c r="BD682" s="1049"/>
    </row>
    <row r="683" spans="1:56" x14ac:dyDescent="0.25">
      <c r="A683" s="2221"/>
      <c r="B683" s="2238"/>
      <c r="C683" s="2236"/>
      <c r="D683" s="2234"/>
      <c r="E683" s="1986"/>
      <c r="F683" s="2234"/>
      <c r="G683" s="2178"/>
      <c r="H683" s="2215"/>
      <c r="I683" s="2234"/>
      <c r="J683" s="1986"/>
      <c r="K683" s="2218"/>
      <c r="L683" s="2003"/>
      <c r="M683" s="2178"/>
      <c r="N683" s="2218"/>
      <c r="O683" s="1997"/>
      <c r="P683" s="1986"/>
      <c r="Q683" s="2164"/>
      <c r="R683" s="2164"/>
      <c r="S683" s="2164"/>
      <c r="T683" s="1986"/>
      <c r="U683" s="1049" t="s">
        <v>871</v>
      </c>
      <c r="V683" s="1175">
        <v>41738</v>
      </c>
      <c r="W683" s="1107">
        <v>11299</v>
      </c>
      <c r="X683" s="95" t="s">
        <v>2697</v>
      </c>
      <c r="Y683" s="1175"/>
      <c r="Z683" s="1175"/>
      <c r="AA683" s="1049">
        <v>11.909520000000001</v>
      </c>
      <c r="AB683" s="1049"/>
      <c r="AC683" s="1177">
        <v>136900</v>
      </c>
      <c r="AD683" s="1049"/>
      <c r="AE683" s="2212"/>
      <c r="AF683" s="2212"/>
      <c r="AG683" s="2212"/>
      <c r="AH683" s="2212"/>
      <c r="AI683" s="1021"/>
      <c r="AJ683" s="1021"/>
      <c r="AK683" s="1049"/>
      <c r="AL683" s="1049"/>
      <c r="AM683" s="1049"/>
      <c r="AN683" s="1172"/>
      <c r="AO683" s="1178"/>
      <c r="AP683" s="1175"/>
      <c r="AQ683" s="1178"/>
      <c r="AR683" s="1175"/>
      <c r="AS683" s="1049"/>
      <c r="AT683" s="1049"/>
      <c r="AU683" s="1049"/>
      <c r="AV683" s="1049"/>
      <c r="AW683" s="1049"/>
      <c r="AX683" s="1049"/>
      <c r="AY683" s="1049"/>
      <c r="AZ683" s="1049"/>
      <c r="BA683" s="1049"/>
      <c r="BB683" s="1049"/>
      <c r="BC683" s="1049"/>
      <c r="BD683" s="1049"/>
    </row>
    <row r="684" spans="1:56" ht="78.75" customHeight="1" x14ac:dyDescent="0.25">
      <c r="A684" s="2219">
        <v>335</v>
      </c>
      <c r="B684" s="2227" t="s">
        <v>2707</v>
      </c>
      <c r="C684" s="1985" t="s">
        <v>403</v>
      </c>
      <c r="D684" s="1985" t="s">
        <v>1331</v>
      </c>
      <c r="E684" s="1985" t="s">
        <v>1358</v>
      </c>
      <c r="F684" s="1985" t="s">
        <v>2738</v>
      </c>
      <c r="G684" s="2177">
        <v>10973</v>
      </c>
      <c r="H684" s="2213" t="s">
        <v>331</v>
      </c>
      <c r="I684" s="2235" t="s">
        <v>2739</v>
      </c>
      <c r="J684" s="1985" t="s">
        <v>2740</v>
      </c>
      <c r="K684" s="2216">
        <v>41352</v>
      </c>
      <c r="L684" s="2002">
        <v>478400</v>
      </c>
      <c r="M684" s="2177">
        <v>11018</v>
      </c>
      <c r="N684" s="2216">
        <v>41352</v>
      </c>
      <c r="O684" s="1996">
        <v>41639</v>
      </c>
      <c r="P684" s="1985" t="s">
        <v>2710</v>
      </c>
      <c r="Q684" s="2163"/>
      <c r="R684" s="2163"/>
      <c r="S684" s="2163"/>
      <c r="T684" s="1985" t="s">
        <v>208</v>
      </c>
      <c r="U684" s="1030" t="s">
        <v>867</v>
      </c>
      <c r="V684" s="1175">
        <v>41639</v>
      </c>
      <c r="W684" s="1107">
        <v>11213</v>
      </c>
      <c r="X684" s="114" t="s">
        <v>2711</v>
      </c>
      <c r="Y684" s="1175">
        <v>41639</v>
      </c>
      <c r="Z684" s="1175">
        <v>42004</v>
      </c>
      <c r="AA684" s="1049"/>
      <c r="AB684" s="1049"/>
      <c r="AC684" s="1381">
        <v>478400</v>
      </c>
      <c r="AD684" s="1049"/>
      <c r="AE684" s="2210">
        <f>L684-AD684+AC684-AD685+AC685</f>
        <v>1435200</v>
      </c>
      <c r="AF684" s="2210">
        <v>250196.75</v>
      </c>
      <c r="AG684" s="2210">
        <v>132268</v>
      </c>
      <c r="AH684" s="2210">
        <f>AF684+AG684</f>
        <v>382464.75</v>
      </c>
      <c r="AI684" s="2225"/>
      <c r="AJ684" s="2225"/>
      <c r="AK684" s="2225"/>
      <c r="AL684" s="2225"/>
      <c r="AM684" s="2225"/>
      <c r="AN684" s="2225"/>
      <c r="AO684" s="2225"/>
      <c r="AP684" s="2225"/>
      <c r="AQ684" s="2225"/>
      <c r="AR684" s="2225"/>
      <c r="AS684" s="2225"/>
      <c r="AT684" s="2225"/>
      <c r="AU684" s="2225"/>
      <c r="AV684" s="2225"/>
      <c r="AW684" s="2225"/>
      <c r="AX684" s="2225"/>
      <c r="AY684" s="2225"/>
      <c r="AZ684" s="2225"/>
      <c r="BA684" s="2225"/>
      <c r="BB684" s="2225"/>
      <c r="BC684" s="2225"/>
      <c r="BD684" s="2225"/>
    </row>
    <row r="685" spans="1:56" ht="25.5" x14ac:dyDescent="0.25">
      <c r="A685" s="2221"/>
      <c r="B685" s="2228"/>
      <c r="C685" s="1986"/>
      <c r="D685" s="1986"/>
      <c r="E685" s="1986"/>
      <c r="F685" s="1986"/>
      <c r="G685" s="2178"/>
      <c r="H685" s="2215"/>
      <c r="I685" s="2236"/>
      <c r="J685" s="1986"/>
      <c r="K685" s="2218"/>
      <c r="L685" s="2003"/>
      <c r="M685" s="2178"/>
      <c r="N685" s="2218"/>
      <c r="O685" s="1997"/>
      <c r="P685" s="1986"/>
      <c r="Q685" s="2164"/>
      <c r="R685" s="2164"/>
      <c r="S685" s="2164"/>
      <c r="T685" s="1986"/>
      <c r="U685" s="1030" t="s">
        <v>871</v>
      </c>
      <c r="V685" s="1175">
        <v>42004</v>
      </c>
      <c r="W685" s="1107">
        <v>11470</v>
      </c>
      <c r="X685" s="1060" t="s">
        <v>2741</v>
      </c>
      <c r="Y685" s="1175">
        <v>42004</v>
      </c>
      <c r="Z685" s="1175">
        <v>42369</v>
      </c>
      <c r="AA685" s="1049"/>
      <c r="AB685" s="1049"/>
      <c r="AC685" s="1061">
        <v>478400</v>
      </c>
      <c r="AD685" s="1049"/>
      <c r="AE685" s="2212"/>
      <c r="AF685" s="2212"/>
      <c r="AG685" s="2212"/>
      <c r="AH685" s="2212"/>
      <c r="AI685" s="2226"/>
      <c r="AJ685" s="2226"/>
      <c r="AK685" s="2226"/>
      <c r="AL685" s="2226"/>
      <c r="AM685" s="2226"/>
      <c r="AN685" s="2226"/>
      <c r="AO685" s="2226"/>
      <c r="AP685" s="2226"/>
      <c r="AQ685" s="2226"/>
      <c r="AR685" s="2226"/>
      <c r="AS685" s="2226"/>
      <c r="AT685" s="2226"/>
      <c r="AU685" s="2226"/>
      <c r="AV685" s="2226"/>
      <c r="AW685" s="2226"/>
      <c r="AX685" s="2226"/>
      <c r="AY685" s="2226"/>
      <c r="AZ685" s="2226"/>
      <c r="BA685" s="2226"/>
      <c r="BB685" s="2226"/>
      <c r="BC685" s="2226"/>
      <c r="BD685" s="2226"/>
    </row>
    <row r="686" spans="1:56" x14ac:dyDescent="0.25">
      <c r="A686" s="2219">
        <v>336</v>
      </c>
      <c r="B686" s="2229" t="s">
        <v>2742</v>
      </c>
      <c r="C686" s="2163" t="s">
        <v>683</v>
      </c>
      <c r="D686" s="2231" t="s">
        <v>2644</v>
      </c>
      <c r="E686" s="2163" t="s">
        <v>677</v>
      </c>
      <c r="F686" s="2163" t="s">
        <v>2743</v>
      </c>
      <c r="G686" s="2177" t="s">
        <v>677</v>
      </c>
      <c r="H686" s="2213" t="s">
        <v>683</v>
      </c>
      <c r="I686" s="2163" t="s">
        <v>2744</v>
      </c>
      <c r="J686" s="2163" t="s">
        <v>2745</v>
      </c>
      <c r="K686" s="2216">
        <v>41653</v>
      </c>
      <c r="L686" s="2210">
        <v>139989.96</v>
      </c>
      <c r="M686" s="2177">
        <v>11223</v>
      </c>
      <c r="N686" s="2216">
        <v>41653</v>
      </c>
      <c r="O686" s="2216">
        <v>42020</v>
      </c>
      <c r="P686" s="2163" t="s">
        <v>1320</v>
      </c>
      <c r="Q686" s="2163"/>
      <c r="R686" s="2163"/>
      <c r="S686" s="2163"/>
      <c r="T686" s="2163" t="s">
        <v>2649</v>
      </c>
      <c r="U686" s="1049" t="s">
        <v>867</v>
      </c>
      <c r="V686" s="1175">
        <v>41677</v>
      </c>
      <c r="W686" s="1178">
        <v>11240</v>
      </c>
      <c r="X686" s="95" t="s">
        <v>2746</v>
      </c>
      <c r="Y686" s="1175">
        <v>41653</v>
      </c>
      <c r="Z686" s="1175">
        <v>42018</v>
      </c>
      <c r="AA686" s="95"/>
      <c r="AB686" s="95"/>
      <c r="AC686" s="1177"/>
      <c r="AD686" s="95"/>
      <c r="AE686" s="2210">
        <f>L686-AD686+AC686-AD687+AC687</f>
        <v>189989.96</v>
      </c>
      <c r="AF686" s="2210"/>
      <c r="AG686" s="2210">
        <v>189989.96</v>
      </c>
      <c r="AH686" s="2210">
        <f>AF686+AG686</f>
        <v>189989.96</v>
      </c>
      <c r="AI686" s="1021"/>
      <c r="AJ686" s="1021"/>
      <c r="AK686" s="1049"/>
      <c r="AL686" s="1049"/>
      <c r="AM686" s="1049"/>
      <c r="AN686" s="1172"/>
      <c r="AO686" s="1178"/>
      <c r="AP686" s="1175"/>
      <c r="AQ686" s="1178"/>
      <c r="AR686" s="1175"/>
      <c r="AS686" s="1049"/>
      <c r="AT686" s="1049"/>
      <c r="AU686" s="1049"/>
      <c r="AV686" s="1049"/>
      <c r="AW686" s="1049"/>
      <c r="AX686" s="1049"/>
      <c r="AY686" s="1049"/>
      <c r="AZ686" s="1049"/>
      <c r="BA686" s="1049"/>
      <c r="BB686" s="1049"/>
      <c r="BC686" s="1049"/>
      <c r="BD686" s="1049"/>
    </row>
    <row r="687" spans="1:56" x14ac:dyDescent="0.25">
      <c r="A687" s="2221"/>
      <c r="B687" s="2230"/>
      <c r="C687" s="2164"/>
      <c r="D687" s="2232"/>
      <c r="E687" s="2164"/>
      <c r="F687" s="2164"/>
      <c r="G687" s="2178"/>
      <c r="H687" s="2215"/>
      <c r="I687" s="2164"/>
      <c r="J687" s="2164"/>
      <c r="K687" s="2218"/>
      <c r="L687" s="2212"/>
      <c r="M687" s="2178"/>
      <c r="N687" s="2218"/>
      <c r="O687" s="2218"/>
      <c r="P687" s="2164"/>
      <c r="Q687" s="2164"/>
      <c r="R687" s="2164"/>
      <c r="S687" s="2164"/>
      <c r="T687" s="2164"/>
      <c r="U687" s="1049" t="s">
        <v>871</v>
      </c>
      <c r="V687" s="1175">
        <v>41782</v>
      </c>
      <c r="W687" s="1178">
        <v>11315</v>
      </c>
      <c r="X687" s="95" t="s">
        <v>2747</v>
      </c>
      <c r="Y687" s="1175"/>
      <c r="Z687" s="1175"/>
      <c r="AA687" s="95">
        <v>35.716839999999998</v>
      </c>
      <c r="AB687" s="95"/>
      <c r="AC687" s="1177">
        <v>50000</v>
      </c>
      <c r="AD687" s="95"/>
      <c r="AE687" s="2212"/>
      <c r="AF687" s="2212"/>
      <c r="AG687" s="2212"/>
      <c r="AH687" s="2212"/>
      <c r="AI687" s="1021"/>
      <c r="AJ687" s="1021"/>
      <c r="AK687" s="1049"/>
      <c r="AL687" s="1049"/>
      <c r="AM687" s="1049"/>
      <c r="AN687" s="1172"/>
      <c r="AO687" s="1178"/>
      <c r="AP687" s="1175"/>
      <c r="AQ687" s="1178"/>
      <c r="AR687" s="1175"/>
      <c r="AS687" s="1049"/>
      <c r="AT687" s="1049"/>
      <c r="AU687" s="1049"/>
      <c r="AV687" s="1049"/>
      <c r="AW687" s="1049"/>
      <c r="AX687" s="1049"/>
      <c r="AY687" s="1049"/>
      <c r="AZ687" s="1049"/>
      <c r="BA687" s="1049"/>
      <c r="BB687" s="1049"/>
      <c r="BC687" s="1049"/>
      <c r="BD687" s="1049"/>
    </row>
    <row r="688" spans="1:56" ht="140.25" x14ac:dyDescent="0.25">
      <c r="A688" s="1495">
        <v>337</v>
      </c>
      <c r="B688" s="1490">
        <v>2003449</v>
      </c>
      <c r="C688" s="1049" t="s">
        <v>1498</v>
      </c>
      <c r="D688" s="1174" t="s">
        <v>2644</v>
      </c>
      <c r="E688" s="95"/>
      <c r="F688" s="1174" t="s">
        <v>2748</v>
      </c>
      <c r="G688" s="1178" t="s">
        <v>677</v>
      </c>
      <c r="H688" s="1172" t="s">
        <v>1498</v>
      </c>
      <c r="I688" s="1174" t="s">
        <v>2749</v>
      </c>
      <c r="J688" s="95" t="s">
        <v>2750</v>
      </c>
      <c r="K688" s="1432">
        <v>41607</v>
      </c>
      <c r="L688" s="1364">
        <v>338232</v>
      </c>
      <c r="M688" s="1178">
        <v>11190</v>
      </c>
      <c r="N688" s="1432">
        <v>41607</v>
      </c>
      <c r="O688" s="1432">
        <v>41972</v>
      </c>
      <c r="P688" s="1060"/>
      <c r="Q688" s="1049"/>
      <c r="R688" s="1049"/>
      <c r="S688" s="1049"/>
      <c r="T688" s="1049" t="s">
        <v>2649</v>
      </c>
      <c r="U688" s="1049" t="s">
        <v>867</v>
      </c>
      <c r="V688" s="1175">
        <v>41704</v>
      </c>
      <c r="W688" s="1178">
        <v>11272</v>
      </c>
      <c r="X688" s="95" t="s">
        <v>2751</v>
      </c>
      <c r="Y688" s="1049"/>
      <c r="Z688" s="1049"/>
      <c r="AA688" s="1049"/>
      <c r="AB688" s="1049"/>
      <c r="AC688" s="1177">
        <v>213120</v>
      </c>
      <c r="AD688" s="1049"/>
      <c r="AE688" s="1364">
        <f>L688-AD688+AC688</f>
        <v>551352</v>
      </c>
      <c r="AF688" s="1177"/>
      <c r="AG688" s="1177">
        <v>494980</v>
      </c>
      <c r="AH688" s="1177">
        <f>AF688+AG688</f>
        <v>494980</v>
      </c>
      <c r="AI688" s="1021"/>
      <c r="AJ688" s="1021"/>
      <c r="AK688" s="1049"/>
      <c r="AL688" s="1049"/>
      <c r="AM688" s="1049"/>
      <c r="AN688" s="1172"/>
      <c r="AO688" s="1178"/>
      <c r="AP688" s="1175"/>
      <c r="AQ688" s="1178"/>
      <c r="AR688" s="1175"/>
      <c r="AS688" s="1049"/>
      <c r="AT688" s="1049"/>
      <c r="AU688" s="1049"/>
      <c r="AV688" s="1049"/>
      <c r="AW688" s="1049"/>
      <c r="AX688" s="1049"/>
      <c r="AY688" s="1049"/>
      <c r="AZ688" s="1049"/>
      <c r="BA688" s="1049"/>
      <c r="BB688" s="1049"/>
      <c r="BC688" s="1049"/>
      <c r="BD688" s="1049"/>
    </row>
    <row r="689" spans="1:56" ht="127.5" x14ac:dyDescent="0.25">
      <c r="A689" s="1495">
        <v>338</v>
      </c>
      <c r="B689" s="1490">
        <v>2000765</v>
      </c>
      <c r="C689" s="1049" t="s">
        <v>677</v>
      </c>
      <c r="D689" s="1174" t="s">
        <v>2644</v>
      </c>
      <c r="E689" s="95"/>
      <c r="F689" s="1174" t="s">
        <v>2752</v>
      </c>
      <c r="G689" s="1178" t="s">
        <v>677</v>
      </c>
      <c r="H689" s="1172" t="s">
        <v>388</v>
      </c>
      <c r="I689" s="1174" t="s">
        <v>2753</v>
      </c>
      <c r="J689" s="95" t="s">
        <v>2754</v>
      </c>
      <c r="K689" s="1432">
        <v>41767</v>
      </c>
      <c r="L689" s="1364">
        <v>50000</v>
      </c>
      <c r="M689" s="1178">
        <v>11300</v>
      </c>
      <c r="N689" s="715">
        <v>41771</v>
      </c>
      <c r="O689" s="1175">
        <v>41863</v>
      </c>
      <c r="P689" s="1049" t="s">
        <v>2755</v>
      </c>
      <c r="Q689" s="1049"/>
      <c r="R689" s="1049"/>
      <c r="S689" s="1049"/>
      <c r="T689" s="1049" t="s">
        <v>2649</v>
      </c>
      <c r="U689" s="1049"/>
      <c r="V689" s="1049"/>
      <c r="W689" s="1178"/>
      <c r="X689" s="95"/>
      <c r="Y689" s="1049"/>
      <c r="Z689" s="1049"/>
      <c r="AA689" s="95"/>
      <c r="AB689" s="95"/>
      <c r="AC689" s="1177"/>
      <c r="AD689" s="1049"/>
      <c r="AE689" s="1364">
        <f>L689-AD689+AC689</f>
        <v>50000</v>
      </c>
      <c r="AF689" s="1177"/>
      <c r="AG689" s="1177">
        <v>50000</v>
      </c>
      <c r="AH689" s="1177">
        <f>AF689+AG689</f>
        <v>50000</v>
      </c>
      <c r="AI689" s="1021"/>
      <c r="AJ689" s="1021"/>
      <c r="AK689" s="1049"/>
      <c r="AL689" s="1049"/>
      <c r="AM689" s="1049"/>
      <c r="AN689" s="1172"/>
      <c r="AO689" s="1178"/>
      <c r="AP689" s="1175"/>
      <c r="AQ689" s="1178"/>
      <c r="AR689" s="1175"/>
      <c r="AS689" s="1049"/>
      <c r="AT689" s="1049"/>
      <c r="AU689" s="1049"/>
      <c r="AV689" s="1049"/>
      <c r="AW689" s="1049"/>
      <c r="AX689" s="1049"/>
      <c r="AY689" s="1049"/>
      <c r="AZ689" s="1049"/>
      <c r="BA689" s="1049"/>
      <c r="BB689" s="1049"/>
      <c r="BC689" s="1049"/>
      <c r="BD689" s="1049"/>
    </row>
    <row r="690" spans="1:56" ht="76.5" x14ac:dyDescent="0.25">
      <c r="A690" s="1495">
        <v>339</v>
      </c>
      <c r="B690" s="1490">
        <v>2001159</v>
      </c>
      <c r="C690" s="1049" t="s">
        <v>677</v>
      </c>
      <c r="D690" s="1174" t="s">
        <v>2644</v>
      </c>
      <c r="E690" s="95"/>
      <c r="F690" s="1174" t="s">
        <v>2756</v>
      </c>
      <c r="G690" s="1178" t="s">
        <v>677</v>
      </c>
      <c r="H690" s="1172" t="s">
        <v>680</v>
      </c>
      <c r="I690" s="1174" t="s">
        <v>2757</v>
      </c>
      <c r="J690" s="95" t="s">
        <v>2758</v>
      </c>
      <c r="K690" s="1432">
        <v>41757</v>
      </c>
      <c r="L690" s="1364">
        <v>60000</v>
      </c>
      <c r="M690" s="1178">
        <v>11294</v>
      </c>
      <c r="N690" s="1432">
        <v>41757</v>
      </c>
      <c r="O690" s="715">
        <v>42122</v>
      </c>
      <c r="P690" s="1049" t="s">
        <v>2755</v>
      </c>
      <c r="Q690" s="1049"/>
      <c r="R690" s="1049"/>
      <c r="S690" s="1049"/>
      <c r="T690" s="1049" t="s">
        <v>2649</v>
      </c>
      <c r="U690" s="1049"/>
      <c r="V690" s="1049"/>
      <c r="W690" s="1178"/>
      <c r="X690" s="95"/>
      <c r="Y690" s="1049"/>
      <c r="Z690" s="1049"/>
      <c r="AA690" s="95"/>
      <c r="AB690" s="95"/>
      <c r="AC690" s="1177"/>
      <c r="AD690" s="1049"/>
      <c r="AE690" s="1364">
        <f>L690-AD690+AC690</f>
        <v>60000</v>
      </c>
      <c r="AF690" s="1177"/>
      <c r="AG690" s="1177">
        <v>35000</v>
      </c>
      <c r="AH690" s="1177">
        <f>AF690+AG690</f>
        <v>35000</v>
      </c>
      <c r="AI690" s="1021"/>
      <c r="AJ690" s="1021"/>
      <c r="AK690" s="1049"/>
      <c r="AL690" s="1049"/>
      <c r="AM690" s="1049"/>
      <c r="AN690" s="1172"/>
      <c r="AO690" s="1178"/>
      <c r="AP690" s="1175"/>
      <c r="AQ690" s="1178"/>
      <c r="AR690" s="1175"/>
      <c r="AS690" s="1049"/>
      <c r="AT690" s="1049"/>
      <c r="AU690" s="1049"/>
      <c r="AV690" s="1049"/>
      <c r="AW690" s="1049"/>
      <c r="AX690" s="1049"/>
      <c r="AY690" s="1049"/>
      <c r="AZ690" s="1049"/>
      <c r="BA690" s="1049"/>
      <c r="BB690" s="1049"/>
      <c r="BC690" s="1049"/>
      <c r="BD690" s="1049"/>
    </row>
    <row r="691" spans="1:56" ht="76.5" x14ac:dyDescent="0.25">
      <c r="A691" s="2219">
        <v>340</v>
      </c>
      <c r="B691" s="2222" t="s">
        <v>2759</v>
      </c>
      <c r="C691" s="2163" t="s">
        <v>2760</v>
      </c>
      <c r="D691" s="1985" t="s">
        <v>1431</v>
      </c>
      <c r="E691" s="2163" t="s">
        <v>168</v>
      </c>
      <c r="F691" s="1985" t="s">
        <v>2761</v>
      </c>
      <c r="G691" s="2177">
        <v>10649</v>
      </c>
      <c r="H691" s="2213" t="s">
        <v>2762</v>
      </c>
      <c r="I691" s="1985" t="s">
        <v>2763</v>
      </c>
      <c r="J691" s="1985" t="s">
        <v>2764</v>
      </c>
      <c r="K691" s="2216">
        <v>40907</v>
      </c>
      <c r="L691" s="2210">
        <v>492129.01</v>
      </c>
      <c r="M691" s="2177">
        <v>10714</v>
      </c>
      <c r="N691" s="2172">
        <v>40907</v>
      </c>
      <c r="O691" s="2172">
        <v>41090</v>
      </c>
      <c r="P691" s="1985" t="s">
        <v>2765</v>
      </c>
      <c r="Q691" s="2163"/>
      <c r="R691" s="2163"/>
      <c r="S691" s="2163"/>
      <c r="T691" s="1985" t="s">
        <v>2766</v>
      </c>
      <c r="U691" s="95"/>
      <c r="V691" s="95"/>
      <c r="W691" s="95"/>
      <c r="X691" s="95"/>
      <c r="Y691" s="95"/>
      <c r="Z691" s="95"/>
      <c r="AA691" s="95"/>
      <c r="AB691" s="95"/>
      <c r="AC691" s="95"/>
      <c r="AD691" s="1049"/>
      <c r="AE691" s="2210">
        <f>L691-AD691+AC691-AD692+AC692-AD693+AC693-AD694+AC694-AD695+AC695-AD696+AC696-AD697+AC697</f>
        <v>515022.76999999996</v>
      </c>
      <c r="AF691" s="2210">
        <v>113405.03</v>
      </c>
      <c r="AG691" s="2210">
        <v>344931.38</v>
      </c>
      <c r="AH691" s="2210">
        <f>AF691+AG691</f>
        <v>458336.41000000003</v>
      </c>
      <c r="AI691" s="1021"/>
      <c r="AJ691" s="1021"/>
      <c r="AK691" s="1049"/>
      <c r="AL691" s="1049"/>
      <c r="AM691" s="1049"/>
      <c r="AN691" s="1172"/>
      <c r="AO691" s="1178"/>
      <c r="AP691" s="1175"/>
      <c r="AQ691" s="1178"/>
      <c r="AR691" s="1175"/>
      <c r="AS691" s="2163" t="s">
        <v>1323</v>
      </c>
      <c r="AT691" s="2163" t="s">
        <v>1457</v>
      </c>
      <c r="AU691" s="715">
        <v>40907</v>
      </c>
      <c r="AV691" s="1175">
        <v>41059</v>
      </c>
      <c r="AW691" s="2163"/>
      <c r="AX691" s="2163"/>
      <c r="AY691" s="1175">
        <v>40907</v>
      </c>
      <c r="AZ691" s="2163"/>
      <c r="BA691" s="2163" t="s">
        <v>1464</v>
      </c>
      <c r="BB691" s="1175">
        <v>40910</v>
      </c>
      <c r="BC691" s="2163"/>
      <c r="BD691" s="1049" t="s">
        <v>2767</v>
      </c>
    </row>
    <row r="692" spans="1:56" x14ac:dyDescent="0.25">
      <c r="A692" s="2220"/>
      <c r="B692" s="2223"/>
      <c r="C692" s="2175"/>
      <c r="D692" s="2021"/>
      <c r="E692" s="2175"/>
      <c r="F692" s="2021"/>
      <c r="G692" s="2180"/>
      <c r="H692" s="2214"/>
      <c r="I692" s="2021"/>
      <c r="J692" s="2021"/>
      <c r="K692" s="2217"/>
      <c r="L692" s="2211"/>
      <c r="M692" s="2180"/>
      <c r="N692" s="2173"/>
      <c r="O692" s="2173"/>
      <c r="P692" s="2021"/>
      <c r="Q692" s="2175"/>
      <c r="R692" s="2175"/>
      <c r="S692" s="2175"/>
      <c r="T692" s="2021"/>
      <c r="U692" s="1049" t="s">
        <v>867</v>
      </c>
      <c r="V692" s="1175">
        <v>41457</v>
      </c>
      <c r="W692" s="1178">
        <v>11110</v>
      </c>
      <c r="X692" s="95" t="s">
        <v>2768</v>
      </c>
      <c r="Y692" s="1175">
        <v>41090</v>
      </c>
      <c r="Z692" s="1049" t="s">
        <v>2769</v>
      </c>
      <c r="AA692" s="95">
        <v>7.12</v>
      </c>
      <c r="AB692" s="95"/>
      <c r="AC692" s="1177">
        <v>35039.589999999997</v>
      </c>
      <c r="AD692" s="1049"/>
      <c r="AE692" s="2211"/>
      <c r="AF692" s="2211"/>
      <c r="AG692" s="2211"/>
      <c r="AH692" s="2211"/>
      <c r="AI692" s="1021"/>
      <c r="AJ692" s="1021"/>
      <c r="AK692" s="1049"/>
      <c r="AL692" s="1049"/>
      <c r="AM692" s="1049"/>
      <c r="AN692" s="1172"/>
      <c r="AO692" s="1178"/>
      <c r="AP692" s="1175"/>
      <c r="AQ692" s="1178"/>
      <c r="AR692" s="1175"/>
      <c r="AS692" s="2175"/>
      <c r="AT692" s="2175"/>
      <c r="AU692" s="1175">
        <v>41091</v>
      </c>
      <c r="AV692" s="1175">
        <v>41334</v>
      </c>
      <c r="AW692" s="2175"/>
      <c r="AX692" s="2175"/>
      <c r="AY692" s="1175">
        <v>41091</v>
      </c>
      <c r="AZ692" s="2175"/>
      <c r="BA692" s="2175"/>
      <c r="BB692" s="1049"/>
      <c r="BC692" s="2175"/>
      <c r="BD692" s="1049"/>
    </row>
    <row r="693" spans="1:56" x14ac:dyDescent="0.25">
      <c r="A693" s="2220"/>
      <c r="B693" s="2223"/>
      <c r="C693" s="2175"/>
      <c r="D693" s="2021"/>
      <c r="E693" s="2175"/>
      <c r="F693" s="2021"/>
      <c r="G693" s="2180"/>
      <c r="H693" s="2214"/>
      <c r="I693" s="2021"/>
      <c r="J693" s="2021"/>
      <c r="K693" s="2217"/>
      <c r="L693" s="2211"/>
      <c r="M693" s="2180"/>
      <c r="N693" s="2173"/>
      <c r="O693" s="2173"/>
      <c r="P693" s="2021"/>
      <c r="Q693" s="2175"/>
      <c r="R693" s="2175"/>
      <c r="S693" s="2175"/>
      <c r="T693" s="2021"/>
      <c r="U693" s="1030" t="s">
        <v>871</v>
      </c>
      <c r="V693" s="1059">
        <v>41674</v>
      </c>
      <c r="W693" s="1053">
        <v>11244</v>
      </c>
      <c r="X693" s="95" t="s">
        <v>2770</v>
      </c>
      <c r="Y693" s="1060"/>
      <c r="Z693" s="1060"/>
      <c r="AA693" s="95">
        <v>2.9598200000000001</v>
      </c>
      <c r="AB693" s="95">
        <v>2.9598200000000001</v>
      </c>
      <c r="AC693" s="266">
        <v>14566.17</v>
      </c>
      <c r="AD693" s="266">
        <v>14566.17</v>
      </c>
      <c r="AE693" s="2211"/>
      <c r="AF693" s="2211"/>
      <c r="AG693" s="2211"/>
      <c r="AH693" s="2211"/>
      <c r="AI693" s="1063"/>
      <c r="AJ693" s="1063"/>
      <c r="AK693" s="1060"/>
      <c r="AL693" s="1060"/>
      <c r="AM693" s="1030"/>
      <c r="AN693" s="1060"/>
      <c r="AO693" s="1060"/>
      <c r="AP693" s="1060"/>
      <c r="AQ693" s="1060"/>
      <c r="AR693" s="1060"/>
      <c r="AS693" s="2175"/>
      <c r="AT693" s="2175"/>
      <c r="AU693" s="1060"/>
      <c r="AV693" s="1060"/>
      <c r="AW693" s="2175"/>
      <c r="AX693" s="2175"/>
      <c r="AY693" s="1060"/>
      <c r="AZ693" s="2175"/>
      <c r="BA693" s="2175"/>
      <c r="BB693" s="1060"/>
      <c r="BC693" s="2175"/>
      <c r="BD693" s="1060"/>
    </row>
    <row r="694" spans="1:56" x14ac:dyDescent="0.25">
      <c r="A694" s="2220"/>
      <c r="B694" s="2223"/>
      <c r="C694" s="2175"/>
      <c r="D694" s="2021"/>
      <c r="E694" s="2175"/>
      <c r="F694" s="2021"/>
      <c r="G694" s="2180"/>
      <c r="H694" s="2214"/>
      <c r="I694" s="2021"/>
      <c r="J694" s="2021"/>
      <c r="K694" s="2217"/>
      <c r="L694" s="2211"/>
      <c r="M694" s="2180"/>
      <c r="N694" s="2173"/>
      <c r="O694" s="2173"/>
      <c r="P694" s="2021"/>
      <c r="Q694" s="2175"/>
      <c r="R694" s="2175"/>
      <c r="S694" s="2175"/>
      <c r="T694" s="2021"/>
      <c r="U694" s="1357" t="s">
        <v>874</v>
      </c>
      <c r="V694" s="1054">
        <v>41698</v>
      </c>
      <c r="W694" s="1053">
        <v>11264</v>
      </c>
      <c r="X694" s="95" t="s">
        <v>2771</v>
      </c>
      <c r="Y694" s="1054">
        <v>41699</v>
      </c>
      <c r="Z694" s="1054">
        <v>41944</v>
      </c>
      <c r="AA694" s="1030"/>
      <c r="AB694" s="1030"/>
      <c r="AC694" s="266"/>
      <c r="AD694" s="1030"/>
      <c r="AE694" s="2211"/>
      <c r="AF694" s="2211"/>
      <c r="AG694" s="2211"/>
      <c r="AH694" s="2211"/>
      <c r="AI694" s="339"/>
      <c r="AJ694" s="339"/>
      <c r="AK694" s="107"/>
      <c r="AL694" s="107"/>
      <c r="AM694" s="1092"/>
      <c r="AN694" s="107"/>
      <c r="AO694" s="107"/>
      <c r="AP694" s="107"/>
      <c r="AQ694" s="107"/>
      <c r="AR694" s="107"/>
      <c r="AS694" s="2175"/>
      <c r="AT694" s="2175"/>
      <c r="AU694" s="1054">
        <v>41699</v>
      </c>
      <c r="AV694" s="1054">
        <v>41944</v>
      </c>
      <c r="AW694" s="2175"/>
      <c r="AX694" s="2175"/>
      <c r="AY694" s="1030"/>
      <c r="AZ694" s="2175"/>
      <c r="BA694" s="2175"/>
      <c r="BB694" s="1030"/>
      <c r="BC694" s="2175"/>
      <c r="BD694" s="1030"/>
    </row>
    <row r="695" spans="1:56" x14ac:dyDescent="0.25">
      <c r="A695" s="2220"/>
      <c r="B695" s="2223"/>
      <c r="C695" s="2175"/>
      <c r="D695" s="2021"/>
      <c r="E695" s="2175"/>
      <c r="F695" s="2021"/>
      <c r="G695" s="2180"/>
      <c r="H695" s="2214"/>
      <c r="I695" s="2021"/>
      <c r="J695" s="2021"/>
      <c r="K695" s="2217"/>
      <c r="L695" s="2211"/>
      <c r="M695" s="2180"/>
      <c r="N695" s="2173"/>
      <c r="O695" s="2173"/>
      <c r="P695" s="2021"/>
      <c r="Q695" s="2175"/>
      <c r="R695" s="2175"/>
      <c r="S695" s="2175"/>
      <c r="T695" s="2021"/>
      <c r="U695" s="1357" t="s">
        <v>876</v>
      </c>
      <c r="V695" s="1054">
        <v>41799</v>
      </c>
      <c r="W695" s="1053">
        <v>11326</v>
      </c>
      <c r="X695" s="95" t="s">
        <v>2772</v>
      </c>
      <c r="Y695" s="1054"/>
      <c r="Z695" s="1054"/>
      <c r="AA695" s="1030"/>
      <c r="AB695" s="1030">
        <v>8.0083900000000003</v>
      </c>
      <c r="AC695" s="266"/>
      <c r="AD695" s="278">
        <v>39411.620000000003</v>
      </c>
      <c r="AE695" s="2211"/>
      <c r="AF695" s="2211"/>
      <c r="AG695" s="2211"/>
      <c r="AH695" s="2211"/>
      <c r="AI695" s="339"/>
      <c r="AJ695" s="339"/>
      <c r="AK695" s="107"/>
      <c r="AL695" s="107"/>
      <c r="AM695" s="1092"/>
      <c r="AN695" s="107"/>
      <c r="AO695" s="107"/>
      <c r="AP695" s="107"/>
      <c r="AQ695" s="107"/>
      <c r="AR695" s="107"/>
      <c r="AS695" s="2175"/>
      <c r="AT695" s="2175"/>
      <c r="AU695" s="1030"/>
      <c r="AV695" s="1030"/>
      <c r="AW695" s="2175"/>
      <c r="AX695" s="2175"/>
      <c r="AY695" s="1030"/>
      <c r="AZ695" s="2175"/>
      <c r="BA695" s="2175"/>
      <c r="BB695" s="1030"/>
      <c r="BC695" s="2175"/>
      <c r="BD695" s="1030"/>
    </row>
    <row r="696" spans="1:56" x14ac:dyDescent="0.25">
      <c r="A696" s="2220"/>
      <c r="B696" s="2223"/>
      <c r="C696" s="2175"/>
      <c r="D696" s="2021"/>
      <c r="E696" s="2175"/>
      <c r="F696" s="2021"/>
      <c r="G696" s="2180"/>
      <c r="H696" s="2214"/>
      <c r="I696" s="2021"/>
      <c r="J696" s="2021"/>
      <c r="K696" s="2217"/>
      <c r="L696" s="2211"/>
      <c r="M696" s="2180"/>
      <c r="N696" s="2173"/>
      <c r="O696" s="2173"/>
      <c r="P696" s="2021"/>
      <c r="Q696" s="2175"/>
      <c r="R696" s="2175"/>
      <c r="S696" s="2175"/>
      <c r="T696" s="2021"/>
      <c r="U696" s="1357" t="s">
        <v>879</v>
      </c>
      <c r="V696" s="1054">
        <v>41911</v>
      </c>
      <c r="W696" s="1053">
        <v>11411</v>
      </c>
      <c r="X696" s="95" t="s">
        <v>2773</v>
      </c>
      <c r="Y696" s="1054"/>
      <c r="Z696" s="1054"/>
      <c r="AA696" s="1030">
        <v>5.5403700000000002</v>
      </c>
      <c r="AB696" s="1030"/>
      <c r="AC696" s="266">
        <v>27265.79</v>
      </c>
      <c r="AD696" s="278"/>
      <c r="AE696" s="2211"/>
      <c r="AF696" s="2211"/>
      <c r="AG696" s="2211"/>
      <c r="AH696" s="2211"/>
      <c r="AI696" s="339"/>
      <c r="AJ696" s="339"/>
      <c r="AK696" s="107"/>
      <c r="AL696" s="107"/>
      <c r="AM696" s="1092"/>
      <c r="AN696" s="107"/>
      <c r="AO696" s="107"/>
      <c r="AP696" s="107"/>
      <c r="AQ696" s="107"/>
      <c r="AR696" s="107"/>
      <c r="AS696" s="2175"/>
      <c r="AT696" s="2175"/>
      <c r="AU696" s="1030"/>
      <c r="AV696" s="1030"/>
      <c r="AW696" s="2175"/>
      <c r="AX696" s="2175"/>
      <c r="AY696" s="1030"/>
      <c r="AZ696" s="2175"/>
      <c r="BA696" s="2175"/>
      <c r="BB696" s="1030"/>
      <c r="BC696" s="2175"/>
      <c r="BD696" s="1030"/>
    </row>
    <row r="697" spans="1:56" x14ac:dyDescent="0.25">
      <c r="A697" s="2221"/>
      <c r="B697" s="2224"/>
      <c r="C697" s="2164"/>
      <c r="D697" s="1986"/>
      <c r="E697" s="2164"/>
      <c r="F697" s="1986"/>
      <c r="G697" s="2178"/>
      <c r="H697" s="2215"/>
      <c r="I697" s="1986"/>
      <c r="J697" s="1986"/>
      <c r="K697" s="2218"/>
      <c r="L697" s="2212"/>
      <c r="M697" s="2178"/>
      <c r="N697" s="2174"/>
      <c r="O697" s="2174"/>
      <c r="P697" s="1986"/>
      <c r="Q697" s="2164"/>
      <c r="R697" s="2164"/>
      <c r="S697" s="2164"/>
      <c r="T697" s="1986"/>
      <c r="U697" s="1357" t="s">
        <v>882</v>
      </c>
      <c r="V697" s="1054">
        <v>41932</v>
      </c>
      <c r="W697" s="1053">
        <v>11420</v>
      </c>
      <c r="X697" s="95" t="s">
        <v>2774</v>
      </c>
      <c r="Y697" s="1054">
        <v>41944</v>
      </c>
      <c r="Z697" s="1054">
        <v>42004</v>
      </c>
      <c r="AA697" s="1030"/>
      <c r="AB697" s="1030"/>
      <c r="AC697" s="266"/>
      <c r="AD697" s="278"/>
      <c r="AE697" s="2212"/>
      <c r="AF697" s="2212"/>
      <c r="AG697" s="2212"/>
      <c r="AH697" s="2212"/>
      <c r="AI697" s="339"/>
      <c r="AJ697" s="339"/>
      <c r="AK697" s="107"/>
      <c r="AL697" s="107"/>
      <c r="AM697" s="1092"/>
      <c r="AN697" s="107"/>
      <c r="AO697" s="107"/>
      <c r="AP697" s="107"/>
      <c r="AQ697" s="107"/>
      <c r="AR697" s="107"/>
      <c r="AS697" s="2164"/>
      <c r="AT697" s="2164"/>
      <c r="AU697" s="1030"/>
      <c r="AV697" s="1030"/>
      <c r="AW697" s="2164"/>
      <c r="AX697" s="2164"/>
      <c r="AY697" s="1030"/>
      <c r="AZ697" s="2164"/>
      <c r="BA697" s="2164"/>
      <c r="BB697" s="1030"/>
      <c r="BC697" s="2164"/>
      <c r="BD697" s="1030"/>
    </row>
    <row r="698" spans="1:56" x14ac:dyDescent="0.25">
      <c r="A698" s="1496"/>
      <c r="B698" s="1491"/>
      <c r="C698" s="404"/>
      <c r="D698" s="405"/>
      <c r="E698" s="406"/>
      <c r="F698" s="405"/>
      <c r="G698" s="416"/>
      <c r="H698" s="408"/>
      <c r="I698" s="405"/>
      <c r="J698" s="406"/>
      <c r="K698" s="415"/>
      <c r="L698" s="409"/>
      <c r="M698" s="411"/>
      <c r="N698" s="415"/>
      <c r="O698" s="415"/>
      <c r="P698" s="404"/>
      <c r="Q698" s="406"/>
      <c r="R698" s="404"/>
      <c r="S698" s="404"/>
      <c r="T698" s="404"/>
      <c r="U698" s="410"/>
      <c r="V698" s="415"/>
      <c r="W698" s="404"/>
      <c r="X698" s="406"/>
      <c r="Y698" s="1117"/>
      <c r="Z698" s="415"/>
      <c r="AA698" s="404"/>
      <c r="AB698" s="404"/>
      <c r="AC698" s="412"/>
      <c r="AD698" s="404"/>
      <c r="AE698" s="417"/>
      <c r="AF698" s="409"/>
      <c r="AG698" s="409"/>
      <c r="AH698" s="417"/>
      <c r="AI698" s="413"/>
      <c r="AJ698" s="413"/>
      <c r="AK698" s="414"/>
      <c r="AL698" s="414"/>
      <c r="AM698" s="418"/>
      <c r="AN698" s="414"/>
      <c r="AO698" s="414"/>
      <c r="AP698" s="414"/>
      <c r="AQ698" s="414"/>
      <c r="AR698" s="414"/>
      <c r="AS698" s="404"/>
      <c r="AT698" s="404"/>
      <c r="AU698" s="404"/>
      <c r="AV698" s="404"/>
      <c r="AW698" s="404"/>
      <c r="AX698" s="404"/>
      <c r="AY698" s="404"/>
      <c r="AZ698" s="404"/>
      <c r="BA698" s="404"/>
      <c r="BB698" s="404"/>
      <c r="BC698" s="404"/>
      <c r="BD698" s="404"/>
    </row>
    <row r="699" spans="1:56" x14ac:dyDescent="0.25">
      <c r="A699" s="1496"/>
      <c r="B699" s="1491"/>
      <c r="C699" s="404"/>
      <c r="D699" s="405"/>
      <c r="E699" s="406"/>
      <c r="F699" s="405"/>
      <c r="G699" s="416"/>
      <c r="H699" s="408"/>
      <c r="I699" s="405"/>
      <c r="J699" s="406"/>
      <c r="K699" s="415"/>
      <c r="L699" s="409"/>
      <c r="M699" s="411"/>
      <c r="N699" s="415"/>
      <c r="O699" s="415"/>
      <c r="P699" s="404"/>
      <c r="Q699" s="423"/>
      <c r="R699" s="404"/>
      <c r="S699" s="404"/>
      <c r="T699" s="404"/>
      <c r="U699" s="410"/>
      <c r="V699" s="415"/>
      <c r="W699" s="404"/>
      <c r="X699" s="423"/>
      <c r="Y699" s="1117"/>
      <c r="Z699" s="415"/>
      <c r="AA699" s="404"/>
      <c r="AB699" s="404"/>
      <c r="AC699" s="424"/>
      <c r="AD699" s="404"/>
      <c r="AE699" s="417"/>
      <c r="AF699" s="409"/>
      <c r="AG699" s="409"/>
      <c r="AH699" s="417"/>
      <c r="AI699" s="413"/>
      <c r="AJ699" s="413"/>
      <c r="AK699" s="414"/>
      <c r="AL699" s="414"/>
      <c r="AM699" s="418"/>
      <c r="AN699" s="414"/>
      <c r="AO699" s="414"/>
      <c r="AP699" s="414"/>
      <c r="AQ699" s="414"/>
      <c r="AR699" s="414"/>
      <c r="AS699" s="404"/>
      <c r="AT699" s="425"/>
      <c r="AU699" s="425"/>
      <c r="AV699" s="425"/>
      <c r="AW699" s="425"/>
      <c r="AX699" s="425"/>
      <c r="AY699" s="425"/>
      <c r="AZ699" s="425"/>
      <c r="BA699" s="425"/>
      <c r="BB699" s="425"/>
      <c r="BC699" s="425"/>
      <c r="BD699" s="425"/>
    </row>
    <row r="700" spans="1:56" x14ac:dyDescent="0.25">
      <c r="A700" s="1496"/>
      <c r="B700" s="1491"/>
      <c r="C700" s="404"/>
      <c r="D700" s="405"/>
      <c r="E700" s="406"/>
      <c r="F700" s="405"/>
      <c r="G700" s="416"/>
      <c r="H700" s="408"/>
      <c r="I700" s="405"/>
      <c r="J700" s="406"/>
      <c r="K700" s="415"/>
      <c r="L700" s="409"/>
      <c r="M700" s="411"/>
      <c r="N700" s="415"/>
      <c r="O700" s="415"/>
      <c r="P700" s="404"/>
      <c r="Q700" s="423"/>
      <c r="R700" s="404"/>
      <c r="S700" s="404"/>
      <c r="T700" s="404"/>
      <c r="U700" s="410"/>
      <c r="V700" s="415"/>
      <c r="W700" s="404"/>
      <c r="X700" s="423"/>
      <c r="Y700" s="1117"/>
      <c r="Z700" s="415"/>
      <c r="AA700" s="404"/>
      <c r="AB700" s="404"/>
      <c r="AC700" s="424"/>
      <c r="AD700" s="404"/>
      <c r="AE700" s="417"/>
      <c r="AF700" s="409"/>
      <c r="AG700" s="409"/>
      <c r="AH700" s="417"/>
      <c r="AI700" s="413"/>
      <c r="AJ700" s="413"/>
      <c r="AK700" s="414"/>
      <c r="AL700" s="414"/>
      <c r="AM700" s="418"/>
      <c r="AN700" s="414"/>
      <c r="AO700" s="414"/>
      <c r="AP700" s="414"/>
      <c r="AQ700" s="414"/>
      <c r="AR700" s="414"/>
      <c r="AS700" s="404"/>
      <c r="AT700" s="425"/>
      <c r="AU700" s="425"/>
      <c r="AV700" s="425"/>
      <c r="AW700" s="425"/>
      <c r="AX700" s="425"/>
      <c r="AY700" s="425"/>
      <c r="AZ700" s="425"/>
      <c r="BA700" s="425"/>
      <c r="BB700" s="425"/>
      <c r="BC700" s="425"/>
      <c r="BD700" s="425"/>
    </row>
    <row r="701" spans="1:56" x14ac:dyDescent="0.25">
      <c r="A701" s="1496"/>
      <c r="B701" s="1491"/>
      <c r="C701" s="404"/>
      <c r="D701" s="405"/>
      <c r="E701" s="406"/>
      <c r="F701" s="405"/>
      <c r="G701" s="416"/>
      <c r="H701" s="408"/>
      <c r="I701" s="405"/>
      <c r="J701" s="406"/>
      <c r="K701" s="415"/>
      <c r="L701" s="409"/>
      <c r="M701" s="411"/>
      <c r="N701" s="415"/>
      <c r="O701" s="415"/>
      <c r="P701" s="404"/>
      <c r="Q701" s="423"/>
      <c r="R701" s="404"/>
      <c r="S701" s="404"/>
      <c r="T701" s="404"/>
      <c r="U701" s="410"/>
      <c r="V701" s="415"/>
      <c r="W701" s="404"/>
      <c r="X701" s="423"/>
      <c r="Y701" s="1117"/>
      <c r="Z701" s="415"/>
      <c r="AA701" s="404"/>
      <c r="AB701" s="404"/>
      <c r="AC701" s="424"/>
      <c r="AD701" s="404"/>
      <c r="AE701" s="417"/>
      <c r="AF701" s="409"/>
      <c r="AG701" s="409"/>
      <c r="AH701" s="417"/>
      <c r="AI701" s="413"/>
      <c r="AJ701" s="413"/>
      <c r="AK701" s="414"/>
      <c r="AL701" s="414"/>
      <c r="AM701" s="418"/>
      <c r="AN701" s="414"/>
      <c r="AO701" s="414"/>
      <c r="AP701" s="414"/>
      <c r="AQ701" s="414"/>
      <c r="AR701" s="414"/>
      <c r="AS701" s="404"/>
      <c r="AT701" s="425"/>
      <c r="AU701" s="425"/>
      <c r="AV701" s="425"/>
      <c r="AW701" s="425"/>
      <c r="AX701" s="425"/>
      <c r="AY701" s="425"/>
      <c r="AZ701" s="425"/>
      <c r="BA701" s="425"/>
      <c r="BB701" s="425"/>
      <c r="BC701" s="425"/>
      <c r="BD701" s="425"/>
    </row>
    <row r="702" spans="1:56" x14ac:dyDescent="0.25">
      <c r="A702" s="1496"/>
      <c r="B702" s="1491"/>
      <c r="C702" s="404"/>
      <c r="D702" s="405"/>
      <c r="E702" s="406"/>
      <c r="F702" s="405"/>
      <c r="G702" s="416"/>
      <c r="H702" s="408"/>
      <c r="I702" s="405"/>
      <c r="J702" s="406"/>
      <c r="K702" s="415"/>
      <c r="L702" s="409"/>
      <c r="M702" s="411"/>
      <c r="N702" s="415"/>
      <c r="O702" s="415"/>
      <c r="P702" s="404"/>
      <c r="Q702" s="423"/>
      <c r="R702" s="404"/>
      <c r="S702" s="404"/>
      <c r="T702" s="404"/>
      <c r="U702" s="410"/>
      <c r="V702" s="415"/>
      <c r="W702" s="404"/>
      <c r="X702" s="423"/>
      <c r="Y702" s="1117"/>
      <c r="Z702" s="415"/>
      <c r="AA702" s="404"/>
      <c r="AB702" s="404"/>
      <c r="AC702" s="424"/>
      <c r="AD702" s="404"/>
      <c r="AE702" s="417"/>
      <c r="AF702" s="409"/>
      <c r="AG702" s="409"/>
      <c r="AH702" s="417"/>
      <c r="AI702" s="413"/>
      <c r="AJ702" s="413"/>
      <c r="AK702" s="414"/>
      <c r="AL702" s="414"/>
      <c r="AM702" s="418"/>
      <c r="AN702" s="414"/>
      <c r="AO702" s="414"/>
      <c r="AP702" s="414"/>
      <c r="AQ702" s="414"/>
      <c r="AR702" s="414"/>
      <c r="AS702" s="404"/>
      <c r="AT702" s="425"/>
      <c r="AU702" s="425"/>
      <c r="AV702" s="425"/>
      <c r="AW702" s="425"/>
      <c r="AX702" s="425"/>
      <c r="AY702" s="425"/>
      <c r="AZ702" s="425"/>
      <c r="BA702" s="425"/>
      <c r="BB702" s="425"/>
      <c r="BC702" s="425"/>
      <c r="BD702" s="425"/>
    </row>
    <row r="703" spans="1:56" x14ac:dyDescent="0.25">
      <c r="A703" s="1496"/>
      <c r="B703" s="1491"/>
      <c r="C703" s="404"/>
      <c r="D703" s="405"/>
      <c r="E703" s="406"/>
      <c r="F703" s="405"/>
      <c r="G703" s="416"/>
      <c r="H703" s="408"/>
      <c r="I703" s="405"/>
      <c r="J703" s="406"/>
      <c r="K703" s="415"/>
      <c r="L703" s="409"/>
      <c r="M703" s="411"/>
      <c r="N703" s="415"/>
      <c r="O703" s="415"/>
      <c r="P703" s="404"/>
      <c r="Q703" s="423"/>
      <c r="R703" s="404"/>
      <c r="S703" s="404"/>
      <c r="T703" s="404"/>
      <c r="U703" s="410"/>
      <c r="V703" s="415"/>
      <c r="W703" s="404"/>
      <c r="X703" s="423"/>
      <c r="Y703" s="1117"/>
      <c r="Z703" s="415"/>
      <c r="AA703" s="404"/>
      <c r="AB703" s="404"/>
      <c r="AC703" s="424"/>
      <c r="AD703" s="404"/>
      <c r="AE703" s="417"/>
      <c r="AF703" s="409"/>
      <c r="AG703" s="409"/>
      <c r="AH703" s="417"/>
      <c r="AI703" s="413"/>
      <c r="AJ703" s="413"/>
      <c r="AK703" s="414"/>
      <c r="AL703" s="414"/>
      <c r="AM703" s="418"/>
      <c r="AN703" s="414"/>
      <c r="AO703" s="414"/>
      <c r="AP703" s="414"/>
      <c r="AQ703" s="414"/>
      <c r="AR703" s="414"/>
      <c r="AS703" s="404"/>
      <c r="AT703" s="425"/>
      <c r="AU703" s="425"/>
      <c r="AV703" s="425"/>
      <c r="AW703" s="425"/>
      <c r="AX703" s="425"/>
      <c r="AY703" s="425"/>
      <c r="AZ703" s="425"/>
      <c r="BA703" s="425"/>
      <c r="BB703" s="425"/>
      <c r="BC703" s="425"/>
      <c r="BD703" s="425"/>
    </row>
    <row r="704" spans="1:56" x14ac:dyDescent="0.25">
      <c r="A704" s="1496"/>
      <c r="B704" s="1491"/>
      <c r="C704" s="404"/>
      <c r="D704" s="405"/>
      <c r="E704" s="406"/>
      <c r="F704" s="405"/>
      <c r="G704" s="416"/>
      <c r="H704" s="408"/>
      <c r="I704" s="405"/>
      <c r="J704" s="406"/>
      <c r="K704" s="415"/>
      <c r="L704" s="409"/>
      <c r="M704" s="411"/>
      <c r="N704" s="415"/>
      <c r="O704" s="415"/>
      <c r="P704" s="404"/>
      <c r="Q704" s="423"/>
      <c r="R704" s="404"/>
      <c r="S704" s="404"/>
      <c r="T704" s="404"/>
      <c r="U704" s="410"/>
      <c r="V704" s="415"/>
      <c r="W704" s="404"/>
      <c r="X704" s="423"/>
      <c r="Y704" s="1117"/>
      <c r="Z704" s="415"/>
      <c r="AA704" s="404"/>
      <c r="AB704" s="404"/>
      <c r="AC704" s="424"/>
      <c r="AD704" s="404"/>
      <c r="AE704" s="417"/>
      <c r="AF704" s="409"/>
      <c r="AG704" s="409"/>
      <c r="AH704" s="417"/>
      <c r="AI704" s="413"/>
      <c r="AJ704" s="413"/>
      <c r="AK704" s="414"/>
      <c r="AL704" s="414"/>
      <c r="AM704" s="418"/>
      <c r="AN704" s="414"/>
      <c r="AO704" s="414"/>
      <c r="AP704" s="414"/>
      <c r="AQ704" s="414"/>
      <c r="AR704" s="414"/>
      <c r="AS704" s="404"/>
      <c r="AT704" s="425"/>
      <c r="AU704" s="425"/>
      <c r="AV704" s="425"/>
      <c r="AW704" s="425"/>
      <c r="AX704" s="425"/>
      <c r="AY704" s="425"/>
      <c r="AZ704" s="425"/>
      <c r="BA704" s="425"/>
      <c r="BB704" s="425"/>
      <c r="BC704" s="425"/>
      <c r="BD704" s="425"/>
    </row>
    <row r="705" spans="1:56" x14ac:dyDescent="0.25">
      <c r="A705" s="1496"/>
      <c r="B705" s="1491"/>
      <c r="C705" s="404"/>
      <c r="D705" s="405"/>
      <c r="E705" s="406"/>
      <c r="F705" s="405"/>
      <c r="G705" s="416"/>
      <c r="H705" s="408"/>
      <c r="I705" s="405"/>
      <c r="J705" s="406"/>
      <c r="K705" s="415"/>
      <c r="L705" s="426"/>
      <c r="M705" s="411"/>
      <c r="N705" s="415"/>
      <c r="O705" s="415"/>
      <c r="P705" s="404"/>
      <c r="Q705" s="423"/>
      <c r="R705" s="404"/>
      <c r="S705" s="404"/>
      <c r="T705" s="404"/>
      <c r="U705" s="410"/>
      <c r="V705" s="415"/>
      <c r="W705" s="404"/>
      <c r="X705" s="423"/>
      <c r="Y705" s="1117"/>
      <c r="Z705" s="415"/>
      <c r="AA705" s="404"/>
      <c r="AB705" s="404"/>
      <c r="AC705" s="424"/>
      <c r="AD705" s="404"/>
      <c r="AE705" s="417"/>
      <c r="AF705" s="409"/>
      <c r="AG705" s="409"/>
      <c r="AH705" s="417"/>
      <c r="AI705" s="413"/>
      <c r="AJ705" s="413"/>
      <c r="AK705" s="414"/>
      <c r="AL705" s="414"/>
      <c r="AM705" s="418"/>
      <c r="AN705" s="414"/>
      <c r="AO705" s="414"/>
      <c r="AP705" s="414"/>
      <c r="AQ705" s="414"/>
      <c r="AR705" s="414"/>
      <c r="AS705" s="404"/>
      <c r="AT705" s="425"/>
      <c r="AU705" s="425"/>
      <c r="AV705" s="425"/>
      <c r="AW705" s="425"/>
      <c r="AX705" s="425"/>
      <c r="AY705" s="425"/>
      <c r="AZ705" s="425"/>
      <c r="BA705" s="425"/>
      <c r="BB705" s="425"/>
      <c r="BC705" s="425"/>
      <c r="BD705" s="425"/>
    </row>
    <row r="706" spans="1:56" ht="15.75" thickBot="1" x14ac:dyDescent="0.3">
      <c r="A706" s="1497"/>
      <c r="B706" s="1491"/>
      <c r="C706" s="404"/>
      <c r="D706" s="405"/>
      <c r="E706" s="406"/>
      <c r="F706" s="405"/>
      <c r="G706" s="407"/>
      <c r="H706" s="408"/>
      <c r="I706" s="405"/>
      <c r="J706" s="404"/>
      <c r="K706" s="404"/>
      <c r="L706" s="426"/>
      <c r="M706" s="404"/>
      <c r="N706" s="404"/>
      <c r="O706" s="404"/>
      <c r="P706" s="404"/>
      <c r="Q706" s="404"/>
      <c r="R706" s="404"/>
      <c r="S706" s="404"/>
      <c r="T706" s="404"/>
      <c r="U706" s="404"/>
      <c r="V706" s="404"/>
      <c r="W706" s="404"/>
      <c r="X706" s="404"/>
      <c r="Y706" s="1116"/>
      <c r="Z706" s="404"/>
      <c r="AA706" s="404"/>
      <c r="AB706" s="404"/>
      <c r="AC706" s="409"/>
      <c r="AD706" s="404"/>
      <c r="AE706" s="417"/>
      <c r="AF706" s="409"/>
      <c r="AG706" s="409"/>
      <c r="AH706" s="417">
        <f>AF706+AG706</f>
        <v>0</v>
      </c>
      <c r="AI706" s="413"/>
      <c r="AJ706" s="413"/>
      <c r="AK706" s="414"/>
      <c r="AL706" s="414"/>
      <c r="AM706" s="418"/>
      <c r="AN706" s="414"/>
      <c r="AO706" s="414"/>
      <c r="AP706" s="414"/>
      <c r="AQ706" s="414"/>
      <c r="AR706" s="414"/>
      <c r="AS706" s="404"/>
      <c r="AT706" s="425"/>
      <c r="AU706" s="425"/>
      <c r="AV706" s="425"/>
      <c r="AW706" s="425"/>
      <c r="AX706" s="425"/>
      <c r="AY706" s="425"/>
      <c r="AZ706" s="425"/>
      <c r="BA706" s="425"/>
      <c r="BB706" s="425"/>
      <c r="BC706" s="425"/>
      <c r="BD706" s="425"/>
    </row>
    <row r="707" spans="1:56" s="1474" customFormat="1" ht="12.75" x14ac:dyDescent="0.2">
      <c r="A707" s="2206" t="s">
        <v>601</v>
      </c>
      <c r="B707" s="2207"/>
      <c r="C707" s="2207"/>
      <c r="D707" s="2207"/>
      <c r="E707" s="2207"/>
      <c r="F707" s="2207"/>
      <c r="G707" s="2207"/>
      <c r="H707" s="2207"/>
      <c r="I707" s="2207"/>
      <c r="J707" s="2207"/>
      <c r="K707" s="2207"/>
      <c r="L707" s="1470">
        <f>SUM(L25:L704)</f>
        <v>65989354.659999974</v>
      </c>
      <c r="M707" s="1026"/>
      <c r="N707" s="516"/>
      <c r="O707" s="516"/>
      <c r="P707" s="1471"/>
      <c r="Q707" s="516"/>
      <c r="R707" s="516"/>
      <c r="S707" s="516"/>
      <c r="T707" s="516"/>
      <c r="U707" s="1471"/>
      <c r="V707" s="516"/>
      <c r="W707" s="1471"/>
      <c r="X707" s="516"/>
      <c r="Y707" s="516"/>
      <c r="Z707" s="516"/>
      <c r="AA707" s="516"/>
      <c r="AB707" s="516"/>
      <c r="AC707" s="639">
        <f>SUM(AC25:AC706)</f>
        <v>25189560.430000003</v>
      </c>
      <c r="AD707" s="639">
        <f>SUM(AD25:AD706)</f>
        <v>544361.51000000013</v>
      </c>
      <c r="AE707" s="639">
        <f t="shared" ref="AE707:AG707" si="18">SUM(AE24:AE706)</f>
        <v>90634553.579999998</v>
      </c>
      <c r="AF707" s="639">
        <f t="shared" si="18"/>
        <v>9816831.7999999989</v>
      </c>
      <c r="AG707" s="639">
        <f t="shared" si="18"/>
        <v>41790088.050000042</v>
      </c>
      <c r="AH707" s="639">
        <f>AF707+AG707</f>
        <v>51606919.850000039</v>
      </c>
      <c r="AI707" s="1472"/>
      <c r="AJ707" s="1472"/>
      <c r="AK707" s="640"/>
      <c r="AL707" s="640"/>
      <c r="AM707" s="1473"/>
      <c r="AN707" s="640"/>
      <c r="AO707" s="640"/>
      <c r="AP707" s="640"/>
      <c r="AQ707" s="640"/>
      <c r="AR707" s="640"/>
      <c r="AS707" s="1471"/>
      <c r="AT707" s="1471"/>
      <c r="AU707" s="1471"/>
      <c r="AV707" s="1471"/>
      <c r="AW707" s="1471"/>
      <c r="AX707" s="1471"/>
      <c r="AY707" s="1471"/>
      <c r="AZ707" s="1471"/>
      <c r="BA707" s="1471"/>
      <c r="BB707" s="1471"/>
      <c r="BC707" s="1471"/>
      <c r="BD707" s="1471"/>
    </row>
    <row r="708" spans="1:56" s="1480" customFormat="1" ht="12.75" x14ac:dyDescent="0.2">
      <c r="A708" s="147"/>
      <c r="B708" s="1475"/>
      <c r="C708" s="1078"/>
      <c r="D708" s="1476"/>
      <c r="E708" s="1477"/>
      <c r="F708" s="1476"/>
      <c r="G708" s="1171"/>
      <c r="H708" s="1078"/>
      <c r="I708" s="1476"/>
      <c r="J708" s="971"/>
      <c r="K708" s="1477"/>
      <c r="L708" s="1478"/>
      <c r="M708" s="147"/>
      <c r="N708" s="1477"/>
      <c r="O708" s="1477"/>
      <c r="P708" s="1078"/>
      <c r="Q708" s="1477"/>
      <c r="R708" s="1477"/>
      <c r="S708" s="1477"/>
      <c r="T708" s="1477"/>
      <c r="U708" s="1078"/>
      <c r="V708" s="1477"/>
      <c r="W708" s="1078"/>
      <c r="X708" s="1477"/>
      <c r="Y708" s="1477"/>
      <c r="Z708" s="1477"/>
      <c r="AA708" s="1477"/>
      <c r="AB708" s="1477"/>
      <c r="AC708" s="1478"/>
      <c r="AD708" s="1477"/>
      <c r="AE708" s="1478"/>
      <c r="AF708" s="1478"/>
      <c r="AG708" s="1478"/>
      <c r="AH708" s="1478"/>
      <c r="AI708" s="1479"/>
      <c r="AJ708" s="1479"/>
      <c r="AK708" s="1477"/>
      <c r="AL708" s="1477"/>
      <c r="AM708" s="1078"/>
      <c r="AN708" s="1477"/>
      <c r="AO708" s="1477"/>
      <c r="AP708" s="1477"/>
      <c r="AQ708" s="1477"/>
      <c r="AR708" s="1477"/>
      <c r="AS708" s="1477"/>
      <c r="AT708" s="1477"/>
      <c r="AU708" s="1477"/>
      <c r="AV708" s="1477"/>
      <c r="AW708" s="1477"/>
      <c r="AX708" s="1477"/>
      <c r="AY708" s="1477"/>
      <c r="AZ708" s="1477"/>
      <c r="BA708" s="1477"/>
      <c r="BB708" s="1477"/>
      <c r="BC708" s="1477"/>
      <c r="BD708" s="1477"/>
    </row>
    <row r="709" spans="1:56" s="1480" customFormat="1" ht="19.5" customHeight="1" x14ac:dyDescent="0.2">
      <c r="A709" s="2208" t="s">
        <v>2775</v>
      </c>
      <c r="B709" s="2208"/>
      <c r="C709" s="2208"/>
      <c r="D709" s="2208"/>
      <c r="E709" s="2208"/>
      <c r="F709" s="2208"/>
      <c r="G709" s="1171"/>
      <c r="H709" s="1078"/>
      <c r="I709" s="1476"/>
      <c r="J709" s="971"/>
      <c r="K709" s="1477"/>
      <c r="L709" s="1478"/>
      <c r="M709" s="147"/>
      <c r="N709" s="1477"/>
      <c r="O709" s="1477"/>
      <c r="P709" s="1078"/>
      <c r="Q709" s="1477"/>
      <c r="R709" s="1477"/>
      <c r="S709" s="1477"/>
      <c r="T709" s="1477"/>
      <c r="U709" s="1078"/>
      <c r="V709" s="1477"/>
      <c r="W709" s="1078"/>
      <c r="X709" s="1477"/>
      <c r="Y709" s="1477"/>
      <c r="Z709" s="1477"/>
      <c r="AA709" s="1477"/>
      <c r="AB709" s="1477"/>
      <c r="AC709" s="1478"/>
      <c r="AD709" s="1477"/>
      <c r="AE709" s="1478"/>
      <c r="AF709" s="1478"/>
      <c r="AG709" s="1478"/>
      <c r="AH709" s="1478"/>
      <c r="AI709" s="1479"/>
      <c r="AJ709" s="1479"/>
      <c r="AK709" s="1477"/>
      <c r="AL709" s="1477"/>
      <c r="AM709" s="1078"/>
      <c r="AN709" s="1477"/>
      <c r="AO709" s="1477"/>
      <c r="AP709" s="1477"/>
      <c r="AQ709" s="1477"/>
      <c r="AR709" s="1477"/>
      <c r="AS709" s="1477"/>
      <c r="AT709" s="1477"/>
      <c r="AU709" s="1477"/>
      <c r="AV709" s="1477"/>
      <c r="AW709" s="1477"/>
      <c r="AX709" s="1477"/>
      <c r="AY709" s="1477"/>
      <c r="AZ709" s="1477"/>
      <c r="BA709" s="1477"/>
      <c r="BB709" s="1477"/>
      <c r="BC709" s="1477"/>
      <c r="BD709" s="1477"/>
    </row>
    <row r="710" spans="1:56" s="1480" customFormat="1" ht="14.25" customHeight="1" x14ac:dyDescent="0.2">
      <c r="A710" s="2209" t="s">
        <v>2776</v>
      </c>
      <c r="B710" s="2209"/>
      <c r="C710" s="2209"/>
      <c r="D710" s="2209"/>
      <c r="E710" s="2209"/>
      <c r="F710" s="2209"/>
      <c r="G710" s="2209"/>
      <c r="H710" s="1078"/>
      <c r="I710" s="1476"/>
      <c r="J710" s="971"/>
      <c r="K710" s="1477"/>
      <c r="L710" s="1478"/>
      <c r="M710" s="147"/>
      <c r="N710" s="1477"/>
      <c r="O710" s="1477"/>
      <c r="P710" s="1078"/>
      <c r="Q710" s="1477"/>
      <c r="R710" s="1477"/>
      <c r="S710" s="1477"/>
      <c r="T710" s="1477"/>
      <c r="U710" s="1078"/>
      <c r="V710" s="1477"/>
      <c r="W710" s="1078"/>
      <c r="X710" s="1477"/>
      <c r="Y710" s="1477"/>
      <c r="Z710" s="1477"/>
      <c r="AA710" s="1477"/>
      <c r="AB710" s="1477"/>
      <c r="AC710" s="1478"/>
      <c r="AD710" s="1477"/>
      <c r="AE710" s="1478"/>
      <c r="AF710" s="1478"/>
      <c r="AG710" s="1478"/>
      <c r="AH710" s="1478"/>
      <c r="AI710" s="1479"/>
      <c r="AJ710" s="1479"/>
      <c r="AK710" s="1477"/>
      <c r="AL710" s="1477"/>
      <c r="AM710" s="1078"/>
      <c r="AN710" s="1477"/>
      <c r="AO710" s="1477"/>
      <c r="AP710" s="1477"/>
      <c r="AQ710" s="1477"/>
      <c r="AR710" s="1477"/>
      <c r="AS710" s="1477"/>
      <c r="AT710" s="1477"/>
      <c r="AU710" s="1477"/>
      <c r="AV710" s="1477"/>
      <c r="AW710" s="1477"/>
      <c r="AX710" s="1477"/>
      <c r="AY710" s="1477"/>
      <c r="AZ710" s="1477"/>
      <c r="BA710" s="1477"/>
      <c r="BB710" s="1477"/>
      <c r="BC710" s="1477"/>
      <c r="BD710" s="1477"/>
    </row>
    <row r="711" spans="1:56" s="221" customFormat="1" x14ac:dyDescent="0.25">
      <c r="A711" s="1456"/>
      <c r="B711" s="1457"/>
      <c r="C711" s="1460"/>
      <c r="D711" s="1458"/>
      <c r="E711" s="1461"/>
      <c r="F711" s="1455"/>
      <c r="G711" s="1458"/>
      <c r="H711" s="1458"/>
      <c r="I711" s="1456"/>
      <c r="J711" s="1458"/>
      <c r="K711" s="1458"/>
      <c r="L711" s="1458"/>
      <c r="M711" s="1458"/>
      <c r="N711" s="1456"/>
      <c r="O711" s="1458"/>
      <c r="P711" s="1456"/>
      <c r="Q711" s="1458"/>
      <c r="R711" s="1458"/>
      <c r="S711" s="1458"/>
      <c r="T711" s="1458"/>
      <c r="U711" s="1458"/>
      <c r="V711" s="1461"/>
      <c r="W711" s="1458"/>
      <c r="X711" s="1461"/>
      <c r="Y711" s="1461"/>
      <c r="Z711" s="1461"/>
      <c r="AA711" s="1461"/>
      <c r="AB711" s="1462"/>
      <c r="AC711" s="1462"/>
      <c r="AD711" s="1458"/>
      <c r="AE711" s="1458"/>
      <c r="AF711" s="1456"/>
      <c r="AG711" s="1458"/>
      <c r="AH711" s="1458"/>
      <c r="AI711" s="1458"/>
      <c r="AJ711" s="1458"/>
      <c r="AK711" s="1458"/>
      <c r="AL711" s="1458"/>
      <c r="AM711" s="1458"/>
      <c r="AN711" s="1458"/>
      <c r="AO711" s="1458"/>
      <c r="AP711" s="1458"/>
      <c r="AQ711" s="1458"/>
      <c r="AR711" s="1458"/>
      <c r="AS711" s="1458"/>
      <c r="AT711" s="1458"/>
      <c r="AU711" s="1458"/>
      <c r="AV711" s="1458"/>
      <c r="AW711" s="1458"/>
    </row>
    <row r="712" spans="1:56" s="221" customFormat="1" ht="15" customHeight="1" x14ac:dyDescent="0.25">
      <c r="A712" s="1456"/>
      <c r="B712" s="1457"/>
      <c r="C712" s="1460"/>
      <c r="D712" s="1458"/>
      <c r="E712" s="1461"/>
      <c r="F712" s="1455"/>
      <c r="G712" s="1458"/>
      <c r="H712" s="1458"/>
      <c r="I712" s="1456"/>
      <c r="J712" s="1458"/>
      <c r="K712" s="1458"/>
      <c r="L712" s="1458"/>
      <c r="M712" s="1458"/>
      <c r="N712" s="1456"/>
      <c r="O712" s="1458"/>
      <c r="P712" s="1456"/>
      <c r="Q712" s="1458"/>
      <c r="R712" s="1458"/>
      <c r="S712" s="1458"/>
      <c r="T712" s="1458"/>
      <c r="U712" s="1458"/>
      <c r="V712" s="1461"/>
      <c r="W712" s="1458"/>
      <c r="X712" s="1461"/>
      <c r="Y712" s="1461"/>
      <c r="Z712" s="1461"/>
      <c r="AA712" s="1461"/>
      <c r="AB712" s="1462"/>
      <c r="AC712" s="1462"/>
      <c r="AD712" s="1458"/>
      <c r="AE712" s="1458"/>
      <c r="AF712" s="1456"/>
      <c r="AG712" s="1458"/>
      <c r="AH712" s="1458"/>
      <c r="AI712" s="1458"/>
      <c r="AJ712" s="1458"/>
      <c r="AK712" s="1458"/>
      <c r="AL712" s="1458"/>
      <c r="AM712" s="1458"/>
      <c r="AN712" s="1458"/>
      <c r="AO712" s="1458"/>
      <c r="AP712" s="1458"/>
      <c r="AQ712" s="1458"/>
      <c r="AR712" s="1458"/>
      <c r="AS712" s="1458"/>
      <c r="AT712" s="1458"/>
      <c r="AU712" s="1458"/>
      <c r="AV712" s="1458"/>
      <c r="AW712" s="1458"/>
    </row>
    <row r="713" spans="1:56" s="221" customFormat="1" ht="15" customHeight="1" x14ac:dyDescent="0.25">
      <c r="A713" s="1456"/>
      <c r="B713" s="1457"/>
      <c r="C713" s="1460"/>
      <c r="D713" s="1458"/>
      <c r="E713" s="1461"/>
      <c r="F713" s="1455"/>
      <c r="G713" s="1458"/>
      <c r="H713" s="1458"/>
      <c r="I713" s="1456"/>
      <c r="J713" s="1458"/>
      <c r="K713" s="1458"/>
      <c r="L713" s="1458"/>
      <c r="M713" s="1458"/>
      <c r="N713" s="1456"/>
      <c r="O713" s="1458"/>
      <c r="P713" s="1456"/>
      <c r="Q713" s="1458"/>
      <c r="R713" s="1458"/>
      <c r="S713" s="1458"/>
      <c r="T713" s="1458"/>
      <c r="U713" s="1458"/>
      <c r="V713" s="1461"/>
      <c r="W713" s="1458"/>
      <c r="X713" s="1461"/>
      <c r="Y713" s="1461"/>
      <c r="Z713" s="1461"/>
      <c r="AA713" s="1461"/>
      <c r="AB713" s="1462"/>
      <c r="AC713" s="1462"/>
      <c r="AD713" s="1458"/>
      <c r="AE713" s="1458"/>
      <c r="AF713" s="1456"/>
      <c r="AG713" s="1458"/>
      <c r="AH713" s="1458"/>
      <c r="AI713" s="1458"/>
      <c r="AJ713" s="1458"/>
      <c r="AK713" s="1458"/>
      <c r="AL713" s="1458"/>
      <c r="AM713" s="1458"/>
      <c r="AN713" s="1458"/>
      <c r="AO713" s="1458"/>
      <c r="AP713" s="1458"/>
      <c r="AQ713" s="1458"/>
      <c r="AR713" s="1458"/>
      <c r="AS713" s="1458"/>
      <c r="AT713" s="1458"/>
      <c r="AU713" s="1458"/>
      <c r="AV713" s="1458"/>
      <c r="AW713" s="1458"/>
    </row>
    <row r="714" spans="1:56" s="221" customFormat="1" x14ac:dyDescent="0.25">
      <c r="A714" s="1456"/>
      <c r="B714" s="1457"/>
      <c r="C714" s="1460"/>
      <c r="D714" s="1458"/>
      <c r="E714" s="1461"/>
      <c r="F714" s="1455"/>
      <c r="G714" s="1458"/>
      <c r="H714" s="1458"/>
      <c r="I714" s="1456"/>
      <c r="J714" s="1458"/>
      <c r="K714" s="1458"/>
      <c r="L714" s="1458"/>
      <c r="M714" s="1458"/>
      <c r="N714" s="1456"/>
      <c r="O714" s="1458"/>
      <c r="P714" s="1456"/>
      <c r="Q714" s="1458"/>
      <c r="R714" s="1458"/>
      <c r="S714" s="1458"/>
      <c r="T714" s="1458"/>
      <c r="U714" s="1458"/>
      <c r="V714" s="1461"/>
      <c r="W714" s="1458"/>
      <c r="X714" s="1461"/>
      <c r="Y714" s="1461"/>
      <c r="Z714" s="1461"/>
      <c r="AA714" s="1461"/>
      <c r="AB714" s="1462"/>
      <c r="AC714" s="1462"/>
      <c r="AD714" s="1458"/>
      <c r="AE714" s="1458"/>
      <c r="AF714" s="1456"/>
      <c r="AG714" s="1458"/>
      <c r="AH714" s="1458"/>
      <c r="AI714" s="1458"/>
      <c r="AJ714" s="1458"/>
      <c r="AK714" s="1458"/>
      <c r="AL714" s="1458"/>
      <c r="AM714" s="1458"/>
      <c r="AN714" s="1458"/>
      <c r="AO714" s="1458"/>
      <c r="AP714" s="1458"/>
      <c r="AQ714" s="1458"/>
      <c r="AR714" s="1458"/>
      <c r="AS714" s="1458"/>
      <c r="AT714" s="1458"/>
      <c r="AU714" s="1458"/>
      <c r="AV714" s="1458"/>
      <c r="AW714" s="1458"/>
    </row>
    <row r="715" spans="1:56" s="221" customFormat="1" x14ac:dyDescent="0.25">
      <c r="A715" s="1456"/>
      <c r="B715" s="1457"/>
      <c r="C715" s="1460"/>
      <c r="D715" s="1458"/>
      <c r="E715" s="1461"/>
      <c r="F715" s="1455"/>
      <c r="G715" s="1458"/>
      <c r="H715" s="1458"/>
      <c r="I715" s="1456"/>
      <c r="J715" s="1458"/>
      <c r="K715" s="1458"/>
      <c r="L715" s="1458"/>
      <c r="M715" s="1458"/>
      <c r="N715" s="1456"/>
      <c r="O715" s="1458"/>
      <c r="P715" s="1456"/>
      <c r="Q715" s="1458"/>
      <c r="R715" s="1458"/>
      <c r="S715" s="1458"/>
      <c r="T715" s="1458"/>
      <c r="U715" s="1458"/>
      <c r="V715" s="1461"/>
      <c r="W715" s="1458"/>
      <c r="X715" s="1461"/>
      <c r="Y715" s="1461"/>
      <c r="Z715" s="1461"/>
      <c r="AA715" s="1461"/>
      <c r="AB715" s="1462"/>
      <c r="AC715" s="1462"/>
      <c r="AD715" s="1458"/>
      <c r="AE715" s="1458"/>
      <c r="AF715" s="1456"/>
      <c r="AG715" s="1458"/>
      <c r="AH715" s="1458"/>
      <c r="AI715" s="1458"/>
      <c r="AJ715" s="1458"/>
      <c r="AK715" s="1458"/>
      <c r="AL715" s="1458"/>
      <c r="AM715" s="1458"/>
      <c r="AN715" s="1458"/>
      <c r="AO715" s="1458"/>
      <c r="AP715" s="1458"/>
      <c r="AQ715" s="1458"/>
      <c r="AR715" s="1458"/>
      <c r="AS715" s="1458"/>
      <c r="AT715" s="1458"/>
      <c r="AU715" s="1458"/>
      <c r="AV715" s="1458"/>
      <c r="AW715" s="1458"/>
    </row>
    <row r="716" spans="1:56" s="221" customFormat="1" ht="17.25" customHeight="1" x14ac:dyDescent="0.25">
      <c r="A716" s="1456"/>
      <c r="B716" s="1457"/>
      <c r="C716" s="1460"/>
      <c r="D716" s="1458"/>
      <c r="E716" s="1461"/>
      <c r="F716" s="1455"/>
      <c r="G716" s="1458"/>
      <c r="H716" s="1458"/>
      <c r="I716" s="1456"/>
      <c r="J716" s="1458"/>
      <c r="K716" s="1458"/>
      <c r="L716" s="1458"/>
      <c r="M716" s="1458"/>
      <c r="N716" s="1456"/>
      <c r="O716" s="1458"/>
      <c r="P716" s="1456"/>
      <c r="Q716" s="1458"/>
      <c r="R716" s="1458"/>
      <c r="S716" s="1458"/>
      <c r="T716" s="1458"/>
      <c r="U716" s="1458"/>
      <c r="V716" s="1461"/>
      <c r="W716" s="1458"/>
      <c r="X716" s="1461"/>
      <c r="Y716" s="1461"/>
      <c r="Z716" s="1461"/>
      <c r="AA716" s="1461"/>
      <c r="AB716" s="1462"/>
      <c r="AC716" s="1462"/>
      <c r="AD716" s="1458"/>
      <c r="AE716" s="1458"/>
      <c r="AF716" s="1456"/>
      <c r="AG716" s="1458"/>
      <c r="AH716" s="1458"/>
      <c r="AI716" s="1458"/>
      <c r="AJ716" s="1458"/>
      <c r="AK716" s="1458"/>
      <c r="AL716" s="1458"/>
      <c r="AM716" s="1458"/>
      <c r="AN716" s="1458"/>
      <c r="AO716" s="1458"/>
      <c r="AP716" s="1458"/>
      <c r="AQ716" s="1458"/>
      <c r="AR716" s="1458"/>
      <c r="AS716" s="1458"/>
      <c r="AT716" s="1458"/>
      <c r="AU716" s="1458"/>
      <c r="AV716" s="1458"/>
      <c r="AW716" s="1458"/>
    </row>
    <row r="717" spans="1:56" s="221" customFormat="1" ht="19.5" customHeight="1" x14ac:dyDescent="0.25">
      <c r="A717" s="1456"/>
      <c r="B717" s="1457"/>
      <c r="C717" s="1460"/>
      <c r="D717" s="1458"/>
      <c r="E717" s="1461"/>
      <c r="F717" s="1455"/>
      <c r="G717" s="1458"/>
      <c r="H717" s="1458"/>
      <c r="I717" s="1456"/>
      <c r="J717" s="1458"/>
      <c r="K717" s="1458"/>
      <c r="L717" s="1458"/>
      <c r="M717" s="1458"/>
      <c r="N717" s="1456"/>
      <c r="O717" s="1458"/>
      <c r="P717" s="1456"/>
      <c r="Q717" s="1458"/>
      <c r="R717" s="1458"/>
      <c r="S717" s="1458"/>
      <c r="T717" s="1458"/>
      <c r="U717" s="1458"/>
      <c r="V717" s="1461"/>
      <c r="W717" s="1458"/>
      <c r="X717" s="1461"/>
      <c r="Y717" s="1461"/>
      <c r="Z717" s="1461"/>
      <c r="AA717" s="1461"/>
      <c r="AB717" s="1462"/>
      <c r="AC717" s="1462"/>
      <c r="AD717" s="1458"/>
      <c r="AE717" s="1458"/>
      <c r="AF717" s="1456"/>
      <c r="AG717" s="1458"/>
      <c r="AH717" s="1458"/>
      <c r="AI717" s="1458"/>
      <c r="AJ717" s="1458"/>
      <c r="AK717" s="1458"/>
      <c r="AL717" s="1458"/>
      <c r="AM717" s="1458"/>
      <c r="AN717" s="1458"/>
      <c r="AO717" s="1458"/>
      <c r="AP717" s="1458"/>
      <c r="AQ717" s="1458"/>
      <c r="AR717" s="1458"/>
      <c r="AS717" s="1458"/>
      <c r="AT717" s="1458"/>
      <c r="AU717" s="1458"/>
      <c r="AV717" s="1458"/>
      <c r="AW717" s="1458"/>
    </row>
    <row r="718" spans="1:56" s="221" customFormat="1" ht="15" customHeight="1" x14ac:dyDescent="0.25">
      <c r="A718" s="1456"/>
      <c r="B718" s="1457"/>
      <c r="C718" s="1460"/>
      <c r="D718" s="1458"/>
      <c r="E718" s="1461"/>
      <c r="F718" s="1455"/>
      <c r="G718" s="1458"/>
      <c r="H718" s="1458"/>
      <c r="I718" s="1456"/>
      <c r="J718" s="1458"/>
      <c r="K718" s="1458"/>
      <c r="L718" s="1458"/>
      <c r="M718" s="1458"/>
      <c r="N718" s="1456"/>
      <c r="O718" s="1458"/>
      <c r="P718" s="1456"/>
      <c r="Q718" s="1458"/>
      <c r="R718" s="1458"/>
      <c r="S718" s="1458"/>
      <c r="T718" s="1458"/>
      <c r="U718" s="1458"/>
      <c r="V718" s="1461"/>
      <c r="W718" s="1458"/>
      <c r="X718" s="1461"/>
      <c r="Y718" s="1461"/>
      <c r="Z718" s="1461"/>
      <c r="AA718" s="1461"/>
      <c r="AB718" s="1462"/>
      <c r="AC718" s="1462"/>
      <c r="AD718" s="1458"/>
      <c r="AE718" s="1458"/>
      <c r="AF718" s="1456"/>
      <c r="AG718" s="1458"/>
      <c r="AH718" s="1458"/>
      <c r="AI718" s="1458"/>
      <c r="AJ718" s="1458"/>
      <c r="AK718" s="1458"/>
      <c r="AL718" s="1458"/>
      <c r="AM718" s="1458"/>
      <c r="AN718" s="1458"/>
      <c r="AO718" s="1458"/>
      <c r="AP718" s="1458"/>
      <c r="AQ718" s="1458"/>
      <c r="AR718" s="1458"/>
      <c r="AS718" s="1458"/>
      <c r="AT718" s="1458"/>
      <c r="AU718" s="1458"/>
      <c r="AV718" s="1458"/>
      <c r="AW718" s="1458"/>
    </row>
    <row r="719" spans="1:56" s="221" customFormat="1" x14ac:dyDescent="0.25">
      <c r="A719" s="1456"/>
      <c r="B719" s="1457"/>
      <c r="C719" s="1460"/>
      <c r="D719" s="1458"/>
      <c r="E719" s="1461"/>
      <c r="F719" s="1455"/>
      <c r="G719" s="1458"/>
      <c r="H719" s="1458"/>
      <c r="I719" s="1456"/>
      <c r="J719" s="1458"/>
      <c r="K719" s="1458"/>
      <c r="L719" s="1458"/>
      <c r="M719" s="1458"/>
      <c r="N719" s="1456"/>
      <c r="O719" s="1458"/>
      <c r="P719" s="1456"/>
      <c r="Q719" s="1458"/>
      <c r="R719" s="1458"/>
      <c r="S719" s="1458"/>
      <c r="T719" s="1458"/>
      <c r="U719" s="1458"/>
      <c r="V719" s="1461"/>
      <c r="W719" s="1458"/>
      <c r="X719" s="1461"/>
      <c r="Y719" s="1461"/>
      <c r="Z719" s="1461"/>
      <c r="AA719" s="1461"/>
      <c r="AB719" s="1462"/>
      <c r="AC719" s="1462"/>
      <c r="AD719" s="1458"/>
      <c r="AE719" s="1458"/>
      <c r="AF719" s="1456"/>
      <c r="AG719" s="1458"/>
      <c r="AH719" s="1458"/>
      <c r="AI719" s="1458"/>
      <c r="AJ719" s="1458"/>
      <c r="AK719" s="1458"/>
      <c r="AL719" s="1458"/>
      <c r="AM719" s="1458"/>
      <c r="AN719" s="1458"/>
      <c r="AO719" s="1458"/>
      <c r="AP719" s="1458"/>
      <c r="AQ719" s="1458"/>
      <c r="AR719" s="1458"/>
      <c r="AS719" s="1458"/>
      <c r="AT719" s="1458"/>
      <c r="AU719" s="1458"/>
      <c r="AV719" s="1458"/>
      <c r="AW719" s="1458"/>
    </row>
    <row r="720" spans="1:56" s="221" customFormat="1" ht="23.25" customHeight="1" x14ac:dyDescent="0.25">
      <c r="A720" s="1456"/>
      <c r="B720" s="1457"/>
      <c r="C720" s="1460"/>
      <c r="D720" s="1458"/>
      <c r="E720" s="1461"/>
      <c r="F720" s="1455"/>
      <c r="G720" s="1458"/>
      <c r="H720" s="1458"/>
      <c r="I720" s="1456"/>
      <c r="J720" s="1458"/>
      <c r="K720" s="1458"/>
      <c r="L720" s="1458"/>
      <c r="M720" s="1458"/>
      <c r="N720" s="1456"/>
      <c r="O720" s="1458"/>
      <c r="P720" s="1456"/>
      <c r="Q720" s="1458"/>
      <c r="R720" s="1458"/>
      <c r="S720" s="1458"/>
      <c r="T720" s="1458"/>
      <c r="U720" s="1458"/>
      <c r="V720" s="1461"/>
      <c r="W720" s="1458"/>
      <c r="X720" s="1461"/>
      <c r="Y720" s="1461"/>
      <c r="Z720" s="1461"/>
      <c r="AA720" s="1461"/>
      <c r="AB720" s="1462"/>
      <c r="AC720" s="1462"/>
      <c r="AD720" s="1458"/>
      <c r="AE720" s="1458"/>
      <c r="AF720" s="1456"/>
      <c r="AG720" s="1458"/>
      <c r="AH720" s="1458"/>
      <c r="AI720" s="1458"/>
      <c r="AJ720" s="1458"/>
      <c r="AK720" s="1458"/>
      <c r="AL720" s="1458"/>
      <c r="AM720" s="1458"/>
      <c r="AN720" s="1458"/>
      <c r="AO720" s="1458"/>
      <c r="AP720" s="1458"/>
      <c r="AQ720" s="1458"/>
      <c r="AR720" s="1458"/>
      <c r="AS720" s="1458"/>
      <c r="AT720" s="1458"/>
      <c r="AU720" s="1458"/>
      <c r="AV720" s="1458"/>
      <c r="AW720" s="1458"/>
    </row>
    <row r="721" spans="1:49" s="221" customFormat="1" ht="23.25" customHeight="1" x14ac:dyDescent="0.25">
      <c r="A721" s="1456"/>
      <c r="B721" s="1457"/>
      <c r="C721" s="1460"/>
      <c r="D721" s="1458"/>
      <c r="E721" s="1461"/>
      <c r="F721" s="1455"/>
      <c r="G721" s="1458"/>
      <c r="H721" s="1458"/>
      <c r="I721" s="1456"/>
      <c r="J721" s="1458"/>
      <c r="K721" s="1458"/>
      <c r="L721" s="1458"/>
      <c r="M721" s="1458"/>
      <c r="N721" s="1456"/>
      <c r="O721" s="1458"/>
      <c r="P721" s="1456"/>
      <c r="Q721" s="1458"/>
      <c r="R721" s="1458"/>
      <c r="S721" s="1458"/>
      <c r="T721" s="1458"/>
      <c r="U721" s="1458"/>
      <c r="V721" s="1461"/>
      <c r="W721" s="1458"/>
      <c r="X721" s="1461"/>
      <c r="Y721" s="1461"/>
      <c r="Z721" s="1461"/>
      <c r="AA721" s="1461"/>
      <c r="AB721" s="1462"/>
      <c r="AC721" s="1462"/>
      <c r="AD721" s="1458"/>
      <c r="AE721" s="1458"/>
      <c r="AF721" s="1456"/>
      <c r="AG721" s="1458"/>
      <c r="AH721" s="1458"/>
      <c r="AI721" s="1458"/>
      <c r="AJ721" s="1458"/>
      <c r="AK721" s="1458"/>
      <c r="AL721" s="1458"/>
      <c r="AM721" s="1458"/>
      <c r="AN721" s="1458"/>
      <c r="AO721" s="1458"/>
      <c r="AP721" s="1458"/>
      <c r="AQ721" s="1458"/>
      <c r="AR721" s="1458"/>
      <c r="AS721" s="1458"/>
      <c r="AT721" s="1458"/>
      <c r="AU721" s="1458"/>
      <c r="AV721" s="1458"/>
      <c r="AW721" s="1458"/>
    </row>
    <row r="722" spans="1:49" s="221" customFormat="1" ht="23.25" customHeight="1" x14ac:dyDescent="0.25">
      <c r="A722" s="1456"/>
      <c r="B722" s="1457"/>
      <c r="C722" s="1460"/>
      <c r="D722" s="1458"/>
      <c r="E722" s="1461"/>
      <c r="F722" s="1455"/>
      <c r="G722" s="1458"/>
      <c r="H722" s="1458"/>
      <c r="I722" s="1456"/>
      <c r="J722" s="1458"/>
      <c r="K722" s="1458"/>
      <c r="L722" s="1458"/>
      <c r="M722" s="1458"/>
      <c r="N722" s="1456"/>
      <c r="O722" s="1458"/>
      <c r="P722" s="1456"/>
      <c r="Q722" s="1458"/>
      <c r="R722" s="1458"/>
      <c r="S722" s="1458"/>
      <c r="T722" s="1458"/>
      <c r="U722" s="1458"/>
      <c r="V722" s="1461"/>
      <c r="W722" s="1458"/>
      <c r="X722" s="1461"/>
      <c r="Y722" s="1461"/>
      <c r="Z722" s="1461"/>
      <c r="AA722" s="1461"/>
      <c r="AB722" s="1462"/>
      <c r="AC722" s="1462"/>
      <c r="AD722" s="1458"/>
      <c r="AE722" s="1458"/>
      <c r="AF722" s="1456"/>
      <c r="AG722" s="1458"/>
      <c r="AH722" s="1458"/>
      <c r="AI722" s="1458"/>
      <c r="AJ722" s="1458"/>
      <c r="AK722" s="1458"/>
      <c r="AL722" s="1458"/>
      <c r="AM722" s="1458"/>
      <c r="AN722" s="1458"/>
      <c r="AO722" s="1458"/>
      <c r="AP722" s="1458"/>
      <c r="AQ722" s="1458"/>
      <c r="AR722" s="1458"/>
      <c r="AS722" s="1458"/>
      <c r="AT722" s="1458"/>
      <c r="AU722" s="1458"/>
      <c r="AV722" s="1458"/>
      <c r="AW722" s="1458"/>
    </row>
    <row r="723" spans="1:49" s="221" customFormat="1" ht="15" customHeight="1" x14ac:dyDescent="0.25">
      <c r="A723" s="1456"/>
      <c r="B723" s="1457"/>
      <c r="C723" s="1460"/>
      <c r="D723" s="1458"/>
      <c r="E723" s="1461"/>
      <c r="F723" s="1455"/>
      <c r="G723" s="1458"/>
      <c r="H723" s="1458"/>
      <c r="I723" s="1456"/>
      <c r="J723" s="1458"/>
      <c r="K723" s="1458"/>
      <c r="L723" s="1458"/>
      <c r="M723" s="1458"/>
      <c r="N723" s="1456"/>
      <c r="O723" s="1458"/>
      <c r="P723" s="1456"/>
      <c r="Q723" s="1458"/>
      <c r="R723" s="1458"/>
      <c r="S723" s="1458"/>
      <c r="T723" s="1458"/>
      <c r="U723" s="1458"/>
      <c r="V723" s="1461"/>
      <c r="W723" s="1458"/>
      <c r="X723" s="1461"/>
      <c r="Y723" s="1461"/>
      <c r="Z723" s="1461"/>
      <c r="AA723" s="1461"/>
      <c r="AB723" s="1462"/>
      <c r="AC723" s="1462"/>
      <c r="AD723" s="1458"/>
      <c r="AE723" s="1458"/>
      <c r="AF723" s="1456"/>
      <c r="AG723" s="1458"/>
      <c r="AH723" s="1458"/>
      <c r="AI723" s="1458"/>
      <c r="AJ723" s="1458"/>
      <c r="AK723" s="1458"/>
      <c r="AL723" s="1458"/>
      <c r="AM723" s="1458"/>
      <c r="AN723" s="1458"/>
      <c r="AO723" s="1458"/>
      <c r="AP723" s="1458"/>
      <c r="AQ723" s="1458"/>
      <c r="AR723" s="1458"/>
      <c r="AS723" s="1458"/>
      <c r="AT723" s="1458"/>
      <c r="AU723" s="1458"/>
      <c r="AV723" s="1458"/>
      <c r="AW723" s="1458"/>
    </row>
    <row r="724" spans="1:49" s="221" customFormat="1" x14ac:dyDescent="0.25">
      <c r="A724" s="1456"/>
      <c r="B724" s="1457"/>
      <c r="C724" s="1460"/>
      <c r="D724" s="1458"/>
      <c r="E724" s="1461"/>
      <c r="F724" s="1455"/>
      <c r="G724" s="1458"/>
      <c r="H724" s="1458"/>
      <c r="I724" s="1456"/>
      <c r="J724" s="1458"/>
      <c r="K724" s="1458"/>
      <c r="L724" s="1458"/>
      <c r="M724" s="1458"/>
      <c r="N724" s="1456"/>
      <c r="O724" s="1458"/>
      <c r="P724" s="1456"/>
      <c r="Q724" s="1458"/>
      <c r="R724" s="1458"/>
      <c r="S724" s="1458"/>
      <c r="T724" s="1458"/>
      <c r="U724" s="1458"/>
      <c r="V724" s="1461"/>
      <c r="W724" s="1458"/>
      <c r="X724" s="1461"/>
      <c r="Y724" s="1461"/>
      <c r="Z724" s="1461"/>
      <c r="AA724" s="1461"/>
      <c r="AB724" s="1462"/>
      <c r="AC724" s="1462"/>
      <c r="AD724" s="1458"/>
      <c r="AE724" s="1458"/>
      <c r="AF724" s="1456"/>
      <c r="AG724" s="1458"/>
      <c r="AH724" s="1458"/>
      <c r="AI724" s="1458"/>
      <c r="AJ724" s="1458"/>
      <c r="AK724" s="1458"/>
      <c r="AL724" s="1458"/>
      <c r="AM724" s="1458"/>
      <c r="AN724" s="1458"/>
      <c r="AO724" s="1458"/>
      <c r="AP724" s="1458"/>
      <c r="AQ724" s="1458"/>
      <c r="AR724" s="1458"/>
      <c r="AS724" s="1458"/>
      <c r="AT724" s="1458"/>
      <c r="AU724" s="1458"/>
      <c r="AV724" s="1458"/>
      <c r="AW724" s="1458"/>
    </row>
    <row r="725" spans="1:49" s="221" customFormat="1" ht="12" customHeight="1" x14ac:dyDescent="0.25">
      <c r="A725" s="1456"/>
      <c r="B725" s="1457"/>
      <c r="C725" s="1460"/>
      <c r="D725" s="1458"/>
      <c r="E725" s="1461"/>
      <c r="F725" s="1455"/>
      <c r="G725" s="1458"/>
      <c r="H725" s="1458"/>
      <c r="I725" s="1456"/>
      <c r="J725" s="1458"/>
      <c r="K725" s="1458"/>
      <c r="L725" s="1458"/>
      <c r="M725" s="1458"/>
      <c r="N725" s="1456"/>
      <c r="O725" s="1458"/>
      <c r="P725" s="1456"/>
      <c r="Q725" s="1458"/>
      <c r="R725" s="1458"/>
      <c r="S725" s="1458"/>
      <c r="T725" s="1458"/>
      <c r="U725" s="1458"/>
      <c r="V725" s="1461"/>
      <c r="W725" s="1458"/>
      <c r="X725" s="1461"/>
      <c r="Y725" s="1461"/>
      <c r="Z725" s="1461"/>
      <c r="AA725" s="1461"/>
      <c r="AB725" s="1462"/>
      <c r="AC725" s="1462"/>
      <c r="AD725" s="1458"/>
      <c r="AE725" s="1458"/>
      <c r="AF725" s="1456"/>
      <c r="AG725" s="1458"/>
      <c r="AH725" s="1458"/>
      <c r="AI725" s="1458"/>
      <c r="AJ725" s="1458"/>
      <c r="AK725" s="1458"/>
      <c r="AL725" s="1458"/>
      <c r="AM725" s="1458"/>
      <c r="AN725" s="1458"/>
      <c r="AO725" s="1458"/>
      <c r="AP725" s="1458"/>
      <c r="AQ725" s="1458"/>
      <c r="AR725" s="1458"/>
      <c r="AS725" s="1458"/>
      <c r="AT725" s="1458"/>
      <c r="AU725" s="1458"/>
      <c r="AV725" s="1458"/>
      <c r="AW725" s="1458"/>
    </row>
    <row r="726" spans="1:49" s="221" customFormat="1" ht="14.25" customHeight="1" x14ac:dyDescent="0.25">
      <c r="A726" s="1456"/>
      <c r="B726" s="1457"/>
      <c r="C726" s="1460"/>
      <c r="D726" s="1458"/>
      <c r="E726" s="1461"/>
      <c r="F726" s="1455"/>
      <c r="G726" s="1458"/>
      <c r="H726" s="1458"/>
      <c r="I726" s="1456"/>
      <c r="J726" s="1458"/>
      <c r="K726" s="1458"/>
      <c r="L726" s="1458"/>
      <c r="M726" s="1458"/>
      <c r="N726" s="1456"/>
      <c r="O726" s="1458"/>
      <c r="P726" s="1456"/>
      <c r="Q726" s="1458"/>
      <c r="R726" s="1458"/>
      <c r="S726" s="1458"/>
      <c r="T726" s="1458"/>
      <c r="U726" s="1458"/>
      <c r="V726" s="1461"/>
      <c r="W726" s="1458"/>
      <c r="X726" s="1461"/>
      <c r="Y726" s="1461"/>
      <c r="Z726" s="1461"/>
      <c r="AA726" s="1461"/>
      <c r="AB726" s="1462"/>
      <c r="AC726" s="1462"/>
      <c r="AD726" s="1458"/>
      <c r="AE726" s="1458"/>
      <c r="AF726" s="1456"/>
      <c r="AG726" s="1458"/>
      <c r="AH726" s="1458"/>
      <c r="AI726" s="1458"/>
      <c r="AJ726" s="1458"/>
      <c r="AK726" s="1458"/>
      <c r="AL726" s="1458"/>
      <c r="AM726" s="1458"/>
      <c r="AN726" s="1458"/>
      <c r="AO726" s="1458"/>
      <c r="AP726" s="1458"/>
      <c r="AQ726" s="1458"/>
      <c r="AR726" s="1458"/>
      <c r="AS726" s="1458"/>
      <c r="AT726" s="1458"/>
      <c r="AU726" s="1458"/>
      <c r="AV726" s="1458"/>
      <c r="AW726" s="1458"/>
    </row>
    <row r="727" spans="1:49" s="221" customFormat="1" ht="15" customHeight="1" x14ac:dyDescent="0.25">
      <c r="A727" s="1456"/>
      <c r="B727" s="1457"/>
      <c r="C727" s="1460"/>
      <c r="D727" s="1458"/>
      <c r="E727" s="1461"/>
      <c r="F727" s="1455"/>
      <c r="G727" s="1458"/>
      <c r="H727" s="1458"/>
      <c r="I727" s="1456"/>
      <c r="J727" s="1458"/>
      <c r="K727" s="1458"/>
      <c r="L727" s="1458"/>
      <c r="M727" s="1458"/>
      <c r="N727" s="1456"/>
      <c r="O727" s="1458"/>
      <c r="P727" s="1456"/>
      <c r="Q727" s="1458"/>
      <c r="R727" s="1458"/>
      <c r="S727" s="1458"/>
      <c r="T727" s="1458"/>
      <c r="U727" s="1458"/>
      <c r="V727" s="1461"/>
      <c r="W727" s="1458"/>
      <c r="X727" s="1461"/>
      <c r="Y727" s="1461"/>
      <c r="Z727" s="1461"/>
      <c r="AA727" s="1461"/>
      <c r="AB727" s="1462"/>
      <c r="AC727" s="1462"/>
      <c r="AD727" s="1458"/>
      <c r="AE727" s="1458"/>
      <c r="AF727" s="1456"/>
      <c r="AG727" s="1458"/>
      <c r="AH727" s="1458"/>
      <c r="AI727" s="1458"/>
      <c r="AJ727" s="1458"/>
      <c r="AK727" s="1458"/>
      <c r="AL727" s="1458"/>
      <c r="AM727" s="1458"/>
      <c r="AN727" s="1458"/>
      <c r="AO727" s="1458"/>
      <c r="AP727" s="1458"/>
      <c r="AQ727" s="1458"/>
      <c r="AR727" s="1458"/>
      <c r="AS727" s="1458"/>
      <c r="AT727" s="1458"/>
      <c r="AU727" s="1458"/>
      <c r="AV727" s="1458"/>
      <c r="AW727" s="1458"/>
    </row>
    <row r="728" spans="1:49" s="221" customFormat="1" ht="17.25" customHeight="1" x14ac:dyDescent="0.25">
      <c r="A728" s="1456"/>
      <c r="B728" s="1457"/>
      <c r="C728" s="1460"/>
      <c r="D728" s="1458"/>
      <c r="E728" s="1461"/>
      <c r="F728" s="1455"/>
      <c r="G728" s="1458"/>
      <c r="H728" s="1458"/>
      <c r="I728" s="1456"/>
      <c r="J728" s="1458"/>
      <c r="K728" s="1458"/>
      <c r="L728" s="1458"/>
      <c r="M728" s="1458"/>
      <c r="N728" s="1456"/>
      <c r="O728" s="1458"/>
      <c r="P728" s="1456"/>
      <c r="Q728" s="1458"/>
      <c r="R728" s="1458"/>
      <c r="S728" s="1458"/>
      <c r="T728" s="1458"/>
      <c r="U728" s="1458"/>
      <c r="V728" s="1461"/>
      <c r="W728" s="1458"/>
      <c r="X728" s="1461"/>
      <c r="Y728" s="1461"/>
      <c r="Z728" s="1461"/>
      <c r="AA728" s="1461"/>
      <c r="AB728" s="1462"/>
      <c r="AC728" s="1462"/>
      <c r="AD728" s="1458"/>
      <c r="AE728" s="1458"/>
      <c r="AF728" s="1456"/>
      <c r="AG728" s="1458"/>
      <c r="AH728" s="1458"/>
      <c r="AI728" s="1458"/>
      <c r="AJ728" s="1458"/>
      <c r="AK728" s="1458"/>
      <c r="AL728" s="1458"/>
      <c r="AM728" s="1458"/>
      <c r="AN728" s="1458"/>
      <c r="AO728" s="1458"/>
      <c r="AP728" s="1458"/>
      <c r="AQ728" s="1458"/>
      <c r="AR728" s="1458"/>
      <c r="AS728" s="1458"/>
      <c r="AT728" s="1458"/>
      <c r="AU728" s="1458"/>
      <c r="AV728" s="1458"/>
      <c r="AW728" s="1458"/>
    </row>
    <row r="729" spans="1:49" s="221" customFormat="1" ht="22.5" customHeight="1" x14ac:dyDescent="0.25">
      <c r="A729" s="1456"/>
      <c r="B729" s="1457"/>
      <c r="C729" s="1460"/>
      <c r="D729" s="1458"/>
      <c r="E729" s="1461"/>
      <c r="F729" s="1455"/>
      <c r="G729" s="1458"/>
      <c r="H729" s="1458"/>
      <c r="I729" s="1456"/>
      <c r="J729" s="1458"/>
      <c r="K729" s="1458"/>
      <c r="L729" s="1458"/>
      <c r="M729" s="1458"/>
      <c r="N729" s="1456"/>
      <c r="O729" s="1458"/>
      <c r="P729" s="1456"/>
      <c r="Q729" s="1458"/>
      <c r="R729" s="1458"/>
      <c r="S729" s="1458"/>
      <c r="T729" s="1458"/>
      <c r="U729" s="1458"/>
      <c r="V729" s="1461"/>
      <c r="W729" s="1458"/>
      <c r="X729" s="1461"/>
      <c r="Y729" s="1461"/>
      <c r="Z729" s="1461"/>
      <c r="AA729" s="1461"/>
      <c r="AB729" s="1462"/>
      <c r="AC729" s="1462"/>
      <c r="AD729" s="1458"/>
      <c r="AE729" s="1458"/>
      <c r="AF729" s="1456"/>
      <c r="AG729" s="1458"/>
      <c r="AH729" s="1458"/>
      <c r="AI729" s="1458"/>
      <c r="AJ729" s="1458"/>
      <c r="AK729" s="1458"/>
      <c r="AL729" s="1458"/>
      <c r="AM729" s="1458"/>
      <c r="AN729" s="1458"/>
      <c r="AO729" s="1458"/>
      <c r="AP729" s="1458"/>
      <c r="AQ729" s="1458"/>
      <c r="AR729" s="1458"/>
      <c r="AS729" s="1458"/>
      <c r="AT729" s="1458"/>
      <c r="AU729" s="1458"/>
      <c r="AV729" s="1458"/>
      <c r="AW729" s="1458"/>
    </row>
    <row r="730" spans="1:49" s="221" customFormat="1" ht="16.5" customHeight="1" x14ac:dyDescent="0.25">
      <c r="A730" s="1456"/>
      <c r="B730" s="1457"/>
      <c r="C730" s="1460"/>
      <c r="D730" s="1458"/>
      <c r="E730" s="1461"/>
      <c r="F730" s="1455"/>
      <c r="G730" s="1458"/>
      <c r="H730" s="1458"/>
      <c r="I730" s="1456"/>
      <c r="J730" s="1458"/>
      <c r="K730" s="1458"/>
      <c r="L730" s="1458"/>
      <c r="M730" s="1458"/>
      <c r="N730" s="1456"/>
      <c r="O730" s="1458"/>
      <c r="P730" s="1456"/>
      <c r="Q730" s="1458"/>
      <c r="R730" s="1458"/>
      <c r="S730" s="1458"/>
      <c r="T730" s="1458"/>
      <c r="U730" s="1458"/>
      <c r="V730" s="1461"/>
      <c r="W730" s="1458"/>
      <c r="X730" s="1461"/>
      <c r="Y730" s="1461"/>
      <c r="Z730" s="1461"/>
      <c r="AA730" s="1461"/>
      <c r="AB730" s="1462"/>
      <c r="AC730" s="1462"/>
      <c r="AD730" s="1458"/>
      <c r="AE730" s="1458"/>
      <c r="AF730" s="1456"/>
      <c r="AG730" s="1458"/>
      <c r="AH730" s="1458"/>
      <c r="AI730" s="1458"/>
      <c r="AJ730" s="1458"/>
      <c r="AK730" s="1458"/>
      <c r="AL730" s="1458"/>
      <c r="AM730" s="1458"/>
      <c r="AN730" s="1458"/>
      <c r="AO730" s="1458"/>
      <c r="AP730" s="1458"/>
      <c r="AQ730" s="1458"/>
      <c r="AR730" s="1458"/>
      <c r="AS730" s="1458"/>
      <c r="AT730" s="1458"/>
      <c r="AU730" s="1458"/>
      <c r="AV730" s="1458"/>
      <c r="AW730" s="1458"/>
    </row>
    <row r="731" spans="1:49" s="221" customFormat="1" ht="20.25" customHeight="1" x14ac:dyDescent="0.25">
      <c r="A731" s="1456"/>
      <c r="B731" s="1457"/>
      <c r="C731" s="1460"/>
      <c r="D731" s="1458"/>
      <c r="E731" s="1461"/>
      <c r="F731" s="1455"/>
      <c r="G731" s="1458"/>
      <c r="H731" s="1458"/>
      <c r="I731" s="1456"/>
      <c r="J731" s="1458"/>
      <c r="K731" s="1458"/>
      <c r="L731" s="1458"/>
      <c r="M731" s="1458"/>
      <c r="N731" s="1456"/>
      <c r="O731" s="1458"/>
      <c r="P731" s="1456"/>
      <c r="Q731" s="1458"/>
      <c r="R731" s="1458"/>
      <c r="S731" s="1458"/>
      <c r="T731" s="1458"/>
      <c r="U731" s="1458"/>
      <c r="V731" s="1461"/>
      <c r="W731" s="1458"/>
      <c r="X731" s="1461"/>
      <c r="Y731" s="1461"/>
      <c r="Z731" s="1461"/>
      <c r="AA731" s="1461"/>
      <c r="AB731" s="1462"/>
      <c r="AC731" s="1462"/>
      <c r="AD731" s="1458"/>
      <c r="AE731" s="1458"/>
      <c r="AF731" s="1456"/>
      <c r="AG731" s="1458"/>
      <c r="AH731" s="1458"/>
      <c r="AI731" s="1458"/>
      <c r="AJ731" s="1458"/>
      <c r="AK731" s="1458"/>
      <c r="AL731" s="1458"/>
      <c r="AM731" s="1458"/>
      <c r="AN731" s="1458"/>
      <c r="AO731" s="1458"/>
      <c r="AP731" s="1458"/>
      <c r="AQ731" s="1458"/>
      <c r="AR731" s="1458"/>
      <c r="AS731" s="1458"/>
      <c r="AT731" s="1458"/>
      <c r="AU731" s="1458"/>
      <c r="AV731" s="1458"/>
      <c r="AW731" s="1458"/>
    </row>
    <row r="732" spans="1:49" s="221" customFormat="1" ht="26.25" customHeight="1" x14ac:dyDescent="0.25">
      <c r="A732" s="1456"/>
      <c r="B732" s="1457"/>
      <c r="C732" s="1460"/>
      <c r="D732" s="1458"/>
      <c r="E732" s="1461"/>
      <c r="F732" s="1455"/>
      <c r="G732" s="1458"/>
      <c r="H732" s="1458"/>
      <c r="I732" s="1456"/>
      <c r="J732" s="1458"/>
      <c r="K732" s="1458"/>
      <c r="L732" s="1458"/>
      <c r="M732" s="1458"/>
      <c r="N732" s="1456"/>
      <c r="O732" s="1458"/>
      <c r="P732" s="1456"/>
      <c r="Q732" s="1458"/>
      <c r="R732" s="1458"/>
      <c r="S732" s="1458"/>
      <c r="T732" s="1458"/>
      <c r="U732" s="1458"/>
      <c r="V732" s="1461"/>
      <c r="W732" s="1458"/>
      <c r="X732" s="1461"/>
      <c r="Y732" s="1461"/>
      <c r="Z732" s="1461"/>
      <c r="AA732" s="1461"/>
      <c r="AB732" s="1462"/>
      <c r="AC732" s="1462"/>
      <c r="AD732" s="1458"/>
      <c r="AE732" s="1458"/>
      <c r="AF732" s="1456"/>
      <c r="AG732" s="1458"/>
      <c r="AH732" s="1458"/>
      <c r="AI732" s="1458"/>
      <c r="AJ732" s="1458"/>
      <c r="AK732" s="1458"/>
      <c r="AL732" s="1458"/>
      <c r="AM732" s="1458"/>
      <c r="AN732" s="1458"/>
      <c r="AO732" s="1458"/>
      <c r="AP732" s="1458"/>
      <c r="AQ732" s="1458"/>
      <c r="AR732" s="1458"/>
      <c r="AS732" s="1458"/>
      <c r="AT732" s="1458"/>
      <c r="AU732" s="1458"/>
      <c r="AV732" s="1458"/>
      <c r="AW732" s="1458"/>
    </row>
    <row r="733" spans="1:49" s="221" customFormat="1" ht="18.75" customHeight="1" x14ac:dyDescent="0.25">
      <c r="A733" s="1456"/>
      <c r="B733" s="1457"/>
      <c r="C733" s="1460"/>
      <c r="D733" s="1458"/>
      <c r="E733" s="1461"/>
      <c r="F733" s="1455"/>
      <c r="G733" s="1458"/>
      <c r="H733" s="1458"/>
      <c r="I733" s="1456"/>
      <c r="J733" s="1458"/>
      <c r="K733" s="1458"/>
      <c r="L733" s="1458"/>
      <c r="M733" s="1458"/>
      <c r="N733" s="1456"/>
      <c r="O733" s="1458"/>
      <c r="P733" s="1456"/>
      <c r="Q733" s="1458"/>
      <c r="R733" s="1458"/>
      <c r="S733" s="1458"/>
      <c r="T733" s="1458"/>
      <c r="U733" s="1458"/>
      <c r="V733" s="1461"/>
      <c r="W733" s="1458"/>
      <c r="X733" s="1461"/>
      <c r="Y733" s="1461"/>
      <c r="Z733" s="1461"/>
      <c r="AA733" s="1461"/>
      <c r="AB733" s="1462"/>
      <c r="AC733" s="1462"/>
      <c r="AD733" s="1458"/>
      <c r="AE733" s="1458"/>
      <c r="AF733" s="1456"/>
      <c r="AG733" s="1458"/>
      <c r="AH733" s="1458"/>
      <c r="AI733" s="1458"/>
      <c r="AJ733" s="1458"/>
      <c r="AK733" s="1458"/>
      <c r="AL733" s="1458"/>
      <c r="AM733" s="1458"/>
      <c r="AN733" s="1458"/>
      <c r="AO733" s="1458"/>
      <c r="AP733" s="1458"/>
      <c r="AQ733" s="1458"/>
      <c r="AR733" s="1458"/>
      <c r="AS733" s="1458"/>
      <c r="AT733" s="1458"/>
      <c r="AU733" s="1458"/>
      <c r="AV733" s="1458"/>
      <c r="AW733" s="1458"/>
    </row>
    <row r="734" spans="1:49" s="221" customFormat="1" ht="18.75" customHeight="1" x14ac:dyDescent="0.25">
      <c r="A734" s="1456"/>
      <c r="B734" s="1457"/>
      <c r="C734" s="1460"/>
      <c r="D734" s="1458"/>
      <c r="E734" s="1461"/>
      <c r="F734" s="1455"/>
      <c r="G734" s="1458"/>
      <c r="H734" s="1458"/>
      <c r="I734" s="1456"/>
      <c r="J734" s="1458"/>
      <c r="K734" s="1458"/>
      <c r="L734" s="1458"/>
      <c r="M734" s="1458"/>
      <c r="N734" s="1456"/>
      <c r="O734" s="1458"/>
      <c r="P734" s="1456"/>
      <c r="Q734" s="1458"/>
      <c r="R734" s="1458"/>
      <c r="S734" s="1458"/>
      <c r="T734" s="1458"/>
      <c r="U734" s="1458"/>
      <c r="V734" s="1461"/>
      <c r="W734" s="1458"/>
      <c r="X734" s="1461"/>
      <c r="Y734" s="1461"/>
      <c r="Z734" s="1461"/>
      <c r="AA734" s="1461"/>
      <c r="AB734" s="1462"/>
      <c r="AC734" s="1462"/>
      <c r="AD734" s="1458"/>
      <c r="AE734" s="1458"/>
      <c r="AF734" s="1456"/>
      <c r="AG734" s="1458"/>
      <c r="AH734" s="1458"/>
      <c r="AI734" s="1458"/>
      <c r="AJ734" s="1458"/>
      <c r="AK734" s="1458"/>
      <c r="AL734" s="1458"/>
      <c r="AM734" s="1458"/>
      <c r="AN734" s="1458"/>
      <c r="AO734" s="1458"/>
      <c r="AP734" s="1458"/>
      <c r="AQ734" s="1458"/>
      <c r="AR734" s="1458"/>
      <c r="AS734" s="1458"/>
      <c r="AT734" s="1458"/>
      <c r="AU734" s="1458"/>
      <c r="AV734" s="1458"/>
      <c r="AW734" s="1458"/>
    </row>
    <row r="735" spans="1:49" s="221" customFormat="1" ht="21" customHeight="1" x14ac:dyDescent="0.25">
      <c r="A735" s="1456"/>
      <c r="B735" s="1457"/>
      <c r="C735" s="1460"/>
      <c r="D735" s="1458"/>
      <c r="E735" s="1461"/>
      <c r="F735" s="1455"/>
      <c r="G735" s="1458"/>
      <c r="H735" s="1458"/>
      <c r="I735" s="1456"/>
      <c r="J735" s="1458"/>
      <c r="K735" s="1458"/>
      <c r="L735" s="1458"/>
      <c r="M735" s="1458"/>
      <c r="N735" s="1456"/>
      <c r="O735" s="1458"/>
      <c r="P735" s="1456"/>
      <c r="Q735" s="1458"/>
      <c r="R735" s="1458"/>
      <c r="S735" s="1458"/>
      <c r="T735" s="1458"/>
      <c r="U735" s="1458"/>
      <c r="V735" s="1461"/>
      <c r="W735" s="1458"/>
      <c r="X735" s="1461"/>
      <c r="Y735" s="1461"/>
      <c r="Z735" s="1461"/>
      <c r="AA735" s="1461"/>
      <c r="AB735" s="1462"/>
      <c r="AC735" s="1462"/>
      <c r="AD735" s="1458"/>
      <c r="AE735" s="1458"/>
      <c r="AF735" s="1456"/>
      <c r="AG735" s="1458"/>
      <c r="AH735" s="1458"/>
      <c r="AI735" s="1458"/>
      <c r="AJ735" s="1458"/>
      <c r="AK735" s="1458"/>
      <c r="AL735" s="1458"/>
      <c r="AM735" s="1458"/>
      <c r="AN735" s="1458"/>
      <c r="AO735" s="1458"/>
      <c r="AP735" s="1458"/>
      <c r="AQ735" s="1458"/>
      <c r="AR735" s="1458"/>
      <c r="AS735" s="1458"/>
      <c r="AT735" s="1458"/>
      <c r="AU735" s="1458"/>
      <c r="AV735" s="1458"/>
      <c r="AW735" s="1458"/>
    </row>
    <row r="736" spans="1:49" s="221" customFormat="1" ht="15" customHeight="1" x14ac:dyDescent="0.25">
      <c r="A736" s="1456"/>
      <c r="B736" s="1457"/>
      <c r="C736" s="1460"/>
      <c r="D736" s="1458"/>
      <c r="E736" s="1461"/>
      <c r="F736" s="1455"/>
      <c r="G736" s="1458"/>
      <c r="H736" s="1458"/>
      <c r="I736" s="1456"/>
      <c r="J736" s="1458"/>
      <c r="K736" s="1458"/>
      <c r="L736" s="1458"/>
      <c r="M736" s="1458"/>
      <c r="N736" s="1456"/>
      <c r="O736" s="1458"/>
      <c r="P736" s="1456"/>
      <c r="Q736" s="1458"/>
      <c r="R736" s="1458"/>
      <c r="S736" s="1458"/>
      <c r="T736" s="1458"/>
      <c r="U736" s="1458"/>
      <c r="V736" s="1461"/>
      <c r="W736" s="1458"/>
      <c r="X736" s="1461"/>
      <c r="Y736" s="1461"/>
      <c r="Z736" s="1461"/>
      <c r="AA736" s="1461"/>
      <c r="AB736" s="1462"/>
      <c r="AC736" s="1462"/>
      <c r="AD736" s="1458"/>
      <c r="AE736" s="1458"/>
      <c r="AF736" s="1456"/>
      <c r="AG736" s="1458"/>
      <c r="AH736" s="1458"/>
      <c r="AI736" s="1458"/>
      <c r="AJ736" s="1458"/>
      <c r="AK736" s="1458"/>
      <c r="AL736" s="1458"/>
      <c r="AM736" s="1458"/>
      <c r="AN736" s="1458"/>
      <c r="AO736" s="1458"/>
      <c r="AP736" s="1458"/>
      <c r="AQ736" s="1458"/>
      <c r="AR736" s="1458"/>
      <c r="AS736" s="1458"/>
      <c r="AT736" s="1458"/>
      <c r="AU736" s="1458"/>
      <c r="AV736" s="1458"/>
      <c r="AW736" s="1458"/>
    </row>
    <row r="737" spans="1:49" s="221" customFormat="1" x14ac:dyDescent="0.25">
      <c r="A737" s="1456"/>
      <c r="B737" s="1457"/>
      <c r="C737" s="1460"/>
      <c r="D737" s="1458"/>
      <c r="E737" s="1461"/>
      <c r="F737" s="1455"/>
      <c r="G737" s="1458"/>
      <c r="H737" s="1458"/>
      <c r="I737" s="1456"/>
      <c r="J737" s="1458"/>
      <c r="K737" s="1458"/>
      <c r="L737" s="1458"/>
      <c r="M737" s="1458"/>
      <c r="N737" s="1456"/>
      <c r="O737" s="1458"/>
      <c r="P737" s="1456"/>
      <c r="Q737" s="1458"/>
      <c r="R737" s="1458"/>
      <c r="S737" s="1458"/>
      <c r="T737" s="1458"/>
      <c r="U737" s="1458"/>
      <c r="V737" s="1461"/>
      <c r="W737" s="1458"/>
      <c r="X737" s="1461"/>
      <c r="Y737" s="1461"/>
      <c r="Z737" s="1461"/>
      <c r="AA737" s="1461"/>
      <c r="AB737" s="1462"/>
      <c r="AC737" s="1462"/>
      <c r="AD737" s="1458"/>
      <c r="AE737" s="1458"/>
      <c r="AF737" s="1456"/>
      <c r="AG737" s="1458"/>
      <c r="AH737" s="1458"/>
      <c r="AI737" s="1458"/>
      <c r="AJ737" s="1458"/>
      <c r="AK737" s="1458"/>
      <c r="AL737" s="1458"/>
      <c r="AM737" s="1458"/>
      <c r="AN737" s="1458"/>
      <c r="AO737" s="1458"/>
      <c r="AP737" s="1458"/>
      <c r="AQ737" s="1458"/>
      <c r="AR737" s="1458"/>
      <c r="AS737" s="1458"/>
      <c r="AT737" s="1458"/>
      <c r="AU737" s="1458"/>
      <c r="AV737" s="1458"/>
      <c r="AW737" s="1458"/>
    </row>
    <row r="738" spans="1:49" s="221" customFormat="1" ht="24.75" customHeight="1" x14ac:dyDescent="0.25">
      <c r="A738" s="1456"/>
      <c r="B738" s="1457"/>
      <c r="C738" s="1460"/>
      <c r="D738" s="1458"/>
      <c r="E738" s="1461"/>
      <c r="F738" s="1455"/>
      <c r="G738" s="1458"/>
      <c r="H738" s="1458"/>
      <c r="I738" s="1456"/>
      <c r="J738" s="1458"/>
      <c r="K738" s="1458"/>
      <c r="L738" s="1458"/>
      <c r="M738" s="1458"/>
      <c r="N738" s="1456"/>
      <c r="O738" s="1458"/>
      <c r="P738" s="1456"/>
      <c r="Q738" s="1458"/>
      <c r="R738" s="1458"/>
      <c r="S738" s="1458"/>
      <c r="T738" s="1458"/>
      <c r="U738" s="1458"/>
      <c r="V738" s="1461"/>
      <c r="W738" s="1458"/>
      <c r="X738" s="1461"/>
      <c r="Y738" s="1461"/>
      <c r="Z738" s="1461"/>
      <c r="AA738" s="1461"/>
      <c r="AB738" s="1462"/>
      <c r="AC738" s="1462"/>
      <c r="AD738" s="1458"/>
      <c r="AE738" s="1458"/>
      <c r="AF738" s="1456"/>
      <c r="AG738" s="1458"/>
      <c r="AH738" s="1458"/>
      <c r="AI738" s="1458"/>
      <c r="AJ738" s="1458"/>
      <c r="AK738" s="1458"/>
      <c r="AL738" s="1458"/>
      <c r="AM738" s="1458"/>
      <c r="AN738" s="1458"/>
      <c r="AO738" s="1458"/>
      <c r="AP738" s="1458"/>
      <c r="AQ738" s="1458"/>
      <c r="AR738" s="1458"/>
      <c r="AS738" s="1458"/>
      <c r="AT738" s="1458"/>
      <c r="AU738" s="1458"/>
      <c r="AV738" s="1458"/>
      <c r="AW738" s="1458"/>
    </row>
    <row r="739" spans="1:49" s="221" customFormat="1" ht="27" customHeight="1" x14ac:dyDescent="0.25">
      <c r="A739" s="1456"/>
      <c r="B739" s="1457"/>
      <c r="C739" s="1460"/>
      <c r="D739" s="1458"/>
      <c r="E739" s="1461"/>
      <c r="F739" s="1455"/>
      <c r="G739" s="1458"/>
      <c r="H739" s="1458"/>
      <c r="I739" s="1456"/>
      <c r="J739" s="1458"/>
      <c r="K739" s="1458"/>
      <c r="L739" s="1458"/>
      <c r="M739" s="1458"/>
      <c r="N739" s="1456"/>
      <c r="O739" s="1458"/>
      <c r="P739" s="1456"/>
      <c r="Q739" s="1458"/>
      <c r="R739" s="1458"/>
      <c r="S739" s="1458"/>
      <c r="T739" s="1458"/>
      <c r="U739" s="1458"/>
      <c r="V739" s="1461"/>
      <c r="W739" s="1458"/>
      <c r="X739" s="1461"/>
      <c r="Y739" s="1461"/>
      <c r="Z739" s="1461"/>
      <c r="AA739" s="1461"/>
      <c r="AB739" s="1462"/>
      <c r="AC739" s="1462"/>
      <c r="AD739" s="1458"/>
      <c r="AE739" s="1458"/>
      <c r="AF739" s="1456"/>
      <c r="AG739" s="1458"/>
      <c r="AH739" s="1458"/>
      <c r="AI739" s="1458"/>
      <c r="AJ739" s="1458"/>
      <c r="AK739" s="1458"/>
      <c r="AL739" s="1458"/>
      <c r="AM739" s="1458"/>
      <c r="AN739" s="1458"/>
      <c r="AO739" s="1458"/>
      <c r="AP739" s="1458"/>
      <c r="AQ739" s="1458"/>
      <c r="AR739" s="1458"/>
      <c r="AS739" s="1458"/>
      <c r="AT739" s="1458"/>
      <c r="AU739" s="1458"/>
      <c r="AV739" s="1458"/>
      <c r="AW739" s="1458"/>
    </row>
    <row r="740" spans="1:49" s="221" customFormat="1" ht="24.75" customHeight="1" x14ac:dyDescent="0.25">
      <c r="A740" s="1456"/>
      <c r="B740" s="1457"/>
      <c r="C740" s="1460"/>
      <c r="D740" s="1458"/>
      <c r="E740" s="1461"/>
      <c r="F740" s="1455"/>
      <c r="G740" s="1458"/>
      <c r="H740" s="1458"/>
      <c r="I740" s="1456"/>
      <c r="J740" s="1458"/>
      <c r="K740" s="1458"/>
      <c r="L740" s="1458"/>
      <c r="M740" s="1458"/>
      <c r="N740" s="1456"/>
      <c r="O740" s="1458"/>
      <c r="P740" s="1456"/>
      <c r="Q740" s="1458"/>
      <c r="R740" s="1458"/>
      <c r="S740" s="1458"/>
      <c r="T740" s="1458"/>
      <c r="U740" s="1458"/>
      <c r="V740" s="1461"/>
      <c r="W740" s="1458"/>
      <c r="X740" s="1461"/>
      <c r="Y740" s="1461"/>
      <c r="Z740" s="1461"/>
      <c r="AA740" s="1461"/>
      <c r="AB740" s="1462"/>
      <c r="AC740" s="1462"/>
      <c r="AD740" s="1458"/>
      <c r="AE740" s="1458"/>
      <c r="AF740" s="1456"/>
      <c r="AG740" s="1458"/>
      <c r="AH740" s="1458"/>
      <c r="AI740" s="1458"/>
      <c r="AJ740" s="1458"/>
      <c r="AK740" s="1458"/>
      <c r="AL740" s="1458"/>
      <c r="AM740" s="1458"/>
      <c r="AN740" s="1458"/>
      <c r="AO740" s="1458"/>
      <c r="AP740" s="1458"/>
      <c r="AQ740" s="1458"/>
      <c r="AR740" s="1458"/>
      <c r="AS740" s="1458"/>
      <c r="AT740" s="1458"/>
      <c r="AU740" s="1458"/>
      <c r="AV740" s="1458"/>
      <c r="AW740" s="1458"/>
    </row>
    <row r="741" spans="1:49" s="221" customFormat="1" ht="18" customHeight="1" x14ac:dyDescent="0.25">
      <c r="A741" s="1456"/>
      <c r="B741" s="1457"/>
      <c r="C741" s="1460"/>
      <c r="D741" s="1458"/>
      <c r="E741" s="1461"/>
      <c r="F741" s="1455"/>
      <c r="G741" s="1458"/>
      <c r="H741" s="1458"/>
      <c r="I741" s="1456"/>
      <c r="J741" s="1458"/>
      <c r="K741" s="1458"/>
      <c r="L741" s="1458"/>
      <c r="M741" s="1458"/>
      <c r="N741" s="1456"/>
      <c r="O741" s="1458"/>
      <c r="P741" s="1456"/>
      <c r="Q741" s="1458"/>
      <c r="R741" s="1458"/>
      <c r="S741" s="1458"/>
      <c r="T741" s="1458"/>
      <c r="U741" s="1458"/>
      <c r="V741" s="1461"/>
      <c r="W741" s="1458"/>
      <c r="X741" s="1461"/>
      <c r="Y741" s="1461"/>
      <c r="Z741" s="1461"/>
      <c r="AA741" s="1461"/>
      <c r="AB741" s="1462"/>
      <c r="AC741" s="1462"/>
      <c r="AD741" s="1458"/>
      <c r="AE741" s="1458"/>
      <c r="AF741" s="1456"/>
      <c r="AG741" s="1458"/>
      <c r="AH741" s="1458"/>
      <c r="AI741" s="1458"/>
      <c r="AJ741" s="1458"/>
      <c r="AK741" s="1458"/>
      <c r="AL741" s="1458"/>
      <c r="AM741" s="1458"/>
      <c r="AN741" s="1458"/>
      <c r="AO741" s="1458"/>
      <c r="AP741" s="1458"/>
      <c r="AQ741" s="1458"/>
      <c r="AR741" s="1458"/>
      <c r="AS741" s="1458"/>
      <c r="AT741" s="1458"/>
      <c r="AU741" s="1458"/>
      <c r="AV741" s="1458"/>
      <c r="AW741" s="1458"/>
    </row>
    <row r="742" spans="1:49" s="221" customFormat="1" ht="16.5" customHeight="1" x14ac:dyDescent="0.25">
      <c r="A742" s="1456"/>
      <c r="B742" s="1457"/>
      <c r="C742" s="1460"/>
      <c r="D742" s="1458"/>
      <c r="E742" s="1461"/>
      <c r="F742" s="1455"/>
      <c r="G742" s="1458"/>
      <c r="H742" s="1458"/>
      <c r="I742" s="1456"/>
      <c r="J742" s="1458"/>
      <c r="K742" s="1458"/>
      <c r="L742" s="1458"/>
      <c r="M742" s="1458"/>
      <c r="N742" s="1456"/>
      <c r="O742" s="1458"/>
      <c r="P742" s="1456"/>
      <c r="Q742" s="1458"/>
      <c r="R742" s="1458"/>
      <c r="S742" s="1458"/>
      <c r="T742" s="1458"/>
      <c r="U742" s="1458"/>
      <c r="V742" s="1461"/>
      <c r="W742" s="1458"/>
      <c r="X742" s="1461"/>
      <c r="Y742" s="1461"/>
      <c r="Z742" s="1461"/>
      <c r="AA742" s="1461"/>
      <c r="AB742" s="1462"/>
      <c r="AC742" s="1462"/>
      <c r="AD742" s="1458"/>
      <c r="AE742" s="1458"/>
      <c r="AF742" s="1456"/>
      <c r="AG742" s="1458"/>
      <c r="AH742" s="1458"/>
      <c r="AI742" s="1458"/>
      <c r="AJ742" s="1458"/>
      <c r="AK742" s="1458"/>
      <c r="AL742" s="1458"/>
      <c r="AM742" s="1458"/>
      <c r="AN742" s="1458"/>
      <c r="AO742" s="1458"/>
      <c r="AP742" s="1458"/>
      <c r="AQ742" s="1458"/>
      <c r="AR742" s="1458"/>
      <c r="AS742" s="1458"/>
      <c r="AT742" s="1458"/>
      <c r="AU742" s="1458"/>
      <c r="AV742" s="1458"/>
      <c r="AW742" s="1458"/>
    </row>
    <row r="743" spans="1:49" s="221" customFormat="1" ht="19.5" customHeight="1" x14ac:dyDescent="0.25">
      <c r="A743" s="1456"/>
      <c r="B743" s="1457"/>
      <c r="C743" s="1460"/>
      <c r="D743" s="1458"/>
      <c r="E743" s="1461"/>
      <c r="F743" s="1455"/>
      <c r="G743" s="1458"/>
      <c r="H743" s="1458"/>
      <c r="I743" s="1456"/>
      <c r="J743" s="1458"/>
      <c r="K743" s="1458"/>
      <c r="L743" s="1458"/>
      <c r="M743" s="1458"/>
      <c r="N743" s="1456"/>
      <c r="O743" s="1458"/>
      <c r="P743" s="1456"/>
      <c r="Q743" s="1458"/>
      <c r="R743" s="1458"/>
      <c r="S743" s="1458"/>
      <c r="T743" s="1458"/>
      <c r="U743" s="1458"/>
      <c r="V743" s="1461"/>
      <c r="W743" s="1458"/>
      <c r="X743" s="1461"/>
      <c r="Y743" s="1461"/>
      <c r="Z743" s="1461"/>
      <c r="AA743" s="1461"/>
      <c r="AB743" s="1462"/>
      <c r="AC743" s="1462"/>
      <c r="AD743" s="1458"/>
      <c r="AE743" s="1458"/>
      <c r="AF743" s="1456"/>
      <c r="AG743" s="1458"/>
      <c r="AH743" s="1458"/>
      <c r="AI743" s="1458"/>
      <c r="AJ743" s="1458"/>
      <c r="AK743" s="1458"/>
      <c r="AL743" s="1458"/>
      <c r="AM743" s="1458"/>
      <c r="AN743" s="1458"/>
      <c r="AO743" s="1458"/>
      <c r="AP743" s="1458"/>
      <c r="AQ743" s="1458"/>
      <c r="AR743" s="1458"/>
      <c r="AS743" s="1458"/>
      <c r="AT743" s="1458"/>
      <c r="AU743" s="1458"/>
      <c r="AV743" s="1458"/>
      <c r="AW743" s="1458"/>
    </row>
    <row r="744" spans="1:49" s="221" customFormat="1" ht="19.5" customHeight="1" x14ac:dyDescent="0.25">
      <c r="A744" s="1456"/>
      <c r="B744" s="1457"/>
      <c r="C744" s="1460"/>
      <c r="D744" s="1458"/>
      <c r="E744" s="1461"/>
      <c r="F744" s="1455"/>
      <c r="G744" s="1458"/>
      <c r="H744" s="1458"/>
      <c r="I744" s="1456"/>
      <c r="J744" s="1458"/>
      <c r="K744" s="1458"/>
      <c r="L744" s="1458"/>
      <c r="M744" s="1458"/>
      <c r="N744" s="1456"/>
      <c r="O744" s="1458"/>
      <c r="P744" s="1456"/>
      <c r="Q744" s="1458"/>
      <c r="R744" s="1458"/>
      <c r="S744" s="1458"/>
      <c r="T744" s="1458"/>
      <c r="U744" s="1458"/>
      <c r="V744" s="1461"/>
      <c r="W744" s="1458"/>
      <c r="X744" s="1461"/>
      <c r="Y744" s="1461"/>
      <c r="Z744" s="1461"/>
      <c r="AA744" s="1461"/>
      <c r="AB744" s="1462"/>
      <c r="AC744" s="1462"/>
      <c r="AD744" s="1458"/>
      <c r="AE744" s="1458"/>
      <c r="AF744" s="1456"/>
      <c r="AG744" s="1458"/>
      <c r="AH744" s="1458"/>
      <c r="AI744" s="1458"/>
      <c r="AJ744" s="1458"/>
      <c r="AK744" s="1458"/>
      <c r="AL744" s="1458"/>
      <c r="AM744" s="1458"/>
      <c r="AN744" s="1458"/>
      <c r="AO744" s="1458"/>
      <c r="AP744" s="1458"/>
      <c r="AQ744" s="1458"/>
      <c r="AR744" s="1458"/>
      <c r="AS744" s="1458"/>
      <c r="AT744" s="1458"/>
      <c r="AU744" s="1458"/>
      <c r="AV744" s="1458"/>
      <c r="AW744" s="1458"/>
    </row>
    <row r="745" spans="1:49" s="221" customFormat="1" ht="20.25" customHeight="1" x14ac:dyDescent="0.25">
      <c r="A745" s="1456"/>
      <c r="B745" s="1457"/>
      <c r="C745" s="1460"/>
      <c r="D745" s="1458"/>
      <c r="E745" s="1461"/>
      <c r="F745" s="1455"/>
      <c r="G745" s="1458"/>
      <c r="H745" s="1458"/>
      <c r="I745" s="1456"/>
      <c r="J745" s="1458"/>
      <c r="K745" s="1458"/>
      <c r="L745" s="1458"/>
      <c r="M745" s="1458"/>
      <c r="N745" s="1456"/>
      <c r="O745" s="1458"/>
      <c r="P745" s="1456"/>
      <c r="Q745" s="1458"/>
      <c r="R745" s="1458"/>
      <c r="S745" s="1458"/>
      <c r="T745" s="1458"/>
      <c r="U745" s="1458"/>
      <c r="V745" s="1461"/>
      <c r="W745" s="1458"/>
      <c r="X745" s="1461"/>
      <c r="Y745" s="1461"/>
      <c r="Z745" s="1461"/>
      <c r="AA745" s="1461"/>
      <c r="AB745" s="1462"/>
      <c r="AC745" s="1462"/>
      <c r="AD745" s="1458"/>
      <c r="AE745" s="1458"/>
      <c r="AF745" s="1456"/>
      <c r="AG745" s="1458"/>
      <c r="AH745" s="1458"/>
      <c r="AI745" s="1458"/>
      <c r="AJ745" s="1458"/>
      <c r="AK745" s="1458"/>
      <c r="AL745" s="1458"/>
      <c r="AM745" s="1458"/>
      <c r="AN745" s="1458"/>
      <c r="AO745" s="1458"/>
      <c r="AP745" s="1458"/>
      <c r="AQ745" s="1458"/>
      <c r="AR745" s="1458"/>
      <c r="AS745" s="1458"/>
      <c r="AT745" s="1458"/>
      <c r="AU745" s="1458"/>
      <c r="AV745" s="1458"/>
      <c r="AW745" s="1458"/>
    </row>
    <row r="746" spans="1:49" s="221" customFormat="1" ht="24.75" customHeight="1" x14ac:dyDescent="0.25">
      <c r="A746" s="1456"/>
      <c r="B746" s="1457"/>
      <c r="C746" s="1460"/>
      <c r="D746" s="1458"/>
      <c r="E746" s="1461"/>
      <c r="F746" s="1455"/>
      <c r="G746" s="1458"/>
      <c r="H746" s="1458"/>
      <c r="I746" s="1456"/>
      <c r="J746" s="1458"/>
      <c r="K746" s="1458"/>
      <c r="L746" s="1458"/>
      <c r="M746" s="1458"/>
      <c r="N746" s="1456"/>
      <c r="O746" s="1458"/>
      <c r="P746" s="1456"/>
      <c r="Q746" s="1458"/>
      <c r="R746" s="1458"/>
      <c r="S746" s="1458"/>
      <c r="T746" s="1458"/>
      <c r="U746" s="1458"/>
      <c r="V746" s="1461"/>
      <c r="W746" s="1458"/>
      <c r="X746" s="1461"/>
      <c r="Y746" s="1461"/>
      <c r="Z746" s="1461"/>
      <c r="AA746" s="1461"/>
      <c r="AB746" s="1462"/>
      <c r="AC746" s="1462"/>
      <c r="AD746" s="1458"/>
      <c r="AE746" s="1458"/>
      <c r="AF746" s="1456"/>
      <c r="AG746" s="1458"/>
      <c r="AH746" s="1458"/>
      <c r="AI746" s="1458"/>
      <c r="AJ746" s="1458"/>
      <c r="AK746" s="1458"/>
      <c r="AL746" s="1458"/>
      <c r="AM746" s="1458"/>
      <c r="AN746" s="1458"/>
      <c r="AO746" s="1458"/>
      <c r="AP746" s="1458"/>
      <c r="AQ746" s="1458"/>
      <c r="AR746" s="1458"/>
      <c r="AS746" s="1458"/>
      <c r="AT746" s="1458"/>
      <c r="AU746" s="1458"/>
      <c r="AV746" s="1458"/>
      <c r="AW746" s="1458"/>
    </row>
    <row r="747" spans="1:49" s="221" customFormat="1" ht="23.25" customHeight="1" x14ac:dyDescent="0.25">
      <c r="A747" s="1456"/>
      <c r="B747" s="1457"/>
      <c r="C747" s="1460"/>
      <c r="D747" s="1458"/>
      <c r="E747" s="1461"/>
      <c r="F747" s="1455"/>
      <c r="G747" s="1458"/>
      <c r="H747" s="1458"/>
      <c r="I747" s="1456"/>
      <c r="J747" s="1458"/>
      <c r="K747" s="1458"/>
      <c r="L747" s="1458"/>
      <c r="M747" s="1458"/>
      <c r="N747" s="1456"/>
      <c r="O747" s="1458"/>
      <c r="P747" s="1456"/>
      <c r="Q747" s="1458"/>
      <c r="R747" s="1458"/>
      <c r="S747" s="1458"/>
      <c r="T747" s="1458"/>
      <c r="U747" s="1458"/>
      <c r="V747" s="1461"/>
      <c r="W747" s="1458"/>
      <c r="X747" s="1461"/>
      <c r="Y747" s="1461"/>
      <c r="Z747" s="1461"/>
      <c r="AA747" s="1461"/>
      <c r="AB747" s="1462"/>
      <c r="AC747" s="1462"/>
      <c r="AD747" s="1458"/>
      <c r="AE747" s="1458"/>
      <c r="AF747" s="1456"/>
      <c r="AG747" s="1458"/>
      <c r="AH747" s="1458"/>
      <c r="AI747" s="1458"/>
      <c r="AJ747" s="1458"/>
      <c r="AK747" s="1458"/>
      <c r="AL747" s="1458"/>
      <c r="AM747" s="1458"/>
      <c r="AN747" s="1458"/>
      <c r="AO747" s="1458"/>
      <c r="AP747" s="1458"/>
      <c r="AQ747" s="1458"/>
      <c r="AR747" s="1458"/>
      <c r="AS747" s="1458"/>
      <c r="AT747" s="1458"/>
      <c r="AU747" s="1458"/>
      <c r="AV747" s="1458"/>
      <c r="AW747" s="1458"/>
    </row>
    <row r="748" spans="1:49" s="221" customFormat="1" ht="15" customHeight="1" x14ac:dyDescent="0.25">
      <c r="A748" s="1456"/>
      <c r="B748" s="1457"/>
      <c r="C748" s="1460"/>
      <c r="D748" s="1458"/>
      <c r="E748" s="1461"/>
      <c r="F748" s="1455"/>
      <c r="G748" s="1458"/>
      <c r="H748" s="1458"/>
      <c r="I748" s="1456"/>
      <c r="J748" s="1458"/>
      <c r="K748" s="1458"/>
      <c r="L748" s="1458"/>
      <c r="M748" s="1458"/>
      <c r="N748" s="1456"/>
      <c r="O748" s="1458"/>
      <c r="P748" s="1456"/>
      <c r="Q748" s="1458"/>
      <c r="R748" s="1458"/>
      <c r="S748" s="1458"/>
      <c r="T748" s="1458"/>
      <c r="U748" s="1458"/>
      <c r="V748" s="1461"/>
      <c r="W748" s="1458"/>
      <c r="X748" s="1461"/>
      <c r="Y748" s="1461"/>
      <c r="Z748" s="1461"/>
      <c r="AA748" s="1461"/>
      <c r="AB748" s="1462"/>
      <c r="AC748" s="1462"/>
      <c r="AD748" s="1458"/>
      <c r="AE748" s="1458"/>
      <c r="AF748" s="1456"/>
      <c r="AG748" s="1458"/>
      <c r="AH748" s="1458"/>
      <c r="AI748" s="1458"/>
      <c r="AJ748" s="1458"/>
      <c r="AK748" s="1458"/>
      <c r="AL748" s="1458"/>
      <c r="AM748" s="1458"/>
      <c r="AN748" s="1458"/>
      <c r="AO748" s="1458"/>
      <c r="AP748" s="1458"/>
      <c r="AQ748" s="1458"/>
      <c r="AR748" s="1458"/>
      <c r="AS748" s="1458"/>
      <c r="AT748" s="1458"/>
      <c r="AU748" s="1458"/>
      <c r="AV748" s="1458"/>
      <c r="AW748" s="1458"/>
    </row>
    <row r="749" spans="1:49" s="221" customFormat="1" ht="15" customHeight="1" x14ac:dyDescent="0.25">
      <c r="A749" s="1456"/>
      <c r="B749" s="1457"/>
      <c r="C749" s="1460"/>
      <c r="D749" s="1458"/>
      <c r="E749" s="1461"/>
      <c r="F749" s="1455"/>
      <c r="G749" s="1458"/>
      <c r="H749" s="1458"/>
      <c r="I749" s="1456"/>
      <c r="J749" s="1458"/>
      <c r="K749" s="1458"/>
      <c r="L749" s="1458"/>
      <c r="M749" s="1458"/>
      <c r="N749" s="1456"/>
      <c r="O749" s="1458"/>
      <c r="P749" s="1456"/>
      <c r="Q749" s="1458"/>
      <c r="R749" s="1458"/>
      <c r="S749" s="1458"/>
      <c r="T749" s="1458"/>
      <c r="U749" s="1458"/>
      <c r="V749" s="1461"/>
      <c r="W749" s="1458"/>
      <c r="X749" s="1461"/>
      <c r="Y749" s="1461"/>
      <c r="Z749" s="1461"/>
      <c r="AA749" s="1461"/>
      <c r="AB749" s="1462"/>
      <c r="AC749" s="1462"/>
      <c r="AD749" s="1458"/>
      <c r="AE749" s="1458"/>
      <c r="AF749" s="1456"/>
      <c r="AG749" s="1458"/>
      <c r="AH749" s="1458"/>
      <c r="AI749" s="1458"/>
      <c r="AJ749" s="1458"/>
      <c r="AK749" s="1458"/>
      <c r="AL749" s="1458"/>
      <c r="AM749" s="1458"/>
      <c r="AN749" s="1458"/>
      <c r="AO749" s="1458"/>
      <c r="AP749" s="1458"/>
      <c r="AQ749" s="1458"/>
      <c r="AR749" s="1458"/>
      <c r="AS749" s="1458"/>
      <c r="AT749" s="1458"/>
      <c r="AU749" s="1458"/>
      <c r="AV749" s="1458"/>
      <c r="AW749" s="1458"/>
    </row>
    <row r="750" spans="1:49" s="221" customFormat="1" ht="15" customHeight="1" x14ac:dyDescent="0.25">
      <c r="A750" s="1456"/>
      <c r="B750" s="1457"/>
      <c r="C750" s="1460"/>
      <c r="D750" s="1458"/>
      <c r="E750" s="1461"/>
      <c r="F750" s="1455"/>
      <c r="G750" s="1458"/>
      <c r="H750" s="1458"/>
      <c r="I750" s="1456"/>
      <c r="J750" s="1458"/>
      <c r="K750" s="1458"/>
      <c r="L750" s="1458"/>
      <c r="M750" s="1458"/>
      <c r="N750" s="1456"/>
      <c r="O750" s="1458"/>
      <c r="P750" s="1456"/>
      <c r="Q750" s="1458"/>
      <c r="R750" s="1458"/>
      <c r="S750" s="1458"/>
      <c r="T750" s="1458"/>
      <c r="U750" s="1458"/>
      <c r="V750" s="1461"/>
      <c r="W750" s="1458"/>
      <c r="X750" s="1461"/>
      <c r="Y750" s="1461"/>
      <c r="Z750" s="1461"/>
      <c r="AA750" s="1461"/>
      <c r="AB750" s="1462"/>
      <c r="AC750" s="1462"/>
      <c r="AD750" s="1458"/>
      <c r="AE750" s="1458"/>
      <c r="AF750" s="1456"/>
      <c r="AG750" s="1458"/>
      <c r="AH750" s="1458"/>
      <c r="AI750" s="1458"/>
      <c r="AJ750" s="1458"/>
      <c r="AK750" s="1458"/>
      <c r="AL750" s="1458"/>
      <c r="AM750" s="1458"/>
      <c r="AN750" s="1458"/>
      <c r="AO750" s="1458"/>
      <c r="AP750" s="1458"/>
      <c r="AQ750" s="1458"/>
      <c r="AR750" s="1458"/>
      <c r="AS750" s="1458"/>
      <c r="AT750" s="1458"/>
      <c r="AU750" s="1458"/>
      <c r="AV750" s="1458"/>
      <c r="AW750" s="1458"/>
    </row>
    <row r="751" spans="1:49" s="221" customFormat="1" ht="15" customHeight="1" x14ac:dyDescent="0.25">
      <c r="A751" s="1456"/>
      <c r="B751" s="1457"/>
      <c r="C751" s="1460"/>
      <c r="D751" s="1458"/>
      <c r="E751" s="1461"/>
      <c r="F751" s="1455"/>
      <c r="G751" s="1458"/>
      <c r="H751" s="1458"/>
      <c r="I751" s="1456"/>
      <c r="J751" s="1458"/>
      <c r="K751" s="1458"/>
      <c r="L751" s="1458"/>
      <c r="M751" s="1458"/>
      <c r="N751" s="1456"/>
      <c r="O751" s="1458"/>
      <c r="P751" s="1456"/>
      <c r="Q751" s="1458"/>
      <c r="R751" s="1458"/>
      <c r="S751" s="1458"/>
      <c r="T751" s="1458"/>
      <c r="U751" s="1458"/>
      <c r="V751" s="1461"/>
      <c r="W751" s="1458"/>
      <c r="X751" s="1461"/>
      <c r="Y751" s="1461"/>
      <c r="Z751" s="1461"/>
      <c r="AA751" s="1461"/>
      <c r="AB751" s="1462"/>
      <c r="AC751" s="1462"/>
      <c r="AD751" s="1458"/>
      <c r="AE751" s="1458"/>
      <c r="AF751" s="1456"/>
      <c r="AG751" s="1458"/>
      <c r="AH751" s="1458"/>
      <c r="AI751" s="1458"/>
      <c r="AJ751" s="1458"/>
      <c r="AK751" s="1458"/>
      <c r="AL751" s="1458"/>
      <c r="AM751" s="1458"/>
      <c r="AN751" s="1458"/>
      <c r="AO751" s="1458"/>
      <c r="AP751" s="1458"/>
      <c r="AQ751" s="1458"/>
      <c r="AR751" s="1458"/>
      <c r="AS751" s="1458"/>
      <c r="AT751" s="1458"/>
      <c r="AU751" s="1458"/>
      <c r="AV751" s="1458"/>
      <c r="AW751" s="1458"/>
    </row>
    <row r="752" spans="1:49" s="221" customFormat="1" ht="23.25" customHeight="1" x14ac:dyDescent="0.25">
      <c r="A752" s="1456"/>
      <c r="B752" s="1457"/>
      <c r="C752" s="1460"/>
      <c r="D752" s="1458"/>
      <c r="E752" s="1461"/>
      <c r="F752" s="1455"/>
      <c r="G752" s="1458"/>
      <c r="H752" s="1458"/>
      <c r="I752" s="1456"/>
      <c r="J752" s="1458"/>
      <c r="K752" s="1458"/>
      <c r="L752" s="1458"/>
      <c r="M752" s="1458"/>
      <c r="N752" s="1456"/>
      <c r="O752" s="1458"/>
      <c r="P752" s="1456"/>
      <c r="Q752" s="1458"/>
      <c r="R752" s="1458"/>
      <c r="S752" s="1458"/>
      <c r="T752" s="1458"/>
      <c r="U752" s="1458"/>
      <c r="V752" s="1461"/>
      <c r="W752" s="1458"/>
      <c r="X752" s="1461"/>
      <c r="Y752" s="1461"/>
      <c r="Z752" s="1461"/>
      <c r="AA752" s="1461"/>
      <c r="AB752" s="1462"/>
      <c r="AC752" s="1462"/>
      <c r="AD752" s="1458"/>
      <c r="AE752" s="1458"/>
      <c r="AF752" s="1456"/>
      <c r="AG752" s="1458"/>
      <c r="AH752" s="1458"/>
      <c r="AI752" s="1458"/>
      <c r="AJ752" s="1458"/>
      <c r="AK752" s="1458"/>
      <c r="AL752" s="1458"/>
      <c r="AM752" s="1458"/>
      <c r="AN752" s="1458"/>
      <c r="AO752" s="1458"/>
      <c r="AP752" s="1458"/>
      <c r="AQ752" s="1458"/>
      <c r="AR752" s="1458"/>
      <c r="AS752" s="1458"/>
      <c r="AT752" s="1458"/>
      <c r="AU752" s="1458"/>
      <c r="AV752" s="1458"/>
      <c r="AW752" s="1458"/>
    </row>
    <row r="753" spans="1:49" s="221" customFormat="1" ht="15" customHeight="1" x14ac:dyDescent="0.25">
      <c r="A753" s="1456"/>
      <c r="B753" s="1457"/>
      <c r="C753" s="1460"/>
      <c r="D753" s="1458"/>
      <c r="E753" s="1461"/>
      <c r="F753" s="1455"/>
      <c r="G753" s="1458"/>
      <c r="H753" s="1458"/>
      <c r="I753" s="1456"/>
      <c r="J753" s="1458"/>
      <c r="K753" s="1458"/>
      <c r="L753" s="1458"/>
      <c r="M753" s="1458"/>
      <c r="N753" s="1456"/>
      <c r="O753" s="1458"/>
      <c r="P753" s="1456"/>
      <c r="Q753" s="1458"/>
      <c r="R753" s="1458"/>
      <c r="S753" s="1458"/>
      <c r="T753" s="1458"/>
      <c r="U753" s="1458"/>
      <c r="V753" s="1461"/>
      <c r="W753" s="1458"/>
      <c r="X753" s="1461"/>
      <c r="Y753" s="1461"/>
      <c r="Z753" s="1461"/>
      <c r="AA753" s="1461"/>
      <c r="AB753" s="1462"/>
      <c r="AC753" s="1462"/>
      <c r="AD753" s="1458"/>
      <c r="AE753" s="1458"/>
      <c r="AF753" s="1456"/>
      <c r="AG753" s="1458"/>
      <c r="AH753" s="1458"/>
      <c r="AI753" s="1458"/>
      <c r="AJ753" s="1458"/>
      <c r="AK753" s="1458"/>
      <c r="AL753" s="1458"/>
      <c r="AM753" s="1458"/>
      <c r="AN753" s="1458"/>
      <c r="AO753" s="1458"/>
      <c r="AP753" s="1458"/>
      <c r="AQ753" s="1458"/>
      <c r="AR753" s="1458"/>
      <c r="AS753" s="1458"/>
      <c r="AT753" s="1458"/>
      <c r="AU753" s="1458"/>
      <c r="AV753" s="1458"/>
      <c r="AW753" s="1458"/>
    </row>
    <row r="754" spans="1:49" s="221" customFormat="1" ht="18.75" customHeight="1" x14ac:dyDescent="0.25">
      <c r="A754" s="1456"/>
      <c r="B754" s="1457"/>
      <c r="C754" s="1460"/>
      <c r="D754" s="1458"/>
      <c r="E754" s="1461"/>
      <c r="F754" s="1455"/>
      <c r="G754" s="1458"/>
      <c r="H754" s="1458"/>
      <c r="I754" s="1456"/>
      <c r="J754" s="1458"/>
      <c r="K754" s="1458"/>
      <c r="L754" s="1458"/>
      <c r="M754" s="1458"/>
      <c r="N754" s="1456"/>
      <c r="O754" s="1458"/>
      <c r="P754" s="1456"/>
      <c r="Q754" s="1458"/>
      <c r="R754" s="1458"/>
      <c r="S754" s="1458"/>
      <c r="T754" s="1458"/>
      <c r="U754" s="1458"/>
      <c r="V754" s="1461"/>
      <c r="W754" s="1458"/>
      <c r="X754" s="1461"/>
      <c r="Y754" s="1461"/>
      <c r="Z754" s="1461"/>
      <c r="AA754" s="1461"/>
      <c r="AB754" s="1462"/>
      <c r="AC754" s="1462"/>
      <c r="AD754" s="1458"/>
      <c r="AE754" s="1458"/>
      <c r="AF754" s="1456"/>
      <c r="AG754" s="1458"/>
      <c r="AH754" s="1458"/>
      <c r="AI754" s="1458"/>
      <c r="AJ754" s="1458"/>
      <c r="AK754" s="1458"/>
      <c r="AL754" s="1458"/>
      <c r="AM754" s="1458"/>
      <c r="AN754" s="1458"/>
      <c r="AO754" s="1458"/>
      <c r="AP754" s="1458"/>
      <c r="AQ754" s="1458"/>
      <c r="AR754" s="1458"/>
      <c r="AS754" s="1458"/>
      <c r="AT754" s="1458"/>
      <c r="AU754" s="1458"/>
      <c r="AV754" s="1458"/>
      <c r="AW754" s="1458"/>
    </row>
    <row r="755" spans="1:49" s="221" customFormat="1" ht="22.5" customHeight="1" x14ac:dyDescent="0.25">
      <c r="A755" s="1456"/>
      <c r="B755" s="1457"/>
      <c r="C755" s="1460"/>
      <c r="D755" s="1458"/>
      <c r="E755" s="1461"/>
      <c r="F755" s="1455"/>
      <c r="G755" s="1458"/>
      <c r="H755" s="1458"/>
      <c r="I755" s="1456"/>
      <c r="J755" s="1458"/>
      <c r="K755" s="1458"/>
      <c r="L755" s="1458"/>
      <c r="M755" s="1458"/>
      <c r="N755" s="1456"/>
      <c r="O755" s="1458"/>
      <c r="P755" s="1456"/>
      <c r="Q755" s="1458"/>
      <c r="R755" s="1458"/>
      <c r="S755" s="1458"/>
      <c r="T755" s="1458"/>
      <c r="U755" s="1458"/>
      <c r="V755" s="1461"/>
      <c r="W755" s="1458"/>
      <c r="X755" s="1461"/>
      <c r="Y755" s="1461"/>
      <c r="Z755" s="1461"/>
      <c r="AA755" s="1461"/>
      <c r="AB755" s="1462"/>
      <c r="AC755" s="1462"/>
      <c r="AD755" s="1458"/>
      <c r="AE755" s="1458"/>
      <c r="AF755" s="1456"/>
      <c r="AG755" s="1458"/>
      <c r="AH755" s="1458"/>
      <c r="AI755" s="1458"/>
      <c r="AJ755" s="1458"/>
      <c r="AK755" s="1458"/>
      <c r="AL755" s="1458"/>
      <c r="AM755" s="1458"/>
      <c r="AN755" s="1458"/>
      <c r="AO755" s="1458"/>
      <c r="AP755" s="1458"/>
      <c r="AQ755" s="1458"/>
      <c r="AR755" s="1458"/>
      <c r="AS755" s="1458"/>
      <c r="AT755" s="1458"/>
      <c r="AU755" s="1458"/>
      <c r="AV755" s="1458"/>
      <c r="AW755" s="1458"/>
    </row>
    <row r="756" spans="1:49" s="221" customFormat="1" ht="15" customHeight="1" x14ac:dyDescent="0.25">
      <c r="A756" s="1456"/>
      <c r="B756" s="1457"/>
      <c r="C756" s="1460"/>
      <c r="D756" s="1458"/>
      <c r="E756" s="1461"/>
      <c r="F756" s="1455"/>
      <c r="G756" s="1458"/>
      <c r="H756" s="1458"/>
      <c r="I756" s="1456"/>
      <c r="J756" s="1458"/>
      <c r="K756" s="1458"/>
      <c r="L756" s="1458"/>
      <c r="M756" s="1458"/>
      <c r="N756" s="1456"/>
      <c r="O756" s="1458"/>
      <c r="P756" s="1456"/>
      <c r="Q756" s="1458"/>
      <c r="R756" s="1458"/>
      <c r="S756" s="1458"/>
      <c r="T756" s="1458"/>
      <c r="U756" s="1458"/>
      <c r="V756" s="1461"/>
      <c r="W756" s="1458"/>
      <c r="X756" s="1461"/>
      <c r="Y756" s="1461"/>
      <c r="Z756" s="1461"/>
      <c r="AA756" s="1461"/>
      <c r="AB756" s="1462"/>
      <c r="AC756" s="1462"/>
      <c r="AD756" s="1458"/>
      <c r="AE756" s="1458"/>
      <c r="AF756" s="1456"/>
      <c r="AG756" s="1458"/>
      <c r="AH756" s="1458"/>
      <c r="AI756" s="1458"/>
      <c r="AJ756" s="1458"/>
      <c r="AK756" s="1458"/>
      <c r="AL756" s="1458"/>
      <c r="AM756" s="1458"/>
      <c r="AN756" s="1458"/>
      <c r="AO756" s="1458"/>
      <c r="AP756" s="1458"/>
      <c r="AQ756" s="1458"/>
      <c r="AR756" s="1458"/>
      <c r="AS756" s="1458"/>
      <c r="AT756" s="1458"/>
      <c r="AU756" s="1458"/>
      <c r="AV756" s="1458"/>
      <c r="AW756" s="1458"/>
    </row>
    <row r="757" spans="1:49" s="221" customFormat="1" ht="15" customHeight="1" x14ac:dyDescent="0.25">
      <c r="A757" s="1456"/>
      <c r="B757" s="1457"/>
      <c r="C757" s="1460"/>
      <c r="D757" s="1458"/>
      <c r="E757" s="1461"/>
      <c r="F757" s="1455"/>
      <c r="G757" s="1458"/>
      <c r="H757" s="1458"/>
      <c r="I757" s="1456"/>
      <c r="J757" s="1458"/>
      <c r="K757" s="1458"/>
      <c r="L757" s="1458"/>
      <c r="M757" s="1458"/>
      <c r="N757" s="1456"/>
      <c r="O757" s="1458"/>
      <c r="P757" s="1456"/>
      <c r="Q757" s="1458"/>
      <c r="R757" s="1458"/>
      <c r="S757" s="1458"/>
      <c r="T757" s="1458"/>
      <c r="U757" s="1458"/>
      <c r="V757" s="1461"/>
      <c r="W757" s="1458"/>
      <c r="X757" s="1461"/>
      <c r="Y757" s="1461"/>
      <c r="Z757" s="1461"/>
      <c r="AA757" s="1461"/>
      <c r="AB757" s="1462"/>
      <c r="AC757" s="1462"/>
      <c r="AD757" s="1458"/>
      <c r="AE757" s="1458"/>
      <c r="AF757" s="1456"/>
      <c r="AG757" s="1458"/>
      <c r="AH757" s="1458"/>
      <c r="AI757" s="1458"/>
      <c r="AJ757" s="1458"/>
      <c r="AK757" s="1458"/>
      <c r="AL757" s="1458"/>
      <c r="AM757" s="1458"/>
      <c r="AN757" s="1458"/>
      <c r="AO757" s="1458"/>
      <c r="AP757" s="1458"/>
      <c r="AQ757" s="1458"/>
      <c r="AR757" s="1458"/>
      <c r="AS757" s="1458"/>
      <c r="AT757" s="1458"/>
      <c r="AU757" s="1458"/>
      <c r="AV757" s="1458"/>
      <c r="AW757" s="1458"/>
    </row>
    <row r="758" spans="1:49" s="221" customFormat="1" ht="15" customHeight="1" x14ac:dyDescent="0.25">
      <c r="A758" s="1456"/>
      <c r="B758" s="1457"/>
      <c r="C758" s="1460"/>
      <c r="D758" s="1458"/>
      <c r="E758" s="1461"/>
      <c r="F758" s="1455"/>
      <c r="G758" s="1458"/>
      <c r="H758" s="1458"/>
      <c r="I758" s="1456"/>
      <c r="J758" s="1458"/>
      <c r="K758" s="1458"/>
      <c r="L758" s="1458"/>
      <c r="M758" s="1458"/>
      <c r="N758" s="1456"/>
      <c r="O758" s="1458"/>
      <c r="P758" s="1456"/>
      <c r="Q758" s="1458"/>
      <c r="R758" s="1458"/>
      <c r="S758" s="1458"/>
      <c r="T758" s="1458"/>
      <c r="U758" s="1458"/>
      <c r="V758" s="1461"/>
      <c r="W758" s="1458"/>
      <c r="X758" s="1461"/>
      <c r="Y758" s="1461"/>
      <c r="Z758" s="1461"/>
      <c r="AA758" s="1461"/>
      <c r="AB758" s="1462"/>
      <c r="AC758" s="1462"/>
      <c r="AD758" s="1458"/>
      <c r="AE758" s="1458"/>
      <c r="AF758" s="1456"/>
      <c r="AG758" s="1458"/>
      <c r="AH758" s="1458"/>
      <c r="AI758" s="1458"/>
      <c r="AJ758" s="1458"/>
      <c r="AK758" s="1458"/>
      <c r="AL758" s="1458"/>
      <c r="AM758" s="1458"/>
      <c r="AN758" s="1458"/>
      <c r="AO758" s="1458"/>
      <c r="AP758" s="1458"/>
      <c r="AQ758" s="1458"/>
      <c r="AR758" s="1458"/>
      <c r="AS758" s="1458"/>
      <c r="AT758" s="1458"/>
      <c r="AU758" s="1458"/>
      <c r="AV758" s="1458"/>
      <c r="AW758" s="1458"/>
    </row>
    <row r="759" spans="1:49" s="221" customFormat="1" ht="15" customHeight="1" x14ac:dyDescent="0.25">
      <c r="A759" s="1456"/>
      <c r="B759" s="1457"/>
      <c r="C759" s="1460"/>
      <c r="D759" s="1458"/>
      <c r="E759" s="1461"/>
      <c r="F759" s="1455"/>
      <c r="G759" s="1458"/>
      <c r="H759" s="1458"/>
      <c r="I759" s="1456"/>
      <c r="J759" s="1458"/>
      <c r="K759" s="1458"/>
      <c r="L759" s="1458"/>
      <c r="M759" s="1458"/>
      <c r="N759" s="1456"/>
      <c r="O759" s="1458"/>
      <c r="P759" s="1456"/>
      <c r="Q759" s="1458"/>
      <c r="R759" s="1458"/>
      <c r="S759" s="1458"/>
      <c r="T759" s="1458"/>
      <c r="U759" s="1458"/>
      <c r="V759" s="1461"/>
      <c r="W759" s="1458"/>
      <c r="X759" s="1461"/>
      <c r="Y759" s="1461"/>
      <c r="Z759" s="1461"/>
      <c r="AA759" s="1461"/>
      <c r="AB759" s="1462"/>
      <c r="AC759" s="1462"/>
      <c r="AD759" s="1458"/>
      <c r="AE759" s="1458"/>
      <c r="AF759" s="1456"/>
      <c r="AG759" s="1458"/>
      <c r="AH759" s="1458"/>
      <c r="AI759" s="1458"/>
      <c r="AJ759" s="1458"/>
      <c r="AK759" s="1458"/>
      <c r="AL759" s="1458"/>
      <c r="AM759" s="1458"/>
      <c r="AN759" s="1458"/>
      <c r="AO759" s="1458"/>
      <c r="AP759" s="1458"/>
      <c r="AQ759" s="1458"/>
      <c r="AR759" s="1458"/>
      <c r="AS759" s="1458"/>
      <c r="AT759" s="1458"/>
      <c r="AU759" s="1458"/>
      <c r="AV759" s="1458"/>
      <c r="AW759" s="1458"/>
    </row>
    <row r="760" spans="1:49" s="221" customFormat="1" ht="23.25" customHeight="1" x14ac:dyDescent="0.25">
      <c r="A760" s="1456"/>
      <c r="B760" s="1457"/>
      <c r="C760" s="1460"/>
      <c r="D760" s="1458"/>
      <c r="E760" s="1461"/>
      <c r="F760" s="1455"/>
      <c r="G760" s="1458"/>
      <c r="H760" s="1458"/>
      <c r="I760" s="1456"/>
      <c r="J760" s="1458"/>
      <c r="K760" s="1458"/>
      <c r="L760" s="1458"/>
      <c r="M760" s="1458"/>
      <c r="N760" s="1456"/>
      <c r="O760" s="1458"/>
      <c r="P760" s="1456"/>
      <c r="Q760" s="1458"/>
      <c r="R760" s="1458"/>
      <c r="S760" s="1458"/>
      <c r="T760" s="1458"/>
      <c r="U760" s="1458"/>
      <c r="V760" s="1461"/>
      <c r="W760" s="1458"/>
      <c r="X760" s="1461"/>
      <c r="Y760" s="1461"/>
      <c r="Z760" s="1461"/>
      <c r="AA760" s="1461"/>
      <c r="AB760" s="1462"/>
      <c r="AC760" s="1462"/>
      <c r="AD760" s="1458"/>
      <c r="AE760" s="1458"/>
      <c r="AF760" s="1456"/>
      <c r="AG760" s="1458"/>
      <c r="AH760" s="1458"/>
      <c r="AI760" s="1458"/>
      <c r="AJ760" s="1458"/>
      <c r="AK760" s="1458"/>
      <c r="AL760" s="1458"/>
      <c r="AM760" s="1458"/>
      <c r="AN760" s="1458"/>
      <c r="AO760" s="1458"/>
      <c r="AP760" s="1458"/>
      <c r="AQ760" s="1458"/>
      <c r="AR760" s="1458"/>
      <c r="AS760" s="1458"/>
      <c r="AT760" s="1458"/>
      <c r="AU760" s="1458"/>
      <c r="AV760" s="1458"/>
      <c r="AW760" s="1458"/>
    </row>
    <row r="761" spans="1:49" s="221" customFormat="1" ht="21" customHeight="1" x14ac:dyDescent="0.25">
      <c r="A761" s="1456"/>
      <c r="B761" s="1457"/>
      <c r="C761" s="1460"/>
      <c r="D761" s="1458"/>
      <c r="E761" s="1461"/>
      <c r="F761" s="1455"/>
      <c r="G761" s="1458"/>
      <c r="H761" s="1458"/>
      <c r="I761" s="1456"/>
      <c r="J761" s="1458"/>
      <c r="K761" s="1458"/>
      <c r="L761" s="1458"/>
      <c r="M761" s="1458"/>
      <c r="N761" s="1456"/>
      <c r="O761" s="1458"/>
      <c r="P761" s="1456"/>
      <c r="Q761" s="1458"/>
      <c r="R761" s="1458"/>
      <c r="S761" s="1458"/>
      <c r="T761" s="1458"/>
      <c r="U761" s="1458"/>
      <c r="V761" s="1461"/>
      <c r="W761" s="1458"/>
      <c r="X761" s="1461"/>
      <c r="Y761" s="1461"/>
      <c r="Z761" s="1461"/>
      <c r="AA761" s="1461"/>
      <c r="AB761" s="1462"/>
      <c r="AC761" s="1462"/>
      <c r="AD761" s="1458"/>
      <c r="AE761" s="1458"/>
      <c r="AF761" s="1456"/>
      <c r="AG761" s="1458"/>
      <c r="AH761" s="1458"/>
      <c r="AI761" s="1458"/>
      <c r="AJ761" s="1458"/>
      <c r="AK761" s="1458"/>
      <c r="AL761" s="1458"/>
      <c r="AM761" s="1458"/>
      <c r="AN761" s="1458"/>
      <c r="AO761" s="1458"/>
      <c r="AP761" s="1458"/>
      <c r="AQ761" s="1458"/>
      <c r="AR761" s="1458"/>
      <c r="AS761" s="1458"/>
      <c r="AT761" s="1458"/>
      <c r="AU761" s="1458"/>
      <c r="AV761" s="1458"/>
      <c r="AW761" s="1458"/>
    </row>
    <row r="762" spans="1:49" s="221" customFormat="1" ht="21" customHeight="1" x14ac:dyDescent="0.25">
      <c r="A762" s="1456"/>
      <c r="B762" s="1457"/>
      <c r="C762" s="1460"/>
      <c r="D762" s="1458"/>
      <c r="E762" s="1461"/>
      <c r="F762" s="1455"/>
      <c r="G762" s="1458"/>
      <c r="H762" s="1458"/>
      <c r="I762" s="1456"/>
      <c r="J762" s="1458"/>
      <c r="K762" s="1458"/>
      <c r="L762" s="1458"/>
      <c r="M762" s="1458"/>
      <c r="N762" s="1456"/>
      <c r="O762" s="1458"/>
      <c r="P762" s="1456"/>
      <c r="Q762" s="1458"/>
      <c r="R762" s="1458"/>
      <c r="S762" s="1458"/>
      <c r="T762" s="1458"/>
      <c r="U762" s="1458"/>
      <c r="V762" s="1461"/>
      <c r="W762" s="1458"/>
      <c r="X762" s="1461"/>
      <c r="Y762" s="1461"/>
      <c r="Z762" s="1461"/>
      <c r="AA762" s="1461"/>
      <c r="AB762" s="1462"/>
      <c r="AC762" s="1462"/>
      <c r="AD762" s="1458"/>
      <c r="AE762" s="1458"/>
      <c r="AF762" s="1456"/>
      <c r="AG762" s="1458"/>
      <c r="AH762" s="1458"/>
      <c r="AI762" s="1458"/>
      <c r="AJ762" s="1458"/>
      <c r="AK762" s="1458"/>
      <c r="AL762" s="1458"/>
      <c r="AM762" s="1458"/>
      <c r="AN762" s="1458"/>
      <c r="AO762" s="1458"/>
      <c r="AP762" s="1458"/>
      <c r="AQ762" s="1458"/>
      <c r="AR762" s="1458"/>
      <c r="AS762" s="1458"/>
      <c r="AT762" s="1458"/>
      <c r="AU762" s="1458"/>
      <c r="AV762" s="1458"/>
      <c r="AW762" s="1458"/>
    </row>
    <row r="763" spans="1:49" s="221" customFormat="1" ht="21.75" customHeight="1" x14ac:dyDescent="0.25">
      <c r="A763" s="1456"/>
      <c r="B763" s="1457"/>
      <c r="C763" s="1460"/>
      <c r="D763" s="1458"/>
      <c r="E763" s="1461"/>
      <c r="F763" s="1455"/>
      <c r="G763" s="1458"/>
      <c r="H763" s="1458"/>
      <c r="I763" s="1456"/>
      <c r="J763" s="1458"/>
      <c r="K763" s="1458"/>
      <c r="L763" s="1458"/>
      <c r="M763" s="1458"/>
      <c r="N763" s="1456"/>
      <c r="O763" s="1458"/>
      <c r="P763" s="1456"/>
      <c r="Q763" s="1458"/>
      <c r="R763" s="1458"/>
      <c r="S763" s="1458"/>
      <c r="T763" s="1458"/>
      <c r="U763" s="1458"/>
      <c r="V763" s="1461"/>
      <c r="W763" s="1458"/>
      <c r="X763" s="1461"/>
      <c r="Y763" s="1461"/>
      <c r="Z763" s="1461"/>
      <c r="AA763" s="1461"/>
      <c r="AB763" s="1462"/>
      <c r="AC763" s="1462"/>
      <c r="AD763" s="1458"/>
      <c r="AE763" s="1458"/>
      <c r="AF763" s="1456"/>
      <c r="AG763" s="1458"/>
      <c r="AH763" s="1458"/>
      <c r="AI763" s="1458"/>
      <c r="AJ763" s="1458"/>
      <c r="AK763" s="1458"/>
      <c r="AL763" s="1458"/>
      <c r="AM763" s="1458"/>
      <c r="AN763" s="1458"/>
      <c r="AO763" s="1458"/>
      <c r="AP763" s="1458"/>
      <c r="AQ763" s="1458"/>
      <c r="AR763" s="1458"/>
      <c r="AS763" s="1458"/>
      <c r="AT763" s="1458"/>
      <c r="AU763" s="1458"/>
      <c r="AV763" s="1458"/>
      <c r="AW763" s="1458"/>
    </row>
    <row r="764" spans="1:49" s="221" customFormat="1" ht="22.5" customHeight="1" x14ac:dyDescent="0.25">
      <c r="A764" s="1456"/>
      <c r="B764" s="1457"/>
      <c r="C764" s="1460"/>
      <c r="D764" s="1458"/>
      <c r="E764" s="1461"/>
      <c r="F764" s="1455"/>
      <c r="G764" s="1458"/>
      <c r="H764" s="1458"/>
      <c r="I764" s="1456"/>
      <c r="J764" s="1458"/>
      <c r="K764" s="1458"/>
      <c r="L764" s="1458"/>
      <c r="M764" s="1458"/>
      <c r="N764" s="1456"/>
      <c r="O764" s="1458"/>
      <c r="P764" s="1456"/>
      <c r="Q764" s="1458"/>
      <c r="R764" s="1458"/>
      <c r="S764" s="1458"/>
      <c r="T764" s="1458"/>
      <c r="U764" s="1458"/>
      <c r="V764" s="1461"/>
      <c r="W764" s="1458"/>
      <c r="X764" s="1461"/>
      <c r="Y764" s="1461"/>
      <c r="Z764" s="1461"/>
      <c r="AA764" s="1461"/>
      <c r="AB764" s="1462"/>
      <c r="AC764" s="1462"/>
      <c r="AD764" s="1458"/>
      <c r="AE764" s="1458"/>
      <c r="AF764" s="1456"/>
      <c r="AG764" s="1458"/>
      <c r="AH764" s="1458"/>
      <c r="AI764" s="1458"/>
      <c r="AJ764" s="1458"/>
      <c r="AK764" s="1458"/>
      <c r="AL764" s="1458"/>
      <c r="AM764" s="1458"/>
      <c r="AN764" s="1458"/>
      <c r="AO764" s="1458"/>
      <c r="AP764" s="1458"/>
      <c r="AQ764" s="1458"/>
      <c r="AR764" s="1458"/>
      <c r="AS764" s="1458"/>
      <c r="AT764" s="1458"/>
      <c r="AU764" s="1458"/>
      <c r="AV764" s="1458"/>
      <c r="AW764" s="1458"/>
    </row>
    <row r="765" spans="1:49" s="221" customFormat="1" ht="15" customHeight="1" x14ac:dyDescent="0.25">
      <c r="A765" s="1456"/>
      <c r="B765" s="1457"/>
      <c r="C765" s="1460"/>
      <c r="D765" s="1458"/>
      <c r="E765" s="1461"/>
      <c r="F765" s="1455"/>
      <c r="G765" s="1458"/>
      <c r="H765" s="1458"/>
      <c r="I765" s="1456"/>
      <c r="J765" s="1458"/>
      <c r="K765" s="1458"/>
      <c r="L765" s="1458"/>
      <c r="M765" s="1458"/>
      <c r="N765" s="1456"/>
      <c r="O765" s="1458"/>
      <c r="P765" s="1456"/>
      <c r="Q765" s="1458"/>
      <c r="R765" s="1458"/>
      <c r="S765" s="1458"/>
      <c r="T765" s="1458"/>
      <c r="U765" s="1458"/>
      <c r="V765" s="1461"/>
      <c r="W765" s="1458"/>
      <c r="X765" s="1461"/>
      <c r="Y765" s="1461"/>
      <c r="Z765" s="1461"/>
      <c r="AA765" s="1461"/>
      <c r="AB765" s="1462"/>
      <c r="AC765" s="1462"/>
      <c r="AD765" s="1458"/>
      <c r="AE765" s="1458"/>
      <c r="AF765" s="1456"/>
      <c r="AG765" s="1458"/>
      <c r="AH765" s="1458"/>
      <c r="AI765" s="1458"/>
      <c r="AJ765" s="1458"/>
      <c r="AK765" s="1458"/>
      <c r="AL765" s="1458"/>
      <c r="AM765" s="1458"/>
      <c r="AN765" s="1458"/>
      <c r="AO765" s="1458"/>
      <c r="AP765" s="1458"/>
      <c r="AQ765" s="1458"/>
      <c r="AR765" s="1458"/>
      <c r="AS765" s="1458"/>
      <c r="AT765" s="1458"/>
      <c r="AU765" s="1458"/>
      <c r="AV765" s="1458"/>
      <c r="AW765" s="1458"/>
    </row>
    <row r="766" spans="1:49" s="221" customFormat="1" ht="15" customHeight="1" x14ac:dyDescent="0.25">
      <c r="A766" s="1456"/>
      <c r="B766" s="1457"/>
      <c r="C766" s="1460"/>
      <c r="D766" s="1458"/>
      <c r="E766" s="1461"/>
      <c r="F766" s="1455"/>
      <c r="G766" s="1458"/>
      <c r="H766" s="1458"/>
      <c r="I766" s="1456"/>
      <c r="J766" s="1458"/>
      <c r="K766" s="1458"/>
      <c r="L766" s="1458"/>
      <c r="M766" s="1458"/>
      <c r="N766" s="1456"/>
      <c r="O766" s="1458"/>
      <c r="P766" s="1456"/>
      <c r="Q766" s="1458"/>
      <c r="R766" s="1458"/>
      <c r="S766" s="1458"/>
      <c r="T766" s="1458"/>
      <c r="U766" s="1458"/>
      <c r="V766" s="1461"/>
      <c r="W766" s="1458"/>
      <c r="X766" s="1461"/>
      <c r="Y766" s="1461"/>
      <c r="Z766" s="1461"/>
      <c r="AA766" s="1461"/>
      <c r="AB766" s="1462"/>
      <c r="AC766" s="1462"/>
      <c r="AD766" s="1458"/>
      <c r="AE766" s="1458"/>
      <c r="AF766" s="1456"/>
      <c r="AG766" s="1458"/>
      <c r="AH766" s="1458"/>
      <c r="AI766" s="1458"/>
      <c r="AJ766" s="1458"/>
      <c r="AK766" s="1458"/>
      <c r="AL766" s="1458"/>
      <c r="AM766" s="1458"/>
      <c r="AN766" s="1458"/>
      <c r="AO766" s="1458"/>
      <c r="AP766" s="1458"/>
      <c r="AQ766" s="1458"/>
      <c r="AR766" s="1458"/>
      <c r="AS766" s="1458"/>
      <c r="AT766" s="1458"/>
      <c r="AU766" s="1458"/>
      <c r="AV766" s="1458"/>
      <c r="AW766" s="1458"/>
    </row>
    <row r="767" spans="1:49" s="221" customFormat="1" x14ac:dyDescent="0.25">
      <c r="A767" s="1456"/>
      <c r="B767" s="1457"/>
      <c r="C767" s="1460"/>
      <c r="D767" s="1458"/>
      <c r="E767" s="1461"/>
      <c r="F767" s="1455"/>
      <c r="G767" s="1458"/>
      <c r="H767" s="1458"/>
      <c r="I767" s="1456"/>
      <c r="J767" s="1458"/>
      <c r="K767" s="1458"/>
      <c r="L767" s="1458"/>
      <c r="M767" s="1458"/>
      <c r="N767" s="1456"/>
      <c r="O767" s="1458"/>
      <c r="P767" s="1456"/>
      <c r="Q767" s="1458"/>
      <c r="R767" s="1458"/>
      <c r="S767" s="1458"/>
      <c r="T767" s="1458"/>
      <c r="U767" s="1458"/>
      <c r="V767" s="1461"/>
      <c r="W767" s="1458"/>
      <c r="X767" s="1461"/>
      <c r="Y767" s="1461"/>
      <c r="Z767" s="1461"/>
      <c r="AA767" s="1461"/>
      <c r="AB767" s="1462"/>
      <c r="AC767" s="1462"/>
      <c r="AD767" s="1458"/>
      <c r="AE767" s="1458"/>
      <c r="AF767" s="1456"/>
      <c r="AG767" s="1458"/>
      <c r="AH767" s="1458"/>
      <c r="AI767" s="1458"/>
      <c r="AJ767" s="1458"/>
      <c r="AK767" s="1458"/>
      <c r="AL767" s="1458"/>
      <c r="AM767" s="1458"/>
      <c r="AN767" s="1458"/>
      <c r="AO767" s="1458"/>
      <c r="AP767" s="1458"/>
      <c r="AQ767" s="1458"/>
      <c r="AR767" s="1458"/>
      <c r="AS767" s="1458"/>
      <c r="AT767" s="1458"/>
      <c r="AU767" s="1458"/>
      <c r="AV767" s="1458"/>
      <c r="AW767" s="1458"/>
    </row>
    <row r="768" spans="1:49" s="221" customFormat="1" ht="24" customHeight="1" x14ac:dyDescent="0.25">
      <c r="A768" s="1456"/>
      <c r="B768" s="1457"/>
      <c r="C768" s="1460"/>
      <c r="D768" s="1458"/>
      <c r="E768" s="1461"/>
      <c r="F768" s="1455"/>
      <c r="G768" s="1458"/>
      <c r="H768" s="1458"/>
      <c r="I768" s="1456"/>
      <c r="J768" s="1458"/>
      <c r="K768" s="1458"/>
      <c r="L768" s="1458"/>
      <c r="M768" s="1458"/>
      <c r="N768" s="1456"/>
      <c r="O768" s="1458"/>
      <c r="P768" s="1456"/>
      <c r="Q768" s="1458"/>
      <c r="R768" s="1458"/>
      <c r="S768" s="1458"/>
      <c r="T768" s="1458"/>
      <c r="U768" s="1458"/>
      <c r="V768" s="1461"/>
      <c r="W768" s="1458"/>
      <c r="X768" s="1461"/>
      <c r="Y768" s="1461"/>
      <c r="Z768" s="1461"/>
      <c r="AA768" s="1461"/>
      <c r="AB768" s="1462"/>
      <c r="AC768" s="1462"/>
      <c r="AD768" s="1458"/>
      <c r="AE768" s="1458"/>
      <c r="AF768" s="1456"/>
      <c r="AG768" s="1458"/>
      <c r="AH768" s="1458"/>
      <c r="AI768" s="1458"/>
      <c r="AJ768" s="1458"/>
      <c r="AK768" s="1458"/>
      <c r="AL768" s="1458"/>
      <c r="AM768" s="1458"/>
      <c r="AN768" s="1458"/>
      <c r="AO768" s="1458"/>
      <c r="AP768" s="1458"/>
      <c r="AQ768" s="1458"/>
      <c r="AR768" s="1458"/>
      <c r="AS768" s="1458"/>
      <c r="AT768" s="1458"/>
      <c r="AU768" s="1458"/>
      <c r="AV768" s="1458"/>
      <c r="AW768" s="1458"/>
    </row>
    <row r="769" spans="1:56" s="221" customFormat="1" ht="26.25" customHeight="1" x14ac:dyDescent="0.25">
      <c r="A769" s="1456"/>
      <c r="B769" s="1457"/>
      <c r="C769" s="1460"/>
      <c r="D769" s="1458"/>
      <c r="E769" s="1461"/>
      <c r="F769" s="1455"/>
      <c r="G769" s="1458"/>
      <c r="H769" s="1458"/>
      <c r="I769" s="1456"/>
      <c r="J769" s="1458"/>
      <c r="K769" s="1458"/>
      <c r="L769" s="1458"/>
      <c r="M769" s="1458"/>
      <c r="N769" s="1456"/>
      <c r="O769" s="1458"/>
      <c r="P769" s="1456"/>
      <c r="Q769" s="1458"/>
      <c r="R769" s="1458"/>
      <c r="S769" s="1458"/>
      <c r="T769" s="1458"/>
      <c r="U769" s="1458"/>
      <c r="V769" s="1461"/>
      <c r="W769" s="1458"/>
      <c r="X769" s="1461"/>
      <c r="Y769" s="1461"/>
      <c r="Z769" s="1461"/>
      <c r="AA769" s="1461"/>
      <c r="AB769" s="1462"/>
      <c r="AC769" s="1462"/>
      <c r="AD769" s="1458"/>
      <c r="AE769" s="1458"/>
      <c r="AF769" s="1456"/>
      <c r="AG769" s="1458"/>
      <c r="AH769" s="1458"/>
      <c r="AI769" s="1458"/>
      <c r="AJ769" s="1458"/>
      <c r="AK769" s="1458"/>
      <c r="AL769" s="1458"/>
      <c r="AM769" s="1458"/>
      <c r="AN769" s="1458"/>
      <c r="AO769" s="1458"/>
      <c r="AP769" s="1458"/>
      <c r="AQ769" s="1458"/>
      <c r="AR769" s="1458"/>
      <c r="AS769" s="1458"/>
      <c r="AT769" s="1458"/>
      <c r="AU769" s="1458"/>
      <c r="AV769" s="1458"/>
      <c r="AW769" s="1458"/>
    </row>
    <row r="770" spans="1:56" s="221" customFormat="1" ht="24.75" customHeight="1" x14ac:dyDescent="0.25">
      <c r="A770" s="1456"/>
      <c r="B770" s="1457"/>
      <c r="C770" s="1460"/>
      <c r="D770" s="1458"/>
      <c r="E770" s="1461"/>
      <c r="F770" s="1455"/>
      <c r="G770" s="1458"/>
      <c r="H770" s="1458"/>
      <c r="I770" s="1456"/>
      <c r="J770" s="1458"/>
      <c r="K770" s="1458"/>
      <c r="L770" s="1458"/>
      <c r="M770" s="1458"/>
      <c r="N770" s="1456"/>
      <c r="O770" s="1458"/>
      <c r="P770" s="1456"/>
      <c r="Q770" s="1458"/>
      <c r="R770" s="1458"/>
      <c r="S770" s="1458"/>
      <c r="T770" s="1458"/>
      <c r="U770" s="1458"/>
      <c r="V770" s="1461"/>
      <c r="W770" s="1458"/>
      <c r="X770" s="1461"/>
      <c r="Y770" s="1461"/>
      <c r="Z770" s="1461"/>
      <c r="AA770" s="1461"/>
      <c r="AB770" s="1462"/>
      <c r="AC770" s="1462"/>
      <c r="AD770" s="1458"/>
      <c r="AE770" s="1458"/>
      <c r="AF770" s="1456"/>
      <c r="AG770" s="1458"/>
      <c r="AH770" s="1458"/>
      <c r="AI770" s="1458"/>
      <c r="AJ770" s="1458"/>
      <c r="AK770" s="1458"/>
      <c r="AL770" s="1458"/>
      <c r="AM770" s="1458"/>
      <c r="AN770" s="1458"/>
      <c r="AO770" s="1458"/>
      <c r="AP770" s="1458"/>
      <c r="AQ770" s="1458"/>
      <c r="AR770" s="1458"/>
      <c r="AS770" s="1458"/>
      <c r="AT770" s="1458"/>
      <c r="AU770" s="1458"/>
      <c r="AV770" s="1458"/>
      <c r="AW770" s="1458"/>
    </row>
    <row r="771" spans="1:56" s="221" customFormat="1" ht="15" customHeight="1" x14ac:dyDescent="0.25">
      <c r="A771" s="1456"/>
      <c r="B771" s="1457"/>
      <c r="C771" s="1460"/>
      <c r="D771" s="1458"/>
      <c r="E771" s="1461"/>
      <c r="F771" s="1455"/>
      <c r="G771" s="1458"/>
      <c r="H771" s="1458"/>
      <c r="I771" s="1456"/>
      <c r="J771" s="1458"/>
      <c r="K771" s="1458"/>
      <c r="L771" s="1458"/>
      <c r="M771" s="1458"/>
      <c r="N771" s="1456"/>
      <c r="O771" s="1458"/>
      <c r="P771" s="1456"/>
      <c r="Q771" s="1458"/>
      <c r="R771" s="1458"/>
      <c r="S771" s="1458"/>
      <c r="T771" s="1458"/>
      <c r="U771" s="1458"/>
      <c r="V771" s="1461"/>
      <c r="W771" s="1458"/>
      <c r="X771" s="1461"/>
      <c r="Y771" s="1461"/>
      <c r="Z771" s="1461"/>
      <c r="AA771" s="1461"/>
      <c r="AB771" s="1462"/>
      <c r="AC771" s="1462"/>
      <c r="AD771" s="1458"/>
      <c r="AE771" s="1458"/>
      <c r="AF771" s="1456"/>
      <c r="AG771" s="1458"/>
      <c r="AH771" s="1458"/>
      <c r="AI771" s="1458"/>
      <c r="AJ771" s="1458"/>
      <c r="AK771" s="1458"/>
      <c r="AL771" s="1458"/>
      <c r="AM771" s="1458"/>
      <c r="AN771" s="1458"/>
      <c r="AO771" s="1458"/>
      <c r="AP771" s="1458"/>
      <c r="AQ771" s="1458"/>
      <c r="AR771" s="1458"/>
      <c r="AS771" s="1458"/>
      <c r="AT771" s="1458"/>
      <c r="AU771" s="1458"/>
      <c r="AV771" s="1458"/>
      <c r="AW771" s="1458"/>
    </row>
    <row r="772" spans="1:56" s="221" customFormat="1" ht="15" customHeight="1" x14ac:dyDescent="0.25">
      <c r="A772" s="1456"/>
      <c r="B772" s="1457"/>
      <c r="C772" s="1460"/>
      <c r="D772" s="1458"/>
      <c r="E772" s="1461"/>
      <c r="F772" s="1455"/>
      <c r="G772" s="1458"/>
      <c r="H772" s="1458"/>
      <c r="I772" s="1456"/>
      <c r="J772" s="1458"/>
      <c r="K772" s="1458"/>
      <c r="L772" s="1458"/>
      <c r="M772" s="1458"/>
      <c r="N772" s="1456"/>
      <c r="O772" s="1458"/>
      <c r="P772" s="1456"/>
      <c r="Q772" s="1458"/>
      <c r="R772" s="1458"/>
      <c r="S772" s="1458"/>
      <c r="T772" s="1458"/>
      <c r="U772" s="1458"/>
      <c r="V772" s="1461"/>
      <c r="W772" s="1458"/>
      <c r="X772" s="1461"/>
      <c r="Y772" s="1461"/>
      <c r="Z772" s="1461"/>
      <c r="AA772" s="1461"/>
      <c r="AB772" s="1462"/>
      <c r="AC772" s="1462"/>
      <c r="AD772" s="1458"/>
      <c r="AE772" s="1458"/>
      <c r="AF772" s="1456"/>
      <c r="AG772" s="1458"/>
      <c r="AH772" s="1458"/>
      <c r="AI772" s="1458"/>
      <c r="AJ772" s="1458"/>
      <c r="AK772" s="1458"/>
      <c r="AL772" s="1458"/>
      <c r="AM772" s="1458"/>
      <c r="AN772" s="1458"/>
      <c r="AO772" s="1458"/>
      <c r="AP772" s="1458"/>
      <c r="AQ772" s="1458"/>
      <c r="AR772" s="1458"/>
      <c r="AS772" s="1458"/>
      <c r="AT772" s="1458"/>
      <c r="AU772" s="1458"/>
      <c r="AV772" s="1458"/>
      <c r="AW772" s="1458"/>
    </row>
    <row r="773" spans="1:56" s="221" customFormat="1" ht="17.25" customHeight="1" x14ac:dyDescent="0.25">
      <c r="A773" s="1456"/>
      <c r="B773" s="1457"/>
      <c r="C773" s="1460"/>
      <c r="D773" s="1458"/>
      <c r="E773" s="1461"/>
      <c r="F773" s="1455"/>
      <c r="G773" s="1458"/>
      <c r="H773" s="1458"/>
      <c r="I773" s="1456"/>
      <c r="J773" s="1458"/>
      <c r="K773" s="1458"/>
      <c r="L773" s="1458"/>
      <c r="M773" s="1458"/>
      <c r="N773" s="1456"/>
      <c r="O773" s="1458"/>
      <c r="P773" s="1456"/>
      <c r="Q773" s="1458"/>
      <c r="R773" s="1458"/>
      <c r="S773" s="1458"/>
      <c r="T773" s="1458"/>
      <c r="U773" s="1458"/>
      <c r="V773" s="1461"/>
      <c r="W773" s="1458"/>
      <c r="X773" s="1461"/>
      <c r="Y773" s="1461"/>
      <c r="Z773" s="1461"/>
      <c r="AA773" s="1461"/>
      <c r="AB773" s="1462"/>
      <c r="AC773" s="1462"/>
      <c r="AD773" s="1458"/>
      <c r="AE773" s="1458"/>
      <c r="AF773" s="1456"/>
      <c r="AG773" s="1458"/>
      <c r="AH773" s="1458"/>
      <c r="AI773" s="1458"/>
      <c r="AJ773" s="1458"/>
      <c r="AK773" s="1458"/>
      <c r="AL773" s="1458"/>
      <c r="AM773" s="1458"/>
      <c r="AN773" s="1458"/>
      <c r="AO773" s="1458"/>
      <c r="AP773" s="1458"/>
      <c r="AQ773" s="1458"/>
      <c r="AR773" s="1458"/>
      <c r="AS773" s="1458"/>
      <c r="AT773" s="1458"/>
      <c r="AU773" s="1458"/>
      <c r="AV773" s="1458"/>
      <c r="AW773" s="1458"/>
    </row>
    <row r="774" spans="1:56" s="221" customFormat="1" ht="24.75" customHeight="1" x14ac:dyDescent="0.25">
      <c r="A774" s="1456"/>
      <c r="B774" s="1457"/>
      <c r="C774" s="1460"/>
      <c r="D774" s="1458"/>
      <c r="E774" s="1461"/>
      <c r="F774" s="1455"/>
      <c r="G774" s="1458"/>
      <c r="H774" s="1458"/>
      <c r="I774" s="1456"/>
      <c r="J774" s="1458"/>
      <c r="K774" s="1458"/>
      <c r="L774" s="1458"/>
      <c r="M774" s="1458"/>
      <c r="N774" s="1456"/>
      <c r="O774" s="1458"/>
      <c r="P774" s="1456"/>
      <c r="Q774" s="1458"/>
      <c r="R774" s="1458"/>
      <c r="S774" s="1458"/>
      <c r="T774" s="1458"/>
      <c r="U774" s="1458"/>
      <c r="V774" s="1461"/>
      <c r="W774" s="1458"/>
      <c r="X774" s="1461"/>
      <c r="Y774" s="1461"/>
      <c r="Z774" s="1461"/>
      <c r="AA774" s="1461"/>
      <c r="AB774" s="1462"/>
      <c r="AC774" s="1462"/>
      <c r="AD774" s="1458"/>
      <c r="AE774" s="1458"/>
      <c r="AF774" s="1456"/>
      <c r="AG774" s="1458"/>
      <c r="AH774" s="1458"/>
      <c r="AI774" s="1458"/>
      <c r="AJ774" s="1458"/>
      <c r="AK774" s="1458"/>
      <c r="AL774" s="1458"/>
      <c r="AM774" s="1458"/>
      <c r="AN774" s="1458"/>
      <c r="AO774" s="1458"/>
      <c r="AP774" s="1458"/>
      <c r="AQ774" s="1458"/>
      <c r="AR774" s="1458"/>
      <c r="AS774" s="1458"/>
      <c r="AT774" s="1458"/>
      <c r="AU774" s="1458"/>
      <c r="AV774" s="1458"/>
      <c r="AW774" s="1458"/>
    </row>
    <row r="775" spans="1:56" s="221" customFormat="1" ht="20.25" customHeight="1" x14ac:dyDescent="0.25">
      <c r="A775" s="1456"/>
      <c r="B775" s="1457"/>
      <c r="C775" s="1460"/>
      <c r="D775" s="1458"/>
      <c r="E775" s="1461"/>
      <c r="F775" s="1455"/>
      <c r="G775" s="1458"/>
      <c r="H775" s="1458"/>
      <c r="I775" s="1456"/>
      <c r="J775" s="1458"/>
      <c r="K775" s="1458"/>
      <c r="L775" s="1458"/>
      <c r="M775" s="1458"/>
      <c r="N775" s="1456"/>
      <c r="O775" s="1458"/>
      <c r="P775" s="1456"/>
      <c r="Q775" s="1458"/>
      <c r="R775" s="1458"/>
      <c r="S775" s="1458"/>
      <c r="T775" s="1458"/>
      <c r="U775" s="1458"/>
      <c r="V775" s="1461"/>
      <c r="W775" s="1458"/>
      <c r="X775" s="1461"/>
      <c r="Y775" s="1461"/>
      <c r="Z775" s="1461"/>
      <c r="AA775" s="1461"/>
      <c r="AB775" s="1462"/>
      <c r="AC775" s="1462"/>
      <c r="AD775" s="1458"/>
      <c r="AE775" s="1458"/>
      <c r="AF775" s="1456"/>
      <c r="AG775" s="1458"/>
      <c r="AH775" s="1458"/>
      <c r="AI775" s="1458"/>
      <c r="AJ775" s="1458"/>
      <c r="AK775" s="1458"/>
      <c r="AL775" s="1458"/>
      <c r="AM775" s="1458"/>
      <c r="AN775" s="1458"/>
      <c r="AO775" s="1458"/>
      <c r="AP775" s="1458"/>
      <c r="AQ775" s="1458"/>
      <c r="AR775" s="1458"/>
      <c r="AS775" s="1458"/>
      <c r="AT775" s="1458"/>
      <c r="AU775" s="1458"/>
      <c r="AV775" s="1458"/>
      <c r="AW775" s="1458"/>
    </row>
    <row r="776" spans="1:56" s="221" customFormat="1" ht="23.25" customHeight="1" x14ac:dyDescent="0.25">
      <c r="A776" s="1456"/>
      <c r="B776" s="1457"/>
      <c r="C776" s="1460"/>
      <c r="D776" s="1458"/>
      <c r="E776" s="1461"/>
      <c r="F776" s="1455"/>
      <c r="G776" s="1458"/>
      <c r="H776" s="1458"/>
      <c r="I776" s="1456"/>
      <c r="J776" s="1458"/>
      <c r="K776" s="1458"/>
      <c r="L776" s="1458"/>
      <c r="M776" s="1458"/>
      <c r="N776" s="1456"/>
      <c r="O776" s="1458"/>
      <c r="P776" s="1456"/>
      <c r="Q776" s="1458"/>
      <c r="R776" s="1458"/>
      <c r="S776" s="1458"/>
      <c r="T776" s="1458"/>
      <c r="U776" s="1458"/>
      <c r="V776" s="1461"/>
      <c r="W776" s="1458"/>
      <c r="X776" s="1461"/>
      <c r="Y776" s="1461"/>
      <c r="Z776" s="1461"/>
      <c r="AA776" s="1461"/>
      <c r="AB776" s="1462"/>
      <c r="AC776" s="1462"/>
      <c r="AD776" s="1458"/>
      <c r="AE776" s="1458"/>
      <c r="AF776" s="1456"/>
      <c r="AG776" s="1458"/>
      <c r="AH776" s="1458"/>
      <c r="AI776" s="1458"/>
      <c r="AJ776" s="1458"/>
      <c r="AK776" s="1458"/>
      <c r="AL776" s="1458"/>
      <c r="AM776" s="1458"/>
      <c r="AN776" s="1458"/>
      <c r="AO776" s="1458"/>
      <c r="AP776" s="1458"/>
      <c r="AQ776" s="1458"/>
      <c r="AR776" s="1458"/>
      <c r="AS776" s="1458"/>
      <c r="AT776" s="1458"/>
      <c r="AU776" s="1458"/>
      <c r="AV776" s="1458"/>
      <c r="AW776" s="1458"/>
    </row>
    <row r="777" spans="1:56" s="221" customFormat="1" ht="21" customHeight="1" x14ac:dyDescent="0.25">
      <c r="A777" s="1456"/>
      <c r="B777" s="1457"/>
      <c r="C777" s="1460"/>
      <c r="D777" s="1458"/>
      <c r="E777" s="1461"/>
      <c r="F777" s="1455"/>
      <c r="G777" s="1458"/>
      <c r="H777" s="1458"/>
      <c r="I777" s="1456"/>
      <c r="J777" s="1458"/>
      <c r="K777" s="1458"/>
      <c r="L777" s="1458"/>
      <c r="M777" s="1458"/>
      <c r="N777" s="1456"/>
      <c r="O777" s="1458"/>
      <c r="P777" s="1456"/>
      <c r="Q777" s="1458"/>
      <c r="R777" s="1458"/>
      <c r="S777" s="1458"/>
      <c r="T777" s="1458"/>
      <c r="U777" s="1458"/>
      <c r="V777" s="1461"/>
      <c r="W777" s="1458"/>
      <c r="X777" s="1461"/>
      <c r="Y777" s="1461"/>
      <c r="Z777" s="1461"/>
      <c r="AA777" s="1461"/>
      <c r="AB777" s="1462"/>
      <c r="AC777" s="1462"/>
      <c r="AD777" s="1458"/>
      <c r="AE777" s="1458"/>
      <c r="AF777" s="1456"/>
      <c r="AG777" s="1458"/>
      <c r="AH777" s="1458"/>
      <c r="AI777" s="1458"/>
      <c r="AJ777" s="1458"/>
      <c r="AK777" s="1458"/>
      <c r="AL777" s="1458"/>
      <c r="AM777" s="1458"/>
      <c r="AN777" s="1458"/>
      <c r="AO777" s="1458"/>
      <c r="AP777" s="1458"/>
      <c r="AQ777" s="1458"/>
      <c r="AR777" s="1458"/>
      <c r="AS777" s="1458"/>
      <c r="AT777" s="1458"/>
      <c r="AU777" s="1458"/>
      <c r="AV777" s="1458"/>
      <c r="AW777" s="1458"/>
    </row>
    <row r="778" spans="1:56" s="221" customFormat="1" x14ac:dyDescent="0.25">
      <c r="A778" s="1456"/>
      <c r="B778" s="1457"/>
      <c r="C778" s="1460"/>
      <c r="D778" s="1458"/>
      <c r="E778" s="1463"/>
      <c r="F778" s="1455"/>
      <c r="G778" s="1458"/>
      <c r="H778" s="1458"/>
      <c r="I778" s="1456"/>
      <c r="J778" s="1458"/>
      <c r="K778" s="1458"/>
      <c r="L778" s="1458"/>
      <c r="M778" s="1458"/>
      <c r="N778" s="1456"/>
      <c r="O778" s="1458"/>
      <c r="P778" s="1456"/>
      <c r="Q778" s="1458"/>
      <c r="R778" s="1458"/>
      <c r="S778" s="1458"/>
      <c r="T778" s="1458"/>
      <c r="U778" s="1458"/>
      <c r="V778" s="1461"/>
      <c r="W778" s="1458"/>
      <c r="X778" s="1461"/>
      <c r="Y778" s="1461"/>
      <c r="Z778" s="1461"/>
      <c r="AA778" s="1461"/>
      <c r="AB778" s="1462"/>
      <c r="AC778" s="1462"/>
      <c r="AD778" s="1458"/>
      <c r="AE778" s="1458"/>
      <c r="AF778" s="1456"/>
      <c r="AG778" s="1458"/>
      <c r="AH778" s="1458"/>
      <c r="AI778" s="1458"/>
      <c r="AJ778" s="1458"/>
      <c r="AK778" s="1458"/>
      <c r="AL778" s="1458"/>
      <c r="AM778" s="1458"/>
      <c r="AN778" s="1458"/>
      <c r="AO778" s="1458"/>
      <c r="AP778" s="1458"/>
      <c r="AQ778" s="1458"/>
      <c r="AR778" s="1458"/>
      <c r="AS778" s="1458"/>
      <c r="AT778" s="1458"/>
      <c r="AU778" s="1458"/>
      <c r="AV778" s="1458"/>
      <c r="AW778" s="1458"/>
    </row>
    <row r="779" spans="1:56" s="221" customFormat="1" x14ac:dyDescent="0.25">
      <c r="A779" s="1456"/>
      <c r="B779" s="1457"/>
      <c r="C779" s="1460"/>
      <c r="D779" s="1458"/>
      <c r="E779" s="1463"/>
      <c r="F779" s="1455"/>
      <c r="G779" s="1458"/>
      <c r="H779" s="1458"/>
      <c r="I779" s="1456"/>
      <c r="J779" s="1458"/>
      <c r="K779" s="1458"/>
      <c r="L779" s="1458"/>
      <c r="M779" s="1458"/>
      <c r="N779" s="1456"/>
      <c r="O779" s="1458"/>
      <c r="P779" s="1456"/>
      <c r="Q779" s="1458"/>
      <c r="R779" s="1458"/>
      <c r="S779" s="1458"/>
      <c r="T779" s="1458"/>
      <c r="U779" s="1458"/>
      <c r="V779" s="1461"/>
      <c r="W779" s="1458"/>
      <c r="X779" s="1461"/>
      <c r="Y779" s="1461"/>
      <c r="Z779" s="1461"/>
      <c r="AA779" s="1461"/>
      <c r="AB779" s="1462"/>
      <c r="AC779" s="1462"/>
      <c r="AD779" s="1458"/>
      <c r="AE779" s="1458"/>
      <c r="AF779" s="1456"/>
      <c r="AG779" s="1458"/>
      <c r="AH779" s="1458"/>
      <c r="AI779" s="1458"/>
      <c r="AJ779" s="1458"/>
      <c r="AK779" s="1458"/>
      <c r="AL779" s="1458"/>
      <c r="AM779" s="1458"/>
      <c r="AN779" s="1458"/>
      <c r="AO779" s="1458"/>
      <c r="AP779" s="1458"/>
      <c r="AQ779" s="1458"/>
      <c r="AR779" s="1458"/>
      <c r="AS779" s="1458"/>
      <c r="AT779" s="1458"/>
      <c r="AU779" s="1458"/>
      <c r="AV779" s="1458"/>
      <c r="AW779" s="1458"/>
    </row>
    <row r="780" spans="1:56" s="221" customFormat="1" x14ac:dyDescent="0.25">
      <c r="A780" s="1455"/>
      <c r="B780" s="1464"/>
      <c r="C780" s="1465"/>
      <c r="D780" s="1466"/>
      <c r="E780" s="1467"/>
      <c r="F780" s="1466"/>
      <c r="G780" s="1459"/>
      <c r="H780" s="1456"/>
      <c r="I780" s="1457"/>
      <c r="J780" s="1460"/>
      <c r="K780" s="1458"/>
      <c r="L780" s="1463"/>
      <c r="M780" s="1455"/>
      <c r="N780" s="1458"/>
      <c r="O780" s="1458"/>
      <c r="P780" s="1456"/>
      <c r="Q780" s="1458"/>
      <c r="R780" s="1458"/>
      <c r="S780" s="1458"/>
      <c r="T780" s="1458"/>
      <c r="U780" s="1456"/>
      <c r="V780" s="1458"/>
      <c r="W780" s="1456"/>
      <c r="X780" s="1458"/>
      <c r="Y780" s="1458"/>
      <c r="Z780" s="1458"/>
      <c r="AA780" s="1458"/>
      <c r="AB780" s="1458"/>
      <c r="AC780" s="1461"/>
      <c r="AD780" s="1458"/>
      <c r="AE780" s="1461"/>
      <c r="AF780" s="1461"/>
      <c r="AG780" s="1461"/>
      <c r="AH780" s="1461"/>
      <c r="AI780" s="1462"/>
      <c r="AJ780" s="1462"/>
      <c r="AK780" s="1458"/>
      <c r="AL780" s="1458"/>
      <c r="AM780" s="1456"/>
      <c r="AN780" s="1458"/>
      <c r="AO780" s="1458"/>
      <c r="AP780" s="1458"/>
      <c r="AQ780" s="1458"/>
      <c r="AR780" s="1458"/>
      <c r="AS780" s="1458"/>
      <c r="AT780" s="1458"/>
      <c r="AU780" s="1458"/>
      <c r="AV780" s="1458"/>
      <c r="AW780" s="1458"/>
      <c r="AX780" s="1458"/>
      <c r="AY780" s="1458"/>
      <c r="AZ780" s="1458"/>
      <c r="BA780" s="1458"/>
      <c r="BB780" s="1458"/>
      <c r="BC780" s="1458"/>
      <c r="BD780" s="1458"/>
    </row>
    <row r="781" spans="1:56" s="221" customFormat="1" x14ac:dyDescent="0.25">
      <c r="A781" s="1455"/>
      <c r="B781" s="1464"/>
      <c r="C781" s="1465"/>
      <c r="D781" s="1466"/>
      <c r="E781" s="1467"/>
      <c r="F781" s="1466"/>
      <c r="G781" s="1459"/>
      <c r="H781" s="1456"/>
      <c r="I781" s="1457"/>
      <c r="J781" s="1460"/>
      <c r="K781" s="1458"/>
      <c r="L781" s="1463"/>
      <c r="M781" s="1455"/>
      <c r="N781" s="1458"/>
      <c r="O781" s="1458"/>
      <c r="P781" s="1456"/>
      <c r="Q781" s="1458"/>
      <c r="R781" s="1458"/>
      <c r="S781" s="1458"/>
      <c r="T781" s="1458"/>
      <c r="U781" s="1456"/>
      <c r="V781" s="1458"/>
      <c r="W781" s="1456"/>
      <c r="X781" s="1458"/>
      <c r="Y781" s="1458"/>
      <c r="Z781" s="1458"/>
      <c r="AA781" s="1458"/>
      <c r="AB781" s="1458"/>
      <c r="AC781" s="1461"/>
      <c r="AD781" s="1458"/>
      <c r="AE781" s="1461"/>
      <c r="AF781" s="1461"/>
      <c r="AG781" s="1461"/>
      <c r="AH781" s="1461"/>
      <c r="AI781" s="1462"/>
      <c r="AJ781" s="1462"/>
      <c r="AK781" s="1458"/>
      <c r="AL781" s="1458"/>
      <c r="AM781" s="1456"/>
      <c r="AN781" s="1458"/>
      <c r="AO781" s="1458"/>
      <c r="AP781" s="1458"/>
      <c r="AQ781" s="1458"/>
      <c r="AR781" s="1458"/>
      <c r="AS781" s="1458"/>
      <c r="AT781" s="1458"/>
      <c r="AU781" s="1458"/>
      <c r="AV781" s="1458"/>
      <c r="AW781" s="1458"/>
      <c r="AX781" s="1458"/>
      <c r="AY781" s="1458"/>
      <c r="AZ781" s="1458"/>
      <c r="BA781" s="1458"/>
      <c r="BB781" s="1458"/>
      <c r="BC781" s="1458"/>
      <c r="BD781" s="1458"/>
    </row>
    <row r="782" spans="1:56" s="221" customFormat="1" x14ac:dyDescent="0.25">
      <c r="A782" s="1455"/>
      <c r="B782" s="1464"/>
      <c r="C782" s="1465"/>
      <c r="D782" s="1466"/>
      <c r="E782" s="1467"/>
      <c r="F782" s="1466"/>
      <c r="G782" s="1459"/>
      <c r="H782" s="1456"/>
      <c r="I782" s="1457"/>
      <c r="J782" s="1460"/>
      <c r="K782" s="1458"/>
      <c r="L782" s="1463"/>
      <c r="M782" s="1455"/>
      <c r="N782" s="1458"/>
      <c r="O782" s="1458"/>
      <c r="P782" s="1456"/>
      <c r="Q782" s="1458"/>
      <c r="R782" s="1458"/>
      <c r="S782" s="1458"/>
      <c r="T782" s="1458"/>
      <c r="U782" s="1456"/>
      <c r="V782" s="1458"/>
      <c r="W782" s="1456"/>
      <c r="X782" s="1458"/>
      <c r="Y782" s="1458"/>
      <c r="Z782" s="1458"/>
      <c r="AA782" s="1458"/>
      <c r="AB782" s="1458"/>
      <c r="AC782" s="1461"/>
      <c r="AD782" s="1458"/>
      <c r="AE782" s="1461"/>
      <c r="AF782" s="1461"/>
      <c r="AG782" s="1461"/>
      <c r="AH782" s="1461"/>
      <c r="AI782" s="1462"/>
      <c r="AJ782" s="1462"/>
      <c r="AK782" s="1458"/>
      <c r="AL782" s="1458"/>
      <c r="AM782" s="1456"/>
      <c r="AN782" s="1458"/>
      <c r="AO782" s="1458"/>
      <c r="AP782" s="1458"/>
      <c r="AQ782" s="1458"/>
      <c r="AR782" s="1458"/>
      <c r="AS782" s="1458"/>
      <c r="AT782" s="1458"/>
      <c r="AU782" s="1458"/>
      <c r="AV782" s="1458"/>
      <c r="AW782" s="1458"/>
      <c r="AX782" s="1458"/>
      <c r="AY782" s="1458"/>
      <c r="AZ782" s="1458"/>
      <c r="BA782" s="1458"/>
      <c r="BB782" s="1458"/>
      <c r="BC782" s="1458"/>
      <c r="BD782" s="1458"/>
    </row>
    <row r="783" spans="1:56" s="221" customFormat="1" x14ac:dyDescent="0.25">
      <c r="A783" s="1455"/>
      <c r="B783" s="1464"/>
      <c r="C783" s="1465"/>
      <c r="D783" s="1466"/>
      <c r="E783" s="1467"/>
      <c r="F783" s="1466"/>
      <c r="G783" s="1459"/>
      <c r="H783" s="1456"/>
      <c r="I783" s="1457"/>
      <c r="J783" s="1460"/>
      <c r="K783" s="1458"/>
      <c r="L783" s="1463"/>
      <c r="M783" s="1455"/>
      <c r="N783" s="1458"/>
      <c r="O783" s="1458"/>
      <c r="P783" s="1456"/>
      <c r="Q783" s="1458"/>
      <c r="R783" s="1458"/>
      <c r="S783" s="1458"/>
      <c r="T783" s="1458"/>
      <c r="U783" s="1456"/>
      <c r="V783" s="1458"/>
      <c r="W783" s="1456"/>
      <c r="X783" s="1458"/>
      <c r="Y783" s="1458"/>
      <c r="Z783" s="1458"/>
      <c r="AA783" s="1458"/>
      <c r="AB783" s="1458"/>
      <c r="AC783" s="1461"/>
      <c r="AD783" s="1458"/>
      <c r="AE783" s="1461"/>
      <c r="AF783" s="1461"/>
      <c r="AG783" s="1461"/>
      <c r="AH783" s="1461"/>
      <c r="AI783" s="1462"/>
      <c r="AJ783" s="1462"/>
      <c r="AK783" s="1458"/>
      <c r="AL783" s="1458"/>
      <c r="AM783" s="1456"/>
      <c r="AN783" s="1458"/>
      <c r="AO783" s="1458"/>
      <c r="AP783" s="1458"/>
      <c r="AQ783" s="1458"/>
      <c r="AR783" s="1458"/>
      <c r="AS783" s="1458"/>
      <c r="AT783" s="1458"/>
      <c r="AU783" s="1458"/>
      <c r="AV783" s="1458"/>
      <c r="AW783" s="1458"/>
      <c r="AX783" s="1458"/>
      <c r="AY783" s="1458"/>
      <c r="AZ783" s="1458"/>
      <c r="BA783" s="1458"/>
      <c r="BB783" s="1458"/>
      <c r="BC783" s="1458"/>
      <c r="BD783" s="1458"/>
    </row>
    <row r="784" spans="1:56" s="221" customFormat="1" x14ac:dyDescent="0.25">
      <c r="A784" s="1455"/>
      <c r="B784" s="1464"/>
      <c r="C784" s="1465"/>
      <c r="D784" s="1466"/>
      <c r="E784" s="1467"/>
      <c r="F784" s="1466"/>
      <c r="G784" s="1459"/>
      <c r="H784" s="1456"/>
      <c r="I784" s="1457"/>
      <c r="J784" s="1460"/>
      <c r="K784" s="1458"/>
      <c r="L784" s="1463"/>
      <c r="M784" s="1455"/>
      <c r="N784" s="1458"/>
      <c r="O784" s="1458"/>
      <c r="P784" s="1456"/>
      <c r="Q784" s="1458"/>
      <c r="R784" s="1458"/>
      <c r="S784" s="1458"/>
      <c r="T784" s="1458"/>
      <c r="U784" s="1456"/>
      <c r="V784" s="1458"/>
      <c r="W784" s="1456"/>
      <c r="X784" s="1458"/>
      <c r="Y784" s="1458"/>
      <c r="Z784" s="1458"/>
      <c r="AA784" s="1458"/>
      <c r="AB784" s="1458"/>
      <c r="AC784" s="1461"/>
      <c r="AD784" s="1458"/>
      <c r="AE784" s="1461"/>
      <c r="AF784" s="1461"/>
      <c r="AG784" s="1461"/>
      <c r="AH784" s="1461"/>
      <c r="AI784" s="1462"/>
      <c r="AJ784" s="1462"/>
      <c r="AK784" s="1458"/>
      <c r="AL784" s="1458"/>
      <c r="AM784" s="1456"/>
      <c r="AN784" s="1458"/>
      <c r="AO784" s="1458"/>
      <c r="AP784" s="1458"/>
      <c r="AQ784" s="1458"/>
      <c r="AR784" s="1458"/>
      <c r="AS784" s="1458"/>
      <c r="AT784" s="1458"/>
      <c r="AU784" s="1458"/>
      <c r="AV784" s="1458"/>
      <c r="AW784" s="1458"/>
      <c r="AX784" s="1458"/>
      <c r="AY784" s="1458"/>
      <c r="AZ784" s="1458"/>
      <c r="BA784" s="1458"/>
      <c r="BB784" s="1458"/>
      <c r="BC784" s="1458"/>
      <c r="BD784" s="1458"/>
    </row>
    <row r="785" spans="1:56" s="221" customFormat="1" x14ac:dyDescent="0.25">
      <c r="A785" s="1455"/>
      <c r="B785" s="1464"/>
      <c r="C785" s="1465"/>
      <c r="D785" s="1466"/>
      <c r="E785" s="1467"/>
      <c r="F785" s="1466"/>
      <c r="G785" s="1459"/>
      <c r="H785" s="1456"/>
      <c r="I785" s="1457"/>
      <c r="J785" s="1460"/>
      <c r="K785" s="1458"/>
      <c r="L785" s="1463"/>
      <c r="M785" s="1455"/>
      <c r="N785" s="1458"/>
      <c r="O785" s="1458"/>
      <c r="P785" s="1456"/>
      <c r="Q785" s="1458"/>
      <c r="R785" s="1458"/>
      <c r="S785" s="1458"/>
      <c r="T785" s="1458"/>
      <c r="U785" s="1456"/>
      <c r="V785" s="1458"/>
      <c r="W785" s="1456"/>
      <c r="X785" s="1458"/>
      <c r="Y785" s="1458"/>
      <c r="Z785" s="1458"/>
      <c r="AA785" s="1458"/>
      <c r="AB785" s="1458"/>
      <c r="AC785" s="1461"/>
      <c r="AD785" s="1458"/>
      <c r="AE785" s="1461"/>
      <c r="AF785" s="1461"/>
      <c r="AG785" s="1461"/>
      <c r="AH785" s="1461"/>
      <c r="AI785" s="1462"/>
      <c r="AJ785" s="1462"/>
      <c r="AK785" s="1458"/>
      <c r="AL785" s="1458"/>
      <c r="AM785" s="1456"/>
      <c r="AN785" s="1458"/>
      <c r="AO785" s="1458"/>
      <c r="AP785" s="1458"/>
      <c r="AQ785" s="1458"/>
      <c r="AR785" s="1458"/>
      <c r="AS785" s="1458"/>
      <c r="AT785" s="1458"/>
      <c r="AU785" s="1458"/>
      <c r="AV785" s="1458"/>
      <c r="AW785" s="1458"/>
      <c r="AX785" s="1458"/>
      <c r="AY785" s="1458"/>
      <c r="AZ785" s="1458"/>
      <c r="BA785" s="1458"/>
      <c r="BB785" s="1458"/>
      <c r="BC785" s="1458"/>
      <c r="BD785" s="1458"/>
    </row>
    <row r="786" spans="1:56" s="221" customFormat="1" x14ac:dyDescent="0.25">
      <c r="A786" s="1455"/>
      <c r="B786" s="1464"/>
      <c r="C786" s="1465"/>
      <c r="D786" s="1466"/>
      <c r="E786" s="1467"/>
      <c r="F786" s="1466"/>
      <c r="G786" s="1459"/>
      <c r="H786" s="1456"/>
      <c r="I786" s="1457"/>
      <c r="J786" s="1460"/>
      <c r="K786" s="1458"/>
      <c r="L786" s="1463"/>
      <c r="M786" s="1455"/>
      <c r="N786" s="1458"/>
      <c r="O786" s="1458"/>
      <c r="P786" s="1456"/>
      <c r="Q786" s="1458"/>
      <c r="R786" s="1458"/>
      <c r="S786" s="1458"/>
      <c r="T786" s="1458"/>
      <c r="U786" s="1456"/>
      <c r="V786" s="1458"/>
      <c r="W786" s="1456"/>
      <c r="X786" s="1458"/>
      <c r="Y786" s="1458"/>
      <c r="Z786" s="1458"/>
      <c r="AA786" s="1458"/>
      <c r="AB786" s="1458"/>
      <c r="AC786" s="1461"/>
      <c r="AD786" s="1458"/>
      <c r="AE786" s="1461"/>
      <c r="AF786" s="1461"/>
      <c r="AG786" s="1461"/>
      <c r="AH786" s="1461"/>
      <c r="AI786" s="1462"/>
      <c r="AJ786" s="1462"/>
      <c r="AK786" s="1458"/>
      <c r="AL786" s="1458"/>
      <c r="AM786" s="1456"/>
      <c r="AN786" s="1458"/>
      <c r="AO786" s="1458"/>
      <c r="AP786" s="1458"/>
      <c r="AQ786" s="1458"/>
      <c r="AR786" s="1458"/>
      <c r="AS786" s="1458"/>
      <c r="AT786" s="1458"/>
      <c r="AU786" s="1458"/>
      <c r="AV786" s="1458"/>
      <c r="AW786" s="1458"/>
      <c r="AX786" s="1458"/>
      <c r="AY786" s="1458"/>
      <c r="AZ786" s="1458"/>
      <c r="BA786" s="1458"/>
      <c r="BB786" s="1458"/>
      <c r="BC786" s="1458"/>
      <c r="BD786" s="1458"/>
    </row>
    <row r="787" spans="1:56" s="221" customFormat="1" x14ac:dyDescent="0.25">
      <c r="A787" s="1455"/>
      <c r="B787" s="1464"/>
      <c r="C787" s="1465"/>
      <c r="D787" s="1466"/>
      <c r="E787" s="1467"/>
      <c r="F787" s="1466"/>
      <c r="G787" s="1459"/>
      <c r="H787" s="1456"/>
      <c r="I787" s="1457"/>
      <c r="J787" s="1460"/>
      <c r="K787" s="1458"/>
      <c r="L787" s="1463"/>
      <c r="M787" s="1455"/>
      <c r="N787" s="1458"/>
      <c r="O787" s="1458"/>
      <c r="P787" s="1456"/>
      <c r="Q787" s="1458"/>
      <c r="R787" s="1458"/>
      <c r="S787" s="1458"/>
      <c r="T787" s="1458"/>
      <c r="U787" s="1456"/>
      <c r="V787" s="1458"/>
      <c r="W787" s="1456"/>
      <c r="X787" s="1458"/>
      <c r="Y787" s="1458"/>
      <c r="Z787" s="1458"/>
      <c r="AA787" s="1458"/>
      <c r="AB787" s="1458"/>
      <c r="AC787" s="1461"/>
      <c r="AD787" s="1458"/>
      <c r="AE787" s="1461"/>
      <c r="AF787" s="1461"/>
      <c r="AG787" s="1461"/>
      <c r="AH787" s="1461"/>
      <c r="AI787" s="1462"/>
      <c r="AJ787" s="1462"/>
      <c r="AK787" s="1458"/>
      <c r="AL787" s="1458"/>
      <c r="AM787" s="1456"/>
      <c r="AN787" s="1458"/>
      <c r="AO787" s="1458"/>
      <c r="AP787" s="1458"/>
      <c r="AQ787" s="1458"/>
      <c r="AR787" s="1458"/>
      <c r="AS787" s="1458"/>
      <c r="AT787" s="1458"/>
      <c r="AU787" s="1458"/>
      <c r="AV787" s="1458"/>
      <c r="AW787" s="1458"/>
      <c r="AX787" s="1458"/>
      <c r="AY787" s="1458"/>
      <c r="AZ787" s="1458"/>
      <c r="BA787" s="1458"/>
      <c r="BB787" s="1458"/>
      <c r="BC787" s="1458"/>
      <c r="BD787" s="1458"/>
    </row>
    <row r="788" spans="1:56" s="221" customFormat="1" x14ac:dyDescent="0.25">
      <c r="A788" s="1455"/>
      <c r="B788" s="1464"/>
      <c r="C788" s="1465"/>
      <c r="D788" s="1466"/>
      <c r="E788" s="1467"/>
      <c r="F788" s="1466"/>
      <c r="G788" s="1459"/>
      <c r="H788" s="1456"/>
      <c r="I788" s="1457"/>
      <c r="J788" s="1460"/>
      <c r="K788" s="1458"/>
      <c r="L788" s="1463"/>
      <c r="M788" s="1455"/>
      <c r="N788" s="1458"/>
      <c r="O788" s="1458"/>
      <c r="P788" s="1456"/>
      <c r="Q788" s="1458"/>
      <c r="R788" s="1458"/>
      <c r="S788" s="1458"/>
      <c r="T788" s="1458"/>
      <c r="U788" s="1456"/>
      <c r="V788" s="1458"/>
      <c r="W788" s="1456"/>
      <c r="X788" s="1458"/>
      <c r="Y788" s="1458"/>
      <c r="Z788" s="1458"/>
      <c r="AA788" s="1458"/>
      <c r="AB788" s="1458"/>
      <c r="AC788" s="1461"/>
      <c r="AD788" s="1458"/>
      <c r="AE788" s="1461"/>
      <c r="AF788" s="1461"/>
      <c r="AG788" s="1461"/>
      <c r="AH788" s="1461"/>
      <c r="AI788" s="1462"/>
      <c r="AJ788" s="1462"/>
      <c r="AK788" s="1458"/>
      <c r="AL788" s="1458"/>
      <c r="AM788" s="1456"/>
      <c r="AN788" s="1458"/>
      <c r="AO788" s="1458"/>
      <c r="AP788" s="1458"/>
      <c r="AQ788" s="1458"/>
      <c r="AR788" s="1458"/>
      <c r="AS788" s="1458"/>
      <c r="AT788" s="1458"/>
      <c r="AU788" s="1458"/>
      <c r="AV788" s="1458"/>
      <c r="AW788" s="1458"/>
      <c r="AX788" s="1458"/>
      <c r="AY788" s="1458"/>
      <c r="AZ788" s="1458"/>
      <c r="BA788" s="1458"/>
      <c r="BB788" s="1458"/>
      <c r="BC788" s="1458"/>
      <c r="BD788" s="1458"/>
    </row>
    <row r="789" spans="1:56" s="221" customFormat="1" x14ac:dyDescent="0.25">
      <c r="A789" s="1455"/>
      <c r="B789" s="1464"/>
      <c r="C789" s="1465"/>
      <c r="D789" s="1466"/>
      <c r="E789" s="1467"/>
      <c r="F789" s="1466"/>
      <c r="G789" s="1459"/>
      <c r="H789" s="1456"/>
      <c r="I789" s="1457"/>
      <c r="J789" s="1460"/>
      <c r="K789" s="1458"/>
      <c r="L789" s="1463"/>
      <c r="M789" s="1455"/>
      <c r="N789" s="1458"/>
      <c r="O789" s="1458"/>
      <c r="P789" s="1456"/>
      <c r="Q789" s="1458"/>
      <c r="R789" s="1458"/>
      <c r="S789" s="1458"/>
      <c r="T789" s="1458"/>
      <c r="U789" s="1456"/>
      <c r="V789" s="1458"/>
      <c r="W789" s="1456"/>
      <c r="X789" s="1458"/>
      <c r="Y789" s="1458"/>
      <c r="Z789" s="1458"/>
      <c r="AA789" s="1458"/>
      <c r="AB789" s="1458"/>
      <c r="AC789" s="1461"/>
      <c r="AD789" s="1458"/>
      <c r="AE789" s="1461"/>
      <c r="AF789" s="1461"/>
      <c r="AG789" s="1461"/>
      <c r="AH789" s="1461"/>
      <c r="AI789" s="1462"/>
      <c r="AJ789" s="1462"/>
      <c r="AK789" s="1458"/>
      <c r="AL789" s="1458"/>
      <c r="AM789" s="1456"/>
      <c r="AN789" s="1458"/>
      <c r="AO789" s="1458"/>
      <c r="AP789" s="1458"/>
      <c r="AQ789" s="1458"/>
      <c r="AR789" s="1458"/>
      <c r="AS789" s="1458"/>
      <c r="AT789" s="1458"/>
      <c r="AU789" s="1458"/>
      <c r="AV789" s="1458"/>
      <c r="AW789" s="1458"/>
      <c r="AX789" s="1458"/>
      <c r="AY789" s="1458"/>
      <c r="AZ789" s="1458"/>
      <c r="BA789" s="1458"/>
      <c r="BB789" s="1458"/>
      <c r="BC789" s="1458"/>
      <c r="BD789" s="1458"/>
    </row>
    <row r="790" spans="1:56" s="221" customFormat="1" x14ac:dyDescent="0.25">
      <c r="A790" s="1455"/>
      <c r="B790" s="1464"/>
      <c r="C790" s="1465"/>
      <c r="D790" s="1466"/>
      <c r="E790" s="1467"/>
      <c r="F790" s="1466"/>
      <c r="G790" s="1459"/>
      <c r="H790" s="1456"/>
      <c r="I790" s="1457"/>
      <c r="J790" s="1460"/>
      <c r="K790" s="1458"/>
      <c r="L790" s="1463"/>
      <c r="M790" s="1455"/>
      <c r="N790" s="1458"/>
      <c r="O790" s="1458"/>
      <c r="P790" s="1456"/>
      <c r="Q790" s="1458"/>
      <c r="R790" s="1458"/>
      <c r="S790" s="1458"/>
      <c r="T790" s="1458"/>
      <c r="U790" s="1456"/>
      <c r="V790" s="1458"/>
      <c r="W790" s="1456"/>
      <c r="X790" s="1458"/>
      <c r="Y790" s="1458"/>
      <c r="Z790" s="1458"/>
      <c r="AA790" s="1458"/>
      <c r="AB790" s="1458"/>
      <c r="AC790" s="1461"/>
      <c r="AD790" s="1458"/>
      <c r="AE790" s="1461"/>
      <c r="AF790" s="1461"/>
      <c r="AG790" s="1461"/>
      <c r="AH790" s="1461"/>
      <c r="AI790" s="1462"/>
      <c r="AJ790" s="1462"/>
      <c r="AK790" s="1458"/>
      <c r="AL790" s="1458"/>
      <c r="AM790" s="1456"/>
      <c r="AN790" s="1458"/>
      <c r="AO790" s="1458"/>
      <c r="AP790" s="1458"/>
      <c r="AQ790" s="1458"/>
      <c r="AR790" s="1458"/>
      <c r="AS790" s="1458"/>
      <c r="AT790" s="1458"/>
      <c r="AU790" s="1458"/>
      <c r="AV790" s="1458"/>
      <c r="AW790" s="1458"/>
      <c r="AX790" s="1458"/>
      <c r="AY790" s="1458"/>
      <c r="AZ790" s="1458"/>
      <c r="BA790" s="1458"/>
      <c r="BB790" s="1458"/>
      <c r="BC790" s="1458"/>
      <c r="BD790" s="1458"/>
    </row>
    <row r="791" spans="1:56" s="221" customFormat="1" x14ac:dyDescent="0.25">
      <c r="A791" s="1455"/>
      <c r="B791" s="1464"/>
      <c r="C791" s="1465"/>
      <c r="D791" s="1466"/>
      <c r="E791" s="1467"/>
      <c r="F791" s="1466"/>
      <c r="G791" s="1459"/>
      <c r="H791" s="1456"/>
      <c r="I791" s="1457"/>
      <c r="J791" s="1460"/>
      <c r="K791" s="1458"/>
      <c r="L791" s="1463"/>
      <c r="M791" s="1455"/>
      <c r="N791" s="1458"/>
      <c r="O791" s="1458"/>
      <c r="P791" s="1456"/>
      <c r="Q791" s="1458"/>
      <c r="R791" s="1458"/>
      <c r="S791" s="1458"/>
      <c r="T791" s="1458"/>
      <c r="U791" s="1456"/>
      <c r="V791" s="1458"/>
      <c r="W791" s="1456"/>
      <c r="X791" s="1458"/>
      <c r="Y791" s="1458"/>
      <c r="Z791" s="1458"/>
      <c r="AA791" s="1458"/>
      <c r="AB791" s="1458"/>
      <c r="AC791" s="1461"/>
      <c r="AD791" s="1458"/>
      <c r="AE791" s="1461"/>
      <c r="AF791" s="1461"/>
      <c r="AG791" s="1461"/>
      <c r="AH791" s="1461"/>
      <c r="AI791" s="1462"/>
      <c r="AJ791" s="1462"/>
      <c r="AK791" s="1458"/>
      <c r="AL791" s="1458"/>
      <c r="AM791" s="1456"/>
      <c r="AN791" s="1458"/>
      <c r="AO791" s="1458"/>
      <c r="AP791" s="1458"/>
      <c r="AQ791" s="1458"/>
      <c r="AR791" s="1458"/>
      <c r="AS791" s="1458"/>
      <c r="AT791" s="1458"/>
      <c r="AU791" s="1458"/>
      <c r="AV791" s="1458"/>
      <c r="AW791" s="1458"/>
      <c r="AX791" s="1458"/>
      <c r="AY791" s="1458"/>
      <c r="AZ791" s="1458"/>
      <c r="BA791" s="1458"/>
      <c r="BB791" s="1458"/>
      <c r="BC791" s="1458"/>
      <c r="BD791" s="1458"/>
    </row>
    <row r="792" spans="1:56" s="221" customFormat="1" x14ac:dyDescent="0.25">
      <c r="A792" s="1455"/>
      <c r="B792" s="1464"/>
      <c r="C792" s="1465"/>
      <c r="D792" s="1466"/>
      <c r="E792" s="1467"/>
      <c r="F792" s="1466"/>
      <c r="G792" s="1459"/>
      <c r="H792" s="1456"/>
      <c r="I792" s="1457"/>
      <c r="J792" s="1460"/>
      <c r="K792" s="1458"/>
      <c r="L792" s="1463"/>
      <c r="M792" s="1455"/>
      <c r="N792" s="1458"/>
      <c r="O792" s="1458"/>
      <c r="P792" s="1456"/>
      <c r="Q792" s="1458"/>
      <c r="R792" s="1458"/>
      <c r="S792" s="1458"/>
      <c r="T792" s="1458"/>
      <c r="U792" s="1456"/>
      <c r="V792" s="1458"/>
      <c r="W792" s="1456"/>
      <c r="X792" s="1458"/>
      <c r="Y792" s="1458"/>
      <c r="Z792" s="1458"/>
      <c r="AA792" s="1458"/>
      <c r="AB792" s="1458"/>
      <c r="AC792" s="1461"/>
      <c r="AD792" s="1458"/>
      <c r="AE792" s="1461"/>
      <c r="AF792" s="1461"/>
      <c r="AG792" s="1461"/>
      <c r="AH792" s="1461"/>
      <c r="AI792" s="1462"/>
      <c r="AJ792" s="1462"/>
      <c r="AK792" s="1458"/>
      <c r="AL792" s="1458"/>
      <c r="AM792" s="1456"/>
      <c r="AN792" s="1458"/>
      <c r="AO792" s="1458"/>
      <c r="AP792" s="1458"/>
      <c r="AQ792" s="1458"/>
      <c r="AR792" s="1458"/>
      <c r="AS792" s="1458"/>
      <c r="AT792" s="1458"/>
      <c r="AU792" s="1458"/>
      <c r="AV792" s="1458"/>
      <c r="AW792" s="1458"/>
      <c r="AX792" s="1458"/>
      <c r="AY792" s="1458"/>
      <c r="AZ792" s="1458"/>
      <c r="BA792" s="1458"/>
      <c r="BB792" s="1458"/>
      <c r="BC792" s="1458"/>
      <c r="BD792" s="1458"/>
    </row>
    <row r="793" spans="1:56" s="221" customFormat="1" x14ac:dyDescent="0.25">
      <c r="A793" s="1455"/>
      <c r="B793" s="1464"/>
      <c r="C793" s="1465"/>
      <c r="D793" s="1466"/>
      <c r="E793" s="1467"/>
      <c r="F793" s="1466"/>
      <c r="G793" s="1459"/>
      <c r="H793" s="1456"/>
      <c r="I793" s="1457"/>
      <c r="J793" s="1460"/>
      <c r="K793" s="1458"/>
      <c r="L793" s="1463"/>
      <c r="M793" s="1455"/>
      <c r="N793" s="1458"/>
      <c r="O793" s="1458"/>
      <c r="P793" s="1456"/>
      <c r="Q793" s="1458"/>
      <c r="R793" s="1458"/>
      <c r="S793" s="1458"/>
      <c r="T793" s="1458"/>
      <c r="U793" s="1456"/>
      <c r="V793" s="1458"/>
      <c r="W793" s="1456"/>
      <c r="X793" s="1458"/>
      <c r="Y793" s="1458"/>
      <c r="Z793" s="1458"/>
      <c r="AA793" s="1458"/>
      <c r="AB793" s="1458"/>
      <c r="AC793" s="1461"/>
      <c r="AD793" s="1458"/>
      <c r="AE793" s="1461"/>
      <c r="AF793" s="1461"/>
      <c r="AG793" s="1461"/>
      <c r="AH793" s="1461"/>
      <c r="AI793" s="1462"/>
      <c r="AJ793" s="1462"/>
      <c r="AK793" s="1458"/>
      <c r="AL793" s="1458"/>
      <c r="AM793" s="1456"/>
      <c r="AN793" s="1458"/>
      <c r="AO793" s="1458"/>
      <c r="AP793" s="1458"/>
      <c r="AQ793" s="1458"/>
      <c r="AR793" s="1458"/>
      <c r="AS793" s="1458"/>
      <c r="AT793" s="1458"/>
      <c r="AU793" s="1458"/>
      <c r="AV793" s="1458"/>
      <c r="AW793" s="1458"/>
      <c r="AX793" s="1458"/>
      <c r="AY793" s="1458"/>
      <c r="AZ793" s="1458"/>
      <c r="BA793" s="1458"/>
      <c r="BB793" s="1458"/>
      <c r="BC793" s="1458"/>
      <c r="BD793" s="1458"/>
    </row>
    <row r="794" spans="1:56" s="221" customFormat="1" x14ac:dyDescent="0.25">
      <c r="A794" s="1455"/>
      <c r="B794" s="1464"/>
      <c r="C794" s="1465"/>
      <c r="D794" s="1466"/>
      <c r="E794" s="1467"/>
      <c r="F794" s="1466"/>
      <c r="G794" s="1459"/>
      <c r="H794" s="1456"/>
      <c r="I794" s="1457"/>
      <c r="J794" s="1460"/>
      <c r="K794" s="1458"/>
      <c r="L794" s="1463"/>
      <c r="M794" s="1455"/>
      <c r="N794" s="1458"/>
      <c r="O794" s="1458"/>
      <c r="P794" s="1456"/>
      <c r="Q794" s="1458"/>
      <c r="R794" s="1458"/>
      <c r="S794" s="1458"/>
      <c r="T794" s="1458"/>
      <c r="U794" s="1456"/>
      <c r="V794" s="1458"/>
      <c r="W794" s="1456"/>
      <c r="X794" s="1458"/>
      <c r="Y794" s="1458"/>
      <c r="Z794" s="1458"/>
      <c r="AA794" s="1458"/>
      <c r="AB794" s="1458"/>
      <c r="AC794" s="1461"/>
      <c r="AD794" s="1458"/>
      <c r="AE794" s="1461"/>
      <c r="AF794" s="1461"/>
      <c r="AG794" s="1461"/>
      <c r="AH794" s="1461"/>
      <c r="AI794" s="1462"/>
      <c r="AJ794" s="1462"/>
      <c r="AK794" s="1458"/>
      <c r="AL794" s="1458"/>
      <c r="AM794" s="1456"/>
      <c r="AN794" s="1458"/>
      <c r="AO794" s="1458"/>
      <c r="AP794" s="1458"/>
      <c r="AQ794" s="1458"/>
      <c r="AR794" s="1458"/>
      <c r="AS794" s="1458"/>
      <c r="AT794" s="1458"/>
      <c r="AU794" s="1458"/>
      <c r="AV794" s="1458"/>
      <c r="AW794" s="1458"/>
      <c r="AX794" s="1458"/>
      <c r="AY794" s="1458"/>
      <c r="AZ794" s="1458"/>
      <c r="BA794" s="1458"/>
      <c r="BB794" s="1458"/>
      <c r="BC794" s="1458"/>
      <c r="BD794" s="1458"/>
    </row>
    <row r="795" spans="1:56" s="221" customFormat="1" x14ac:dyDescent="0.25">
      <c r="A795" s="1455"/>
      <c r="B795" s="1464"/>
      <c r="C795" s="1465"/>
      <c r="D795" s="1466"/>
      <c r="E795" s="1467"/>
      <c r="F795" s="1466"/>
      <c r="G795" s="1459"/>
      <c r="H795" s="1456"/>
      <c r="I795" s="1457"/>
      <c r="J795" s="1460"/>
      <c r="K795" s="1458"/>
      <c r="L795" s="1463"/>
      <c r="M795" s="1455"/>
      <c r="N795" s="1458"/>
      <c r="O795" s="1458"/>
      <c r="P795" s="1456"/>
      <c r="Q795" s="1458"/>
      <c r="R795" s="1458"/>
      <c r="S795" s="1458"/>
      <c r="T795" s="1458"/>
      <c r="U795" s="1456"/>
      <c r="V795" s="1458"/>
      <c r="W795" s="1456"/>
      <c r="X795" s="1458"/>
      <c r="Y795" s="1458"/>
      <c r="Z795" s="1458"/>
      <c r="AA795" s="1458"/>
      <c r="AB795" s="1458"/>
      <c r="AC795" s="1461"/>
      <c r="AD795" s="1458"/>
      <c r="AE795" s="1461"/>
      <c r="AF795" s="1461"/>
      <c r="AG795" s="1461"/>
      <c r="AH795" s="1461"/>
      <c r="AI795" s="1462"/>
      <c r="AJ795" s="1462"/>
      <c r="AK795" s="1458"/>
      <c r="AL795" s="1458"/>
      <c r="AM795" s="1456"/>
      <c r="AN795" s="1458"/>
      <c r="AO795" s="1458"/>
      <c r="AP795" s="1458"/>
      <c r="AQ795" s="1458"/>
      <c r="AR795" s="1458"/>
      <c r="AS795" s="1458"/>
      <c r="AT795" s="1458"/>
      <c r="AU795" s="1458"/>
      <c r="AV795" s="1458"/>
      <c r="AW795" s="1458"/>
      <c r="AX795" s="1458"/>
      <c r="AY795" s="1458"/>
      <c r="AZ795" s="1458"/>
      <c r="BA795" s="1458"/>
      <c r="BB795" s="1458"/>
      <c r="BC795" s="1458"/>
      <c r="BD795" s="1458"/>
    </row>
    <row r="796" spans="1:56" s="221" customFormat="1" x14ac:dyDescent="0.25">
      <c r="A796" s="1455"/>
      <c r="B796" s="1464"/>
      <c r="C796" s="1465"/>
      <c r="D796" s="1466"/>
      <c r="E796" s="1467"/>
      <c r="F796" s="1466"/>
      <c r="G796" s="1459"/>
      <c r="H796" s="1456"/>
      <c r="I796" s="1457"/>
      <c r="J796" s="1460"/>
      <c r="K796" s="1458"/>
      <c r="L796" s="1463"/>
      <c r="M796" s="1455"/>
      <c r="N796" s="1458"/>
      <c r="O796" s="1458"/>
      <c r="P796" s="1456"/>
      <c r="Q796" s="1458"/>
      <c r="R796" s="1458"/>
      <c r="S796" s="1458"/>
      <c r="T796" s="1458"/>
      <c r="U796" s="1456"/>
      <c r="V796" s="1458"/>
      <c r="W796" s="1456"/>
      <c r="X796" s="1458"/>
      <c r="Y796" s="1458"/>
      <c r="Z796" s="1458"/>
      <c r="AA796" s="1458"/>
      <c r="AB796" s="1458"/>
      <c r="AC796" s="1461"/>
      <c r="AD796" s="1458"/>
      <c r="AE796" s="1461"/>
      <c r="AF796" s="1461"/>
      <c r="AG796" s="1461"/>
      <c r="AH796" s="1461"/>
      <c r="AI796" s="1462"/>
      <c r="AJ796" s="1462"/>
      <c r="AK796" s="1458"/>
      <c r="AL796" s="1458"/>
      <c r="AM796" s="1456"/>
      <c r="AN796" s="1458"/>
      <c r="AO796" s="1458"/>
      <c r="AP796" s="1458"/>
      <c r="AQ796" s="1458"/>
      <c r="AR796" s="1458"/>
      <c r="AS796" s="1458"/>
      <c r="AT796" s="1458"/>
      <c r="AU796" s="1458"/>
      <c r="AV796" s="1458"/>
      <c r="AW796" s="1458"/>
      <c r="AX796" s="1458"/>
      <c r="AY796" s="1458"/>
      <c r="AZ796" s="1458"/>
      <c r="BA796" s="1458"/>
      <c r="BB796" s="1458"/>
      <c r="BC796" s="1458"/>
      <c r="BD796" s="1458"/>
    </row>
    <row r="797" spans="1:56" s="221" customFormat="1" x14ac:dyDescent="0.25">
      <c r="A797" s="1455"/>
      <c r="B797" s="1464"/>
      <c r="C797" s="1465"/>
      <c r="D797" s="1466"/>
      <c r="E797" s="1467"/>
      <c r="F797" s="1466"/>
      <c r="G797" s="1459"/>
      <c r="H797" s="1456"/>
      <c r="I797" s="1457"/>
      <c r="J797" s="1460"/>
      <c r="K797" s="1458"/>
      <c r="L797" s="1463"/>
      <c r="M797" s="1455"/>
      <c r="N797" s="1458"/>
      <c r="O797" s="1458"/>
      <c r="P797" s="1456"/>
      <c r="Q797" s="1458"/>
      <c r="R797" s="1458"/>
      <c r="S797" s="1458"/>
      <c r="T797" s="1458"/>
      <c r="U797" s="1456"/>
      <c r="V797" s="1458"/>
      <c r="W797" s="1456"/>
      <c r="X797" s="1458"/>
      <c r="Y797" s="1458"/>
      <c r="Z797" s="1458"/>
      <c r="AA797" s="1458"/>
      <c r="AB797" s="1458"/>
      <c r="AC797" s="1461"/>
      <c r="AD797" s="1458"/>
      <c r="AE797" s="1461"/>
      <c r="AF797" s="1461"/>
      <c r="AG797" s="1461"/>
      <c r="AH797" s="1461"/>
      <c r="AI797" s="1462"/>
      <c r="AJ797" s="1462"/>
      <c r="AK797" s="1458"/>
      <c r="AL797" s="1458"/>
      <c r="AM797" s="1456"/>
      <c r="AN797" s="1458"/>
      <c r="AO797" s="1458"/>
      <c r="AP797" s="1458"/>
      <c r="AQ797" s="1458"/>
      <c r="AR797" s="1458"/>
      <c r="AS797" s="1458"/>
      <c r="AT797" s="1458"/>
      <c r="AU797" s="1458"/>
      <c r="AV797" s="1458"/>
      <c r="AW797" s="1458"/>
      <c r="AX797" s="1458"/>
      <c r="AY797" s="1458"/>
      <c r="AZ797" s="1458"/>
      <c r="BA797" s="1458"/>
      <c r="BB797" s="1458"/>
      <c r="BC797" s="1458"/>
      <c r="BD797" s="1458"/>
    </row>
    <row r="798" spans="1:56" s="221" customFormat="1" x14ac:dyDescent="0.25">
      <c r="A798" s="1455"/>
      <c r="B798" s="1464"/>
      <c r="C798" s="1465"/>
      <c r="D798" s="1466"/>
      <c r="E798" s="1467"/>
      <c r="F798" s="1466"/>
      <c r="G798" s="1459"/>
      <c r="H798" s="1456"/>
      <c r="I798" s="1457"/>
      <c r="J798" s="1460"/>
      <c r="K798" s="1458"/>
      <c r="L798" s="1463"/>
      <c r="M798" s="1455"/>
      <c r="N798" s="1458"/>
      <c r="O798" s="1458"/>
      <c r="P798" s="1456"/>
      <c r="Q798" s="1458"/>
      <c r="R798" s="1458"/>
      <c r="S798" s="1458"/>
      <c r="T798" s="1458"/>
      <c r="U798" s="1456"/>
      <c r="V798" s="1458"/>
      <c r="W798" s="1456"/>
      <c r="X798" s="1458"/>
      <c r="Y798" s="1458"/>
      <c r="Z798" s="1458"/>
      <c r="AA798" s="1458"/>
      <c r="AB798" s="1458"/>
      <c r="AC798" s="1461"/>
      <c r="AD798" s="1458"/>
      <c r="AE798" s="1461"/>
      <c r="AF798" s="1461"/>
      <c r="AG798" s="1461"/>
      <c r="AH798" s="1461"/>
      <c r="AI798" s="1462"/>
      <c r="AJ798" s="1462"/>
      <c r="AK798" s="1458"/>
      <c r="AL798" s="1458"/>
      <c r="AM798" s="1456"/>
      <c r="AN798" s="1458"/>
      <c r="AO798" s="1458"/>
      <c r="AP798" s="1458"/>
      <c r="AQ798" s="1458"/>
      <c r="AR798" s="1458"/>
      <c r="AS798" s="1458"/>
      <c r="AT798" s="1458"/>
      <c r="AU798" s="1458"/>
      <c r="AV798" s="1458"/>
      <c r="AW798" s="1458"/>
      <c r="AX798" s="1458"/>
      <c r="AY798" s="1458"/>
      <c r="AZ798" s="1458"/>
      <c r="BA798" s="1458"/>
      <c r="BB798" s="1458"/>
      <c r="BC798" s="1458"/>
      <c r="BD798" s="1458"/>
    </row>
    <row r="799" spans="1:56" s="221" customFormat="1" x14ac:dyDescent="0.25">
      <c r="A799" s="1455"/>
      <c r="B799" s="1464"/>
      <c r="C799" s="1465"/>
      <c r="D799" s="1466"/>
      <c r="E799" s="1467"/>
      <c r="F799" s="1466"/>
      <c r="G799" s="1459"/>
      <c r="H799" s="1456"/>
      <c r="I799" s="1457"/>
      <c r="J799" s="1460"/>
      <c r="K799" s="1458"/>
      <c r="L799" s="1463"/>
      <c r="M799" s="1455"/>
      <c r="N799" s="1458"/>
      <c r="O799" s="1458"/>
      <c r="P799" s="1456"/>
      <c r="Q799" s="1458"/>
      <c r="R799" s="1458"/>
      <c r="S799" s="1458"/>
      <c r="T799" s="1458"/>
      <c r="U799" s="1456"/>
      <c r="V799" s="1458"/>
      <c r="W799" s="1456"/>
      <c r="X799" s="1458"/>
      <c r="Y799" s="1458"/>
      <c r="Z799" s="1458"/>
      <c r="AA799" s="1458"/>
      <c r="AB799" s="1458"/>
      <c r="AC799" s="1461"/>
      <c r="AD799" s="1458"/>
      <c r="AE799" s="1461"/>
      <c r="AF799" s="1461"/>
      <c r="AG799" s="1461"/>
      <c r="AH799" s="1461"/>
      <c r="AI799" s="1462"/>
      <c r="AJ799" s="1462"/>
      <c r="AK799" s="1458"/>
      <c r="AL799" s="1458"/>
      <c r="AM799" s="1456"/>
      <c r="AN799" s="1458"/>
      <c r="AO799" s="1458"/>
      <c r="AP799" s="1458"/>
      <c r="AQ799" s="1458"/>
      <c r="AR799" s="1458"/>
      <c r="AS799" s="1458"/>
      <c r="AT799" s="1458"/>
      <c r="AU799" s="1458"/>
      <c r="AV799" s="1458"/>
      <c r="AW799" s="1458"/>
      <c r="AX799" s="1458"/>
      <c r="AY799" s="1458"/>
      <c r="AZ799" s="1458"/>
      <c r="BA799" s="1458"/>
      <c r="BB799" s="1458"/>
      <c r="BC799" s="1458"/>
      <c r="BD799" s="1458"/>
    </row>
    <row r="800" spans="1:56" s="221" customFormat="1" x14ac:dyDescent="0.25">
      <c r="A800" s="1455"/>
      <c r="B800" s="1464"/>
      <c r="C800" s="1465"/>
      <c r="D800" s="1466"/>
      <c r="E800" s="1467"/>
      <c r="F800" s="1466"/>
      <c r="G800" s="1459"/>
      <c r="H800" s="1456"/>
      <c r="I800" s="1457"/>
      <c r="J800" s="1460"/>
      <c r="K800" s="1458"/>
      <c r="L800" s="1463"/>
      <c r="M800" s="1455"/>
      <c r="N800" s="1458"/>
      <c r="O800" s="1458"/>
      <c r="P800" s="1456"/>
      <c r="Q800" s="1458"/>
      <c r="R800" s="1458"/>
      <c r="S800" s="1458"/>
      <c r="T800" s="1458"/>
      <c r="U800" s="1456"/>
      <c r="V800" s="1458"/>
      <c r="W800" s="1456"/>
      <c r="X800" s="1458"/>
      <c r="Y800" s="1458"/>
      <c r="Z800" s="1458"/>
      <c r="AA800" s="1458"/>
      <c r="AB800" s="1458"/>
      <c r="AC800" s="1461"/>
      <c r="AD800" s="1458"/>
      <c r="AE800" s="1461"/>
      <c r="AF800" s="1461"/>
      <c r="AG800" s="1461"/>
      <c r="AH800" s="1461"/>
      <c r="AI800" s="1462"/>
      <c r="AJ800" s="1462"/>
      <c r="AK800" s="1458"/>
      <c r="AL800" s="1458"/>
      <c r="AM800" s="1456"/>
      <c r="AN800" s="1458"/>
      <c r="AO800" s="1458"/>
      <c r="AP800" s="1458"/>
      <c r="AQ800" s="1458"/>
      <c r="AR800" s="1458"/>
      <c r="AS800" s="1458"/>
      <c r="AT800" s="1458"/>
      <c r="AU800" s="1458"/>
      <c r="AV800" s="1458"/>
      <c r="AW800" s="1458"/>
      <c r="AX800" s="1458"/>
      <c r="AY800" s="1458"/>
      <c r="AZ800" s="1458"/>
      <c r="BA800" s="1458"/>
      <c r="BB800" s="1458"/>
      <c r="BC800" s="1458"/>
      <c r="BD800" s="1458"/>
    </row>
    <row r="801" spans="1:56" s="221" customFormat="1" x14ac:dyDescent="0.25">
      <c r="A801" s="1455"/>
      <c r="B801" s="1464"/>
      <c r="C801" s="1465"/>
      <c r="D801" s="1466"/>
      <c r="E801" s="1467"/>
      <c r="F801" s="1466"/>
      <c r="G801" s="1459"/>
      <c r="H801" s="1456"/>
      <c r="I801" s="1457"/>
      <c r="J801" s="1460"/>
      <c r="K801" s="1458"/>
      <c r="L801" s="1463"/>
      <c r="M801" s="1455"/>
      <c r="N801" s="1458"/>
      <c r="O801" s="1458"/>
      <c r="P801" s="1456"/>
      <c r="Q801" s="1458"/>
      <c r="R801" s="1458"/>
      <c r="S801" s="1458"/>
      <c r="T801" s="1458"/>
      <c r="U801" s="1456"/>
      <c r="V801" s="1458"/>
      <c r="W801" s="1456"/>
      <c r="X801" s="1458"/>
      <c r="Y801" s="1458"/>
      <c r="Z801" s="1458"/>
      <c r="AA801" s="1458"/>
      <c r="AB801" s="1458"/>
      <c r="AC801" s="1461"/>
      <c r="AD801" s="1458"/>
      <c r="AE801" s="1461"/>
      <c r="AF801" s="1461"/>
      <c r="AG801" s="1461"/>
      <c r="AH801" s="1461"/>
      <c r="AI801" s="1462"/>
      <c r="AJ801" s="1462"/>
      <c r="AK801" s="1458"/>
      <c r="AL801" s="1458"/>
      <c r="AM801" s="1456"/>
      <c r="AN801" s="1458"/>
      <c r="AO801" s="1458"/>
      <c r="AP801" s="1458"/>
      <c r="AQ801" s="1458"/>
      <c r="AR801" s="1458"/>
      <c r="AS801" s="1458"/>
      <c r="AT801" s="1458"/>
      <c r="AU801" s="1458"/>
      <c r="AV801" s="1458"/>
      <c r="AW801" s="1458"/>
      <c r="AX801" s="1458"/>
      <c r="AY801" s="1458"/>
      <c r="AZ801" s="1458"/>
      <c r="BA801" s="1458"/>
      <c r="BB801" s="1458"/>
      <c r="BC801" s="1458"/>
      <c r="BD801" s="1458"/>
    </row>
    <row r="802" spans="1:56" s="221" customFormat="1" x14ac:dyDescent="0.25">
      <c r="A802" s="1455"/>
      <c r="B802" s="1464"/>
      <c r="C802" s="1465"/>
      <c r="D802" s="1466"/>
      <c r="E802" s="1467"/>
      <c r="F802" s="1466"/>
      <c r="G802" s="1459"/>
      <c r="H802" s="1456"/>
      <c r="I802" s="1457"/>
      <c r="J802" s="1460"/>
      <c r="K802" s="1458"/>
      <c r="L802" s="1463"/>
      <c r="M802" s="1455"/>
      <c r="N802" s="1458"/>
      <c r="O802" s="1458"/>
      <c r="P802" s="1456"/>
      <c r="Q802" s="1458"/>
      <c r="R802" s="1458"/>
      <c r="S802" s="1458"/>
      <c r="T802" s="1458"/>
      <c r="U802" s="1456"/>
      <c r="V802" s="1458"/>
      <c r="W802" s="1456"/>
      <c r="X802" s="1458"/>
      <c r="Y802" s="1458"/>
      <c r="Z802" s="1458"/>
      <c r="AA802" s="1458"/>
      <c r="AB802" s="1458"/>
      <c r="AC802" s="1461"/>
      <c r="AD802" s="1458"/>
      <c r="AE802" s="1461"/>
      <c r="AF802" s="1461"/>
      <c r="AG802" s="1461"/>
      <c r="AH802" s="1461"/>
      <c r="AI802" s="1462"/>
      <c r="AJ802" s="1462"/>
      <c r="AK802" s="1458"/>
      <c r="AL802" s="1458"/>
      <c r="AM802" s="1456"/>
      <c r="AN802" s="1458"/>
      <c r="AO802" s="1458"/>
      <c r="AP802" s="1458"/>
      <c r="AQ802" s="1458"/>
      <c r="AR802" s="1458"/>
      <c r="AS802" s="1458"/>
      <c r="AT802" s="1458"/>
      <c r="AU802" s="1458"/>
      <c r="AV802" s="1458"/>
      <c r="AW802" s="1458"/>
      <c r="AX802" s="1458"/>
      <c r="AY802" s="1458"/>
      <c r="AZ802" s="1458"/>
      <c r="BA802" s="1458"/>
      <c r="BB802" s="1458"/>
      <c r="BC802" s="1458"/>
      <c r="BD802" s="1458"/>
    </row>
    <row r="803" spans="1:56" s="221" customFormat="1" x14ac:dyDescent="0.25">
      <c r="A803" s="1455"/>
      <c r="B803" s="1464"/>
      <c r="C803" s="1465"/>
      <c r="D803" s="1466"/>
      <c r="E803" s="1467"/>
      <c r="F803" s="1466"/>
      <c r="G803" s="1459"/>
      <c r="H803" s="1456"/>
      <c r="I803" s="1457"/>
      <c r="J803" s="1460"/>
      <c r="K803" s="1458"/>
      <c r="L803" s="1463"/>
      <c r="M803" s="1455"/>
      <c r="N803" s="1458"/>
      <c r="O803" s="1458"/>
      <c r="P803" s="1456"/>
      <c r="Q803" s="1458"/>
      <c r="R803" s="1458"/>
      <c r="S803" s="1458"/>
      <c r="T803" s="1458"/>
      <c r="U803" s="1456"/>
      <c r="V803" s="1458"/>
      <c r="W803" s="1456"/>
      <c r="X803" s="1458"/>
      <c r="Y803" s="1458"/>
      <c r="Z803" s="1458"/>
      <c r="AA803" s="1458"/>
      <c r="AB803" s="1458"/>
      <c r="AC803" s="1461"/>
      <c r="AD803" s="1458"/>
      <c r="AE803" s="1461"/>
      <c r="AF803" s="1461"/>
      <c r="AG803" s="1461"/>
      <c r="AH803" s="1461"/>
      <c r="AI803" s="1462"/>
      <c r="AJ803" s="1462"/>
      <c r="AK803" s="1458"/>
      <c r="AL803" s="1458"/>
      <c r="AM803" s="1456"/>
      <c r="AN803" s="1458"/>
      <c r="AO803" s="1458"/>
      <c r="AP803" s="1458"/>
      <c r="AQ803" s="1458"/>
      <c r="AR803" s="1458"/>
      <c r="AS803" s="1458"/>
      <c r="AT803" s="1458"/>
      <c r="AU803" s="1458"/>
      <c r="AV803" s="1458"/>
      <c r="AW803" s="1458"/>
      <c r="AX803" s="1458"/>
      <c r="AY803" s="1458"/>
      <c r="AZ803" s="1458"/>
      <c r="BA803" s="1458"/>
      <c r="BB803" s="1458"/>
      <c r="BC803" s="1458"/>
      <c r="BD803" s="1458"/>
    </row>
    <row r="804" spans="1:56" s="221" customFormat="1" x14ac:dyDescent="0.25">
      <c r="A804" s="1455"/>
      <c r="B804" s="1464"/>
      <c r="C804" s="1465"/>
      <c r="D804" s="1466"/>
      <c r="E804" s="1467"/>
      <c r="F804" s="1466"/>
      <c r="G804" s="1459"/>
      <c r="H804" s="1456"/>
      <c r="I804" s="1457"/>
      <c r="J804" s="1460"/>
      <c r="K804" s="1458"/>
      <c r="L804" s="1463"/>
      <c r="M804" s="1455"/>
      <c r="N804" s="1458"/>
      <c r="O804" s="1458"/>
      <c r="P804" s="1456"/>
      <c r="Q804" s="1458"/>
      <c r="R804" s="1458"/>
      <c r="S804" s="1458"/>
      <c r="T804" s="1458"/>
      <c r="U804" s="1456"/>
      <c r="V804" s="1458"/>
      <c r="W804" s="1456"/>
      <c r="X804" s="1458"/>
      <c r="Y804" s="1458"/>
      <c r="Z804" s="1458"/>
      <c r="AA804" s="1458"/>
      <c r="AB804" s="1458"/>
      <c r="AC804" s="1461"/>
      <c r="AD804" s="1458"/>
      <c r="AE804" s="1461"/>
      <c r="AF804" s="1461"/>
      <c r="AG804" s="1461"/>
      <c r="AH804" s="1461"/>
      <c r="AI804" s="1462"/>
      <c r="AJ804" s="1462"/>
      <c r="AK804" s="1458"/>
      <c r="AL804" s="1458"/>
      <c r="AM804" s="1456"/>
      <c r="AN804" s="1458"/>
      <c r="AO804" s="1458"/>
      <c r="AP804" s="1458"/>
      <c r="AQ804" s="1458"/>
      <c r="AR804" s="1458"/>
      <c r="AS804" s="1458"/>
      <c r="AT804" s="1458"/>
      <c r="AU804" s="1458"/>
      <c r="AV804" s="1458"/>
      <c r="AW804" s="1458"/>
      <c r="AX804" s="1458"/>
      <c r="AY804" s="1458"/>
      <c r="AZ804" s="1458"/>
      <c r="BA804" s="1458"/>
      <c r="BB804" s="1458"/>
      <c r="BC804" s="1458"/>
      <c r="BD804" s="1458"/>
    </row>
    <row r="805" spans="1:56" s="221" customFormat="1" x14ac:dyDescent="0.25">
      <c r="A805" s="548"/>
      <c r="B805" s="548"/>
      <c r="C805" s="1468"/>
      <c r="D805" s="548"/>
      <c r="E805" s="548"/>
      <c r="F805" s="548"/>
      <c r="G805" s="548"/>
      <c r="H805" s="548"/>
      <c r="I805" s="548"/>
      <c r="J805" s="548"/>
      <c r="K805" s="548"/>
      <c r="L805" s="548"/>
      <c r="M805" s="548"/>
      <c r="N805" s="548"/>
      <c r="O805" s="548"/>
      <c r="P805" s="548"/>
      <c r="Q805" s="548"/>
      <c r="R805" s="548"/>
      <c r="S805" s="548"/>
      <c r="T805" s="548"/>
      <c r="U805" s="548"/>
      <c r="V805" s="548"/>
      <c r="W805" s="548"/>
      <c r="X805" s="548"/>
      <c r="Y805" s="1500"/>
      <c r="Z805" s="548"/>
      <c r="AA805" s="548"/>
      <c r="AB805" s="548"/>
      <c r="AC805" s="548"/>
      <c r="AD805" s="548"/>
      <c r="AE805" s="548"/>
      <c r="AF805" s="548"/>
      <c r="AG805" s="1469"/>
      <c r="AH805" s="548"/>
      <c r="AI805" s="548"/>
      <c r="AJ805" s="548"/>
      <c r="AK805" s="548"/>
      <c r="AL805" s="548"/>
      <c r="AM805" s="548"/>
      <c r="AN805" s="548"/>
      <c r="AO805" s="548"/>
      <c r="AP805" s="548"/>
      <c r="AQ805" s="548"/>
      <c r="AR805" s="548"/>
      <c r="AS805" s="548"/>
      <c r="AT805" s="548"/>
      <c r="AU805" s="548"/>
      <c r="AV805" s="548"/>
      <c r="AW805" s="548"/>
      <c r="AX805" s="548"/>
      <c r="AY805" s="548"/>
      <c r="AZ805" s="548"/>
      <c r="BA805" s="548"/>
      <c r="BB805" s="548"/>
      <c r="BC805" s="548"/>
      <c r="BD805" s="548"/>
    </row>
  </sheetData>
  <mergeCells count="4073">
    <mergeCell ref="A9:BD9"/>
    <mergeCell ref="A11:BD11"/>
    <mergeCell ref="A18:AS18"/>
    <mergeCell ref="A19:H19"/>
    <mergeCell ref="A21:A24"/>
    <mergeCell ref="B21:G22"/>
    <mergeCell ref="H21:AH21"/>
    <mergeCell ref="AI21:AL21"/>
    <mergeCell ref="AM21:AR21"/>
    <mergeCell ref="AS21:BD21"/>
    <mergeCell ref="H22:T22"/>
    <mergeCell ref="A13:AS13"/>
    <mergeCell ref="A14:J14"/>
    <mergeCell ref="A15:E15"/>
    <mergeCell ref="A17:AS17"/>
    <mergeCell ref="L25:L26"/>
    <mergeCell ref="M25:M26"/>
    <mergeCell ref="N25:N26"/>
    <mergeCell ref="O25:O26"/>
    <mergeCell ref="BB22:BD22"/>
    <mergeCell ref="A25:A26"/>
    <mergeCell ref="B25:B26"/>
    <mergeCell ref="C25:C26"/>
    <mergeCell ref="D25:D26"/>
    <mergeCell ref="E25:E26"/>
    <mergeCell ref="F25:F26"/>
    <mergeCell ref="G25:G26"/>
    <mergeCell ref="H25:H26"/>
    <mergeCell ref="I25:I26"/>
    <mergeCell ref="AS22:AS23"/>
    <mergeCell ref="AT22:AT23"/>
    <mergeCell ref="AU22:AW22"/>
    <mergeCell ref="AX22:AY22"/>
    <mergeCell ref="AZ22:AZ23"/>
    <mergeCell ref="BA22:BA23"/>
    <mergeCell ref="AM22:AM23"/>
    <mergeCell ref="AN22:AN23"/>
    <mergeCell ref="AO22:AO23"/>
    <mergeCell ref="AP22:AP23"/>
    <mergeCell ref="AQ22:AQ23"/>
    <mergeCell ref="AR22:AR23"/>
    <mergeCell ref="U22:AD22"/>
    <mergeCell ref="AE22:AH22"/>
    <mergeCell ref="AI22:AI23"/>
    <mergeCell ref="AJ22:AJ23"/>
    <mergeCell ref="AK22:AK23"/>
    <mergeCell ref="AL22:AL23"/>
    <mergeCell ref="R27:R30"/>
    <mergeCell ref="S27:S30"/>
    <mergeCell ref="AX27:AX30"/>
    <mergeCell ref="AY27:AY30"/>
    <mergeCell ref="AZ27:AZ30"/>
    <mergeCell ref="BA27:BA30"/>
    <mergeCell ref="AT27:AT30"/>
    <mergeCell ref="AW27:AW30"/>
    <mergeCell ref="AP25:AP26"/>
    <mergeCell ref="AQ25:AQ26"/>
    <mergeCell ref="AR25:AR26"/>
    <mergeCell ref="AP27:AP30"/>
    <mergeCell ref="AQ27:AQ30"/>
    <mergeCell ref="AR27:AR30"/>
    <mergeCell ref="AS27:AS30"/>
    <mergeCell ref="AK27:AK30"/>
    <mergeCell ref="AL27:AL30"/>
    <mergeCell ref="A27:A30"/>
    <mergeCell ref="B27:B30"/>
    <mergeCell ref="C27:C30"/>
    <mergeCell ref="D27:D30"/>
    <mergeCell ref="E27:E30"/>
    <mergeCell ref="F27:F30"/>
    <mergeCell ref="G27:G30"/>
    <mergeCell ref="AF25:AF26"/>
    <mergeCell ref="AG25:AG26"/>
    <mergeCell ref="AH25:AH26"/>
    <mergeCell ref="AM25:AM26"/>
    <mergeCell ref="AN25:AN26"/>
    <mergeCell ref="AO25:AO26"/>
    <mergeCell ref="P25:P26"/>
    <mergeCell ref="Q25:Q26"/>
    <mergeCell ref="R25:R26"/>
    <mergeCell ref="S25:S26"/>
    <mergeCell ref="T25:T26"/>
    <mergeCell ref="AE25:AE26"/>
    <mergeCell ref="J25:J26"/>
    <mergeCell ref="K25:K26"/>
    <mergeCell ref="N27:N30"/>
    <mergeCell ref="O27:O30"/>
    <mergeCell ref="P27:P30"/>
    <mergeCell ref="Q27:Q30"/>
    <mergeCell ref="H27:H30"/>
    <mergeCell ref="I27:I30"/>
    <mergeCell ref="J27:J30"/>
    <mergeCell ref="K27:K30"/>
    <mergeCell ref="L27:L30"/>
    <mergeCell ref="M27:M30"/>
    <mergeCell ref="AJ27:AJ30"/>
    <mergeCell ref="AM27:AM30"/>
    <mergeCell ref="AN27:AN30"/>
    <mergeCell ref="AO27:AO30"/>
    <mergeCell ref="T27:T30"/>
    <mergeCell ref="AE27:AE30"/>
    <mergeCell ref="AF27:AF30"/>
    <mergeCell ref="AG27:AG30"/>
    <mergeCell ref="AH27:AH30"/>
    <mergeCell ref="AI27:AI30"/>
    <mergeCell ref="AE49:AE50"/>
    <mergeCell ref="AF49:AF50"/>
    <mergeCell ref="AG49:AG50"/>
    <mergeCell ref="AH49:AH50"/>
    <mergeCell ref="M49:M50"/>
    <mergeCell ref="N49:N50"/>
    <mergeCell ref="O49:O50"/>
    <mergeCell ref="P49:P50"/>
    <mergeCell ref="Q49:Q50"/>
    <mergeCell ref="R49:R50"/>
    <mergeCell ref="S43:S44"/>
    <mergeCell ref="T43:T44"/>
    <mergeCell ref="AE43:AE44"/>
    <mergeCell ref="AF43:AF44"/>
    <mergeCell ref="A52:A63"/>
    <mergeCell ref="B52:B63"/>
    <mergeCell ref="C52:C63"/>
    <mergeCell ref="D52:D63"/>
    <mergeCell ref="E52:E63"/>
    <mergeCell ref="F52:F63"/>
    <mergeCell ref="AM49:AM50"/>
    <mergeCell ref="AN49:AN50"/>
    <mergeCell ref="AO49:AO50"/>
    <mergeCell ref="AP49:AP50"/>
    <mergeCell ref="AG43:AG44"/>
    <mergeCell ref="AH43:AH44"/>
    <mergeCell ref="M43:M44"/>
    <mergeCell ref="N43:N44"/>
    <mergeCell ref="O43:O44"/>
    <mergeCell ref="P43:P44"/>
    <mergeCell ref="Q43:Q44"/>
    <mergeCell ref="R43:R44"/>
    <mergeCell ref="A43:A44"/>
    <mergeCell ref="F43:F44"/>
    <mergeCell ref="H43:H44"/>
    <mergeCell ref="I43:I44"/>
    <mergeCell ref="J43:J44"/>
    <mergeCell ref="K43:K44"/>
    <mergeCell ref="B35:B47"/>
    <mergeCell ref="C35:C47"/>
    <mergeCell ref="D35:D47"/>
    <mergeCell ref="E35:E47"/>
    <mergeCell ref="G35:G47"/>
    <mergeCell ref="L43:L44"/>
    <mergeCell ref="A49:A50"/>
    <mergeCell ref="B49:B50"/>
    <mergeCell ref="C49:C50"/>
    <mergeCell ref="D49:D50"/>
    <mergeCell ref="E49:E50"/>
    <mergeCell ref="F49:F50"/>
    <mergeCell ref="AT52:AT63"/>
    <mergeCell ref="AY52:AY63"/>
    <mergeCell ref="Y56:Y57"/>
    <mergeCell ref="Z56:Z57"/>
    <mergeCell ref="Y58:Y60"/>
    <mergeCell ref="Z58:Z60"/>
    <mergeCell ref="T52:T63"/>
    <mergeCell ref="AE52:AE63"/>
    <mergeCell ref="AF52:AF63"/>
    <mergeCell ref="AG52:AG63"/>
    <mergeCell ref="AH52:AH63"/>
    <mergeCell ref="AS52:AS63"/>
    <mergeCell ref="M52:M63"/>
    <mergeCell ref="N52:N63"/>
    <mergeCell ref="O52:O63"/>
    <mergeCell ref="P52:P63"/>
    <mergeCell ref="Q52:Q63"/>
    <mergeCell ref="R52:R63"/>
    <mergeCell ref="L49:L50"/>
    <mergeCell ref="G52:G63"/>
    <mergeCell ref="H52:H63"/>
    <mergeCell ref="I52:I63"/>
    <mergeCell ref="J52:J63"/>
    <mergeCell ref="K52:K63"/>
    <mergeCell ref="L52:L63"/>
    <mergeCell ref="AR49:AR50"/>
    <mergeCell ref="S49:S50"/>
    <mergeCell ref="T49:T50"/>
    <mergeCell ref="AG64:AG66"/>
    <mergeCell ref="AH64:AH66"/>
    <mergeCell ref="M64:M66"/>
    <mergeCell ref="N64:N66"/>
    <mergeCell ref="O64:O66"/>
    <mergeCell ref="P64:P66"/>
    <mergeCell ref="Q64:Q66"/>
    <mergeCell ref="R64:R66"/>
    <mergeCell ref="G64:G66"/>
    <mergeCell ref="H64:H66"/>
    <mergeCell ref="I64:I66"/>
    <mergeCell ref="J64:J66"/>
    <mergeCell ref="K64:K66"/>
    <mergeCell ref="L64:L66"/>
    <mergeCell ref="AM64:AM66"/>
    <mergeCell ref="AN64:AN66"/>
    <mergeCell ref="S64:S66"/>
    <mergeCell ref="T64:T66"/>
    <mergeCell ref="AE64:AE66"/>
    <mergeCell ref="AF64:AF66"/>
    <mergeCell ref="G49:G50"/>
    <mergeCell ref="H49:H50"/>
    <mergeCell ref="I49:I50"/>
    <mergeCell ref="J49:J50"/>
    <mergeCell ref="K49:K50"/>
    <mergeCell ref="AQ49:AQ50"/>
    <mergeCell ref="A64:A66"/>
    <mergeCell ref="B64:B66"/>
    <mergeCell ref="C64:C66"/>
    <mergeCell ref="D64:D66"/>
    <mergeCell ref="E64:E66"/>
    <mergeCell ref="F64:F66"/>
    <mergeCell ref="BC64:BC66"/>
    <mergeCell ref="BD64:BD66"/>
    <mergeCell ref="A67:A76"/>
    <mergeCell ref="B67:B76"/>
    <mergeCell ref="C67:C76"/>
    <mergeCell ref="D67:D76"/>
    <mergeCell ref="E67:E76"/>
    <mergeCell ref="F67:F76"/>
    <mergeCell ref="G67:G76"/>
    <mergeCell ref="H67:H76"/>
    <mergeCell ref="AW64:AW66"/>
    <mergeCell ref="AX64:AX66"/>
    <mergeCell ref="AY64:AY66"/>
    <mergeCell ref="AZ64:AZ66"/>
    <mergeCell ref="BA64:BA66"/>
    <mergeCell ref="BB64:BB66"/>
    <mergeCell ref="AO64:AO66"/>
    <mergeCell ref="AP64:AP66"/>
    <mergeCell ref="AQ64:AQ66"/>
    <mergeCell ref="AR64:AR66"/>
    <mergeCell ref="AS64:AS66"/>
    <mergeCell ref="AT64:AT66"/>
    <mergeCell ref="AI64:AI66"/>
    <mergeCell ref="AJ64:AJ66"/>
    <mergeCell ref="AK64:AK66"/>
    <mergeCell ref="AL64:AL66"/>
    <mergeCell ref="AY67:AY76"/>
    <mergeCell ref="AZ67:AZ76"/>
    <mergeCell ref="BA67:BA76"/>
    <mergeCell ref="A77:A78"/>
    <mergeCell ref="B77:B78"/>
    <mergeCell ref="C77:C78"/>
    <mergeCell ref="D77:D78"/>
    <mergeCell ref="E77:E78"/>
    <mergeCell ref="F77:F78"/>
    <mergeCell ref="G77:G78"/>
    <mergeCell ref="AE67:AE76"/>
    <mergeCell ref="AF67:AF76"/>
    <mergeCell ref="AG67:AG76"/>
    <mergeCell ref="AH67:AH76"/>
    <mergeCell ref="AS67:AS76"/>
    <mergeCell ref="AT67:AT76"/>
    <mergeCell ref="O67:O76"/>
    <mergeCell ref="P67:P76"/>
    <mergeCell ref="Q67:Q76"/>
    <mergeCell ref="R67:R76"/>
    <mergeCell ref="S67:S76"/>
    <mergeCell ref="T67:T76"/>
    <mergeCell ref="I67:I76"/>
    <mergeCell ref="J67:J76"/>
    <mergeCell ref="K67:K76"/>
    <mergeCell ref="L67:L76"/>
    <mergeCell ref="M67:M76"/>
    <mergeCell ref="N67:N76"/>
    <mergeCell ref="T77:T78"/>
    <mergeCell ref="AE77:AE78"/>
    <mergeCell ref="AF77:AF78"/>
    <mergeCell ref="AG77:AG78"/>
    <mergeCell ref="AH77:AH78"/>
    <mergeCell ref="A79:A84"/>
    <mergeCell ref="B79:B84"/>
    <mergeCell ref="C79:C84"/>
    <mergeCell ref="D79:D84"/>
    <mergeCell ref="E79:E84"/>
    <mergeCell ref="N77:N78"/>
    <mergeCell ref="O77:O78"/>
    <mergeCell ref="P77:P78"/>
    <mergeCell ref="Q77:Q78"/>
    <mergeCell ref="R77:R78"/>
    <mergeCell ref="S77:S78"/>
    <mergeCell ref="H77:H78"/>
    <mergeCell ref="I77:I78"/>
    <mergeCell ref="J77:J78"/>
    <mergeCell ref="K77:K78"/>
    <mergeCell ref="L77:L78"/>
    <mergeCell ref="M77:M78"/>
    <mergeCell ref="AH79:AH84"/>
    <mergeCell ref="AZ79:AZ84"/>
    <mergeCell ref="A85:A87"/>
    <mergeCell ref="B85:B87"/>
    <mergeCell ref="C85:C87"/>
    <mergeCell ref="D85:D87"/>
    <mergeCell ref="E85:E87"/>
    <mergeCell ref="F85:F87"/>
    <mergeCell ref="G85:G87"/>
    <mergeCell ref="H85:H87"/>
    <mergeCell ref="R79:R84"/>
    <mergeCell ref="S79:S84"/>
    <mergeCell ref="T79:T84"/>
    <mergeCell ref="AE79:AE84"/>
    <mergeCell ref="AF79:AF84"/>
    <mergeCell ref="AG79:AG84"/>
    <mergeCell ref="L79:L84"/>
    <mergeCell ref="M79:M84"/>
    <mergeCell ref="N79:N84"/>
    <mergeCell ref="O79:O84"/>
    <mergeCell ref="P79:P84"/>
    <mergeCell ref="Q79:Q84"/>
    <mergeCell ref="F79:F84"/>
    <mergeCell ref="G79:G84"/>
    <mergeCell ref="H79:H84"/>
    <mergeCell ref="I79:I84"/>
    <mergeCell ref="J79:J84"/>
    <mergeCell ref="K79:K84"/>
    <mergeCell ref="AY85:AY87"/>
    <mergeCell ref="AZ85:AZ87"/>
    <mergeCell ref="BA85:BA87"/>
    <mergeCell ref="A88:A92"/>
    <mergeCell ref="B88:B92"/>
    <mergeCell ref="C88:C92"/>
    <mergeCell ref="D88:D92"/>
    <mergeCell ref="E88:E92"/>
    <mergeCell ref="F88:F92"/>
    <mergeCell ref="G88:G92"/>
    <mergeCell ref="AE85:AE87"/>
    <mergeCell ref="AF85:AF87"/>
    <mergeCell ref="AG85:AG87"/>
    <mergeCell ref="AH85:AH87"/>
    <mergeCell ref="AS85:AS87"/>
    <mergeCell ref="AT85:AT87"/>
    <mergeCell ref="O85:O87"/>
    <mergeCell ref="P85:P87"/>
    <mergeCell ref="Q85:Q87"/>
    <mergeCell ref="R85:R87"/>
    <mergeCell ref="S85:S87"/>
    <mergeCell ref="T85:T87"/>
    <mergeCell ref="I85:I87"/>
    <mergeCell ref="J85:J87"/>
    <mergeCell ref="K85:K87"/>
    <mergeCell ref="L85:L87"/>
    <mergeCell ref="M85:M87"/>
    <mergeCell ref="N85:N87"/>
    <mergeCell ref="AT88:AT91"/>
    <mergeCell ref="AY88:AY91"/>
    <mergeCell ref="AZ88:AZ91"/>
    <mergeCell ref="BA88:BA91"/>
    <mergeCell ref="A94:A96"/>
    <mergeCell ref="B94:B96"/>
    <mergeCell ref="C94:C96"/>
    <mergeCell ref="D94:D96"/>
    <mergeCell ref="E94:E96"/>
    <mergeCell ref="F94:F96"/>
    <mergeCell ref="T88:T92"/>
    <mergeCell ref="AE88:AE92"/>
    <mergeCell ref="AF88:AF92"/>
    <mergeCell ref="AG88:AG92"/>
    <mergeCell ref="AH88:AH92"/>
    <mergeCell ref="AS88:AS91"/>
    <mergeCell ref="N88:N92"/>
    <mergeCell ref="O88:O92"/>
    <mergeCell ref="P88:P92"/>
    <mergeCell ref="Q88:Q92"/>
    <mergeCell ref="R88:R92"/>
    <mergeCell ref="S88:S92"/>
    <mergeCell ref="H88:H92"/>
    <mergeCell ref="I88:I92"/>
    <mergeCell ref="J88:J92"/>
    <mergeCell ref="K88:K92"/>
    <mergeCell ref="L88:L92"/>
    <mergeCell ref="M88:M92"/>
    <mergeCell ref="E101:E105"/>
    <mergeCell ref="F101:F105"/>
    <mergeCell ref="B97:B98"/>
    <mergeCell ref="C97:C98"/>
    <mergeCell ref="D97:D98"/>
    <mergeCell ref="E97:E98"/>
    <mergeCell ref="F97:F98"/>
    <mergeCell ref="G97:G98"/>
    <mergeCell ref="S94:S96"/>
    <mergeCell ref="T94:T96"/>
    <mergeCell ref="AE94:AE96"/>
    <mergeCell ref="AF94:AF96"/>
    <mergeCell ref="AG94:AG96"/>
    <mergeCell ref="AH94:AH96"/>
    <mergeCell ref="M94:M96"/>
    <mergeCell ref="N94:N96"/>
    <mergeCell ref="O94:O96"/>
    <mergeCell ref="P94:P96"/>
    <mergeCell ref="Q94:Q96"/>
    <mergeCell ref="R94:R96"/>
    <mergeCell ref="G94:G96"/>
    <mergeCell ref="H94:H96"/>
    <mergeCell ref="I94:I96"/>
    <mergeCell ref="J94:J96"/>
    <mergeCell ref="K94:K96"/>
    <mergeCell ref="L94:L96"/>
    <mergeCell ref="AS101:AS105"/>
    <mergeCell ref="AT101:AT105"/>
    <mergeCell ref="AY101:AY105"/>
    <mergeCell ref="AZ101:AZ105"/>
    <mergeCell ref="A106:A110"/>
    <mergeCell ref="B106:B110"/>
    <mergeCell ref="C106:C110"/>
    <mergeCell ref="D106:D110"/>
    <mergeCell ref="E106:E110"/>
    <mergeCell ref="F106:F110"/>
    <mergeCell ref="S101:S105"/>
    <mergeCell ref="T101:T105"/>
    <mergeCell ref="AE101:AE105"/>
    <mergeCell ref="AF101:AF105"/>
    <mergeCell ref="AG101:AG105"/>
    <mergeCell ref="AH101:AH105"/>
    <mergeCell ref="M101:M105"/>
    <mergeCell ref="N101:N105"/>
    <mergeCell ref="O101:O105"/>
    <mergeCell ref="P101:P105"/>
    <mergeCell ref="Q101:Q105"/>
    <mergeCell ref="R101:R105"/>
    <mergeCell ref="G101:G105"/>
    <mergeCell ref="H101:H105"/>
    <mergeCell ref="I101:I105"/>
    <mergeCell ref="J101:J105"/>
    <mergeCell ref="K101:K105"/>
    <mergeCell ref="L101:L105"/>
    <mergeCell ref="A101:A105"/>
    <mergeCell ref="B101:B105"/>
    <mergeCell ref="C101:C105"/>
    <mergeCell ref="D101:D105"/>
    <mergeCell ref="AZ106:AZ110"/>
    <mergeCell ref="A111:A113"/>
    <mergeCell ref="B111:B113"/>
    <mergeCell ref="C111:C113"/>
    <mergeCell ref="D111:D113"/>
    <mergeCell ref="E111:E113"/>
    <mergeCell ref="F111:F113"/>
    <mergeCell ref="S106:S110"/>
    <mergeCell ref="T106:T110"/>
    <mergeCell ref="AE106:AE110"/>
    <mergeCell ref="AF106:AF110"/>
    <mergeCell ref="AG106:AG110"/>
    <mergeCell ref="AH106:AH110"/>
    <mergeCell ref="M106:M110"/>
    <mergeCell ref="N106:N110"/>
    <mergeCell ref="O106:O110"/>
    <mergeCell ref="P106:P110"/>
    <mergeCell ref="Q106:Q110"/>
    <mergeCell ref="R106:R110"/>
    <mergeCell ref="G106:G110"/>
    <mergeCell ref="H106:H110"/>
    <mergeCell ref="I106:I110"/>
    <mergeCell ref="J106:J110"/>
    <mergeCell ref="K106:K110"/>
    <mergeCell ref="L106:L110"/>
    <mergeCell ref="AG111:AG113"/>
    <mergeCell ref="AH111:AH113"/>
    <mergeCell ref="M111:M113"/>
    <mergeCell ref="N111:N113"/>
    <mergeCell ref="O111:O113"/>
    <mergeCell ref="P111:P113"/>
    <mergeCell ref="Q111:Q113"/>
    <mergeCell ref="R111:R113"/>
    <mergeCell ref="G111:G113"/>
    <mergeCell ref="H111:H113"/>
    <mergeCell ref="I111:I113"/>
    <mergeCell ref="J111:J113"/>
    <mergeCell ref="K111:K113"/>
    <mergeCell ref="L111:L113"/>
    <mergeCell ref="AS106:AS110"/>
    <mergeCell ref="AT106:AT110"/>
    <mergeCell ref="AY106:AY110"/>
    <mergeCell ref="F115:F116"/>
    <mergeCell ref="G115:G116"/>
    <mergeCell ref="H115:H116"/>
    <mergeCell ref="I115:I116"/>
    <mergeCell ref="J115:J116"/>
    <mergeCell ref="K115:K116"/>
    <mergeCell ref="AW111:AW112"/>
    <mergeCell ref="AX111:AX112"/>
    <mergeCell ref="AY111:AY113"/>
    <mergeCell ref="AE115:AE116"/>
    <mergeCell ref="AF115:AF116"/>
    <mergeCell ref="AG115:AG116"/>
    <mergeCell ref="L115:L116"/>
    <mergeCell ref="M115:M116"/>
    <mergeCell ref="N115:N116"/>
    <mergeCell ref="O115:O116"/>
    <mergeCell ref="P115:P116"/>
    <mergeCell ref="Q115:Q116"/>
    <mergeCell ref="AZ111:AZ113"/>
    <mergeCell ref="BA111:BA113"/>
    <mergeCell ref="A115:A116"/>
    <mergeCell ref="B115:B116"/>
    <mergeCell ref="C115:C116"/>
    <mergeCell ref="D115:D116"/>
    <mergeCell ref="E115:E116"/>
    <mergeCell ref="AO111:AO112"/>
    <mergeCell ref="AP111:AP112"/>
    <mergeCell ref="AQ111:AQ112"/>
    <mergeCell ref="AR111:AR112"/>
    <mergeCell ref="AS111:AS113"/>
    <mergeCell ref="AT111:AT113"/>
    <mergeCell ref="AI111:AI112"/>
    <mergeCell ref="AJ111:AJ112"/>
    <mergeCell ref="AK111:AK112"/>
    <mergeCell ref="AL111:AL112"/>
    <mergeCell ref="AM111:AM112"/>
    <mergeCell ref="AN111:AN112"/>
    <mergeCell ref="S111:S113"/>
    <mergeCell ref="T111:T113"/>
    <mergeCell ref="AE111:AE113"/>
    <mergeCell ref="AF111:AF113"/>
    <mergeCell ref="AH115:AH116"/>
    <mergeCell ref="AI115:AI116"/>
    <mergeCell ref="AJ115:AJ116"/>
    <mergeCell ref="AK115:AK116"/>
    <mergeCell ref="AL115:AL116"/>
    <mergeCell ref="AM115:AM116"/>
    <mergeCell ref="R115:R116"/>
    <mergeCell ref="S115:S116"/>
    <mergeCell ref="T115:T116"/>
    <mergeCell ref="L120:L122"/>
    <mergeCell ref="M120:M122"/>
    <mergeCell ref="G117:G119"/>
    <mergeCell ref="A120:A122"/>
    <mergeCell ref="B120:B122"/>
    <mergeCell ref="C120:C122"/>
    <mergeCell ref="D120:D122"/>
    <mergeCell ref="E120:E122"/>
    <mergeCell ref="F120:F122"/>
    <mergeCell ref="G120:G122"/>
    <mergeCell ref="AZ115:AZ116"/>
    <mergeCell ref="BA115:BA116"/>
    <mergeCell ref="BB115:BB116"/>
    <mergeCell ref="BC115:BC116"/>
    <mergeCell ref="BD115:BD116"/>
    <mergeCell ref="B117:B119"/>
    <mergeCell ref="C117:C119"/>
    <mergeCell ref="D117:D119"/>
    <mergeCell ref="E117:E119"/>
    <mergeCell ref="F117:F119"/>
    <mergeCell ref="AT115:AT116"/>
    <mergeCell ref="AU115:AU116"/>
    <mergeCell ref="AV115:AV116"/>
    <mergeCell ref="AW115:AW116"/>
    <mergeCell ref="AX115:AX116"/>
    <mergeCell ref="AY115:AY116"/>
    <mergeCell ref="AN115:AN116"/>
    <mergeCell ref="AO115:AO116"/>
    <mergeCell ref="AP115:AP116"/>
    <mergeCell ref="AQ115:AQ116"/>
    <mergeCell ref="AR115:AR116"/>
    <mergeCell ref="AS115:AS116"/>
    <mergeCell ref="I124:I125"/>
    <mergeCell ref="J124:J125"/>
    <mergeCell ref="K124:K125"/>
    <mergeCell ref="L124:L125"/>
    <mergeCell ref="M124:M125"/>
    <mergeCell ref="N124:N125"/>
    <mergeCell ref="AT120:AT122"/>
    <mergeCell ref="AY120:AY122"/>
    <mergeCell ref="A124:A125"/>
    <mergeCell ref="B124:B125"/>
    <mergeCell ref="C124:C125"/>
    <mergeCell ref="D124:D125"/>
    <mergeCell ref="E124:E125"/>
    <mergeCell ref="F124:F125"/>
    <mergeCell ref="G124:G125"/>
    <mergeCell ref="H124:H125"/>
    <mergeCell ref="T120:T122"/>
    <mergeCell ref="AE120:AE122"/>
    <mergeCell ref="AF120:AF122"/>
    <mergeCell ref="AG120:AG122"/>
    <mergeCell ref="AH120:AH122"/>
    <mergeCell ref="AS120:AS122"/>
    <mergeCell ref="N120:N122"/>
    <mergeCell ref="O120:O122"/>
    <mergeCell ref="P120:P122"/>
    <mergeCell ref="Q120:Q122"/>
    <mergeCell ref="R120:R122"/>
    <mergeCell ref="S120:S122"/>
    <mergeCell ref="H120:H122"/>
    <mergeCell ref="I120:I122"/>
    <mergeCell ref="J120:J122"/>
    <mergeCell ref="K120:K122"/>
    <mergeCell ref="AK124:AK125"/>
    <mergeCell ref="AL124:AL125"/>
    <mergeCell ref="AM124:AM125"/>
    <mergeCell ref="AN124:AN125"/>
    <mergeCell ref="AO124:AO125"/>
    <mergeCell ref="AP124:AP125"/>
    <mergeCell ref="AE124:AE125"/>
    <mergeCell ref="AF124:AF125"/>
    <mergeCell ref="AG124:AG125"/>
    <mergeCell ref="AH124:AH125"/>
    <mergeCell ref="AI124:AI125"/>
    <mergeCell ref="AJ124:AJ125"/>
    <mergeCell ref="O124:O125"/>
    <mergeCell ref="P124:P125"/>
    <mergeCell ref="Q124:Q125"/>
    <mergeCell ref="R124:R125"/>
    <mergeCell ref="S124:S125"/>
    <mergeCell ref="T124:T125"/>
    <mergeCell ref="A140:A144"/>
    <mergeCell ref="B140:B144"/>
    <mergeCell ref="C140:C144"/>
    <mergeCell ref="D140:D144"/>
    <mergeCell ref="E140:E144"/>
    <mergeCell ref="F140:F144"/>
    <mergeCell ref="B132:B138"/>
    <mergeCell ref="C132:C138"/>
    <mergeCell ref="D132:D138"/>
    <mergeCell ref="E132:E138"/>
    <mergeCell ref="F132:F138"/>
    <mergeCell ref="G132:G138"/>
    <mergeCell ref="BC124:BC125"/>
    <mergeCell ref="BD124:BD125"/>
    <mergeCell ref="B126:B131"/>
    <mergeCell ref="C126:C131"/>
    <mergeCell ref="D126:D131"/>
    <mergeCell ref="E126:E131"/>
    <mergeCell ref="F126:F131"/>
    <mergeCell ref="G126:G131"/>
    <mergeCell ref="AW124:AW125"/>
    <mergeCell ref="AX124:AX125"/>
    <mergeCell ref="AY124:AY125"/>
    <mergeCell ref="AZ124:AZ125"/>
    <mergeCell ref="BA124:BA125"/>
    <mergeCell ref="BB124:BB125"/>
    <mergeCell ref="AQ124:AQ125"/>
    <mergeCell ref="AR124:AR125"/>
    <mergeCell ref="AS124:AS125"/>
    <mergeCell ref="AT124:AT125"/>
    <mergeCell ref="AU124:AU125"/>
    <mergeCell ref="AV124:AV125"/>
    <mergeCell ref="I145:I148"/>
    <mergeCell ref="J145:J148"/>
    <mergeCell ref="K145:K148"/>
    <mergeCell ref="L145:L148"/>
    <mergeCell ref="AS140:AS144"/>
    <mergeCell ref="AT140:AT144"/>
    <mergeCell ref="AY140:AY144"/>
    <mergeCell ref="AZ140:AZ144"/>
    <mergeCell ref="A145:A148"/>
    <mergeCell ref="B145:B148"/>
    <mergeCell ref="C145:C148"/>
    <mergeCell ref="D145:D148"/>
    <mergeCell ref="E145:E148"/>
    <mergeCell ref="F145:F148"/>
    <mergeCell ref="S140:S144"/>
    <mergeCell ref="T140:T144"/>
    <mergeCell ref="AE140:AE144"/>
    <mergeCell ref="AF140:AF144"/>
    <mergeCell ref="AG140:AG144"/>
    <mergeCell ref="AH140:AH144"/>
    <mergeCell ref="M140:M144"/>
    <mergeCell ref="N140:N144"/>
    <mergeCell ref="O140:O144"/>
    <mergeCell ref="P140:P144"/>
    <mergeCell ref="Q140:Q144"/>
    <mergeCell ref="R140:R144"/>
    <mergeCell ref="G140:G144"/>
    <mergeCell ref="H140:H144"/>
    <mergeCell ref="I140:I144"/>
    <mergeCell ref="J140:J144"/>
    <mergeCell ref="K140:K144"/>
    <mergeCell ref="L140:L144"/>
    <mergeCell ref="Q149:Q153"/>
    <mergeCell ref="R149:R153"/>
    <mergeCell ref="G149:G153"/>
    <mergeCell ref="H149:H153"/>
    <mergeCell ref="I149:I153"/>
    <mergeCell ref="J149:J153"/>
    <mergeCell ref="K149:K153"/>
    <mergeCell ref="L149:L153"/>
    <mergeCell ref="AS145:AS148"/>
    <mergeCell ref="AT145:AT148"/>
    <mergeCell ref="AY145:AY148"/>
    <mergeCell ref="AZ145:AZ148"/>
    <mergeCell ref="A149:A153"/>
    <mergeCell ref="B149:B153"/>
    <mergeCell ref="C149:C153"/>
    <mergeCell ref="D149:D153"/>
    <mergeCell ref="E149:E153"/>
    <mergeCell ref="F149:F153"/>
    <mergeCell ref="S145:S148"/>
    <mergeCell ref="T145:T148"/>
    <mergeCell ref="AE145:AE148"/>
    <mergeCell ref="AF145:AF148"/>
    <mergeCell ref="AG145:AG148"/>
    <mergeCell ref="AH145:AH148"/>
    <mergeCell ref="M145:M148"/>
    <mergeCell ref="N145:N148"/>
    <mergeCell ref="O145:O148"/>
    <mergeCell ref="P145:P148"/>
    <mergeCell ref="Q145:Q148"/>
    <mergeCell ref="R145:R148"/>
    <mergeCell ref="G145:G148"/>
    <mergeCell ref="H145:H148"/>
    <mergeCell ref="AW149:AW153"/>
    <mergeCell ref="AX149:AX153"/>
    <mergeCell ref="AY149:AY153"/>
    <mergeCell ref="AZ149:AZ153"/>
    <mergeCell ref="BA149:BA153"/>
    <mergeCell ref="B155:B160"/>
    <mergeCell ref="C155:C160"/>
    <mergeCell ref="D155:D160"/>
    <mergeCell ref="E155:E160"/>
    <mergeCell ref="F155:F160"/>
    <mergeCell ref="AO149:AO152"/>
    <mergeCell ref="AP149:AP152"/>
    <mergeCell ref="AQ149:AQ152"/>
    <mergeCell ref="AR149:AR152"/>
    <mergeCell ref="AS149:AS153"/>
    <mergeCell ref="AT149:AT153"/>
    <mergeCell ref="AI149:AI153"/>
    <mergeCell ref="AJ149:AJ153"/>
    <mergeCell ref="AK149:AK153"/>
    <mergeCell ref="AL149:AL153"/>
    <mergeCell ref="AM149:AM153"/>
    <mergeCell ref="AN149:AN152"/>
    <mergeCell ref="S149:S153"/>
    <mergeCell ref="T149:T153"/>
    <mergeCell ref="AE149:AE153"/>
    <mergeCell ref="AF149:AF153"/>
    <mergeCell ref="AG149:AG153"/>
    <mergeCell ref="AH149:AH153"/>
    <mergeCell ref="M149:M153"/>
    <mergeCell ref="N149:N153"/>
    <mergeCell ref="O149:O153"/>
    <mergeCell ref="P149:P153"/>
    <mergeCell ref="B176:B178"/>
    <mergeCell ref="C176:C178"/>
    <mergeCell ref="D176:D178"/>
    <mergeCell ref="E176:E178"/>
    <mergeCell ref="F176:F178"/>
    <mergeCell ref="G176:G178"/>
    <mergeCell ref="M161:M163"/>
    <mergeCell ref="B164:B165"/>
    <mergeCell ref="C164:C165"/>
    <mergeCell ref="D164:D165"/>
    <mergeCell ref="E164:E165"/>
    <mergeCell ref="F164:F165"/>
    <mergeCell ref="G164:G165"/>
    <mergeCell ref="M164:M165"/>
    <mergeCell ref="G155:G160"/>
    <mergeCell ref="B161:B163"/>
    <mergeCell ref="C161:C163"/>
    <mergeCell ref="D161:D163"/>
    <mergeCell ref="E161:E163"/>
    <mergeCell ref="F161:F163"/>
    <mergeCell ref="G161:G163"/>
    <mergeCell ref="K196:K197"/>
    <mergeCell ref="L196:L197"/>
    <mergeCell ref="A196:A197"/>
    <mergeCell ref="B196:B197"/>
    <mergeCell ref="C196:C197"/>
    <mergeCell ref="D196:D197"/>
    <mergeCell ref="E196:E197"/>
    <mergeCell ref="F196:F197"/>
    <mergeCell ref="B187:B195"/>
    <mergeCell ref="C187:C195"/>
    <mergeCell ref="D187:D195"/>
    <mergeCell ref="E187:E195"/>
    <mergeCell ref="F187:F195"/>
    <mergeCell ref="G187:G195"/>
    <mergeCell ref="B180:B183"/>
    <mergeCell ref="C180:C183"/>
    <mergeCell ref="D180:D183"/>
    <mergeCell ref="E180:E183"/>
    <mergeCell ref="F180:F183"/>
    <mergeCell ref="G180:G183"/>
    <mergeCell ref="G201:G206"/>
    <mergeCell ref="M201:M206"/>
    <mergeCell ref="Q201:Q206"/>
    <mergeCell ref="R201:R206"/>
    <mergeCell ref="S201:S206"/>
    <mergeCell ref="AF201:AF206"/>
    <mergeCell ref="AS196:AS197"/>
    <mergeCell ref="AT196:AT197"/>
    <mergeCell ref="AY196:AY197"/>
    <mergeCell ref="AZ196:AZ197"/>
    <mergeCell ref="BA196:BA197"/>
    <mergeCell ref="B201:B206"/>
    <mergeCell ref="C201:C206"/>
    <mergeCell ref="D201:D206"/>
    <mergeCell ref="E201:E206"/>
    <mergeCell ref="F201:F206"/>
    <mergeCell ref="S196:S197"/>
    <mergeCell ref="T196:T197"/>
    <mergeCell ref="AE196:AE197"/>
    <mergeCell ref="AF196:AF197"/>
    <mergeCell ref="AG196:AG197"/>
    <mergeCell ref="AH196:AH197"/>
    <mergeCell ref="M196:M197"/>
    <mergeCell ref="N196:N197"/>
    <mergeCell ref="O196:O197"/>
    <mergeCell ref="P196:P197"/>
    <mergeCell ref="Q196:Q197"/>
    <mergeCell ref="R196:R197"/>
    <mergeCell ref="G196:G197"/>
    <mergeCell ref="H196:H197"/>
    <mergeCell ref="I196:I197"/>
    <mergeCell ref="J196:J197"/>
    <mergeCell ref="M212:M213"/>
    <mergeCell ref="B216:B217"/>
    <mergeCell ref="C216:C217"/>
    <mergeCell ref="D216:D217"/>
    <mergeCell ref="E216:E217"/>
    <mergeCell ref="F216:F217"/>
    <mergeCell ref="G216:G217"/>
    <mergeCell ref="M216:M217"/>
    <mergeCell ref="B212:B213"/>
    <mergeCell ref="C212:C213"/>
    <mergeCell ref="D212:D213"/>
    <mergeCell ref="E212:E213"/>
    <mergeCell ref="F212:F213"/>
    <mergeCell ref="G212:G213"/>
    <mergeCell ref="B207:B208"/>
    <mergeCell ref="C207:C208"/>
    <mergeCell ref="D207:D208"/>
    <mergeCell ref="E207:E208"/>
    <mergeCell ref="F207:F208"/>
    <mergeCell ref="G207:G208"/>
    <mergeCell ref="AG219:AG222"/>
    <mergeCell ref="AH219:AH222"/>
    <mergeCell ref="M219:M222"/>
    <mergeCell ref="N219:N222"/>
    <mergeCell ref="O219:O222"/>
    <mergeCell ref="P219:P222"/>
    <mergeCell ref="Q219:Q222"/>
    <mergeCell ref="R219:R222"/>
    <mergeCell ref="G219:G222"/>
    <mergeCell ref="H219:H222"/>
    <mergeCell ref="I219:I222"/>
    <mergeCell ref="J219:J222"/>
    <mergeCell ref="K219:K222"/>
    <mergeCell ref="L219:L222"/>
    <mergeCell ref="A219:A222"/>
    <mergeCell ref="B219:B222"/>
    <mergeCell ref="C219:C222"/>
    <mergeCell ref="D219:D222"/>
    <mergeCell ref="E219:E222"/>
    <mergeCell ref="F219:F222"/>
    <mergeCell ref="BA219:BA222"/>
    <mergeCell ref="A224:A226"/>
    <mergeCell ref="B224:B226"/>
    <mergeCell ref="C224:C226"/>
    <mergeCell ref="D224:D226"/>
    <mergeCell ref="E224:E226"/>
    <mergeCell ref="F224:F226"/>
    <mergeCell ref="G224:G226"/>
    <mergeCell ref="H224:H226"/>
    <mergeCell ref="I224:I226"/>
    <mergeCell ref="AU219:AU220"/>
    <mergeCell ref="AV219:AV220"/>
    <mergeCell ref="AW219:AW220"/>
    <mergeCell ref="AX219:AX220"/>
    <mergeCell ref="AY219:AY222"/>
    <mergeCell ref="AZ219:AZ222"/>
    <mergeCell ref="AO219:AO220"/>
    <mergeCell ref="AP219:AP220"/>
    <mergeCell ref="AQ219:AQ220"/>
    <mergeCell ref="AR219:AR220"/>
    <mergeCell ref="AS219:AS222"/>
    <mergeCell ref="AT219:AT221"/>
    <mergeCell ref="AI219:AI220"/>
    <mergeCell ref="AJ219:AJ220"/>
    <mergeCell ref="AK219:AK220"/>
    <mergeCell ref="AL219:AL220"/>
    <mergeCell ref="AM219:AM220"/>
    <mergeCell ref="AN219:AN220"/>
    <mergeCell ref="S219:S222"/>
    <mergeCell ref="T219:T222"/>
    <mergeCell ref="AE219:AE222"/>
    <mergeCell ref="AF219:AF222"/>
    <mergeCell ref="AZ224:AZ225"/>
    <mergeCell ref="BA224:BA225"/>
    <mergeCell ref="A228:A229"/>
    <mergeCell ref="B228:B229"/>
    <mergeCell ref="C228:C229"/>
    <mergeCell ref="D228:D229"/>
    <mergeCell ref="E228:E229"/>
    <mergeCell ref="F228:F229"/>
    <mergeCell ref="G228:G229"/>
    <mergeCell ref="H228:H229"/>
    <mergeCell ref="AF224:AF226"/>
    <mergeCell ref="AG224:AG226"/>
    <mergeCell ref="AH224:AH226"/>
    <mergeCell ref="AS224:AS225"/>
    <mergeCell ref="AT224:AT225"/>
    <mergeCell ref="AY224:AY225"/>
    <mergeCell ref="P224:P226"/>
    <mergeCell ref="Q224:Q226"/>
    <mergeCell ref="R224:R226"/>
    <mergeCell ref="S224:S226"/>
    <mergeCell ref="T224:T226"/>
    <mergeCell ref="AE224:AE226"/>
    <mergeCell ref="J224:J226"/>
    <mergeCell ref="K224:K226"/>
    <mergeCell ref="L224:L226"/>
    <mergeCell ref="M224:M226"/>
    <mergeCell ref="N224:N226"/>
    <mergeCell ref="O224:O226"/>
    <mergeCell ref="AQ228:AQ229"/>
    <mergeCell ref="AR228:AR229"/>
    <mergeCell ref="AS228:AS229"/>
    <mergeCell ref="AT228:AT229"/>
    <mergeCell ref="C230:C231"/>
    <mergeCell ref="D230:D231"/>
    <mergeCell ref="E230:E231"/>
    <mergeCell ref="F230:F231"/>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O228:O229"/>
    <mergeCell ref="P228:P229"/>
    <mergeCell ref="Q228:Q229"/>
    <mergeCell ref="R228:R229"/>
    <mergeCell ref="S228:S229"/>
    <mergeCell ref="T228:T229"/>
    <mergeCell ref="I228:I229"/>
    <mergeCell ref="J228:J229"/>
    <mergeCell ref="K228:K229"/>
    <mergeCell ref="L228:L229"/>
    <mergeCell ref="M228:M229"/>
    <mergeCell ref="N228:N229"/>
    <mergeCell ref="K232:K233"/>
    <mergeCell ref="L232:L233"/>
    <mergeCell ref="AT230:AT231"/>
    <mergeCell ref="AY230:AY231"/>
    <mergeCell ref="AZ230:AZ231"/>
    <mergeCell ref="BA230:BA231"/>
    <mergeCell ref="A232:A233"/>
    <mergeCell ref="B232:B233"/>
    <mergeCell ref="C232:C233"/>
    <mergeCell ref="D232:D233"/>
    <mergeCell ref="E232:E233"/>
    <mergeCell ref="F232:F233"/>
    <mergeCell ref="S230:S231"/>
    <mergeCell ref="T230:T231"/>
    <mergeCell ref="AE230:AE231"/>
    <mergeCell ref="AG230:AG231"/>
    <mergeCell ref="AH230:AH231"/>
    <mergeCell ref="AS230:AS231"/>
    <mergeCell ref="M230:M231"/>
    <mergeCell ref="N230:N231"/>
    <mergeCell ref="O230:O231"/>
    <mergeCell ref="P230:P231"/>
    <mergeCell ref="Q230:Q231"/>
    <mergeCell ref="R230:R231"/>
    <mergeCell ref="G230:G231"/>
    <mergeCell ref="H230:H231"/>
    <mergeCell ref="I230:I231"/>
    <mergeCell ref="J230:J231"/>
    <mergeCell ref="K230:K231"/>
    <mergeCell ref="L230:L231"/>
    <mergeCell ref="A230:A231"/>
    <mergeCell ref="B230:B231"/>
    <mergeCell ref="F234:F235"/>
    <mergeCell ref="G234:G235"/>
    <mergeCell ref="H234:H235"/>
    <mergeCell ref="I234:I235"/>
    <mergeCell ref="J234:J235"/>
    <mergeCell ref="K234:K235"/>
    <mergeCell ref="AS232:AS233"/>
    <mergeCell ref="AT232:AT233"/>
    <mergeCell ref="AY232:AY233"/>
    <mergeCell ref="AZ232:AZ233"/>
    <mergeCell ref="BA232:BA233"/>
    <mergeCell ref="A234:A235"/>
    <mergeCell ref="B234:B235"/>
    <mergeCell ref="C234:C235"/>
    <mergeCell ref="D234:D235"/>
    <mergeCell ref="E234:E235"/>
    <mergeCell ref="S232:S233"/>
    <mergeCell ref="T232:T233"/>
    <mergeCell ref="AE232:AE233"/>
    <mergeCell ref="AF232:AF233"/>
    <mergeCell ref="AG232:AG233"/>
    <mergeCell ref="AH232:AH233"/>
    <mergeCell ref="M232:M233"/>
    <mergeCell ref="N232:N233"/>
    <mergeCell ref="O232:O233"/>
    <mergeCell ref="P232:P233"/>
    <mergeCell ref="Q232:Q233"/>
    <mergeCell ref="R232:R233"/>
    <mergeCell ref="G232:G233"/>
    <mergeCell ref="H232:H233"/>
    <mergeCell ref="I232:I233"/>
    <mergeCell ref="J232:J233"/>
    <mergeCell ref="AH234:AH235"/>
    <mergeCell ref="AS234:AS235"/>
    <mergeCell ref="AT234:AT235"/>
    <mergeCell ref="AY234:AY235"/>
    <mergeCell ref="AZ234:AZ235"/>
    <mergeCell ref="BA234:BA235"/>
    <mergeCell ref="R234:R235"/>
    <mergeCell ref="S234:S235"/>
    <mergeCell ref="T234:T235"/>
    <mergeCell ref="AE234:AE235"/>
    <mergeCell ref="AF234:AF235"/>
    <mergeCell ref="AG234:AG235"/>
    <mergeCell ref="L234:L235"/>
    <mergeCell ref="M234:M235"/>
    <mergeCell ref="N234:N235"/>
    <mergeCell ref="O234:O235"/>
    <mergeCell ref="P234:P235"/>
    <mergeCell ref="Q234:Q235"/>
    <mergeCell ref="Q247:Q250"/>
    <mergeCell ref="R247:R250"/>
    <mergeCell ref="G247:G250"/>
    <mergeCell ref="H247:H250"/>
    <mergeCell ref="I247:I250"/>
    <mergeCell ref="J247:J250"/>
    <mergeCell ref="K247:K250"/>
    <mergeCell ref="L247:L250"/>
    <mergeCell ref="A247:A250"/>
    <mergeCell ref="B247:B250"/>
    <mergeCell ref="C247:C250"/>
    <mergeCell ref="D247:D250"/>
    <mergeCell ref="E247:E250"/>
    <mergeCell ref="F247:F250"/>
    <mergeCell ref="B238:B246"/>
    <mergeCell ref="C238:C246"/>
    <mergeCell ref="D238:D246"/>
    <mergeCell ref="E238:E246"/>
    <mergeCell ref="F238:F246"/>
    <mergeCell ref="G238:G246"/>
    <mergeCell ref="AY247:AY250"/>
    <mergeCell ref="AZ247:AZ250"/>
    <mergeCell ref="BA247:BA250"/>
    <mergeCell ref="A251:A253"/>
    <mergeCell ref="B251:B253"/>
    <mergeCell ref="C251:C253"/>
    <mergeCell ref="D251:D253"/>
    <mergeCell ref="E251:E253"/>
    <mergeCell ref="F251:F253"/>
    <mergeCell ref="G251:G253"/>
    <mergeCell ref="AO247:AO249"/>
    <mergeCell ref="AP247:AP249"/>
    <mergeCell ref="AQ247:AQ249"/>
    <mergeCell ref="AR247:AR249"/>
    <mergeCell ref="AS247:AS250"/>
    <mergeCell ref="AT247:AT250"/>
    <mergeCell ref="AI247:AI249"/>
    <mergeCell ref="AJ247:AJ249"/>
    <mergeCell ref="AK247:AK249"/>
    <mergeCell ref="AL247:AL249"/>
    <mergeCell ref="AM247:AM249"/>
    <mergeCell ref="AN247:AN249"/>
    <mergeCell ref="S247:S250"/>
    <mergeCell ref="T247:T250"/>
    <mergeCell ref="AE247:AE250"/>
    <mergeCell ref="AF247:AF250"/>
    <mergeCell ref="AG247:AG250"/>
    <mergeCell ref="AH247:AH250"/>
    <mergeCell ref="M247:M250"/>
    <mergeCell ref="N247:N250"/>
    <mergeCell ref="O247:O250"/>
    <mergeCell ref="P247:P250"/>
    <mergeCell ref="AT251:AT253"/>
    <mergeCell ref="AY251:AY253"/>
    <mergeCell ref="AZ251:AZ253"/>
    <mergeCell ref="BA251:BA253"/>
    <mergeCell ref="A254:A255"/>
    <mergeCell ref="B254:B255"/>
    <mergeCell ref="C254:C255"/>
    <mergeCell ref="D254:D255"/>
    <mergeCell ref="E254:E255"/>
    <mergeCell ref="F254:F255"/>
    <mergeCell ref="T251:T253"/>
    <mergeCell ref="AE251:AE253"/>
    <mergeCell ref="AF251:AF253"/>
    <mergeCell ref="AG251:AG253"/>
    <mergeCell ref="AH251:AH253"/>
    <mergeCell ref="AS251:AS253"/>
    <mergeCell ref="N251:N253"/>
    <mergeCell ref="O251:O253"/>
    <mergeCell ref="P251:P253"/>
    <mergeCell ref="Q251:Q253"/>
    <mergeCell ref="R251:R253"/>
    <mergeCell ref="S251:S253"/>
    <mergeCell ref="H251:H253"/>
    <mergeCell ref="I251:I253"/>
    <mergeCell ref="J251:J253"/>
    <mergeCell ref="K251:K253"/>
    <mergeCell ref="L251:L253"/>
    <mergeCell ref="M251:M253"/>
    <mergeCell ref="AS254:AS255"/>
    <mergeCell ref="AT254:AT255"/>
    <mergeCell ref="AY254:AY255"/>
    <mergeCell ref="AZ254:AZ255"/>
    <mergeCell ref="BA254:BA255"/>
    <mergeCell ref="A256:A257"/>
    <mergeCell ref="B256:B257"/>
    <mergeCell ref="C256:C257"/>
    <mergeCell ref="D256:D257"/>
    <mergeCell ref="E256:E257"/>
    <mergeCell ref="S254:S255"/>
    <mergeCell ref="T254:T255"/>
    <mergeCell ref="AE254:AE255"/>
    <mergeCell ref="AF254:AF255"/>
    <mergeCell ref="AG254:AG255"/>
    <mergeCell ref="AH254:AH255"/>
    <mergeCell ref="M254:M255"/>
    <mergeCell ref="N254:N255"/>
    <mergeCell ref="O254:O255"/>
    <mergeCell ref="P254:P255"/>
    <mergeCell ref="Q254:Q255"/>
    <mergeCell ref="R254:R255"/>
    <mergeCell ref="G254:G255"/>
    <mergeCell ref="H254:H255"/>
    <mergeCell ref="I254:I255"/>
    <mergeCell ref="J254:J255"/>
    <mergeCell ref="K254:K255"/>
    <mergeCell ref="L254:L255"/>
    <mergeCell ref="AS256:AS257"/>
    <mergeCell ref="AT256:AT257"/>
    <mergeCell ref="AY256:AY257"/>
    <mergeCell ref="AZ256:AZ257"/>
    <mergeCell ref="BA256:BA257"/>
    <mergeCell ref="A258:A259"/>
    <mergeCell ref="B258:B259"/>
    <mergeCell ref="C258:C259"/>
    <mergeCell ref="D258:D259"/>
    <mergeCell ref="E258:E259"/>
    <mergeCell ref="R256:R257"/>
    <mergeCell ref="S256:S257"/>
    <mergeCell ref="T256:T257"/>
    <mergeCell ref="AE256:AE257"/>
    <mergeCell ref="AG256:AG257"/>
    <mergeCell ref="AH256:AH257"/>
    <mergeCell ref="L256:L257"/>
    <mergeCell ref="M256:M257"/>
    <mergeCell ref="N256:N257"/>
    <mergeCell ref="O256:O257"/>
    <mergeCell ref="P256:P257"/>
    <mergeCell ref="Q256:Q257"/>
    <mergeCell ref="F256:F257"/>
    <mergeCell ref="G256:G257"/>
    <mergeCell ref="H256:H257"/>
    <mergeCell ref="I256:I257"/>
    <mergeCell ref="J256:J257"/>
    <mergeCell ref="K256:K257"/>
    <mergeCell ref="AS258:AS259"/>
    <mergeCell ref="AT258:AT259"/>
    <mergeCell ref="A260:A265"/>
    <mergeCell ref="B260:B265"/>
    <mergeCell ref="C260:C265"/>
    <mergeCell ref="D260:D265"/>
    <mergeCell ref="E260:E265"/>
    <mergeCell ref="F260:F265"/>
    <mergeCell ref="G260:G265"/>
    <mergeCell ref="R258:R259"/>
    <mergeCell ref="S258:S259"/>
    <mergeCell ref="T258:T259"/>
    <mergeCell ref="AE258:AE259"/>
    <mergeCell ref="AF258:AF259"/>
    <mergeCell ref="AG258:AG259"/>
    <mergeCell ref="L258:L259"/>
    <mergeCell ref="M258:M259"/>
    <mergeCell ref="N258:N259"/>
    <mergeCell ref="O258:O259"/>
    <mergeCell ref="P258:P259"/>
    <mergeCell ref="Q258:Q259"/>
    <mergeCell ref="F258:F259"/>
    <mergeCell ref="G258:G259"/>
    <mergeCell ref="H258:H259"/>
    <mergeCell ref="I258:I259"/>
    <mergeCell ref="J258:J259"/>
    <mergeCell ref="K258:K259"/>
    <mergeCell ref="AF260:AF265"/>
    <mergeCell ref="AG260:AG265"/>
    <mergeCell ref="AH260:AH265"/>
    <mergeCell ref="AI260:AI262"/>
    <mergeCell ref="N260:N265"/>
    <mergeCell ref="R260:R265"/>
    <mergeCell ref="S260:S265"/>
    <mergeCell ref="H260:H265"/>
    <mergeCell ref="I260:I265"/>
    <mergeCell ref="J260:J265"/>
    <mergeCell ref="K260:K265"/>
    <mergeCell ref="L260:L265"/>
    <mergeCell ref="M260:M265"/>
    <mergeCell ref="AH258:AH259"/>
    <mergeCell ref="Q266:Q271"/>
    <mergeCell ref="R266:R271"/>
    <mergeCell ref="G266:G271"/>
    <mergeCell ref="H266:H271"/>
    <mergeCell ref="I266:I271"/>
    <mergeCell ref="J266:J271"/>
    <mergeCell ref="K266:K271"/>
    <mergeCell ref="L266:L271"/>
    <mergeCell ref="AX260:AX262"/>
    <mergeCell ref="AY260:AY262"/>
    <mergeCell ref="AZ260:AZ265"/>
    <mergeCell ref="BA260:BA265"/>
    <mergeCell ref="A266:A271"/>
    <mergeCell ref="B266:B271"/>
    <mergeCell ref="C266:C271"/>
    <mergeCell ref="D266:D271"/>
    <mergeCell ref="E266:E271"/>
    <mergeCell ref="F266:F271"/>
    <mergeCell ref="AP260:AP262"/>
    <mergeCell ref="AQ260:AQ262"/>
    <mergeCell ref="AR260:AR262"/>
    <mergeCell ref="AS260:AS265"/>
    <mergeCell ref="AT260:AT265"/>
    <mergeCell ref="AW260:AW262"/>
    <mergeCell ref="AJ260:AJ262"/>
    <mergeCell ref="AK260:AK262"/>
    <mergeCell ref="AL260:AL262"/>
    <mergeCell ref="AM260:AM262"/>
    <mergeCell ref="AN260:AN262"/>
    <mergeCell ref="AO260:AO262"/>
    <mergeCell ref="T260:T265"/>
    <mergeCell ref="AE260:AE265"/>
    <mergeCell ref="AW266:AW268"/>
    <mergeCell ref="AX266:AX268"/>
    <mergeCell ref="AY266:AY269"/>
    <mergeCell ref="AZ266:AZ271"/>
    <mergeCell ref="BA266:BA271"/>
    <mergeCell ref="O260:O265"/>
    <mergeCell ref="P260:P265"/>
    <mergeCell ref="Q260:Q265"/>
    <mergeCell ref="B273:B274"/>
    <mergeCell ref="C273:C274"/>
    <mergeCell ref="D273:D274"/>
    <mergeCell ref="E273:E274"/>
    <mergeCell ref="G273:G274"/>
    <mergeCell ref="AO266:AO269"/>
    <mergeCell ref="AP266:AP269"/>
    <mergeCell ref="AQ266:AQ269"/>
    <mergeCell ref="AR266:AR269"/>
    <mergeCell ref="AS266:AS271"/>
    <mergeCell ref="AT266:AT271"/>
    <mergeCell ref="AI266:AI269"/>
    <mergeCell ref="AJ266:AJ269"/>
    <mergeCell ref="AK266:AK269"/>
    <mergeCell ref="AL266:AL269"/>
    <mergeCell ref="AM266:AM269"/>
    <mergeCell ref="AN266:AN269"/>
    <mergeCell ref="S266:S271"/>
    <mergeCell ref="T266:T271"/>
    <mergeCell ref="AE266:AE271"/>
    <mergeCell ref="AF266:AF271"/>
    <mergeCell ref="AG266:AG271"/>
    <mergeCell ref="AH266:AH271"/>
    <mergeCell ref="M266:M271"/>
    <mergeCell ref="N266:N271"/>
    <mergeCell ref="O266:O271"/>
    <mergeCell ref="P266:P271"/>
    <mergeCell ref="M288:M289"/>
    <mergeCell ref="N288:N289"/>
    <mergeCell ref="A288:A289"/>
    <mergeCell ref="B288:B289"/>
    <mergeCell ref="C288:C289"/>
    <mergeCell ref="D288:D289"/>
    <mergeCell ref="E288:E289"/>
    <mergeCell ref="F288:F289"/>
    <mergeCell ref="B278:B287"/>
    <mergeCell ref="C278:C287"/>
    <mergeCell ref="D278:D287"/>
    <mergeCell ref="E278:E287"/>
    <mergeCell ref="F278:F287"/>
    <mergeCell ref="G278:G287"/>
    <mergeCell ref="B276:B277"/>
    <mergeCell ref="C276:C277"/>
    <mergeCell ref="D276:D277"/>
    <mergeCell ref="E276:E277"/>
    <mergeCell ref="F276:F277"/>
    <mergeCell ref="G276:G277"/>
    <mergeCell ref="BA288:BA289"/>
    <mergeCell ref="A290:A291"/>
    <mergeCell ref="B290:B291"/>
    <mergeCell ref="C290:C291"/>
    <mergeCell ref="D290:D291"/>
    <mergeCell ref="E290:E291"/>
    <mergeCell ref="F290:F291"/>
    <mergeCell ref="G290:G291"/>
    <mergeCell ref="H290:H291"/>
    <mergeCell ref="I290:I291"/>
    <mergeCell ref="AU288:AU289"/>
    <mergeCell ref="AV288:AV289"/>
    <mergeCell ref="AW288:AW289"/>
    <mergeCell ref="AX288:AX289"/>
    <mergeCell ref="AY288:AY289"/>
    <mergeCell ref="AZ288:AZ289"/>
    <mergeCell ref="AE288:AE289"/>
    <mergeCell ref="AF288:AF289"/>
    <mergeCell ref="AG288:AG289"/>
    <mergeCell ref="AH288:AH289"/>
    <mergeCell ref="AS288:AS289"/>
    <mergeCell ref="AT288:AT289"/>
    <mergeCell ref="O288:O289"/>
    <mergeCell ref="P288:P289"/>
    <mergeCell ref="Q288:Q289"/>
    <mergeCell ref="R288:R289"/>
    <mergeCell ref="S288:S289"/>
    <mergeCell ref="T288:T289"/>
    <mergeCell ref="G288:G289"/>
    <mergeCell ref="H288:H289"/>
    <mergeCell ref="K288:K289"/>
    <mergeCell ref="L288:L289"/>
    <mergeCell ref="AZ290:AZ291"/>
    <mergeCell ref="BA290:BA291"/>
    <mergeCell ref="A292:A293"/>
    <mergeCell ref="B292:B293"/>
    <mergeCell ref="C292:C293"/>
    <mergeCell ref="D292:D293"/>
    <mergeCell ref="E292:E293"/>
    <mergeCell ref="F292:F293"/>
    <mergeCell ref="G292:G293"/>
    <mergeCell ref="H292:H293"/>
    <mergeCell ref="AF290:AF291"/>
    <mergeCell ref="AG290:AG291"/>
    <mergeCell ref="AH290:AH291"/>
    <mergeCell ref="AS290:AS291"/>
    <mergeCell ref="AT290:AT291"/>
    <mergeCell ref="AY290:AY291"/>
    <mergeCell ref="P290:P291"/>
    <mergeCell ref="Q290:Q291"/>
    <mergeCell ref="R290:R291"/>
    <mergeCell ref="S290:S291"/>
    <mergeCell ref="T290:T291"/>
    <mergeCell ref="AE290:AE291"/>
    <mergeCell ref="J290:J291"/>
    <mergeCell ref="K290:K291"/>
    <mergeCell ref="L290:L291"/>
    <mergeCell ref="M290:M291"/>
    <mergeCell ref="N290:N291"/>
    <mergeCell ref="O290:O291"/>
    <mergeCell ref="G295:G301"/>
    <mergeCell ref="M295:M297"/>
    <mergeCell ref="Q295:Q301"/>
    <mergeCell ref="R295:R301"/>
    <mergeCell ref="S295:S301"/>
    <mergeCell ref="AF295:AF301"/>
    <mergeCell ref="M300:M301"/>
    <mergeCell ref="AS292:AS293"/>
    <mergeCell ref="AT292:AT293"/>
    <mergeCell ref="AY292:AY293"/>
    <mergeCell ref="AZ292:AZ293"/>
    <mergeCell ref="BA292:BA293"/>
    <mergeCell ref="B295:B301"/>
    <mergeCell ref="C295:C301"/>
    <mergeCell ref="D295:D301"/>
    <mergeCell ref="E295:E301"/>
    <mergeCell ref="F295:F301"/>
    <mergeCell ref="O292:O293"/>
    <mergeCell ref="P292:P293"/>
    <mergeCell ref="T292:T293"/>
    <mergeCell ref="AE292:AE293"/>
    <mergeCell ref="AG292:AG293"/>
    <mergeCell ref="AH292:AH293"/>
    <mergeCell ref="I292:I293"/>
    <mergeCell ref="J292:J293"/>
    <mergeCell ref="K292:K293"/>
    <mergeCell ref="L292:L293"/>
    <mergeCell ref="M292:M293"/>
    <mergeCell ref="N292:N293"/>
    <mergeCell ref="A331:A332"/>
    <mergeCell ref="B331:B332"/>
    <mergeCell ref="C331:C332"/>
    <mergeCell ref="D331:D332"/>
    <mergeCell ref="E331:E332"/>
    <mergeCell ref="F331:F332"/>
    <mergeCell ref="S302:S303"/>
    <mergeCell ref="T302:T303"/>
    <mergeCell ref="AE302:AE303"/>
    <mergeCell ref="AF302:AF303"/>
    <mergeCell ref="AG302:AG303"/>
    <mergeCell ref="AH302:AH303"/>
    <mergeCell ref="M302:M303"/>
    <mergeCell ref="N302:N303"/>
    <mergeCell ref="O302:O303"/>
    <mergeCell ref="P302:P303"/>
    <mergeCell ref="Q302:Q303"/>
    <mergeCell ref="R302:R303"/>
    <mergeCell ref="G302:G303"/>
    <mergeCell ref="H302:H303"/>
    <mergeCell ref="I302:I303"/>
    <mergeCell ref="J302:J303"/>
    <mergeCell ref="K302:K303"/>
    <mergeCell ref="L302:L303"/>
    <mergeCell ref="A302:A303"/>
    <mergeCell ref="B302:B303"/>
    <mergeCell ref="C302:C303"/>
    <mergeCell ref="D302:D303"/>
    <mergeCell ref="E302:E303"/>
    <mergeCell ref="F302:F303"/>
    <mergeCell ref="B342:B349"/>
    <mergeCell ref="C342:C349"/>
    <mergeCell ref="D342:D349"/>
    <mergeCell ref="E342:E349"/>
    <mergeCell ref="F342:F349"/>
    <mergeCell ref="G342:G349"/>
    <mergeCell ref="S331:S332"/>
    <mergeCell ref="T331:T332"/>
    <mergeCell ref="AE331:AE332"/>
    <mergeCell ref="AF331:AF332"/>
    <mergeCell ref="AG331:AG332"/>
    <mergeCell ref="AH331:AH332"/>
    <mergeCell ref="M331:M332"/>
    <mergeCell ref="N331:N332"/>
    <mergeCell ref="O331:O332"/>
    <mergeCell ref="P331:P332"/>
    <mergeCell ref="Q331:Q332"/>
    <mergeCell ref="R331:R332"/>
    <mergeCell ref="G331:G332"/>
    <mergeCell ref="H331:H332"/>
    <mergeCell ref="I331:I332"/>
    <mergeCell ref="J331:J332"/>
    <mergeCell ref="K331:K332"/>
    <mergeCell ref="L331:L332"/>
    <mergeCell ref="AP360:AP363"/>
    <mergeCell ref="AQ360:AQ363"/>
    <mergeCell ref="AR360:AR363"/>
    <mergeCell ref="B367:B372"/>
    <mergeCell ref="C367:C372"/>
    <mergeCell ref="D367:D372"/>
    <mergeCell ref="E367:E372"/>
    <mergeCell ref="F367:F372"/>
    <mergeCell ref="G367:G372"/>
    <mergeCell ref="G360:G363"/>
    <mergeCell ref="P360:P363"/>
    <mergeCell ref="T360:T363"/>
    <mergeCell ref="AM360:AM363"/>
    <mergeCell ref="AN360:AN363"/>
    <mergeCell ref="AO360:AO363"/>
    <mergeCell ref="AN354:AN357"/>
    <mergeCell ref="AO354:AO357"/>
    <mergeCell ref="AP354:AP357"/>
    <mergeCell ref="AQ354:AQ357"/>
    <mergeCell ref="AR354:AR357"/>
    <mergeCell ref="B360:B363"/>
    <mergeCell ref="C360:C363"/>
    <mergeCell ref="D360:D363"/>
    <mergeCell ref="E360:E363"/>
    <mergeCell ref="F360:F363"/>
    <mergeCell ref="A397:A405"/>
    <mergeCell ref="B397:B405"/>
    <mergeCell ref="C397:C405"/>
    <mergeCell ref="D397:D405"/>
    <mergeCell ref="E397:E405"/>
    <mergeCell ref="F397:F405"/>
    <mergeCell ref="B394:B396"/>
    <mergeCell ref="C394:C396"/>
    <mergeCell ref="D394:D396"/>
    <mergeCell ref="E394:E396"/>
    <mergeCell ref="F394:F396"/>
    <mergeCell ref="G394:G396"/>
    <mergeCell ref="B384:B390"/>
    <mergeCell ref="C384:C390"/>
    <mergeCell ref="D384:D390"/>
    <mergeCell ref="E384:E390"/>
    <mergeCell ref="F384:F390"/>
    <mergeCell ref="G384:G390"/>
    <mergeCell ref="S397:S405"/>
    <mergeCell ref="T397:T405"/>
    <mergeCell ref="AE397:AE405"/>
    <mergeCell ref="AF397:AF405"/>
    <mergeCell ref="AG397:AG405"/>
    <mergeCell ref="AH397:AH405"/>
    <mergeCell ref="M397:M405"/>
    <mergeCell ref="N397:N405"/>
    <mergeCell ref="O397:O405"/>
    <mergeCell ref="P397:P405"/>
    <mergeCell ref="Q397:Q405"/>
    <mergeCell ref="R397:R405"/>
    <mergeCell ref="G397:G405"/>
    <mergeCell ref="H397:H405"/>
    <mergeCell ref="I397:I405"/>
    <mergeCell ref="J397:J405"/>
    <mergeCell ref="K397:K405"/>
    <mergeCell ref="L397:L405"/>
    <mergeCell ref="J406:J414"/>
    <mergeCell ref="K406:K414"/>
    <mergeCell ref="L406:L414"/>
    <mergeCell ref="M406:M414"/>
    <mergeCell ref="BB397:BB405"/>
    <mergeCell ref="BC397:BC405"/>
    <mergeCell ref="BD397:BD405"/>
    <mergeCell ref="A406:A414"/>
    <mergeCell ref="B406:B414"/>
    <mergeCell ref="C406:C414"/>
    <mergeCell ref="D406:D414"/>
    <mergeCell ref="E406:E414"/>
    <mergeCell ref="F406:F414"/>
    <mergeCell ref="G406:G414"/>
    <mergeCell ref="AU397:AU405"/>
    <mergeCell ref="AV397:AV405"/>
    <mergeCell ref="AW397:AW405"/>
    <mergeCell ref="AX397:AX405"/>
    <mergeCell ref="AY397:AY405"/>
    <mergeCell ref="BA397:BA405"/>
    <mergeCell ref="AO397:AO405"/>
    <mergeCell ref="AP397:AP405"/>
    <mergeCell ref="AQ397:AQ405"/>
    <mergeCell ref="AR397:AR405"/>
    <mergeCell ref="AS397:AS405"/>
    <mergeCell ref="AT397:AT405"/>
    <mergeCell ref="AI397:AI405"/>
    <mergeCell ref="AJ397:AJ405"/>
    <mergeCell ref="AK397:AK405"/>
    <mergeCell ref="AL397:AL405"/>
    <mergeCell ref="AM397:AM405"/>
    <mergeCell ref="AN397:AN405"/>
    <mergeCell ref="M415:M423"/>
    <mergeCell ref="N415:N423"/>
    <mergeCell ref="AQ406:AQ414"/>
    <mergeCell ref="AR406:AR414"/>
    <mergeCell ref="A415:A423"/>
    <mergeCell ref="B415:B423"/>
    <mergeCell ref="C415:C423"/>
    <mergeCell ref="D415:D423"/>
    <mergeCell ref="E415:E423"/>
    <mergeCell ref="F415:F423"/>
    <mergeCell ref="G415:G423"/>
    <mergeCell ref="H415:H423"/>
    <mergeCell ref="AK406:AK414"/>
    <mergeCell ref="AL406:AL414"/>
    <mergeCell ref="AM406:AM414"/>
    <mergeCell ref="AN406:AN414"/>
    <mergeCell ref="AO406:AO414"/>
    <mergeCell ref="AP406:AP414"/>
    <mergeCell ref="AE406:AE414"/>
    <mergeCell ref="AF406:AF414"/>
    <mergeCell ref="AG406:AG414"/>
    <mergeCell ref="AH406:AH414"/>
    <mergeCell ref="AI406:AI414"/>
    <mergeCell ref="AJ406:AJ414"/>
    <mergeCell ref="N406:N414"/>
    <mergeCell ref="O406:O414"/>
    <mergeCell ref="P406:P414"/>
    <mergeCell ref="Q406:Q414"/>
    <mergeCell ref="R406:R414"/>
    <mergeCell ref="T406:T414"/>
    <mergeCell ref="H406:H414"/>
    <mergeCell ref="I406:I414"/>
    <mergeCell ref="AP415:AP423"/>
    <mergeCell ref="AQ415:AQ423"/>
    <mergeCell ref="AR415:AR423"/>
    <mergeCell ref="A424:A430"/>
    <mergeCell ref="B424:B430"/>
    <mergeCell ref="C424:C430"/>
    <mergeCell ref="D424:D430"/>
    <mergeCell ref="E424:E430"/>
    <mergeCell ref="F424:F430"/>
    <mergeCell ref="G424:G430"/>
    <mergeCell ref="AJ415:AJ423"/>
    <mergeCell ref="AK415:AK423"/>
    <mergeCell ref="AL415:AL423"/>
    <mergeCell ref="AM415:AM423"/>
    <mergeCell ref="AN415:AN423"/>
    <mergeCell ref="AO415:AO423"/>
    <mergeCell ref="X415:X422"/>
    <mergeCell ref="AE415:AE423"/>
    <mergeCell ref="AF415:AF423"/>
    <mergeCell ref="AG415:AG423"/>
    <mergeCell ref="AH415:AH423"/>
    <mergeCell ref="AI415:AI423"/>
    <mergeCell ref="O415:O423"/>
    <mergeCell ref="P415:P423"/>
    <mergeCell ref="Q415:Q423"/>
    <mergeCell ref="R415:R423"/>
    <mergeCell ref="S415:S423"/>
    <mergeCell ref="T415:T423"/>
    <mergeCell ref="I415:I423"/>
    <mergeCell ref="J415:J423"/>
    <mergeCell ref="K415:K423"/>
    <mergeCell ref="L415:L423"/>
    <mergeCell ref="AP424:AP430"/>
    <mergeCell ref="AQ424:AQ430"/>
    <mergeCell ref="AR424:AR430"/>
    <mergeCell ref="A431:A437"/>
    <mergeCell ref="B431:B437"/>
    <mergeCell ref="C431:C437"/>
    <mergeCell ref="D431:D437"/>
    <mergeCell ref="E431:E437"/>
    <mergeCell ref="F431:F437"/>
    <mergeCell ref="AI424:AI430"/>
    <mergeCell ref="AJ424:AJ430"/>
    <mergeCell ref="AK424:AK430"/>
    <mergeCell ref="AL424:AL430"/>
    <mergeCell ref="AM424:AM430"/>
    <mergeCell ref="AN424:AN430"/>
    <mergeCell ref="T424:T430"/>
    <mergeCell ref="X424:X429"/>
    <mergeCell ref="AE424:AE430"/>
    <mergeCell ref="AF424:AF430"/>
    <mergeCell ref="AG424:AG430"/>
    <mergeCell ref="AH424:AH430"/>
    <mergeCell ref="N424:N430"/>
    <mergeCell ref="O424:O430"/>
    <mergeCell ref="P424:P430"/>
    <mergeCell ref="Q424:Q430"/>
    <mergeCell ref="R424:R430"/>
    <mergeCell ref="S424:S430"/>
    <mergeCell ref="H424:H430"/>
    <mergeCell ref="I424:I430"/>
    <mergeCell ref="J424:J430"/>
    <mergeCell ref="K424:K430"/>
    <mergeCell ref="L424:L430"/>
    <mergeCell ref="X431:X436"/>
    <mergeCell ref="AE431:AE437"/>
    <mergeCell ref="AF431:AF437"/>
    <mergeCell ref="AG431:AG437"/>
    <mergeCell ref="M431:M437"/>
    <mergeCell ref="N431:N437"/>
    <mergeCell ref="O431:O437"/>
    <mergeCell ref="P431:P437"/>
    <mergeCell ref="Q431:Q437"/>
    <mergeCell ref="R431:R437"/>
    <mergeCell ref="G431:G437"/>
    <mergeCell ref="H431:H437"/>
    <mergeCell ref="I431:I437"/>
    <mergeCell ref="J431:J437"/>
    <mergeCell ref="K431:K437"/>
    <mergeCell ref="L431:L437"/>
    <mergeCell ref="AO424:AO430"/>
    <mergeCell ref="M424:M430"/>
    <mergeCell ref="J438:J442"/>
    <mergeCell ref="K438:K442"/>
    <mergeCell ref="AZ431:AZ437"/>
    <mergeCell ref="BA431:BA437"/>
    <mergeCell ref="BB431:BB437"/>
    <mergeCell ref="BC431:BC437"/>
    <mergeCell ref="BD431:BD437"/>
    <mergeCell ref="A438:A442"/>
    <mergeCell ref="B438:B442"/>
    <mergeCell ref="C438:C442"/>
    <mergeCell ref="D438:D442"/>
    <mergeCell ref="E438:E442"/>
    <mergeCell ref="AT431:AT437"/>
    <mergeCell ref="AU431:AU437"/>
    <mergeCell ref="AV431:AV437"/>
    <mergeCell ref="AW431:AW437"/>
    <mergeCell ref="AX431:AX437"/>
    <mergeCell ref="AY431:AY437"/>
    <mergeCell ref="AN431:AN437"/>
    <mergeCell ref="AO431:AO437"/>
    <mergeCell ref="AP431:AP437"/>
    <mergeCell ref="AQ431:AQ437"/>
    <mergeCell ref="AR431:AR437"/>
    <mergeCell ref="AS431:AS437"/>
    <mergeCell ref="AH431:AH437"/>
    <mergeCell ref="AI431:AI437"/>
    <mergeCell ref="AJ431:AJ437"/>
    <mergeCell ref="AK431:AK437"/>
    <mergeCell ref="AL431:AL437"/>
    <mergeCell ref="AM431:AM437"/>
    <mergeCell ref="S431:S437"/>
    <mergeCell ref="T431:T437"/>
    <mergeCell ref="AM438:AM442"/>
    <mergeCell ref="A443:A447"/>
    <mergeCell ref="B443:B447"/>
    <mergeCell ref="C443:C447"/>
    <mergeCell ref="D443:D447"/>
    <mergeCell ref="E443:E447"/>
    <mergeCell ref="F443:F447"/>
    <mergeCell ref="G443:G447"/>
    <mergeCell ref="H443:H447"/>
    <mergeCell ref="I443:I447"/>
    <mergeCell ref="AG438:AG442"/>
    <mergeCell ref="AH438:AH442"/>
    <mergeCell ref="AI438:AI442"/>
    <mergeCell ref="AJ438:AJ442"/>
    <mergeCell ref="AK438:AK442"/>
    <mergeCell ref="AL438:AL442"/>
    <mergeCell ref="R438:R442"/>
    <mergeCell ref="S438:S442"/>
    <mergeCell ref="T438:T442"/>
    <mergeCell ref="X438:X442"/>
    <mergeCell ref="AE438:AE442"/>
    <mergeCell ref="AF438:AF442"/>
    <mergeCell ref="L438:L442"/>
    <mergeCell ref="M438:M442"/>
    <mergeCell ref="N438:N442"/>
    <mergeCell ref="O438:O442"/>
    <mergeCell ref="P438:P442"/>
    <mergeCell ref="Q438:Q442"/>
    <mergeCell ref="F438:F442"/>
    <mergeCell ref="G438:G442"/>
    <mergeCell ref="H438:H442"/>
    <mergeCell ref="I438:I442"/>
    <mergeCell ref="AK443:AK447"/>
    <mergeCell ref="AL443:AL447"/>
    <mergeCell ref="AM443:AM447"/>
    <mergeCell ref="A448:A452"/>
    <mergeCell ref="B448:B452"/>
    <mergeCell ref="C448:C452"/>
    <mergeCell ref="D448:D452"/>
    <mergeCell ref="E448:E452"/>
    <mergeCell ref="F448:F452"/>
    <mergeCell ref="G448:G452"/>
    <mergeCell ref="AE443:AE447"/>
    <mergeCell ref="AF443:AF447"/>
    <mergeCell ref="AG443:AG447"/>
    <mergeCell ref="AH443:AH447"/>
    <mergeCell ref="AI443:AI447"/>
    <mergeCell ref="AJ443:AJ447"/>
    <mergeCell ref="P443:P447"/>
    <mergeCell ref="Q443:Q447"/>
    <mergeCell ref="R443:R447"/>
    <mergeCell ref="S443:S447"/>
    <mergeCell ref="T443:T447"/>
    <mergeCell ref="X443:X447"/>
    <mergeCell ref="J443:J447"/>
    <mergeCell ref="K443:K447"/>
    <mergeCell ref="L443:L447"/>
    <mergeCell ref="M443:M447"/>
    <mergeCell ref="N443:N447"/>
    <mergeCell ref="O443:O447"/>
    <mergeCell ref="A453:A458"/>
    <mergeCell ref="B453:B458"/>
    <mergeCell ref="C453:C458"/>
    <mergeCell ref="D453:D458"/>
    <mergeCell ref="E453:E458"/>
    <mergeCell ref="T448:T452"/>
    <mergeCell ref="X448:X452"/>
    <mergeCell ref="AE448:AE452"/>
    <mergeCell ref="AF448:AF452"/>
    <mergeCell ref="AG448:AG452"/>
    <mergeCell ref="AH448:AH452"/>
    <mergeCell ref="N448:N452"/>
    <mergeCell ref="O448:O452"/>
    <mergeCell ref="P448:P452"/>
    <mergeCell ref="Q448:Q452"/>
    <mergeCell ref="R448:R452"/>
    <mergeCell ref="S448:S452"/>
    <mergeCell ref="H448:H452"/>
    <mergeCell ref="I448:I452"/>
    <mergeCell ref="J448:J452"/>
    <mergeCell ref="K448:K452"/>
    <mergeCell ref="L448:L452"/>
    <mergeCell ref="M448:M452"/>
    <mergeCell ref="L453:L458"/>
    <mergeCell ref="M453:M458"/>
    <mergeCell ref="N453:N458"/>
    <mergeCell ref="O453:O458"/>
    <mergeCell ref="P453:P458"/>
    <mergeCell ref="Q453:Q458"/>
    <mergeCell ref="F453:F458"/>
    <mergeCell ref="G453:G458"/>
    <mergeCell ref="H453:H458"/>
    <mergeCell ref="I453:I458"/>
    <mergeCell ref="J453:J458"/>
    <mergeCell ref="K453:K458"/>
    <mergeCell ref="AI448:AI452"/>
    <mergeCell ref="AJ448:AJ452"/>
    <mergeCell ref="AK448:AK452"/>
    <mergeCell ref="AL448:AL452"/>
    <mergeCell ref="AM448:AM452"/>
    <mergeCell ref="AM453:AM458"/>
    <mergeCell ref="AN453:AN458"/>
    <mergeCell ref="AO453:AO458"/>
    <mergeCell ref="AP453:AP458"/>
    <mergeCell ref="AQ453:AQ458"/>
    <mergeCell ref="AR453:AR458"/>
    <mergeCell ref="AG453:AG458"/>
    <mergeCell ref="AH453:AH458"/>
    <mergeCell ref="AI453:AI457"/>
    <mergeCell ref="AJ453:AJ457"/>
    <mergeCell ref="AK453:AK457"/>
    <mergeCell ref="AL453:AL457"/>
    <mergeCell ref="R453:R458"/>
    <mergeCell ref="S453:S458"/>
    <mergeCell ref="T453:T458"/>
    <mergeCell ref="X453:X457"/>
    <mergeCell ref="AE453:AE458"/>
    <mergeCell ref="AF453:AF458"/>
    <mergeCell ref="AF459:AF464"/>
    <mergeCell ref="AG459:AG464"/>
    <mergeCell ref="M459:M464"/>
    <mergeCell ref="N459:N464"/>
    <mergeCell ref="O459:O464"/>
    <mergeCell ref="P459:P464"/>
    <mergeCell ref="Q459:Q464"/>
    <mergeCell ref="R459:R464"/>
    <mergeCell ref="G459:G464"/>
    <mergeCell ref="H459:H464"/>
    <mergeCell ref="I459:I464"/>
    <mergeCell ref="J459:J464"/>
    <mergeCell ref="K459:K464"/>
    <mergeCell ref="L459:L464"/>
    <mergeCell ref="A459:A464"/>
    <mergeCell ref="B459:B464"/>
    <mergeCell ref="C459:C464"/>
    <mergeCell ref="D459:D464"/>
    <mergeCell ref="E459:E464"/>
    <mergeCell ref="F459:F464"/>
    <mergeCell ref="AZ459:AZ464"/>
    <mergeCell ref="BA459:BA464"/>
    <mergeCell ref="BB459:BB464"/>
    <mergeCell ref="BC459:BC464"/>
    <mergeCell ref="BD459:BD464"/>
    <mergeCell ref="A465:A470"/>
    <mergeCell ref="B465:B470"/>
    <mergeCell ref="C465:C470"/>
    <mergeCell ref="D465:D470"/>
    <mergeCell ref="E465:E470"/>
    <mergeCell ref="AT459:AT464"/>
    <mergeCell ref="AU459:AU464"/>
    <mergeCell ref="AV459:AV464"/>
    <mergeCell ref="AW459:AW464"/>
    <mergeCell ref="AX459:AX464"/>
    <mergeCell ref="AY459:AY464"/>
    <mergeCell ref="AN459:AN464"/>
    <mergeCell ref="AO459:AO464"/>
    <mergeCell ref="AP459:AP464"/>
    <mergeCell ref="AQ459:AQ464"/>
    <mergeCell ref="AR459:AR464"/>
    <mergeCell ref="AS459:AS464"/>
    <mergeCell ref="AH459:AH464"/>
    <mergeCell ref="AI459:AI464"/>
    <mergeCell ref="AJ459:AJ464"/>
    <mergeCell ref="AK459:AK464"/>
    <mergeCell ref="AL459:AL464"/>
    <mergeCell ref="AM459:AM464"/>
    <mergeCell ref="S459:S464"/>
    <mergeCell ref="T459:T464"/>
    <mergeCell ref="X459:X463"/>
    <mergeCell ref="AE459:AE464"/>
    <mergeCell ref="AM465:AM470"/>
    <mergeCell ref="S465:S470"/>
    <mergeCell ref="T465:T470"/>
    <mergeCell ref="X465:X469"/>
    <mergeCell ref="AE465:AE470"/>
    <mergeCell ref="AF465:AF470"/>
    <mergeCell ref="AG465:AG470"/>
    <mergeCell ref="L465:L470"/>
    <mergeCell ref="M465:M470"/>
    <mergeCell ref="N465:N470"/>
    <mergeCell ref="O465:O470"/>
    <mergeCell ref="Q465:Q470"/>
    <mergeCell ref="R465:R470"/>
    <mergeCell ref="F465:F470"/>
    <mergeCell ref="G465:G470"/>
    <mergeCell ref="H465:H470"/>
    <mergeCell ref="I465:I470"/>
    <mergeCell ref="J465:J470"/>
    <mergeCell ref="K465:K470"/>
    <mergeCell ref="G471:G476"/>
    <mergeCell ref="H471:H476"/>
    <mergeCell ref="I471:I476"/>
    <mergeCell ref="J471:J476"/>
    <mergeCell ref="K471:K476"/>
    <mergeCell ref="AZ465:AZ470"/>
    <mergeCell ref="BA465:BA470"/>
    <mergeCell ref="BB465:BB470"/>
    <mergeCell ref="BC465:BC470"/>
    <mergeCell ref="BD465:BD470"/>
    <mergeCell ref="A471:A476"/>
    <mergeCell ref="B471:B476"/>
    <mergeCell ref="C471:C476"/>
    <mergeCell ref="D471:D476"/>
    <mergeCell ref="E471:E476"/>
    <mergeCell ref="AT465:AT470"/>
    <mergeCell ref="AU465:AU470"/>
    <mergeCell ref="AV465:AV470"/>
    <mergeCell ref="AW465:AW470"/>
    <mergeCell ref="AX465:AX470"/>
    <mergeCell ref="AY465:AY470"/>
    <mergeCell ref="AN465:AN470"/>
    <mergeCell ref="AO465:AO470"/>
    <mergeCell ref="AP465:AP470"/>
    <mergeCell ref="AQ465:AQ470"/>
    <mergeCell ref="AR465:AR470"/>
    <mergeCell ref="AS465:AS470"/>
    <mergeCell ref="AH465:AH470"/>
    <mergeCell ref="AI465:AI470"/>
    <mergeCell ref="AJ465:AJ470"/>
    <mergeCell ref="AK465:AK470"/>
    <mergeCell ref="AL465:AL470"/>
    <mergeCell ref="I477:I483"/>
    <mergeCell ref="J477:J483"/>
    <mergeCell ref="K477:K483"/>
    <mergeCell ref="AN471:AN476"/>
    <mergeCell ref="AO471:AO476"/>
    <mergeCell ref="AP471:AP476"/>
    <mergeCell ref="AQ471:AQ476"/>
    <mergeCell ref="AR471:AR476"/>
    <mergeCell ref="A477:A483"/>
    <mergeCell ref="B477:B483"/>
    <mergeCell ref="C477:C483"/>
    <mergeCell ref="D477:D483"/>
    <mergeCell ref="E477:E483"/>
    <mergeCell ref="AH471:AH476"/>
    <mergeCell ref="AI471:AI476"/>
    <mergeCell ref="AJ471:AJ476"/>
    <mergeCell ref="AK471:AK476"/>
    <mergeCell ref="AL471:AL476"/>
    <mergeCell ref="AM471:AM476"/>
    <mergeCell ref="R471:R476"/>
    <mergeCell ref="S471:S476"/>
    <mergeCell ref="T471:T476"/>
    <mergeCell ref="AE471:AE476"/>
    <mergeCell ref="AF471:AF476"/>
    <mergeCell ref="AG471:AG476"/>
    <mergeCell ref="L471:L476"/>
    <mergeCell ref="M471:M476"/>
    <mergeCell ref="N471:N476"/>
    <mergeCell ref="O471:O476"/>
    <mergeCell ref="P471:P476"/>
    <mergeCell ref="Q471:Q476"/>
    <mergeCell ref="F471:F476"/>
    <mergeCell ref="BD477:BD483"/>
    <mergeCell ref="AS477:AS483"/>
    <mergeCell ref="AT477:AT483"/>
    <mergeCell ref="AU477:AU483"/>
    <mergeCell ref="AV477:AV483"/>
    <mergeCell ref="AW477:AW483"/>
    <mergeCell ref="AX477:AX483"/>
    <mergeCell ref="AM477:AM483"/>
    <mergeCell ref="AN477:AN483"/>
    <mergeCell ref="AO477:AO483"/>
    <mergeCell ref="AP477:AP483"/>
    <mergeCell ref="AQ477:AQ483"/>
    <mergeCell ref="AR477:AR483"/>
    <mergeCell ref="AG477:AG483"/>
    <mergeCell ref="AH477:AH483"/>
    <mergeCell ref="AI477:AI483"/>
    <mergeCell ref="AJ477:AJ483"/>
    <mergeCell ref="AK477:AK483"/>
    <mergeCell ref="AL477:AL483"/>
    <mergeCell ref="G484:G490"/>
    <mergeCell ref="H484:H490"/>
    <mergeCell ref="I484:I490"/>
    <mergeCell ref="J484:J490"/>
    <mergeCell ref="K484:K490"/>
    <mergeCell ref="L484:L490"/>
    <mergeCell ref="A484:A490"/>
    <mergeCell ref="B484:B490"/>
    <mergeCell ref="C484:C490"/>
    <mergeCell ref="D484:D490"/>
    <mergeCell ref="E484:E490"/>
    <mergeCell ref="F484:F490"/>
    <mergeCell ref="AY477:AY483"/>
    <mergeCell ref="AZ477:AZ483"/>
    <mergeCell ref="BA477:BA483"/>
    <mergeCell ref="BB477:BB483"/>
    <mergeCell ref="BC477:BC483"/>
    <mergeCell ref="R477:R483"/>
    <mergeCell ref="S477:S483"/>
    <mergeCell ref="T477:T483"/>
    <mergeCell ref="X477:X482"/>
    <mergeCell ref="AE477:AE483"/>
    <mergeCell ref="AF477:AF483"/>
    <mergeCell ref="L477:L483"/>
    <mergeCell ref="M477:M483"/>
    <mergeCell ref="N477:N483"/>
    <mergeCell ref="O477:O483"/>
    <mergeCell ref="P477:P483"/>
    <mergeCell ref="Q477:Q483"/>
    <mergeCell ref="F477:F483"/>
    <mergeCell ref="G477:G483"/>
    <mergeCell ref="H477:H483"/>
    <mergeCell ref="H491:H495"/>
    <mergeCell ref="I491:I495"/>
    <mergeCell ref="J491:J495"/>
    <mergeCell ref="K491:K495"/>
    <mergeCell ref="AN484:AN490"/>
    <mergeCell ref="AO484:AO490"/>
    <mergeCell ref="AP484:AP490"/>
    <mergeCell ref="AQ484:AQ490"/>
    <mergeCell ref="AR484:AR490"/>
    <mergeCell ref="A491:A495"/>
    <mergeCell ref="B491:B495"/>
    <mergeCell ref="C491:C495"/>
    <mergeCell ref="D491:D495"/>
    <mergeCell ref="E491:E495"/>
    <mergeCell ref="AH484:AH490"/>
    <mergeCell ref="AI484:AI490"/>
    <mergeCell ref="AJ484:AJ490"/>
    <mergeCell ref="AK484:AK490"/>
    <mergeCell ref="AL484:AL490"/>
    <mergeCell ref="AM484:AM490"/>
    <mergeCell ref="S484:S490"/>
    <mergeCell ref="T484:T490"/>
    <mergeCell ref="X484:X487"/>
    <mergeCell ref="AE484:AE490"/>
    <mergeCell ref="AF484:AF490"/>
    <mergeCell ref="AG484:AG490"/>
    <mergeCell ref="M484:M490"/>
    <mergeCell ref="N484:N490"/>
    <mergeCell ref="O484:O490"/>
    <mergeCell ref="P484:P490"/>
    <mergeCell ref="Q484:Q490"/>
    <mergeCell ref="R484:R490"/>
    <mergeCell ref="A496:A500"/>
    <mergeCell ref="B496:B500"/>
    <mergeCell ref="C496:C500"/>
    <mergeCell ref="D496:D500"/>
    <mergeCell ref="E496:E500"/>
    <mergeCell ref="F496:F500"/>
    <mergeCell ref="AM491:AM495"/>
    <mergeCell ref="AN491:AN495"/>
    <mergeCell ref="AO491:AO495"/>
    <mergeCell ref="AP491:AP495"/>
    <mergeCell ref="AQ491:AQ495"/>
    <mergeCell ref="AR491:AR495"/>
    <mergeCell ref="AG491:AG495"/>
    <mergeCell ref="AH491:AH495"/>
    <mergeCell ref="AI491:AI495"/>
    <mergeCell ref="AJ491:AJ495"/>
    <mergeCell ref="AK491:AK495"/>
    <mergeCell ref="AL491:AL495"/>
    <mergeCell ref="R491:R495"/>
    <mergeCell ref="S491:S495"/>
    <mergeCell ref="T491:T495"/>
    <mergeCell ref="X491:X494"/>
    <mergeCell ref="AE491:AE495"/>
    <mergeCell ref="AF491:AF495"/>
    <mergeCell ref="L491:L495"/>
    <mergeCell ref="M491:M495"/>
    <mergeCell ref="N491:N495"/>
    <mergeCell ref="O491:O495"/>
    <mergeCell ref="P491:P495"/>
    <mergeCell ref="Q491:Q495"/>
    <mergeCell ref="F491:F495"/>
    <mergeCell ref="G491:G495"/>
    <mergeCell ref="BA496:BA500"/>
    <mergeCell ref="BB496:BB500"/>
    <mergeCell ref="BC496:BC500"/>
    <mergeCell ref="BD496:BD500"/>
    <mergeCell ref="A501:A505"/>
    <mergeCell ref="B501:B505"/>
    <mergeCell ref="C501:C505"/>
    <mergeCell ref="D501:D505"/>
    <mergeCell ref="E501:E505"/>
    <mergeCell ref="AT496:AT500"/>
    <mergeCell ref="AU496:AU500"/>
    <mergeCell ref="AV496:AV500"/>
    <mergeCell ref="AW496:AW500"/>
    <mergeCell ref="AX496:AX500"/>
    <mergeCell ref="AY496:AY500"/>
    <mergeCell ref="AN496:AN500"/>
    <mergeCell ref="AO496:AO500"/>
    <mergeCell ref="AP496:AP500"/>
    <mergeCell ref="AQ496:AQ500"/>
    <mergeCell ref="AR496:AR500"/>
    <mergeCell ref="AS496:AS500"/>
    <mergeCell ref="AH496:AH500"/>
    <mergeCell ref="AI496:AI500"/>
    <mergeCell ref="AJ496:AJ500"/>
    <mergeCell ref="AK496:AK500"/>
    <mergeCell ref="AL496:AL500"/>
    <mergeCell ref="AM496:AM500"/>
    <mergeCell ref="S496:S500"/>
    <mergeCell ref="T496:T500"/>
    <mergeCell ref="X496:X499"/>
    <mergeCell ref="AE496:AE500"/>
    <mergeCell ref="AF496:AF500"/>
    <mergeCell ref="T501:T505"/>
    <mergeCell ref="X501:X504"/>
    <mergeCell ref="AE501:AE505"/>
    <mergeCell ref="AF501:AF505"/>
    <mergeCell ref="L501:L505"/>
    <mergeCell ref="M501:M505"/>
    <mergeCell ref="N501:N505"/>
    <mergeCell ref="O501:O505"/>
    <mergeCell ref="P501:P505"/>
    <mergeCell ref="Q501:Q505"/>
    <mergeCell ref="F501:F505"/>
    <mergeCell ref="G501:G505"/>
    <mergeCell ref="H501:H505"/>
    <mergeCell ref="I501:I505"/>
    <mergeCell ref="J501:J505"/>
    <mergeCell ref="K501:K505"/>
    <mergeCell ref="AZ496:AZ500"/>
    <mergeCell ref="AG496:AG500"/>
    <mergeCell ref="M496:M500"/>
    <mergeCell ref="N496:N500"/>
    <mergeCell ref="O496:O500"/>
    <mergeCell ref="P496:P500"/>
    <mergeCell ref="Q496:Q500"/>
    <mergeCell ref="R496:R500"/>
    <mergeCell ref="G496:G500"/>
    <mergeCell ref="H496:H500"/>
    <mergeCell ref="I496:I500"/>
    <mergeCell ref="J496:J500"/>
    <mergeCell ref="K496:K500"/>
    <mergeCell ref="L496:L500"/>
    <mergeCell ref="A506:A509"/>
    <mergeCell ref="B506:B509"/>
    <mergeCell ref="C506:C509"/>
    <mergeCell ref="D506:D509"/>
    <mergeCell ref="E506:E509"/>
    <mergeCell ref="F506:F509"/>
    <mergeCell ref="AY501:AY505"/>
    <mergeCell ref="AZ501:AZ505"/>
    <mergeCell ref="BA501:BA505"/>
    <mergeCell ref="BB501:BB505"/>
    <mergeCell ref="BC501:BC505"/>
    <mergeCell ref="BD501:BD505"/>
    <mergeCell ref="AS501:AS505"/>
    <mergeCell ref="AT501:AT505"/>
    <mergeCell ref="AU501:AU505"/>
    <mergeCell ref="AV501:AV505"/>
    <mergeCell ref="AW501:AW505"/>
    <mergeCell ref="AX501:AX505"/>
    <mergeCell ref="AM501:AM505"/>
    <mergeCell ref="AN501:AN505"/>
    <mergeCell ref="AO501:AO505"/>
    <mergeCell ref="AP501:AP505"/>
    <mergeCell ref="AQ501:AQ505"/>
    <mergeCell ref="AR501:AR505"/>
    <mergeCell ref="AG501:AG505"/>
    <mergeCell ref="AH501:AH505"/>
    <mergeCell ref="AI501:AI505"/>
    <mergeCell ref="AJ501:AJ505"/>
    <mergeCell ref="AK501:AK505"/>
    <mergeCell ref="AL501:AL505"/>
    <mergeCell ref="R501:R505"/>
    <mergeCell ref="S501:S505"/>
    <mergeCell ref="BA506:BA509"/>
    <mergeCell ref="BB506:BB509"/>
    <mergeCell ref="BC506:BC509"/>
    <mergeCell ref="BD506:BD509"/>
    <mergeCell ref="A510:A513"/>
    <mergeCell ref="B510:B513"/>
    <mergeCell ref="C510:C513"/>
    <mergeCell ref="D510:D513"/>
    <mergeCell ref="E510:E513"/>
    <mergeCell ref="AT506:AT509"/>
    <mergeCell ref="AU506:AU509"/>
    <mergeCell ref="AV506:AV509"/>
    <mergeCell ref="AW506:AW509"/>
    <mergeCell ref="AX506:AX509"/>
    <mergeCell ref="AY506:AY509"/>
    <mergeCell ref="AN506:AN509"/>
    <mergeCell ref="AO506:AO509"/>
    <mergeCell ref="AP506:AP509"/>
    <mergeCell ref="AQ506:AQ509"/>
    <mergeCell ref="AR506:AR509"/>
    <mergeCell ref="AS506:AS509"/>
    <mergeCell ref="AH506:AH509"/>
    <mergeCell ref="AI506:AI509"/>
    <mergeCell ref="AJ506:AJ509"/>
    <mergeCell ref="AK506:AK509"/>
    <mergeCell ref="AL506:AL509"/>
    <mergeCell ref="AM506:AM509"/>
    <mergeCell ref="S506:S509"/>
    <mergeCell ref="T506:T509"/>
    <mergeCell ref="X506:X508"/>
    <mergeCell ref="AE506:AE509"/>
    <mergeCell ref="AF506:AF509"/>
    <mergeCell ref="T510:T513"/>
    <mergeCell ref="X510:X512"/>
    <mergeCell ref="AE510:AE513"/>
    <mergeCell ref="AF510:AF513"/>
    <mergeCell ref="L510:L513"/>
    <mergeCell ref="M510:M513"/>
    <mergeCell ref="N510:N513"/>
    <mergeCell ref="O510:O513"/>
    <mergeCell ref="P510:P513"/>
    <mergeCell ref="Q510:Q513"/>
    <mergeCell ref="F510:F513"/>
    <mergeCell ref="G510:G513"/>
    <mergeCell ref="H510:H513"/>
    <mergeCell ref="I510:I513"/>
    <mergeCell ref="J510:J513"/>
    <mergeCell ref="K510:K513"/>
    <mergeCell ref="AZ506:AZ509"/>
    <mergeCell ref="AG506:AG509"/>
    <mergeCell ref="M506:M509"/>
    <mergeCell ref="N506:N509"/>
    <mergeCell ref="O506:O509"/>
    <mergeCell ref="P506:P509"/>
    <mergeCell ref="Q506:Q509"/>
    <mergeCell ref="R506:R509"/>
    <mergeCell ref="G506:G509"/>
    <mergeCell ref="H506:H509"/>
    <mergeCell ref="I506:I509"/>
    <mergeCell ref="J506:J509"/>
    <mergeCell ref="K506:K509"/>
    <mergeCell ref="L506:L509"/>
    <mergeCell ref="A514:A517"/>
    <mergeCell ref="B514:B517"/>
    <mergeCell ref="C514:C517"/>
    <mergeCell ref="D514:D517"/>
    <mergeCell ref="E514:E517"/>
    <mergeCell ref="F514:F517"/>
    <mergeCell ref="AY510:AY513"/>
    <mergeCell ref="AZ510:AZ513"/>
    <mergeCell ref="BA510:BA513"/>
    <mergeCell ref="BB510:BB513"/>
    <mergeCell ref="BC510:BC513"/>
    <mergeCell ref="BD510:BD513"/>
    <mergeCell ref="AS510:AS513"/>
    <mergeCell ref="AT510:AT513"/>
    <mergeCell ref="AU510:AU513"/>
    <mergeCell ref="AV510:AV513"/>
    <mergeCell ref="AW510:AW513"/>
    <mergeCell ref="AX510:AX513"/>
    <mergeCell ref="AM510:AM513"/>
    <mergeCell ref="AN510:AN513"/>
    <mergeCell ref="AO510:AO513"/>
    <mergeCell ref="AP510:AP513"/>
    <mergeCell ref="AQ510:AQ513"/>
    <mergeCell ref="AR510:AR513"/>
    <mergeCell ref="AG510:AG513"/>
    <mergeCell ref="AH510:AH513"/>
    <mergeCell ref="AI510:AI513"/>
    <mergeCell ref="AJ510:AJ513"/>
    <mergeCell ref="AK510:AK513"/>
    <mergeCell ref="AL510:AL513"/>
    <mergeCell ref="R510:R513"/>
    <mergeCell ref="S510:S513"/>
    <mergeCell ref="BA514:BA517"/>
    <mergeCell ref="BB514:BB517"/>
    <mergeCell ref="BC514:BC517"/>
    <mergeCell ref="BD514:BD517"/>
    <mergeCell ref="A518:A521"/>
    <mergeCell ref="B518:B521"/>
    <mergeCell ref="C518:C521"/>
    <mergeCell ref="D518:D521"/>
    <mergeCell ref="E518:E521"/>
    <mergeCell ref="AT514:AT517"/>
    <mergeCell ref="AU514:AU517"/>
    <mergeCell ref="AV514:AV517"/>
    <mergeCell ref="AW514:AW517"/>
    <mergeCell ref="AX514:AX517"/>
    <mergeCell ref="AY514:AY517"/>
    <mergeCell ref="AN514:AN517"/>
    <mergeCell ref="AO514:AO517"/>
    <mergeCell ref="AP514:AP517"/>
    <mergeCell ref="AQ514:AQ517"/>
    <mergeCell ref="AR514:AR517"/>
    <mergeCell ref="AS514:AS517"/>
    <mergeCell ref="AH514:AH517"/>
    <mergeCell ref="AI514:AI517"/>
    <mergeCell ref="AJ514:AJ517"/>
    <mergeCell ref="AK514:AK517"/>
    <mergeCell ref="AL514:AL517"/>
    <mergeCell ref="AM514:AM517"/>
    <mergeCell ref="S514:S517"/>
    <mergeCell ref="T514:T517"/>
    <mergeCell ref="X514:X516"/>
    <mergeCell ref="AE514:AE517"/>
    <mergeCell ref="AF514:AF517"/>
    <mergeCell ref="T518:T521"/>
    <mergeCell ref="X518:X520"/>
    <mergeCell ref="AE518:AE521"/>
    <mergeCell ref="AF518:AF521"/>
    <mergeCell ref="L518:L521"/>
    <mergeCell ref="M518:M521"/>
    <mergeCell ref="N518:N521"/>
    <mergeCell ref="O518:O521"/>
    <mergeCell ref="P518:P521"/>
    <mergeCell ref="Q518:Q521"/>
    <mergeCell ref="F518:F521"/>
    <mergeCell ref="G518:G521"/>
    <mergeCell ref="H518:H521"/>
    <mergeCell ref="I518:I521"/>
    <mergeCell ref="J518:J521"/>
    <mergeCell ref="K518:K521"/>
    <mergeCell ref="AZ514:AZ517"/>
    <mergeCell ref="AG514:AG517"/>
    <mergeCell ref="M514:M517"/>
    <mergeCell ref="N514:N517"/>
    <mergeCell ref="O514:O517"/>
    <mergeCell ref="P514:P517"/>
    <mergeCell ref="Q514:Q517"/>
    <mergeCell ref="R514:R517"/>
    <mergeCell ref="G514:G517"/>
    <mergeCell ref="H514:H517"/>
    <mergeCell ref="I514:I517"/>
    <mergeCell ref="J514:J517"/>
    <mergeCell ref="K514:K517"/>
    <mergeCell ref="L514:L517"/>
    <mergeCell ref="A522:A525"/>
    <mergeCell ref="B522:B525"/>
    <mergeCell ref="C522:C525"/>
    <mergeCell ref="D522:D525"/>
    <mergeCell ref="E522:E525"/>
    <mergeCell ref="F522:F525"/>
    <mergeCell ref="AY518:AY521"/>
    <mergeCell ref="AZ518:AZ521"/>
    <mergeCell ref="BA518:BA521"/>
    <mergeCell ref="BB518:BB521"/>
    <mergeCell ref="BC518:BC521"/>
    <mergeCell ref="BD518:BD521"/>
    <mergeCell ref="AS518:AS521"/>
    <mergeCell ref="AT518:AT521"/>
    <mergeCell ref="AU518:AU521"/>
    <mergeCell ref="AV518:AV521"/>
    <mergeCell ref="AW518:AW521"/>
    <mergeCell ref="AX518:AX521"/>
    <mergeCell ref="AM518:AM521"/>
    <mergeCell ref="AN518:AN521"/>
    <mergeCell ref="AO518:AO521"/>
    <mergeCell ref="AP518:AP521"/>
    <mergeCell ref="AQ518:AQ521"/>
    <mergeCell ref="AR518:AR521"/>
    <mergeCell ref="AG518:AG521"/>
    <mergeCell ref="AH518:AH521"/>
    <mergeCell ref="AI518:AI521"/>
    <mergeCell ref="AJ518:AJ521"/>
    <mergeCell ref="AK518:AK521"/>
    <mergeCell ref="AL518:AL521"/>
    <mergeCell ref="R518:R521"/>
    <mergeCell ref="S518:S521"/>
    <mergeCell ref="BA522:BA525"/>
    <mergeCell ref="BB522:BB525"/>
    <mergeCell ref="BC522:BC525"/>
    <mergeCell ref="BD522:BD525"/>
    <mergeCell ref="A526:A529"/>
    <mergeCell ref="B526:B529"/>
    <mergeCell ref="C526:C529"/>
    <mergeCell ref="D526:D529"/>
    <mergeCell ref="E526:E529"/>
    <mergeCell ref="AT522:AT525"/>
    <mergeCell ref="AU522:AU525"/>
    <mergeCell ref="AV522:AV525"/>
    <mergeCell ref="AW522:AW525"/>
    <mergeCell ref="AX522:AX525"/>
    <mergeCell ref="AY522:AY525"/>
    <mergeCell ref="AN522:AN525"/>
    <mergeCell ref="AO522:AO525"/>
    <mergeCell ref="AP522:AP525"/>
    <mergeCell ref="AQ522:AQ525"/>
    <mergeCell ref="AR522:AR525"/>
    <mergeCell ref="AS522:AS525"/>
    <mergeCell ref="AH522:AH525"/>
    <mergeCell ref="AI522:AI525"/>
    <mergeCell ref="AJ522:AJ525"/>
    <mergeCell ref="AK522:AK525"/>
    <mergeCell ref="AL522:AL525"/>
    <mergeCell ref="AM522:AM525"/>
    <mergeCell ref="S522:S525"/>
    <mergeCell ref="T522:T525"/>
    <mergeCell ref="X522:X524"/>
    <mergeCell ref="AE522:AE525"/>
    <mergeCell ref="AF522:AF525"/>
    <mergeCell ref="T526:T529"/>
    <mergeCell ref="X526:X528"/>
    <mergeCell ref="AE526:AE529"/>
    <mergeCell ref="AF526:AF529"/>
    <mergeCell ref="L526:L529"/>
    <mergeCell ref="M526:M529"/>
    <mergeCell ref="N526:N529"/>
    <mergeCell ref="O526:O529"/>
    <mergeCell ref="P526:P529"/>
    <mergeCell ref="Q526:Q529"/>
    <mergeCell ref="F526:F529"/>
    <mergeCell ref="G526:G529"/>
    <mergeCell ref="H526:H529"/>
    <mergeCell ref="I526:I529"/>
    <mergeCell ref="J526:J529"/>
    <mergeCell ref="K526:K529"/>
    <mergeCell ref="AZ522:AZ525"/>
    <mergeCell ref="AG522:AG525"/>
    <mergeCell ref="M522:M525"/>
    <mergeCell ref="N522:N525"/>
    <mergeCell ref="O522:O525"/>
    <mergeCell ref="P522:P525"/>
    <mergeCell ref="Q522:Q525"/>
    <mergeCell ref="R522:R525"/>
    <mergeCell ref="G522:G525"/>
    <mergeCell ref="H522:H525"/>
    <mergeCell ref="I522:I525"/>
    <mergeCell ref="J522:J525"/>
    <mergeCell ref="K522:K525"/>
    <mergeCell ref="L522:L525"/>
    <mergeCell ref="A530:A533"/>
    <mergeCell ref="B530:B533"/>
    <mergeCell ref="C530:C533"/>
    <mergeCell ref="D530:D533"/>
    <mergeCell ref="E530:E533"/>
    <mergeCell ref="F530:F533"/>
    <mergeCell ref="AY526:AY529"/>
    <mergeCell ref="AZ526:AZ529"/>
    <mergeCell ref="BA526:BA529"/>
    <mergeCell ref="BB526:BB529"/>
    <mergeCell ref="BC526:BC529"/>
    <mergeCell ref="BD526:BD529"/>
    <mergeCell ref="AS526:AS529"/>
    <mergeCell ref="AT526:AT529"/>
    <mergeCell ref="AU526:AU529"/>
    <mergeCell ref="AV526:AV529"/>
    <mergeCell ref="AW526:AW529"/>
    <mergeCell ref="AX526:AX529"/>
    <mergeCell ref="AM526:AM529"/>
    <mergeCell ref="AN526:AN529"/>
    <mergeCell ref="AO526:AO529"/>
    <mergeCell ref="AP526:AP529"/>
    <mergeCell ref="AQ526:AQ529"/>
    <mergeCell ref="AR526:AR529"/>
    <mergeCell ref="AG526:AG529"/>
    <mergeCell ref="AH526:AH529"/>
    <mergeCell ref="AI526:AI528"/>
    <mergeCell ref="AJ526:AJ528"/>
    <mergeCell ref="AK526:AK528"/>
    <mergeCell ref="AL526:AL529"/>
    <mergeCell ref="R526:R529"/>
    <mergeCell ref="S526:S529"/>
    <mergeCell ref="AO530:AO533"/>
    <mergeCell ref="AP530:AP533"/>
    <mergeCell ref="AQ530:AQ533"/>
    <mergeCell ref="AR530:AR533"/>
    <mergeCell ref="A534:A536"/>
    <mergeCell ref="B534:B536"/>
    <mergeCell ref="C534:C536"/>
    <mergeCell ref="D534:D536"/>
    <mergeCell ref="E534:E536"/>
    <mergeCell ref="AH530:AH533"/>
    <mergeCell ref="AI530:AI533"/>
    <mergeCell ref="AJ530:AJ533"/>
    <mergeCell ref="AK530:AK533"/>
    <mergeCell ref="AL530:AL533"/>
    <mergeCell ref="AM530:AM533"/>
    <mergeCell ref="S530:S533"/>
    <mergeCell ref="T530:T533"/>
    <mergeCell ref="X530:X532"/>
    <mergeCell ref="AE530:AE533"/>
    <mergeCell ref="AF530:AF533"/>
    <mergeCell ref="AG530:AG533"/>
    <mergeCell ref="M530:M533"/>
    <mergeCell ref="N530:N533"/>
    <mergeCell ref="O530:O533"/>
    <mergeCell ref="P530:P533"/>
    <mergeCell ref="Q530:Q533"/>
    <mergeCell ref="R530:R533"/>
    <mergeCell ref="G530:G533"/>
    <mergeCell ref="H530:H533"/>
    <mergeCell ref="I530:I533"/>
    <mergeCell ref="J530:J533"/>
    <mergeCell ref="K530:K533"/>
    <mergeCell ref="T534:T536"/>
    <mergeCell ref="X534:X535"/>
    <mergeCell ref="AE534:AE536"/>
    <mergeCell ref="AF534:AF536"/>
    <mergeCell ref="L534:L536"/>
    <mergeCell ref="M534:M536"/>
    <mergeCell ref="N534:N536"/>
    <mergeCell ref="O534:O536"/>
    <mergeCell ref="P534:P536"/>
    <mergeCell ref="Q534:Q536"/>
    <mergeCell ref="F534:F536"/>
    <mergeCell ref="G534:G536"/>
    <mergeCell ref="H534:H536"/>
    <mergeCell ref="I534:I536"/>
    <mergeCell ref="J534:J536"/>
    <mergeCell ref="K534:K536"/>
    <mergeCell ref="AN530:AN533"/>
    <mergeCell ref="L530:L533"/>
    <mergeCell ref="A537:A539"/>
    <mergeCell ref="B537:B539"/>
    <mergeCell ref="C537:C539"/>
    <mergeCell ref="D537:D539"/>
    <mergeCell ref="E537:E539"/>
    <mergeCell ref="F537:F539"/>
    <mergeCell ref="AY534:AY536"/>
    <mergeCell ref="AZ534:AZ536"/>
    <mergeCell ref="BA534:BA536"/>
    <mergeCell ref="BB534:BB536"/>
    <mergeCell ref="BC534:BC536"/>
    <mergeCell ref="BD534:BD536"/>
    <mergeCell ref="AS534:AS536"/>
    <mergeCell ref="AT534:AT536"/>
    <mergeCell ref="AU534:AU536"/>
    <mergeCell ref="AV534:AV536"/>
    <mergeCell ref="AW534:AW536"/>
    <mergeCell ref="AX534:AX536"/>
    <mergeCell ref="AM534:AM536"/>
    <mergeCell ref="AN534:AN536"/>
    <mergeCell ref="AO534:AO536"/>
    <mergeCell ref="AP534:AP536"/>
    <mergeCell ref="AQ534:AQ536"/>
    <mergeCell ref="AR534:AR536"/>
    <mergeCell ref="AG534:AG536"/>
    <mergeCell ref="AH534:AH536"/>
    <mergeCell ref="AI534:AI536"/>
    <mergeCell ref="AJ534:AJ536"/>
    <mergeCell ref="AK534:AK536"/>
    <mergeCell ref="AL534:AL536"/>
    <mergeCell ref="R534:R536"/>
    <mergeCell ref="S534:S536"/>
    <mergeCell ref="AL537:AL539"/>
    <mergeCell ref="AM537:AM539"/>
    <mergeCell ref="S537:S539"/>
    <mergeCell ref="T537:T539"/>
    <mergeCell ref="X537:X538"/>
    <mergeCell ref="AE537:AE539"/>
    <mergeCell ref="AF537:AF539"/>
    <mergeCell ref="AG537:AG539"/>
    <mergeCell ref="M537:M539"/>
    <mergeCell ref="N537:N539"/>
    <mergeCell ref="O537:O539"/>
    <mergeCell ref="P537:P539"/>
    <mergeCell ref="Q537:Q539"/>
    <mergeCell ref="R537:R539"/>
    <mergeCell ref="G537:G539"/>
    <mergeCell ref="H537:H539"/>
    <mergeCell ref="I537:I539"/>
    <mergeCell ref="J537:J539"/>
    <mergeCell ref="K537:K539"/>
    <mergeCell ref="L537:L539"/>
    <mergeCell ref="F540:F542"/>
    <mergeCell ref="G540:G542"/>
    <mergeCell ref="H540:H542"/>
    <mergeCell ref="I540:I542"/>
    <mergeCell ref="J540:J542"/>
    <mergeCell ref="K540:K542"/>
    <mergeCell ref="AZ537:AZ539"/>
    <mergeCell ref="BA537:BA539"/>
    <mergeCell ref="BB537:BB539"/>
    <mergeCell ref="BC537:BC539"/>
    <mergeCell ref="BD537:BD539"/>
    <mergeCell ref="A540:A542"/>
    <mergeCell ref="B540:B542"/>
    <mergeCell ref="C540:C542"/>
    <mergeCell ref="D540:D542"/>
    <mergeCell ref="E540:E542"/>
    <mergeCell ref="AT537:AT539"/>
    <mergeCell ref="AU537:AU539"/>
    <mergeCell ref="AV537:AV539"/>
    <mergeCell ref="AW537:AW539"/>
    <mergeCell ref="AX537:AX539"/>
    <mergeCell ref="AY537:AY539"/>
    <mergeCell ref="AN537:AN539"/>
    <mergeCell ref="AO537:AO539"/>
    <mergeCell ref="AP537:AP539"/>
    <mergeCell ref="AQ537:AQ539"/>
    <mergeCell ref="AR537:AR539"/>
    <mergeCell ref="AS537:AS539"/>
    <mergeCell ref="AH537:AH539"/>
    <mergeCell ref="AI537:AI539"/>
    <mergeCell ref="AJ537:AJ539"/>
    <mergeCell ref="AK537:AK539"/>
    <mergeCell ref="AG540:AG542"/>
    <mergeCell ref="AH540:AH542"/>
    <mergeCell ref="AI540:AI542"/>
    <mergeCell ref="AJ540:AJ542"/>
    <mergeCell ref="AK540:AK542"/>
    <mergeCell ref="AL540:AL542"/>
    <mergeCell ref="R540:R542"/>
    <mergeCell ref="S540:S542"/>
    <mergeCell ref="T540:T542"/>
    <mergeCell ref="X540:X541"/>
    <mergeCell ref="AE540:AE542"/>
    <mergeCell ref="AF540:AF542"/>
    <mergeCell ref="L540:L542"/>
    <mergeCell ref="M540:M542"/>
    <mergeCell ref="N540:N542"/>
    <mergeCell ref="O540:O542"/>
    <mergeCell ref="P540:P542"/>
    <mergeCell ref="Q540:Q542"/>
    <mergeCell ref="AY540:AY542"/>
    <mergeCell ref="AZ540:AZ542"/>
    <mergeCell ref="BA540:BA542"/>
    <mergeCell ref="BB540:BB542"/>
    <mergeCell ref="BC540:BC542"/>
    <mergeCell ref="BD540:BD542"/>
    <mergeCell ref="AS540:AS542"/>
    <mergeCell ref="AT540:AT542"/>
    <mergeCell ref="AU540:AU542"/>
    <mergeCell ref="AV540:AV542"/>
    <mergeCell ref="AW540:AW542"/>
    <mergeCell ref="AX540:AX542"/>
    <mergeCell ref="AM540:AM542"/>
    <mergeCell ref="AN540:AN542"/>
    <mergeCell ref="AO540:AO542"/>
    <mergeCell ref="AP540:AP542"/>
    <mergeCell ref="AQ540:AQ542"/>
    <mergeCell ref="AR540:AR542"/>
    <mergeCell ref="AF543:AF545"/>
    <mergeCell ref="AG543:AG545"/>
    <mergeCell ref="M543:M545"/>
    <mergeCell ref="N543:N545"/>
    <mergeCell ref="O543:O545"/>
    <mergeCell ref="P543:P545"/>
    <mergeCell ref="Q543:Q545"/>
    <mergeCell ref="R543:R545"/>
    <mergeCell ref="G543:G545"/>
    <mergeCell ref="H543:H545"/>
    <mergeCell ref="I543:I545"/>
    <mergeCell ref="J543:J545"/>
    <mergeCell ref="K543:K545"/>
    <mergeCell ref="L543:L545"/>
    <mergeCell ref="A543:A545"/>
    <mergeCell ref="B543:B545"/>
    <mergeCell ref="C543:C545"/>
    <mergeCell ref="D543:D545"/>
    <mergeCell ref="E543:E545"/>
    <mergeCell ref="F543:F545"/>
    <mergeCell ref="AZ543:AZ545"/>
    <mergeCell ref="BA543:BA545"/>
    <mergeCell ref="BB543:BB545"/>
    <mergeCell ref="BC543:BC545"/>
    <mergeCell ref="BD543:BD545"/>
    <mergeCell ref="A546:A551"/>
    <mergeCell ref="B546:B551"/>
    <mergeCell ref="C546:C551"/>
    <mergeCell ref="D546:D551"/>
    <mergeCell ref="E546:E551"/>
    <mergeCell ref="AT543:AT545"/>
    <mergeCell ref="AU543:AU545"/>
    <mergeCell ref="AV543:AV545"/>
    <mergeCell ref="AW543:AW545"/>
    <mergeCell ref="AX543:AX545"/>
    <mergeCell ref="AY543:AY545"/>
    <mergeCell ref="AN543:AN545"/>
    <mergeCell ref="AO543:AO545"/>
    <mergeCell ref="AP543:AP545"/>
    <mergeCell ref="AQ543:AQ545"/>
    <mergeCell ref="AR543:AR545"/>
    <mergeCell ref="AS543:AS545"/>
    <mergeCell ref="AH543:AH545"/>
    <mergeCell ref="AI543:AI545"/>
    <mergeCell ref="AJ543:AJ545"/>
    <mergeCell ref="AK543:AK545"/>
    <mergeCell ref="AL543:AL545"/>
    <mergeCell ref="AM543:AM545"/>
    <mergeCell ref="S543:S545"/>
    <mergeCell ref="T543:T545"/>
    <mergeCell ref="X543:X544"/>
    <mergeCell ref="AE543:AE545"/>
    <mergeCell ref="BA546:BA551"/>
    <mergeCell ref="BB546:BB551"/>
    <mergeCell ref="BC546:BC551"/>
    <mergeCell ref="BD546:BD551"/>
    <mergeCell ref="A552:A554"/>
    <mergeCell ref="B552:B554"/>
    <mergeCell ref="C552:C554"/>
    <mergeCell ref="D552:D554"/>
    <mergeCell ref="E552:E554"/>
    <mergeCell ref="AT546:AT551"/>
    <mergeCell ref="AU546:AU551"/>
    <mergeCell ref="AV546:AV551"/>
    <mergeCell ref="AW546:AW551"/>
    <mergeCell ref="AX546:AX551"/>
    <mergeCell ref="AY546:AY551"/>
    <mergeCell ref="AN546:AN551"/>
    <mergeCell ref="AO546:AO551"/>
    <mergeCell ref="AP546:AP551"/>
    <mergeCell ref="AQ546:AQ551"/>
    <mergeCell ref="AR546:AR551"/>
    <mergeCell ref="AS546:AS551"/>
    <mergeCell ref="AH546:AH551"/>
    <mergeCell ref="AI546:AI551"/>
    <mergeCell ref="AJ546:AJ551"/>
    <mergeCell ref="AK546:AK551"/>
    <mergeCell ref="AL546:AL551"/>
    <mergeCell ref="AM546:AM551"/>
    <mergeCell ref="R546:R551"/>
    <mergeCell ref="S546:S551"/>
    <mergeCell ref="T546:T551"/>
    <mergeCell ref="AE546:AE551"/>
    <mergeCell ref="AF546:AF551"/>
    <mergeCell ref="T552:T554"/>
    <mergeCell ref="X552:X553"/>
    <mergeCell ref="AE552:AE554"/>
    <mergeCell ref="AF552:AF554"/>
    <mergeCell ref="L552:L554"/>
    <mergeCell ref="M552:M554"/>
    <mergeCell ref="N552:N554"/>
    <mergeCell ref="O552:O554"/>
    <mergeCell ref="P552:P554"/>
    <mergeCell ref="Q552:Q554"/>
    <mergeCell ref="F552:F554"/>
    <mergeCell ref="G552:G554"/>
    <mergeCell ref="H552:H554"/>
    <mergeCell ref="I552:I554"/>
    <mergeCell ref="J552:J554"/>
    <mergeCell ref="K552:K554"/>
    <mergeCell ref="AZ546:AZ551"/>
    <mergeCell ref="AG546:AG551"/>
    <mergeCell ref="L546:L551"/>
    <mergeCell ref="M546:M551"/>
    <mergeCell ref="N546:N551"/>
    <mergeCell ref="O546:O551"/>
    <mergeCell ref="P546:P551"/>
    <mergeCell ref="Q546:Q551"/>
    <mergeCell ref="F546:F551"/>
    <mergeCell ref="G546:G551"/>
    <mergeCell ref="H546:H551"/>
    <mergeCell ref="I546:I551"/>
    <mergeCell ref="J546:J551"/>
    <mergeCell ref="K546:K551"/>
    <mergeCell ref="A555:A557"/>
    <mergeCell ref="B555:B557"/>
    <mergeCell ref="C555:C557"/>
    <mergeCell ref="D555:D557"/>
    <mergeCell ref="E555:E557"/>
    <mergeCell ref="F555:F557"/>
    <mergeCell ref="AY552:AY554"/>
    <mergeCell ref="AZ552:AZ554"/>
    <mergeCell ref="BA552:BA554"/>
    <mergeCell ref="BB552:BB554"/>
    <mergeCell ref="BC552:BC554"/>
    <mergeCell ref="BD552:BD554"/>
    <mergeCell ref="AS552:AS554"/>
    <mergeCell ref="AT552:AT554"/>
    <mergeCell ref="AU552:AU554"/>
    <mergeCell ref="AV552:AV554"/>
    <mergeCell ref="AW552:AW554"/>
    <mergeCell ref="AX552:AX554"/>
    <mergeCell ref="AM552:AM554"/>
    <mergeCell ref="AN552:AN554"/>
    <mergeCell ref="AO552:AO554"/>
    <mergeCell ref="AP552:AP554"/>
    <mergeCell ref="AQ552:AQ554"/>
    <mergeCell ref="AR552:AR554"/>
    <mergeCell ref="AG552:AG554"/>
    <mergeCell ref="AH552:AH554"/>
    <mergeCell ref="AI552:AI554"/>
    <mergeCell ref="AJ552:AJ554"/>
    <mergeCell ref="AK552:AK554"/>
    <mergeCell ref="AL552:AL554"/>
    <mergeCell ref="R552:R554"/>
    <mergeCell ref="S552:S554"/>
    <mergeCell ref="BA555:BA557"/>
    <mergeCell ref="BB555:BB557"/>
    <mergeCell ref="BC555:BC557"/>
    <mergeCell ref="BD555:BD557"/>
    <mergeCell ref="A558:A565"/>
    <mergeCell ref="B558:B565"/>
    <mergeCell ref="C558:C565"/>
    <mergeCell ref="D558:D565"/>
    <mergeCell ref="E558:E565"/>
    <mergeCell ref="AT555:AT557"/>
    <mergeCell ref="AU555:AU557"/>
    <mergeCell ref="AV555:AV557"/>
    <mergeCell ref="AW555:AW557"/>
    <mergeCell ref="AX555:AX557"/>
    <mergeCell ref="AY555:AY557"/>
    <mergeCell ref="AN555:AN557"/>
    <mergeCell ref="AO555:AO557"/>
    <mergeCell ref="AP555:AP557"/>
    <mergeCell ref="AQ555:AQ557"/>
    <mergeCell ref="AR555:AR557"/>
    <mergeCell ref="AS555:AS557"/>
    <mergeCell ref="AH555:AH557"/>
    <mergeCell ref="AI555:AI557"/>
    <mergeCell ref="AJ555:AJ557"/>
    <mergeCell ref="AK555:AK557"/>
    <mergeCell ref="AL555:AL557"/>
    <mergeCell ref="AM555:AM557"/>
    <mergeCell ref="S555:S557"/>
    <mergeCell ref="T555:T557"/>
    <mergeCell ref="X555:X556"/>
    <mergeCell ref="AE555:AE557"/>
    <mergeCell ref="AF555:AF557"/>
    <mergeCell ref="T558:T565"/>
    <mergeCell ref="X558:X564"/>
    <mergeCell ref="AE558:AE565"/>
    <mergeCell ref="AF558:AF565"/>
    <mergeCell ref="L558:L565"/>
    <mergeCell ref="M558:M565"/>
    <mergeCell ref="N558:N565"/>
    <mergeCell ref="O558:O565"/>
    <mergeCell ref="P558:P565"/>
    <mergeCell ref="Q558:Q565"/>
    <mergeCell ref="F558:F565"/>
    <mergeCell ref="G558:G565"/>
    <mergeCell ref="H558:H565"/>
    <mergeCell ref="I558:I565"/>
    <mergeCell ref="J558:J565"/>
    <mergeCell ref="K558:K565"/>
    <mergeCell ref="AZ555:AZ557"/>
    <mergeCell ref="AG555:AG557"/>
    <mergeCell ref="M555:M557"/>
    <mergeCell ref="N555:N557"/>
    <mergeCell ref="O555:O557"/>
    <mergeCell ref="P555:P557"/>
    <mergeCell ref="Q555:Q557"/>
    <mergeCell ref="R555:R557"/>
    <mergeCell ref="G555:G557"/>
    <mergeCell ref="H555:H557"/>
    <mergeCell ref="I555:I557"/>
    <mergeCell ref="J555:J557"/>
    <mergeCell ref="K555:K557"/>
    <mergeCell ref="L555:L557"/>
    <mergeCell ref="A566:A571"/>
    <mergeCell ref="B566:B571"/>
    <mergeCell ref="C566:C571"/>
    <mergeCell ref="D566:D571"/>
    <mergeCell ref="E566:E571"/>
    <mergeCell ref="F566:F571"/>
    <mergeCell ref="AY558:AY565"/>
    <mergeCell ref="AZ558:AZ565"/>
    <mergeCell ref="BA558:BA565"/>
    <mergeCell ref="BB558:BB565"/>
    <mergeCell ref="BC558:BC565"/>
    <mergeCell ref="BD558:BD565"/>
    <mergeCell ref="AS558:AS565"/>
    <mergeCell ref="AT558:AT565"/>
    <mergeCell ref="AU558:AU565"/>
    <mergeCell ref="AV558:AV565"/>
    <mergeCell ref="AW558:AW565"/>
    <mergeCell ref="AX558:AX565"/>
    <mergeCell ref="AM558:AM565"/>
    <mergeCell ref="AN558:AN565"/>
    <mergeCell ref="AO558:AO565"/>
    <mergeCell ref="AP558:AP565"/>
    <mergeCell ref="AQ558:AQ565"/>
    <mergeCell ref="AR558:AR565"/>
    <mergeCell ref="AG558:AG565"/>
    <mergeCell ref="AH558:AH565"/>
    <mergeCell ref="AI558:AI565"/>
    <mergeCell ref="AJ558:AJ565"/>
    <mergeCell ref="AK558:AK565"/>
    <mergeCell ref="AL558:AL565"/>
    <mergeCell ref="R558:R565"/>
    <mergeCell ref="S558:S565"/>
    <mergeCell ref="BC566:BC570"/>
    <mergeCell ref="BD566:BD570"/>
    <mergeCell ref="A572:A575"/>
    <mergeCell ref="B572:B575"/>
    <mergeCell ref="C572:C575"/>
    <mergeCell ref="D572:D575"/>
    <mergeCell ref="E572:E575"/>
    <mergeCell ref="AT566:AT570"/>
    <mergeCell ref="AU566:AU570"/>
    <mergeCell ref="AV566:AV570"/>
    <mergeCell ref="AW566:AW570"/>
    <mergeCell ref="AX566:AX570"/>
    <mergeCell ref="AY566:AY570"/>
    <mergeCell ref="AN566:AN571"/>
    <mergeCell ref="AO566:AO571"/>
    <mergeCell ref="AP566:AP571"/>
    <mergeCell ref="AQ566:AQ571"/>
    <mergeCell ref="AR566:AR571"/>
    <mergeCell ref="AS566:AS570"/>
    <mergeCell ref="AH566:AH571"/>
    <mergeCell ref="AI566:AI571"/>
    <mergeCell ref="AJ566:AJ571"/>
    <mergeCell ref="AK566:AK571"/>
    <mergeCell ref="AL566:AL571"/>
    <mergeCell ref="AM566:AM571"/>
    <mergeCell ref="S566:S571"/>
    <mergeCell ref="T566:T571"/>
    <mergeCell ref="X566:X570"/>
    <mergeCell ref="AE566:AE571"/>
    <mergeCell ref="AF566:AF571"/>
    <mergeCell ref="AG566:AG571"/>
    <mergeCell ref="M566:M571"/>
    <mergeCell ref="AE572:AE575"/>
    <mergeCell ref="AF572:AF575"/>
    <mergeCell ref="L572:L575"/>
    <mergeCell ref="M572:M575"/>
    <mergeCell ref="N572:N575"/>
    <mergeCell ref="O572:O575"/>
    <mergeCell ref="P572:P575"/>
    <mergeCell ref="Q572:Q575"/>
    <mergeCell ref="F572:F575"/>
    <mergeCell ref="G572:G575"/>
    <mergeCell ref="H572:H575"/>
    <mergeCell ref="I572:I575"/>
    <mergeCell ref="J572:J575"/>
    <mergeCell ref="K572:K575"/>
    <mergeCell ref="AZ566:AZ570"/>
    <mergeCell ref="BA566:BA570"/>
    <mergeCell ref="BB566:BB570"/>
    <mergeCell ref="N566:N571"/>
    <mergeCell ref="O566:O571"/>
    <mergeCell ref="P566:P571"/>
    <mergeCell ref="Q566:Q571"/>
    <mergeCell ref="R566:R571"/>
    <mergeCell ref="G566:G571"/>
    <mergeCell ref="H566:H571"/>
    <mergeCell ref="I566:I571"/>
    <mergeCell ref="J566:J571"/>
    <mergeCell ref="K566:K571"/>
    <mergeCell ref="L566:L571"/>
    <mergeCell ref="C576:C581"/>
    <mergeCell ref="D576:D581"/>
    <mergeCell ref="E576:E581"/>
    <mergeCell ref="F576:F581"/>
    <mergeCell ref="AY572:AY575"/>
    <mergeCell ref="AZ572:AZ575"/>
    <mergeCell ref="BA572:BA575"/>
    <mergeCell ref="BB572:BB575"/>
    <mergeCell ref="BC572:BC575"/>
    <mergeCell ref="BD572:BD575"/>
    <mergeCell ref="AS572:AS575"/>
    <mergeCell ref="AT572:AT575"/>
    <mergeCell ref="AU572:AU575"/>
    <mergeCell ref="AV572:AV575"/>
    <mergeCell ref="AW572:AW575"/>
    <mergeCell ref="AX572:AX575"/>
    <mergeCell ref="AM572:AM575"/>
    <mergeCell ref="AN572:AN575"/>
    <mergeCell ref="AO572:AO575"/>
    <mergeCell ref="AP572:AP575"/>
    <mergeCell ref="AQ572:AQ575"/>
    <mergeCell ref="AR572:AR575"/>
    <mergeCell ref="AG572:AG575"/>
    <mergeCell ref="AH572:AH575"/>
    <mergeCell ref="AI572:AI575"/>
    <mergeCell ref="AJ572:AJ575"/>
    <mergeCell ref="AK572:AK575"/>
    <mergeCell ref="AL572:AL575"/>
    <mergeCell ref="R572:R575"/>
    <mergeCell ref="S572:S575"/>
    <mergeCell ref="T572:T575"/>
    <mergeCell ref="X572:X574"/>
    <mergeCell ref="L582:L589"/>
    <mergeCell ref="M582:M589"/>
    <mergeCell ref="AI576:AI581"/>
    <mergeCell ref="AJ576:AJ581"/>
    <mergeCell ref="AK576:AK581"/>
    <mergeCell ref="A582:A589"/>
    <mergeCell ref="B582:B589"/>
    <mergeCell ref="C582:C589"/>
    <mergeCell ref="D582:D589"/>
    <mergeCell ref="E582:E589"/>
    <mergeCell ref="F582:F589"/>
    <mergeCell ref="G582:G589"/>
    <mergeCell ref="S576:S581"/>
    <mergeCell ref="T576:T581"/>
    <mergeCell ref="AE576:AE581"/>
    <mergeCell ref="AF576:AF581"/>
    <mergeCell ref="AG576:AG581"/>
    <mergeCell ref="AH576:AH581"/>
    <mergeCell ref="M576:M581"/>
    <mergeCell ref="N576:N581"/>
    <mergeCell ref="O576:O581"/>
    <mergeCell ref="P576:P581"/>
    <mergeCell ref="Q576:Q581"/>
    <mergeCell ref="R576:R581"/>
    <mergeCell ref="G576:G581"/>
    <mergeCell ref="H576:H581"/>
    <mergeCell ref="I576:I581"/>
    <mergeCell ref="J576:J581"/>
    <mergeCell ref="K576:K581"/>
    <mergeCell ref="L576:L581"/>
    <mergeCell ref="A576:A581"/>
    <mergeCell ref="B576:B581"/>
    <mergeCell ref="AO582:AO589"/>
    <mergeCell ref="AP582:AP589"/>
    <mergeCell ref="AQ582:AQ589"/>
    <mergeCell ref="AR582:AR589"/>
    <mergeCell ref="A590:A594"/>
    <mergeCell ref="B590:B594"/>
    <mergeCell ref="C590:C594"/>
    <mergeCell ref="D590:D594"/>
    <mergeCell ref="E590:E594"/>
    <mergeCell ref="F590:F594"/>
    <mergeCell ref="AI582:AI589"/>
    <mergeCell ref="AJ582:AJ589"/>
    <mergeCell ref="AK582:AK589"/>
    <mergeCell ref="AL582:AL589"/>
    <mergeCell ref="AM582:AM589"/>
    <mergeCell ref="AN582:AN589"/>
    <mergeCell ref="T582:T589"/>
    <mergeCell ref="X582:X588"/>
    <mergeCell ref="AE582:AE589"/>
    <mergeCell ref="AF582:AF589"/>
    <mergeCell ref="AG582:AG589"/>
    <mergeCell ref="AH582:AH589"/>
    <mergeCell ref="N582:N589"/>
    <mergeCell ref="O582:O589"/>
    <mergeCell ref="P582:P589"/>
    <mergeCell ref="Q582:Q589"/>
    <mergeCell ref="R582:R589"/>
    <mergeCell ref="S582:S589"/>
    <mergeCell ref="H582:H589"/>
    <mergeCell ref="I582:I589"/>
    <mergeCell ref="J582:J589"/>
    <mergeCell ref="K582:K589"/>
    <mergeCell ref="BA590:BA594"/>
    <mergeCell ref="BB590:BB594"/>
    <mergeCell ref="BC590:BC594"/>
    <mergeCell ref="BD590:BD594"/>
    <mergeCell ref="A595:A597"/>
    <mergeCell ref="B595:B597"/>
    <mergeCell ref="C595:C597"/>
    <mergeCell ref="D595:D597"/>
    <mergeCell ref="E595:E597"/>
    <mergeCell ref="AT590:AT594"/>
    <mergeCell ref="AU590:AU594"/>
    <mergeCell ref="AV590:AV594"/>
    <mergeCell ref="AW590:AW594"/>
    <mergeCell ref="AX590:AX594"/>
    <mergeCell ref="AY590:AY594"/>
    <mergeCell ref="AN590:AN594"/>
    <mergeCell ref="AO590:AO594"/>
    <mergeCell ref="AP590:AP594"/>
    <mergeCell ref="AQ590:AQ594"/>
    <mergeCell ref="AR590:AR594"/>
    <mergeCell ref="AS590:AS594"/>
    <mergeCell ref="AH590:AH594"/>
    <mergeCell ref="AI590:AI594"/>
    <mergeCell ref="AJ590:AJ594"/>
    <mergeCell ref="AK590:AK594"/>
    <mergeCell ref="AL590:AL594"/>
    <mergeCell ref="AM590:AM594"/>
    <mergeCell ref="S590:S594"/>
    <mergeCell ref="T590:T594"/>
    <mergeCell ref="X590:X594"/>
    <mergeCell ref="AE590:AE594"/>
    <mergeCell ref="AF590:AF594"/>
    <mergeCell ref="T595:T597"/>
    <mergeCell ref="X595:X596"/>
    <mergeCell ref="AE595:AE597"/>
    <mergeCell ref="AF595:AF597"/>
    <mergeCell ref="L595:L597"/>
    <mergeCell ref="M595:M597"/>
    <mergeCell ref="N595:N597"/>
    <mergeCell ref="O595:O597"/>
    <mergeCell ref="P595:P597"/>
    <mergeCell ref="Q595:Q597"/>
    <mergeCell ref="F595:F597"/>
    <mergeCell ref="G595:G597"/>
    <mergeCell ref="H595:H597"/>
    <mergeCell ref="I595:I597"/>
    <mergeCell ref="J595:J597"/>
    <mergeCell ref="K595:K597"/>
    <mergeCell ref="AZ590:AZ594"/>
    <mergeCell ref="AG590:AG594"/>
    <mergeCell ref="M590:M594"/>
    <mergeCell ref="N590:N594"/>
    <mergeCell ref="O590:O594"/>
    <mergeCell ref="P590:P594"/>
    <mergeCell ref="Q590:Q594"/>
    <mergeCell ref="R590:R594"/>
    <mergeCell ref="G590:G594"/>
    <mergeCell ref="H590:H594"/>
    <mergeCell ref="I590:I594"/>
    <mergeCell ref="J590:J594"/>
    <mergeCell ref="K590:K594"/>
    <mergeCell ref="L590:L594"/>
    <mergeCell ref="A598:A602"/>
    <mergeCell ref="B598:B602"/>
    <mergeCell ref="C598:C602"/>
    <mergeCell ref="D598:D602"/>
    <mergeCell ref="E598:E602"/>
    <mergeCell ref="F598:F602"/>
    <mergeCell ref="AY595:AY597"/>
    <mergeCell ref="AZ595:AZ597"/>
    <mergeCell ref="BA595:BA597"/>
    <mergeCell ref="BB595:BB597"/>
    <mergeCell ref="BC595:BC597"/>
    <mergeCell ref="BD595:BD597"/>
    <mergeCell ref="AS595:AS597"/>
    <mergeCell ref="AT595:AT597"/>
    <mergeCell ref="AU595:AU597"/>
    <mergeCell ref="AV595:AV597"/>
    <mergeCell ref="AW595:AW597"/>
    <mergeCell ref="AX595:AX597"/>
    <mergeCell ref="AM595:AM597"/>
    <mergeCell ref="AN595:AN597"/>
    <mergeCell ref="AO595:AO597"/>
    <mergeCell ref="AP595:AP597"/>
    <mergeCell ref="AQ595:AQ597"/>
    <mergeCell ref="AR595:AR597"/>
    <mergeCell ref="AG595:AG597"/>
    <mergeCell ref="AH595:AH597"/>
    <mergeCell ref="AI595:AI597"/>
    <mergeCell ref="AJ595:AJ597"/>
    <mergeCell ref="AK595:AK597"/>
    <mergeCell ref="AL595:AL597"/>
    <mergeCell ref="R595:R597"/>
    <mergeCell ref="S595:S597"/>
    <mergeCell ref="T598:T602"/>
    <mergeCell ref="X598:X601"/>
    <mergeCell ref="AE598:AE602"/>
    <mergeCell ref="AF598:AF602"/>
    <mergeCell ref="AG598:AG602"/>
    <mergeCell ref="AH598:AH602"/>
    <mergeCell ref="M598:M602"/>
    <mergeCell ref="N598:N602"/>
    <mergeCell ref="O598:O602"/>
    <mergeCell ref="Q598:Q602"/>
    <mergeCell ref="R598:R602"/>
    <mergeCell ref="S598:S602"/>
    <mergeCell ref="P599:P601"/>
    <mergeCell ref="G598:G602"/>
    <mergeCell ref="H598:H602"/>
    <mergeCell ref="I598:I602"/>
    <mergeCell ref="J598:J602"/>
    <mergeCell ref="K598:K602"/>
    <mergeCell ref="L598:L602"/>
    <mergeCell ref="A608:A612"/>
    <mergeCell ref="B608:B612"/>
    <mergeCell ref="C608:C612"/>
    <mergeCell ref="D608:D612"/>
    <mergeCell ref="E608:E612"/>
    <mergeCell ref="F608:F612"/>
    <mergeCell ref="T603:T607"/>
    <mergeCell ref="X603:X606"/>
    <mergeCell ref="AE603:AE607"/>
    <mergeCell ref="AF603:AF607"/>
    <mergeCell ref="AG603:AG607"/>
    <mergeCell ref="AH603:AH607"/>
    <mergeCell ref="M603:M607"/>
    <mergeCell ref="N603:N607"/>
    <mergeCell ref="O603:O607"/>
    <mergeCell ref="Q603:Q607"/>
    <mergeCell ref="R603:R607"/>
    <mergeCell ref="S603:S607"/>
    <mergeCell ref="P604:P607"/>
    <mergeCell ref="G603:G607"/>
    <mergeCell ref="H603:H607"/>
    <mergeCell ref="I603:I607"/>
    <mergeCell ref="J603:J607"/>
    <mergeCell ref="K603:K607"/>
    <mergeCell ref="L603:L607"/>
    <mergeCell ref="A603:A607"/>
    <mergeCell ref="B603:B607"/>
    <mergeCell ref="C603:C607"/>
    <mergeCell ref="D603:D607"/>
    <mergeCell ref="E603:E607"/>
    <mergeCell ref="F603:F607"/>
    <mergeCell ref="A613:A618"/>
    <mergeCell ref="B613:B618"/>
    <mergeCell ref="C613:C618"/>
    <mergeCell ref="D613:D618"/>
    <mergeCell ref="E613:E618"/>
    <mergeCell ref="AT608:AT612"/>
    <mergeCell ref="AU608:AU612"/>
    <mergeCell ref="AV608:AV612"/>
    <mergeCell ref="AW608:AW612"/>
    <mergeCell ref="AX608:AX612"/>
    <mergeCell ref="AY608:AY612"/>
    <mergeCell ref="AN608:AN612"/>
    <mergeCell ref="AO608:AO612"/>
    <mergeCell ref="AP608:AP612"/>
    <mergeCell ref="AQ608:AQ612"/>
    <mergeCell ref="AR608:AR612"/>
    <mergeCell ref="AS608:AS612"/>
    <mergeCell ref="AH608:AH612"/>
    <mergeCell ref="AI608:AI612"/>
    <mergeCell ref="AJ608:AJ612"/>
    <mergeCell ref="AK608:AK612"/>
    <mergeCell ref="AL608:AL612"/>
    <mergeCell ref="AM608:AM612"/>
    <mergeCell ref="S608:S612"/>
    <mergeCell ref="T608:T612"/>
    <mergeCell ref="X608:X612"/>
    <mergeCell ref="AE608:AE612"/>
    <mergeCell ref="AF608:AF612"/>
    <mergeCell ref="AG608:AG612"/>
    <mergeCell ref="M608:M612"/>
    <mergeCell ref="N608:N612"/>
    <mergeCell ref="O608:O612"/>
    <mergeCell ref="L613:L618"/>
    <mergeCell ref="M613:M618"/>
    <mergeCell ref="N613:N618"/>
    <mergeCell ref="O613:O618"/>
    <mergeCell ref="P613:P618"/>
    <mergeCell ref="Q613:Q618"/>
    <mergeCell ref="F613:F618"/>
    <mergeCell ref="G613:G618"/>
    <mergeCell ref="H613:H618"/>
    <mergeCell ref="I613:I618"/>
    <mergeCell ref="J613:J618"/>
    <mergeCell ref="K613:K618"/>
    <mergeCell ref="AZ608:AZ612"/>
    <mergeCell ref="BA608:BA612"/>
    <mergeCell ref="BB608:BB612"/>
    <mergeCell ref="BC608:BC612"/>
    <mergeCell ref="BD608:BD612"/>
    <mergeCell ref="P608:P612"/>
    <mergeCell ref="Q608:Q612"/>
    <mergeCell ref="R608:R612"/>
    <mergeCell ref="G608:G612"/>
    <mergeCell ref="H608:H612"/>
    <mergeCell ref="I608:I612"/>
    <mergeCell ref="J608:J612"/>
    <mergeCell ref="K608:K612"/>
    <mergeCell ref="L608:L612"/>
    <mergeCell ref="AM613:AM618"/>
    <mergeCell ref="AN613:AN618"/>
    <mergeCell ref="AO613:AO618"/>
    <mergeCell ref="AP613:AP618"/>
    <mergeCell ref="AQ613:AQ618"/>
    <mergeCell ref="AR613:AR618"/>
    <mergeCell ref="AG613:AG618"/>
    <mergeCell ref="AH613:AH618"/>
    <mergeCell ref="AI613:AI618"/>
    <mergeCell ref="AJ613:AJ618"/>
    <mergeCell ref="AK613:AK618"/>
    <mergeCell ref="AL613:AL618"/>
    <mergeCell ref="R613:R618"/>
    <mergeCell ref="S613:S618"/>
    <mergeCell ref="T613:T618"/>
    <mergeCell ref="X613:X618"/>
    <mergeCell ref="AE613:AE618"/>
    <mergeCell ref="AF613:AF618"/>
    <mergeCell ref="A624:A627"/>
    <mergeCell ref="B624:B627"/>
    <mergeCell ref="C624:C627"/>
    <mergeCell ref="D624:D627"/>
    <mergeCell ref="E624:E627"/>
    <mergeCell ref="F624:F627"/>
    <mergeCell ref="T619:T623"/>
    <mergeCell ref="X619:X622"/>
    <mergeCell ref="AE619:AE623"/>
    <mergeCell ref="AF619:AF623"/>
    <mergeCell ref="AG619:AG623"/>
    <mergeCell ref="AH619:AH623"/>
    <mergeCell ref="M619:M623"/>
    <mergeCell ref="N619:N623"/>
    <mergeCell ref="O619:O623"/>
    <mergeCell ref="Q619:Q623"/>
    <mergeCell ref="R619:R623"/>
    <mergeCell ref="S619:S623"/>
    <mergeCell ref="P620:P623"/>
    <mergeCell ref="G619:G623"/>
    <mergeCell ref="BC624:BC627"/>
    <mergeCell ref="BD624:BD627"/>
    <mergeCell ref="A628:A630"/>
    <mergeCell ref="B628:B630"/>
    <mergeCell ref="C628:C630"/>
    <mergeCell ref="D628:D630"/>
    <mergeCell ref="E628:E630"/>
    <mergeCell ref="AT624:AT627"/>
    <mergeCell ref="AU624:AU627"/>
    <mergeCell ref="AV624:AV627"/>
    <mergeCell ref="AW624:AW627"/>
    <mergeCell ref="AX624:AX627"/>
    <mergeCell ref="AY624:AY627"/>
    <mergeCell ref="AN624:AN627"/>
    <mergeCell ref="AO624:AO627"/>
    <mergeCell ref="AP624:AP627"/>
    <mergeCell ref="AQ624:AQ627"/>
    <mergeCell ref="AR624:AR627"/>
    <mergeCell ref="AS624:AS627"/>
    <mergeCell ref="AH624:AH627"/>
    <mergeCell ref="AI624:AI627"/>
    <mergeCell ref="AF628:AF630"/>
    <mergeCell ref="L628:L630"/>
    <mergeCell ref="M628:M630"/>
    <mergeCell ref="N628:N630"/>
    <mergeCell ref="O628:O630"/>
    <mergeCell ref="P628:P630"/>
    <mergeCell ref="Q628:Q630"/>
    <mergeCell ref="AZ624:AZ627"/>
    <mergeCell ref="BA624:BA627"/>
    <mergeCell ref="BB624:BB627"/>
    <mergeCell ref="N624:N627"/>
    <mergeCell ref="H619:H623"/>
    <mergeCell ref="I619:I623"/>
    <mergeCell ref="J619:J623"/>
    <mergeCell ref="K619:K623"/>
    <mergeCell ref="L619:L623"/>
    <mergeCell ref="A619:A623"/>
    <mergeCell ref="B619:B623"/>
    <mergeCell ref="C619:C623"/>
    <mergeCell ref="D619:D623"/>
    <mergeCell ref="E619:E623"/>
    <mergeCell ref="F619:F623"/>
    <mergeCell ref="F628:F630"/>
    <mergeCell ref="G628:G630"/>
    <mergeCell ref="H628:H630"/>
    <mergeCell ref="I628:I630"/>
    <mergeCell ref="J628:J630"/>
    <mergeCell ref="K628:K630"/>
    <mergeCell ref="O624:O627"/>
    <mergeCell ref="P624:P627"/>
    <mergeCell ref="Q624:Q627"/>
    <mergeCell ref="R624:R627"/>
    <mergeCell ref="G624:G627"/>
    <mergeCell ref="H624:H627"/>
    <mergeCell ref="I624:I627"/>
    <mergeCell ref="J624:J627"/>
    <mergeCell ref="K624:K627"/>
    <mergeCell ref="L624:L627"/>
    <mergeCell ref="AJ624:AJ627"/>
    <mergeCell ref="AK624:AK627"/>
    <mergeCell ref="AL624:AL627"/>
    <mergeCell ref="AM624:AM627"/>
    <mergeCell ref="S624:S627"/>
    <mergeCell ref="T624:T627"/>
    <mergeCell ref="X624:X626"/>
    <mergeCell ref="AE624:AE627"/>
    <mergeCell ref="AF624:AF627"/>
    <mergeCell ref="AG624:AG627"/>
    <mergeCell ref="M624:M627"/>
    <mergeCell ref="AE628:AE630"/>
    <mergeCell ref="C631:C635"/>
    <mergeCell ref="D631:D635"/>
    <mergeCell ref="E631:E635"/>
    <mergeCell ref="F631:F635"/>
    <mergeCell ref="AY628:AY630"/>
    <mergeCell ref="AZ628:AZ630"/>
    <mergeCell ref="BA628:BA630"/>
    <mergeCell ref="BB628:BB630"/>
    <mergeCell ref="BC628:BC630"/>
    <mergeCell ref="BD628:BD630"/>
    <mergeCell ref="AS628:AS630"/>
    <mergeCell ref="AT628:AT630"/>
    <mergeCell ref="AU628:AU630"/>
    <mergeCell ref="AV628:AV630"/>
    <mergeCell ref="AW628:AW630"/>
    <mergeCell ref="AX628:AX630"/>
    <mergeCell ref="AM628:AM630"/>
    <mergeCell ref="AN628:AN630"/>
    <mergeCell ref="AO628:AO630"/>
    <mergeCell ref="AP628:AP630"/>
    <mergeCell ref="AQ628:AQ630"/>
    <mergeCell ref="AR628:AR630"/>
    <mergeCell ref="AG628:AG630"/>
    <mergeCell ref="AH628:AH630"/>
    <mergeCell ref="AI628:AI630"/>
    <mergeCell ref="AJ628:AJ630"/>
    <mergeCell ref="AK628:AK630"/>
    <mergeCell ref="AL628:AL630"/>
    <mergeCell ref="R628:R630"/>
    <mergeCell ref="S628:S630"/>
    <mergeCell ref="T628:T630"/>
    <mergeCell ref="X628:X629"/>
    <mergeCell ref="A636:A638"/>
    <mergeCell ref="B636:B638"/>
    <mergeCell ref="C636:C638"/>
    <mergeCell ref="D636:D638"/>
    <mergeCell ref="E636:E638"/>
    <mergeCell ref="F636:F638"/>
    <mergeCell ref="AM631:AM635"/>
    <mergeCell ref="AN631:AN635"/>
    <mergeCell ref="AO631:AO635"/>
    <mergeCell ref="AP631:AP635"/>
    <mergeCell ref="AQ631:AQ635"/>
    <mergeCell ref="AR631:AR635"/>
    <mergeCell ref="S631:S635"/>
    <mergeCell ref="T631:T635"/>
    <mergeCell ref="AE631:AE635"/>
    <mergeCell ref="AF631:AF635"/>
    <mergeCell ref="AG631:AG635"/>
    <mergeCell ref="AH631:AH635"/>
    <mergeCell ref="M631:M635"/>
    <mergeCell ref="N631:N635"/>
    <mergeCell ref="O631:O635"/>
    <mergeCell ref="P631:P635"/>
    <mergeCell ref="Q631:Q635"/>
    <mergeCell ref="R631:R635"/>
    <mergeCell ref="G631:G635"/>
    <mergeCell ref="H631:H635"/>
    <mergeCell ref="I631:I635"/>
    <mergeCell ref="J631:J635"/>
    <mergeCell ref="K631:K635"/>
    <mergeCell ref="L631:L635"/>
    <mergeCell ref="A631:A635"/>
    <mergeCell ref="B631:B635"/>
    <mergeCell ref="AL636:AL638"/>
    <mergeCell ref="AM636:AM638"/>
    <mergeCell ref="S636:S638"/>
    <mergeCell ref="T636:T638"/>
    <mergeCell ref="X636:X637"/>
    <mergeCell ref="AE636:AE638"/>
    <mergeCell ref="AF636:AF638"/>
    <mergeCell ref="AG636:AG638"/>
    <mergeCell ref="M636:M638"/>
    <mergeCell ref="N636:N638"/>
    <mergeCell ref="O636:O638"/>
    <mergeCell ref="P636:P638"/>
    <mergeCell ref="Q636:Q638"/>
    <mergeCell ref="R636:R638"/>
    <mergeCell ref="G636:G638"/>
    <mergeCell ref="H636:H638"/>
    <mergeCell ref="I636:I638"/>
    <mergeCell ref="J636:J638"/>
    <mergeCell ref="K636:K638"/>
    <mergeCell ref="L636:L638"/>
    <mergeCell ref="F639:F644"/>
    <mergeCell ref="G639:G644"/>
    <mergeCell ref="H639:H644"/>
    <mergeCell ref="I639:I644"/>
    <mergeCell ref="J639:J644"/>
    <mergeCell ref="K639:K644"/>
    <mergeCell ref="AZ636:AZ638"/>
    <mergeCell ref="BA636:BA638"/>
    <mergeCell ref="BB636:BB638"/>
    <mergeCell ref="BC636:BC638"/>
    <mergeCell ref="BD636:BD638"/>
    <mergeCell ref="A639:A644"/>
    <mergeCell ref="B639:B644"/>
    <mergeCell ref="C639:C644"/>
    <mergeCell ref="D639:D644"/>
    <mergeCell ref="E639:E644"/>
    <mergeCell ref="AT636:AT638"/>
    <mergeCell ref="AU636:AU638"/>
    <mergeCell ref="AV636:AV638"/>
    <mergeCell ref="AW636:AW638"/>
    <mergeCell ref="AX636:AX638"/>
    <mergeCell ref="AY636:AY638"/>
    <mergeCell ref="AN636:AN638"/>
    <mergeCell ref="AO636:AO638"/>
    <mergeCell ref="AP636:AP638"/>
    <mergeCell ref="AQ636:AQ638"/>
    <mergeCell ref="AR636:AR638"/>
    <mergeCell ref="AS636:AS638"/>
    <mergeCell ref="AH636:AH638"/>
    <mergeCell ref="AI636:AI638"/>
    <mergeCell ref="AJ636:AJ638"/>
    <mergeCell ref="AK636:AK638"/>
    <mergeCell ref="AG639:AG644"/>
    <mergeCell ref="AH639:AH644"/>
    <mergeCell ref="AI639:AI644"/>
    <mergeCell ref="AJ639:AJ644"/>
    <mergeCell ref="AK639:AK644"/>
    <mergeCell ref="AL639:AL644"/>
    <mergeCell ref="R639:R644"/>
    <mergeCell ref="S639:S644"/>
    <mergeCell ref="T639:T644"/>
    <mergeCell ref="X639:X643"/>
    <mergeCell ref="AE639:AE644"/>
    <mergeCell ref="AF639:AF644"/>
    <mergeCell ref="L639:L644"/>
    <mergeCell ref="M639:M644"/>
    <mergeCell ref="N639:N644"/>
    <mergeCell ref="O639:O644"/>
    <mergeCell ref="P639:P644"/>
    <mergeCell ref="Q639:Q644"/>
    <mergeCell ref="AY639:AY644"/>
    <mergeCell ref="AZ639:AZ644"/>
    <mergeCell ref="BA639:BA644"/>
    <mergeCell ref="BB639:BB644"/>
    <mergeCell ref="BC639:BC644"/>
    <mergeCell ref="BD639:BD644"/>
    <mergeCell ref="AS639:AS644"/>
    <mergeCell ref="AT639:AT644"/>
    <mergeCell ref="AU639:AU644"/>
    <mergeCell ref="AV639:AV644"/>
    <mergeCell ref="AW639:AW644"/>
    <mergeCell ref="AX639:AX644"/>
    <mergeCell ref="AM639:AM644"/>
    <mergeCell ref="AN639:AN644"/>
    <mergeCell ref="AO639:AO644"/>
    <mergeCell ref="AP639:AP644"/>
    <mergeCell ref="AQ639:AQ644"/>
    <mergeCell ref="AR639:AR644"/>
    <mergeCell ref="AH645:AH649"/>
    <mergeCell ref="AI645:AI649"/>
    <mergeCell ref="M645:M649"/>
    <mergeCell ref="N645:N649"/>
    <mergeCell ref="O645:O649"/>
    <mergeCell ref="Q645:Q649"/>
    <mergeCell ref="R645:R649"/>
    <mergeCell ref="S645:S649"/>
    <mergeCell ref="G645:G649"/>
    <mergeCell ref="H645:H649"/>
    <mergeCell ref="I645:I649"/>
    <mergeCell ref="J645:J649"/>
    <mergeCell ref="K645:K649"/>
    <mergeCell ref="L645:L649"/>
    <mergeCell ref="A645:A649"/>
    <mergeCell ref="B645:B649"/>
    <mergeCell ref="C645:C649"/>
    <mergeCell ref="D645:D649"/>
    <mergeCell ref="E645:E649"/>
    <mergeCell ref="F645:F649"/>
    <mergeCell ref="BB645:BB649"/>
    <mergeCell ref="BC645:BC649"/>
    <mergeCell ref="BD645:BD649"/>
    <mergeCell ref="P647:P649"/>
    <mergeCell ref="A650:A651"/>
    <mergeCell ref="B650:B651"/>
    <mergeCell ref="C650:C651"/>
    <mergeCell ref="D650:D651"/>
    <mergeCell ref="E650:E651"/>
    <mergeCell ref="F650:F651"/>
    <mergeCell ref="AV645:AV649"/>
    <mergeCell ref="AW645:AW649"/>
    <mergeCell ref="AX645:AX649"/>
    <mergeCell ref="AY645:AY649"/>
    <mergeCell ref="AZ645:AZ649"/>
    <mergeCell ref="BA645:BA649"/>
    <mergeCell ref="AP645:AP649"/>
    <mergeCell ref="AQ645:AQ649"/>
    <mergeCell ref="AR645:AR649"/>
    <mergeCell ref="AS645:AS649"/>
    <mergeCell ref="AT645:AT649"/>
    <mergeCell ref="AU645:AU649"/>
    <mergeCell ref="AJ645:AJ649"/>
    <mergeCell ref="AK645:AK649"/>
    <mergeCell ref="AL645:AL649"/>
    <mergeCell ref="AM645:AM649"/>
    <mergeCell ref="AN645:AN649"/>
    <mergeCell ref="AO645:AO649"/>
    <mergeCell ref="T645:T649"/>
    <mergeCell ref="AE645:AE649"/>
    <mergeCell ref="AF645:AF649"/>
    <mergeCell ref="AG645:AG649"/>
    <mergeCell ref="A652:A654"/>
    <mergeCell ref="B652:B654"/>
    <mergeCell ref="C652:C654"/>
    <mergeCell ref="D652:D654"/>
    <mergeCell ref="E652:E654"/>
    <mergeCell ref="F652:F654"/>
    <mergeCell ref="AI650:AI651"/>
    <mergeCell ref="AJ650:AJ651"/>
    <mergeCell ref="AK650:AK651"/>
    <mergeCell ref="AL650:AL651"/>
    <mergeCell ref="AM650:AM651"/>
    <mergeCell ref="AN650:AN651"/>
    <mergeCell ref="S650:S651"/>
    <mergeCell ref="T650:T651"/>
    <mergeCell ref="AE650:AE651"/>
    <mergeCell ref="AF650:AF651"/>
    <mergeCell ref="AG650:AG651"/>
    <mergeCell ref="AH650:AH651"/>
    <mergeCell ref="M650:M651"/>
    <mergeCell ref="N650:N651"/>
    <mergeCell ref="O650:O651"/>
    <mergeCell ref="P650:P651"/>
    <mergeCell ref="Q650:Q651"/>
    <mergeCell ref="R650:R651"/>
    <mergeCell ref="G650:G651"/>
    <mergeCell ref="H650:H651"/>
    <mergeCell ref="I650:I651"/>
    <mergeCell ref="J650:J651"/>
    <mergeCell ref="K650:K651"/>
    <mergeCell ref="L650:L651"/>
    <mergeCell ref="AF652:AF654"/>
    <mergeCell ref="AG652:AG654"/>
    <mergeCell ref="M652:M654"/>
    <mergeCell ref="N652:N654"/>
    <mergeCell ref="O652:O654"/>
    <mergeCell ref="P652:P654"/>
    <mergeCell ref="Q652:Q654"/>
    <mergeCell ref="R652:R654"/>
    <mergeCell ref="G652:G654"/>
    <mergeCell ref="H652:H654"/>
    <mergeCell ref="I652:I654"/>
    <mergeCell ref="J652:J654"/>
    <mergeCell ref="K652:K654"/>
    <mergeCell ref="L652:L654"/>
    <mergeCell ref="AO650:AO651"/>
    <mergeCell ref="AP650:AP651"/>
    <mergeCell ref="AQ650:AQ651"/>
    <mergeCell ref="BA652:BA654"/>
    <mergeCell ref="AR650:AR651"/>
    <mergeCell ref="BB652:BB654"/>
    <mergeCell ref="BC652:BC654"/>
    <mergeCell ref="BD652:BD654"/>
    <mergeCell ref="A655:A657"/>
    <mergeCell ref="B655:B657"/>
    <mergeCell ref="C655:C657"/>
    <mergeCell ref="D655:D657"/>
    <mergeCell ref="E655:E657"/>
    <mergeCell ref="F655:F657"/>
    <mergeCell ref="AU652:AU654"/>
    <mergeCell ref="AV652:AV654"/>
    <mergeCell ref="AW652:AW654"/>
    <mergeCell ref="AX652:AX654"/>
    <mergeCell ref="AY652:AY654"/>
    <mergeCell ref="AZ652:AZ654"/>
    <mergeCell ref="AO652:AO654"/>
    <mergeCell ref="AP652:AP654"/>
    <mergeCell ref="AQ652:AQ654"/>
    <mergeCell ref="AR652:AR654"/>
    <mergeCell ref="AS652:AS654"/>
    <mergeCell ref="AT652:AT654"/>
    <mergeCell ref="AH652:AH654"/>
    <mergeCell ref="AI652:AI654"/>
    <mergeCell ref="AJ652:AJ654"/>
    <mergeCell ref="AK652:AK654"/>
    <mergeCell ref="AM652:AM654"/>
    <mergeCell ref="AN652:AN654"/>
    <mergeCell ref="S652:S654"/>
    <mergeCell ref="T652:T654"/>
    <mergeCell ref="X652:X653"/>
    <mergeCell ref="AE652:AE654"/>
    <mergeCell ref="BD655:BD657"/>
    <mergeCell ref="A658:A661"/>
    <mergeCell ref="B658:B661"/>
    <mergeCell ref="C658:C661"/>
    <mergeCell ref="D658:D661"/>
    <mergeCell ref="E658:E661"/>
    <mergeCell ref="F658:F661"/>
    <mergeCell ref="AU655:AU657"/>
    <mergeCell ref="AV655:AV657"/>
    <mergeCell ref="AW655:AW657"/>
    <mergeCell ref="AX655:AX657"/>
    <mergeCell ref="AY655:AY657"/>
    <mergeCell ref="AZ655:AZ657"/>
    <mergeCell ref="AO655:AO657"/>
    <mergeCell ref="AP655:AP657"/>
    <mergeCell ref="AQ655:AQ657"/>
    <mergeCell ref="AR655:AR657"/>
    <mergeCell ref="AS655:AS657"/>
    <mergeCell ref="AT655:AT657"/>
    <mergeCell ref="AI655:AI657"/>
    <mergeCell ref="AJ655:AJ657"/>
    <mergeCell ref="AK655:AK657"/>
    <mergeCell ref="AL655:AL657"/>
    <mergeCell ref="AM655:AM657"/>
    <mergeCell ref="AN655:AN657"/>
    <mergeCell ref="S655:S657"/>
    <mergeCell ref="T655:T657"/>
    <mergeCell ref="AE655:AE657"/>
    <mergeCell ref="AF655:AF657"/>
    <mergeCell ref="AG655:AG657"/>
    <mergeCell ref="AH655:AH657"/>
    <mergeCell ref="M655:M657"/>
    <mergeCell ref="AG658:AG661"/>
    <mergeCell ref="O658:O661"/>
    <mergeCell ref="P658:P659"/>
    <mergeCell ref="Q658:Q661"/>
    <mergeCell ref="R658:R661"/>
    <mergeCell ref="G658:G661"/>
    <mergeCell ref="H658:H661"/>
    <mergeCell ref="I658:I661"/>
    <mergeCell ref="J658:J661"/>
    <mergeCell ref="K658:K661"/>
    <mergeCell ref="L658:L661"/>
    <mergeCell ref="BA655:BA657"/>
    <mergeCell ref="BB655:BB657"/>
    <mergeCell ref="BC655:BC657"/>
    <mergeCell ref="N655:N657"/>
    <mergeCell ref="O655:O657"/>
    <mergeCell ref="P655:P657"/>
    <mergeCell ref="Q655:Q657"/>
    <mergeCell ref="R655:R657"/>
    <mergeCell ref="G655:G657"/>
    <mergeCell ref="H655:H657"/>
    <mergeCell ref="I655:I657"/>
    <mergeCell ref="J655:J657"/>
    <mergeCell ref="K655:K657"/>
    <mergeCell ref="L655:L657"/>
    <mergeCell ref="BA658:BA661"/>
    <mergeCell ref="BB658:BB661"/>
    <mergeCell ref="BC658:BC661"/>
    <mergeCell ref="BD658:BD661"/>
    <mergeCell ref="A662:A664"/>
    <mergeCell ref="B662:B664"/>
    <mergeCell ref="C662:C664"/>
    <mergeCell ref="D662:D664"/>
    <mergeCell ref="E662:E664"/>
    <mergeCell ref="F662:F664"/>
    <mergeCell ref="AU658:AU661"/>
    <mergeCell ref="AV658:AV661"/>
    <mergeCell ref="AW658:AW661"/>
    <mergeCell ref="AX658:AX661"/>
    <mergeCell ref="AY658:AY661"/>
    <mergeCell ref="AZ658:AZ661"/>
    <mergeCell ref="AO658:AO661"/>
    <mergeCell ref="AP658:AP661"/>
    <mergeCell ref="AQ658:AQ661"/>
    <mergeCell ref="AR658:AR661"/>
    <mergeCell ref="AS658:AS661"/>
    <mergeCell ref="AT658:AT661"/>
    <mergeCell ref="AI658:AI661"/>
    <mergeCell ref="AJ658:AJ661"/>
    <mergeCell ref="AK658:AK661"/>
    <mergeCell ref="AL658:AL661"/>
    <mergeCell ref="AM658:AM661"/>
    <mergeCell ref="AN658:AN661"/>
    <mergeCell ref="S658:S661"/>
    <mergeCell ref="T658:T661"/>
    <mergeCell ref="AE658:AE661"/>
    <mergeCell ref="AF658:AF661"/>
    <mergeCell ref="AH658:AH661"/>
    <mergeCell ref="M658:M661"/>
    <mergeCell ref="N658:N661"/>
    <mergeCell ref="A665:A666"/>
    <mergeCell ref="B665:B666"/>
    <mergeCell ref="C665:C666"/>
    <mergeCell ref="D665:D666"/>
    <mergeCell ref="E665:E666"/>
    <mergeCell ref="F665:F666"/>
    <mergeCell ref="G665:G666"/>
    <mergeCell ref="S662:S664"/>
    <mergeCell ref="T662:T664"/>
    <mergeCell ref="AE662:AE664"/>
    <mergeCell ref="AF662:AF664"/>
    <mergeCell ref="AG662:AG664"/>
    <mergeCell ref="AH662:AH664"/>
    <mergeCell ref="M662:M664"/>
    <mergeCell ref="N662:N664"/>
    <mergeCell ref="O662:O664"/>
    <mergeCell ref="P662:P664"/>
    <mergeCell ref="Q662:Q664"/>
    <mergeCell ref="R662:R664"/>
    <mergeCell ref="G662:G664"/>
    <mergeCell ref="H662:H664"/>
    <mergeCell ref="I662:I664"/>
    <mergeCell ref="J662:J664"/>
    <mergeCell ref="K662:K664"/>
    <mergeCell ref="L662:L664"/>
    <mergeCell ref="AH665:AH666"/>
    <mergeCell ref="AI665:AI666"/>
    <mergeCell ref="N665:N666"/>
    <mergeCell ref="O665:O666"/>
    <mergeCell ref="P665:P666"/>
    <mergeCell ref="Q665:Q666"/>
    <mergeCell ref="R665:R666"/>
    <mergeCell ref="S665:S666"/>
    <mergeCell ref="H665:H666"/>
    <mergeCell ref="I665:I666"/>
    <mergeCell ref="J665:J666"/>
    <mergeCell ref="K665:K666"/>
    <mergeCell ref="L665:L666"/>
    <mergeCell ref="M665:M666"/>
    <mergeCell ref="AS662:AS664"/>
    <mergeCell ref="AT662:AT664"/>
    <mergeCell ref="AY662:AY664"/>
    <mergeCell ref="BB665:BB666"/>
    <mergeCell ref="BC665:BC666"/>
    <mergeCell ref="BD665:BD666"/>
    <mergeCell ref="A667:A669"/>
    <mergeCell ref="B667:B669"/>
    <mergeCell ref="C667:C669"/>
    <mergeCell ref="D667:D669"/>
    <mergeCell ref="E667:E669"/>
    <mergeCell ref="F667:F669"/>
    <mergeCell ref="G667:G669"/>
    <mergeCell ref="AV665:AV666"/>
    <mergeCell ref="AW665:AW666"/>
    <mergeCell ref="AX665:AX666"/>
    <mergeCell ref="AY665:AY666"/>
    <mergeCell ref="AZ665:AZ666"/>
    <mergeCell ref="BA665:BA666"/>
    <mergeCell ref="AP665:AP666"/>
    <mergeCell ref="AQ665:AQ666"/>
    <mergeCell ref="AR665:AR666"/>
    <mergeCell ref="AS665:AS666"/>
    <mergeCell ref="AT665:AT666"/>
    <mergeCell ref="AU665:AU666"/>
    <mergeCell ref="AJ665:AJ666"/>
    <mergeCell ref="AK665:AK666"/>
    <mergeCell ref="AL665:AL666"/>
    <mergeCell ref="AM665:AM666"/>
    <mergeCell ref="AN665:AN666"/>
    <mergeCell ref="AO665:AO666"/>
    <mergeCell ref="T665:T666"/>
    <mergeCell ref="AE665:AE666"/>
    <mergeCell ref="AF665:AF666"/>
    <mergeCell ref="AG665:AG666"/>
    <mergeCell ref="T667:T669"/>
    <mergeCell ref="AE667:AE669"/>
    <mergeCell ref="AF667:AF669"/>
    <mergeCell ref="AG667:AG669"/>
    <mergeCell ref="AH667:AH669"/>
    <mergeCell ref="A670:A673"/>
    <mergeCell ref="B670:B673"/>
    <mergeCell ref="C670:C673"/>
    <mergeCell ref="D670:D673"/>
    <mergeCell ref="E670:E673"/>
    <mergeCell ref="N667:N669"/>
    <mergeCell ref="O667:O669"/>
    <mergeCell ref="P667:P669"/>
    <mergeCell ref="Q667:Q669"/>
    <mergeCell ref="R667:R669"/>
    <mergeCell ref="S667:S669"/>
    <mergeCell ref="H667:H669"/>
    <mergeCell ref="I667:I669"/>
    <mergeCell ref="J667:J669"/>
    <mergeCell ref="K667:K669"/>
    <mergeCell ref="L667:L669"/>
    <mergeCell ref="M667:M669"/>
    <mergeCell ref="AH670:AH673"/>
    <mergeCell ref="AI670:AI673"/>
    <mergeCell ref="AJ670:AJ673"/>
    <mergeCell ref="AK670:AK673"/>
    <mergeCell ref="A674:A675"/>
    <mergeCell ref="B674:B675"/>
    <mergeCell ref="C674:C675"/>
    <mergeCell ref="D674:D675"/>
    <mergeCell ref="E674:E675"/>
    <mergeCell ref="F674:F675"/>
    <mergeCell ref="R670:R673"/>
    <mergeCell ref="S670:S673"/>
    <mergeCell ref="T670:T673"/>
    <mergeCell ref="AE670:AE673"/>
    <mergeCell ref="AF670:AF673"/>
    <mergeCell ref="AG670:AG673"/>
    <mergeCell ref="L670:L673"/>
    <mergeCell ref="M670:M673"/>
    <mergeCell ref="N670:N673"/>
    <mergeCell ref="O670:O673"/>
    <mergeCell ref="P670:P673"/>
    <mergeCell ref="Q670:Q673"/>
    <mergeCell ref="F670:F673"/>
    <mergeCell ref="G670:G673"/>
    <mergeCell ref="H670:H673"/>
    <mergeCell ref="I670:I673"/>
    <mergeCell ref="J670:J673"/>
    <mergeCell ref="K670:K673"/>
    <mergeCell ref="BD674:BD675"/>
    <mergeCell ref="A676:A677"/>
    <mergeCell ref="B676:B677"/>
    <mergeCell ref="C676:C677"/>
    <mergeCell ref="D676:D677"/>
    <mergeCell ref="E676:E677"/>
    <mergeCell ref="F676:F677"/>
    <mergeCell ref="AU674:AU675"/>
    <mergeCell ref="AV674:AV675"/>
    <mergeCell ref="AW674:AW675"/>
    <mergeCell ref="AX674:AX675"/>
    <mergeCell ref="AY674:AY675"/>
    <mergeCell ref="AZ674:AZ675"/>
    <mergeCell ref="AO674:AO675"/>
    <mergeCell ref="AP674:AP675"/>
    <mergeCell ref="AQ674:AQ675"/>
    <mergeCell ref="AR674:AR675"/>
    <mergeCell ref="AS674:AS675"/>
    <mergeCell ref="AT674:AT675"/>
    <mergeCell ref="AI674:AI675"/>
    <mergeCell ref="AJ674:AJ675"/>
    <mergeCell ref="AK674:AK675"/>
    <mergeCell ref="AL674:AL675"/>
    <mergeCell ref="AM674:AM675"/>
    <mergeCell ref="AN674:AN675"/>
    <mergeCell ref="S674:S675"/>
    <mergeCell ref="T674:T675"/>
    <mergeCell ref="AE674:AE675"/>
    <mergeCell ref="AF674:AF675"/>
    <mergeCell ref="AG674:AG675"/>
    <mergeCell ref="AH674:AH675"/>
    <mergeCell ref="M674:M675"/>
    <mergeCell ref="AG676:AG677"/>
    <mergeCell ref="AH676:AH677"/>
    <mergeCell ref="M676:M677"/>
    <mergeCell ref="N676:N677"/>
    <mergeCell ref="O676:O677"/>
    <mergeCell ref="P676:P677"/>
    <mergeCell ref="Q676:Q677"/>
    <mergeCell ref="R676:R677"/>
    <mergeCell ref="G676:G677"/>
    <mergeCell ref="H676:H677"/>
    <mergeCell ref="I676:I677"/>
    <mergeCell ref="J676:J677"/>
    <mergeCell ref="K676:K677"/>
    <mergeCell ref="L676:L677"/>
    <mergeCell ref="BA674:BA675"/>
    <mergeCell ref="BB674:BB675"/>
    <mergeCell ref="BC674:BC675"/>
    <mergeCell ref="N674:N675"/>
    <mergeCell ref="O674:O675"/>
    <mergeCell ref="P674:P675"/>
    <mergeCell ref="Q674:Q675"/>
    <mergeCell ref="R674:R675"/>
    <mergeCell ref="G674:G675"/>
    <mergeCell ref="H674:H675"/>
    <mergeCell ref="I674:I675"/>
    <mergeCell ref="J674:J675"/>
    <mergeCell ref="K674:K675"/>
    <mergeCell ref="L674:L675"/>
    <mergeCell ref="BA676:BA677"/>
    <mergeCell ref="BB676:BB677"/>
    <mergeCell ref="BC676:BC677"/>
    <mergeCell ref="BD676:BD677"/>
    <mergeCell ref="A678:A679"/>
    <mergeCell ref="B678:B679"/>
    <mergeCell ref="C678:C679"/>
    <mergeCell ref="D678:D679"/>
    <mergeCell ref="E678:E679"/>
    <mergeCell ref="F678:F679"/>
    <mergeCell ref="AU676:AU677"/>
    <mergeCell ref="AV676:AV677"/>
    <mergeCell ref="AW676:AW677"/>
    <mergeCell ref="AX676:AX677"/>
    <mergeCell ref="AY676:AY677"/>
    <mergeCell ref="AZ676:AZ677"/>
    <mergeCell ref="AO676:AO677"/>
    <mergeCell ref="AP676:AP677"/>
    <mergeCell ref="AQ676:AQ677"/>
    <mergeCell ref="AR676:AR677"/>
    <mergeCell ref="AS676:AS677"/>
    <mergeCell ref="AT676:AT677"/>
    <mergeCell ref="AI676:AI677"/>
    <mergeCell ref="AJ676:AJ677"/>
    <mergeCell ref="AK676:AK677"/>
    <mergeCell ref="AL676:AL677"/>
    <mergeCell ref="AM676:AM677"/>
    <mergeCell ref="AN676:AN677"/>
    <mergeCell ref="S676:S677"/>
    <mergeCell ref="T676:T677"/>
    <mergeCell ref="AE676:AE677"/>
    <mergeCell ref="AF676:AF677"/>
    <mergeCell ref="S678:S679"/>
    <mergeCell ref="T678:T679"/>
    <mergeCell ref="AE678:AE679"/>
    <mergeCell ref="AF678:AF679"/>
    <mergeCell ref="AG678:AG679"/>
    <mergeCell ref="AH678:AH679"/>
    <mergeCell ref="M678:M679"/>
    <mergeCell ref="N678:N679"/>
    <mergeCell ref="O678:O679"/>
    <mergeCell ref="P678:P679"/>
    <mergeCell ref="Q678:Q679"/>
    <mergeCell ref="R678:R679"/>
    <mergeCell ref="G678:G679"/>
    <mergeCell ref="H678:H679"/>
    <mergeCell ref="I678:I679"/>
    <mergeCell ref="J678:J679"/>
    <mergeCell ref="K678:K679"/>
    <mergeCell ref="L678:L679"/>
    <mergeCell ref="AG680:AG681"/>
    <mergeCell ref="AH680:AH681"/>
    <mergeCell ref="M680:M681"/>
    <mergeCell ref="N680:N681"/>
    <mergeCell ref="O680:O681"/>
    <mergeCell ref="P680:P681"/>
    <mergeCell ref="Q680:Q681"/>
    <mergeCell ref="R680:R681"/>
    <mergeCell ref="G680:G681"/>
    <mergeCell ref="H680:H681"/>
    <mergeCell ref="I680:I681"/>
    <mergeCell ref="J680:J681"/>
    <mergeCell ref="K680:K681"/>
    <mergeCell ref="L680:L681"/>
    <mergeCell ref="A680:A681"/>
    <mergeCell ref="B680:B681"/>
    <mergeCell ref="C680:C681"/>
    <mergeCell ref="D680:D681"/>
    <mergeCell ref="E680:E681"/>
    <mergeCell ref="F680:F681"/>
    <mergeCell ref="BA680:BA681"/>
    <mergeCell ref="BB680:BB681"/>
    <mergeCell ref="BC680:BC681"/>
    <mergeCell ref="BD680:BD681"/>
    <mergeCell ref="A682:A683"/>
    <mergeCell ref="B682:B683"/>
    <mergeCell ref="C682:C683"/>
    <mergeCell ref="D682:D683"/>
    <mergeCell ref="E682:E683"/>
    <mergeCell ref="F682:F683"/>
    <mergeCell ref="AU680:AU681"/>
    <mergeCell ref="AV680:AV681"/>
    <mergeCell ref="AW680:AW681"/>
    <mergeCell ref="AX680:AX681"/>
    <mergeCell ref="AY680:AY681"/>
    <mergeCell ref="AZ680:AZ681"/>
    <mergeCell ref="AO680:AO681"/>
    <mergeCell ref="AP680:AP681"/>
    <mergeCell ref="AQ680:AQ681"/>
    <mergeCell ref="AR680:AR681"/>
    <mergeCell ref="AS680:AS681"/>
    <mergeCell ref="AT680:AT681"/>
    <mergeCell ref="AI680:AI681"/>
    <mergeCell ref="AJ680:AJ681"/>
    <mergeCell ref="AK680:AK681"/>
    <mergeCell ref="AL680:AL681"/>
    <mergeCell ref="AM680:AM681"/>
    <mergeCell ref="AN680:AN681"/>
    <mergeCell ref="S680:S681"/>
    <mergeCell ref="T680:T681"/>
    <mergeCell ref="AE680:AE681"/>
    <mergeCell ref="AF680:AF681"/>
    <mergeCell ref="S682:S683"/>
    <mergeCell ref="T682:T683"/>
    <mergeCell ref="AE682:AE683"/>
    <mergeCell ref="AF682:AF683"/>
    <mergeCell ref="AG682:AG683"/>
    <mergeCell ref="AH682:AH683"/>
    <mergeCell ref="M682:M683"/>
    <mergeCell ref="N682:N683"/>
    <mergeCell ref="O682:O683"/>
    <mergeCell ref="P682:P683"/>
    <mergeCell ref="Q682:Q683"/>
    <mergeCell ref="R682:R683"/>
    <mergeCell ref="G682:G683"/>
    <mergeCell ref="H682:H683"/>
    <mergeCell ref="I682:I683"/>
    <mergeCell ref="J682:J683"/>
    <mergeCell ref="K682:K683"/>
    <mergeCell ref="L682:L683"/>
    <mergeCell ref="AG684:AG685"/>
    <mergeCell ref="AH684:AH685"/>
    <mergeCell ref="M684:M685"/>
    <mergeCell ref="N684:N685"/>
    <mergeCell ref="O684:O685"/>
    <mergeCell ref="P684:P685"/>
    <mergeCell ref="Q684:Q685"/>
    <mergeCell ref="R684:R685"/>
    <mergeCell ref="G684:G685"/>
    <mergeCell ref="H684:H685"/>
    <mergeCell ref="I684:I685"/>
    <mergeCell ref="J684:J685"/>
    <mergeCell ref="K684:K685"/>
    <mergeCell ref="L684:L685"/>
    <mergeCell ref="A684:A685"/>
    <mergeCell ref="B684:B685"/>
    <mergeCell ref="C684:C685"/>
    <mergeCell ref="D684:D685"/>
    <mergeCell ref="E684:E685"/>
    <mergeCell ref="F684:F685"/>
    <mergeCell ref="BA684:BA685"/>
    <mergeCell ref="BB684:BB685"/>
    <mergeCell ref="BC684:BC685"/>
    <mergeCell ref="BD684:BD685"/>
    <mergeCell ref="A686:A687"/>
    <mergeCell ref="B686:B687"/>
    <mergeCell ref="C686:C687"/>
    <mergeCell ref="D686:D687"/>
    <mergeCell ref="E686:E687"/>
    <mergeCell ref="F686:F687"/>
    <mergeCell ref="AU684:AU685"/>
    <mergeCell ref="AV684:AV685"/>
    <mergeCell ref="AW684:AW685"/>
    <mergeCell ref="AX684:AX685"/>
    <mergeCell ref="AY684:AY685"/>
    <mergeCell ref="AZ684:AZ685"/>
    <mergeCell ref="AO684:AO685"/>
    <mergeCell ref="AP684:AP685"/>
    <mergeCell ref="AQ684:AQ685"/>
    <mergeCell ref="AR684:AR685"/>
    <mergeCell ref="AS684:AS685"/>
    <mergeCell ref="AT684:AT685"/>
    <mergeCell ref="AI684:AI685"/>
    <mergeCell ref="AJ684:AJ685"/>
    <mergeCell ref="AK684:AK685"/>
    <mergeCell ref="AL684:AL685"/>
    <mergeCell ref="AM684:AM685"/>
    <mergeCell ref="AN684:AN685"/>
    <mergeCell ref="S684:S685"/>
    <mergeCell ref="T684:T685"/>
    <mergeCell ref="AE684:AE685"/>
    <mergeCell ref="AF684:AF685"/>
    <mergeCell ref="E691:E697"/>
    <mergeCell ref="F691:F697"/>
    <mergeCell ref="S686:S687"/>
    <mergeCell ref="T686:T687"/>
    <mergeCell ref="AE686:AE687"/>
    <mergeCell ref="AF686:AF687"/>
    <mergeCell ref="AG686:AG687"/>
    <mergeCell ref="AH686:AH687"/>
    <mergeCell ref="M686:M687"/>
    <mergeCell ref="N686:N687"/>
    <mergeCell ref="O686:O687"/>
    <mergeCell ref="P686:P687"/>
    <mergeCell ref="Q686:Q687"/>
    <mergeCell ref="R686:R687"/>
    <mergeCell ref="G686:G687"/>
    <mergeCell ref="H686:H687"/>
    <mergeCell ref="I686:I687"/>
    <mergeCell ref="J686:J687"/>
    <mergeCell ref="K686:K687"/>
    <mergeCell ref="L686:L687"/>
    <mergeCell ref="BC691:BC697"/>
    <mergeCell ref="A707:K707"/>
    <mergeCell ref="A709:F709"/>
    <mergeCell ref="A710:G710"/>
    <mergeCell ref="AS691:AS697"/>
    <mergeCell ref="AT691:AT697"/>
    <mergeCell ref="AW691:AW697"/>
    <mergeCell ref="AX691:AX697"/>
    <mergeCell ref="AZ691:AZ697"/>
    <mergeCell ref="BA691:BA697"/>
    <mergeCell ref="S691:S697"/>
    <mergeCell ref="T691:T697"/>
    <mergeCell ref="AE691:AE697"/>
    <mergeCell ref="AF691:AF697"/>
    <mergeCell ref="AG691:AG697"/>
    <mergeCell ref="AH691:AH697"/>
    <mergeCell ref="M691:M697"/>
    <mergeCell ref="N691:N697"/>
    <mergeCell ref="O691:O697"/>
    <mergeCell ref="P691:P697"/>
    <mergeCell ref="Q691:Q697"/>
    <mergeCell ref="R691:R697"/>
    <mergeCell ref="G691:G697"/>
    <mergeCell ref="H691:H697"/>
    <mergeCell ref="I691:I697"/>
    <mergeCell ref="J691:J697"/>
    <mergeCell ref="K691:K697"/>
    <mergeCell ref="L691:L697"/>
    <mergeCell ref="A691:A697"/>
    <mergeCell ref="B691:B697"/>
    <mergeCell ref="C691:C697"/>
    <mergeCell ref="D691:D697"/>
  </mergeCells>
  <hyperlinks>
    <hyperlink ref="G383" r:id="rId1"/>
  </hyperlinks>
  <pageMargins left="0.511811024" right="0.511811024" top="0.78740157499999996" bottom="0.78740157499999996" header="0.31496062000000002" footer="0.31496062000000002"/>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710"/>
  <sheetViews>
    <sheetView workbookViewId="0">
      <selection sqref="A1:XFD11"/>
    </sheetView>
  </sheetViews>
  <sheetFormatPr defaultRowHeight="15" x14ac:dyDescent="0.25"/>
  <cols>
    <col min="1" max="1" width="9.7109375" bestFit="1" customWidth="1"/>
    <col min="2" max="2" width="13.140625" customWidth="1"/>
    <col min="3" max="3" width="13" customWidth="1"/>
    <col min="4" max="4" width="26.42578125" bestFit="1" customWidth="1"/>
    <col min="5" max="5" width="71.140625" customWidth="1"/>
    <col min="6" max="6" width="32.85546875" customWidth="1"/>
    <col min="7" max="7" width="26" style="239" customWidth="1"/>
    <col min="8" max="8" width="57.42578125" customWidth="1"/>
    <col min="9" max="9" width="13.7109375" style="504" customWidth="1"/>
    <col min="10" max="10" width="37" style="505" bestFit="1" customWidth="1"/>
    <col min="11" max="11" width="15.42578125" style="505" customWidth="1"/>
    <col min="12" max="12" width="14.85546875" style="505" customWidth="1"/>
    <col min="13" max="14" width="14" style="502" bestFit="1" customWidth="1"/>
    <col min="15" max="15" width="14" bestFit="1" customWidth="1"/>
    <col min="16" max="16" width="14" style="503" bestFit="1" customWidth="1"/>
    <col min="17" max="17" width="10.140625" bestFit="1" customWidth="1"/>
    <col min="18" max="18" width="8.85546875" bestFit="1" customWidth="1"/>
    <col min="19" max="19" width="9" bestFit="1"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x14ac:dyDescent="0.25">
      <c r="A12" s="163"/>
      <c r="B12" s="163"/>
      <c r="C12" s="163"/>
      <c r="D12" s="163"/>
      <c r="E12" s="163"/>
      <c r="F12" s="163"/>
      <c r="G12" s="163"/>
      <c r="H12" s="163"/>
      <c r="I12" s="163"/>
      <c r="J12" s="163"/>
      <c r="K12" s="163"/>
      <c r="L12" s="163"/>
      <c r="M12" s="163"/>
      <c r="N12" s="163"/>
      <c r="O12" s="163"/>
      <c r="P12" s="163"/>
    </row>
    <row r="13" spans="1:56" x14ac:dyDescent="0.25">
      <c r="A13" s="1353" t="s">
        <v>1</v>
      </c>
      <c r="B13" s="1353"/>
      <c r="C13" s="1353"/>
      <c r="D13" s="1353"/>
      <c r="E13" s="1353"/>
      <c r="F13" s="1353"/>
      <c r="G13" s="1353"/>
      <c r="H13" s="1353"/>
      <c r="I13" s="1353"/>
      <c r="J13" s="1353"/>
      <c r="K13" s="1353"/>
      <c r="L13" s="1353"/>
      <c r="M13" s="1353"/>
      <c r="N13" s="1353"/>
      <c r="O13" s="1353"/>
      <c r="P13" s="1353"/>
      <c r="Q13" s="1353"/>
      <c r="R13" s="1353"/>
      <c r="S13" s="1353"/>
      <c r="T13" s="1353"/>
      <c r="U13" s="1353"/>
      <c r="V13" s="1353"/>
      <c r="W13" s="1353"/>
      <c r="X13" s="1353"/>
      <c r="Y13" s="1353"/>
      <c r="Z13" s="1353"/>
      <c r="AA13" s="1353"/>
      <c r="AB13" s="1353"/>
      <c r="AC13" s="1353"/>
      <c r="AD13" s="1353"/>
      <c r="AE13" s="1353"/>
      <c r="AF13" s="1353"/>
      <c r="AG13" s="1353"/>
      <c r="AH13" s="1353"/>
      <c r="AI13" s="1353"/>
      <c r="AJ13" s="1353"/>
      <c r="AK13" s="1353"/>
      <c r="AL13" s="1353"/>
      <c r="AM13" s="1353"/>
      <c r="AN13" s="1353"/>
      <c r="AO13" s="1353"/>
      <c r="AP13" s="1353"/>
      <c r="AQ13" s="1353"/>
      <c r="AR13" s="1353"/>
      <c r="AS13" s="1353"/>
    </row>
    <row r="14" spans="1:56" x14ac:dyDescent="0.25">
      <c r="A14" s="1353" t="s">
        <v>2</v>
      </c>
      <c r="B14" s="1353"/>
      <c r="C14" s="1353"/>
      <c r="D14" s="1353"/>
      <c r="E14" s="1353"/>
      <c r="F14" s="1353"/>
      <c r="G14" s="1353"/>
      <c r="H14" s="1353"/>
      <c r="I14" s="1353"/>
      <c r="J14" s="1353"/>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row>
    <row r="15" spans="1:56" x14ac:dyDescent="0.25">
      <c r="A15" s="1353" t="s">
        <v>3</v>
      </c>
      <c r="B15" s="1353"/>
      <c r="C15" s="1353"/>
      <c r="D15" s="1353"/>
      <c r="E15" s="1353"/>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230"/>
      <c r="AM15" s="1230"/>
      <c r="AN15" s="1230"/>
      <c r="AO15" s="1230"/>
      <c r="AP15" s="1230"/>
      <c r="AQ15" s="1230"/>
      <c r="AR15" s="1230"/>
      <c r="AS15" s="1230"/>
    </row>
    <row r="16" spans="1:56" x14ac:dyDescent="0.25">
      <c r="A16" s="1228"/>
      <c r="B16" s="1231"/>
      <c r="C16" s="1231"/>
      <c r="D16" s="1231"/>
      <c r="E16" s="1231"/>
      <c r="F16" s="123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231"/>
      <c r="AS16" s="1231"/>
    </row>
    <row r="17" spans="1:45" x14ac:dyDescent="0.25">
      <c r="A17" s="1353" t="s">
        <v>7558</v>
      </c>
      <c r="B17" s="1353"/>
      <c r="C17" s="1353"/>
      <c r="D17" s="1353"/>
      <c r="E17" s="1353"/>
      <c r="F17" s="1353"/>
      <c r="G17" s="1353"/>
      <c r="H17" s="1353"/>
      <c r="I17" s="1353"/>
      <c r="J17" s="1353"/>
      <c r="K17" s="1353"/>
      <c r="L17" s="1353"/>
      <c r="M17" s="1353"/>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c r="AL17" s="1353"/>
      <c r="AM17" s="1353"/>
      <c r="AN17" s="1353"/>
      <c r="AO17" s="1353"/>
      <c r="AP17" s="1353"/>
      <c r="AQ17" s="1353"/>
      <c r="AR17" s="1353"/>
      <c r="AS17" s="1353"/>
    </row>
    <row r="18" spans="1:45" x14ac:dyDescent="0.25">
      <c r="A18" s="1353" t="s">
        <v>7540</v>
      </c>
      <c r="B18" s="1353"/>
      <c r="C18" s="1353"/>
      <c r="D18" s="1353"/>
      <c r="E18" s="1353"/>
      <c r="F18" s="1353"/>
      <c r="G18" s="1353"/>
      <c r="H18" s="1353"/>
      <c r="I18" s="1353"/>
      <c r="J18" s="1353"/>
      <c r="K18" s="1353"/>
      <c r="L18" s="1353"/>
      <c r="M18" s="1353"/>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c r="AL18" s="1353"/>
      <c r="AM18" s="1353"/>
      <c r="AN18" s="1353"/>
      <c r="AO18" s="1353"/>
      <c r="AP18" s="1353"/>
      <c r="AQ18" s="1353"/>
      <c r="AR18" s="1353"/>
      <c r="AS18" s="1353"/>
    </row>
    <row r="19" spans="1:45" x14ac:dyDescent="0.25">
      <c r="A19" s="1230"/>
      <c r="B19" s="1230"/>
      <c r="C19" s="1230"/>
      <c r="D19" s="1230"/>
      <c r="E19" s="1230"/>
      <c r="F19" s="1230"/>
      <c r="G19" s="1230"/>
      <c r="H19" s="1230"/>
      <c r="I19" s="1230"/>
      <c r="J19" s="1230"/>
      <c r="K19" s="1230"/>
      <c r="L19" s="1230"/>
      <c r="M19" s="1230"/>
      <c r="N19" s="1230"/>
      <c r="O19" s="1230"/>
      <c r="P19" s="1230"/>
      <c r="Q19" s="1230"/>
      <c r="R19" s="1230"/>
      <c r="S19" s="1230"/>
      <c r="T19" s="1230"/>
      <c r="U19" s="1230"/>
      <c r="V19" s="1230"/>
      <c r="W19" s="1230"/>
      <c r="X19" s="1230"/>
      <c r="Y19" s="1230"/>
      <c r="Z19" s="1230"/>
      <c r="AA19" s="1230"/>
      <c r="AB19" s="1230"/>
      <c r="AC19" s="1230"/>
      <c r="AD19" s="1230"/>
      <c r="AE19" s="1230"/>
      <c r="AF19" s="1230"/>
      <c r="AG19" s="1230"/>
      <c r="AH19" s="1230"/>
      <c r="AI19" s="1230"/>
      <c r="AJ19" s="1230"/>
      <c r="AK19" s="1230"/>
      <c r="AL19" s="1230"/>
      <c r="AM19" s="1230"/>
      <c r="AN19" s="1230"/>
      <c r="AO19" s="1230"/>
      <c r="AP19" s="1230"/>
      <c r="AQ19" s="1230"/>
      <c r="AR19" s="1230"/>
      <c r="AS19" s="1230"/>
    </row>
    <row r="20" spans="1:45" ht="15.75" thickBot="1" x14ac:dyDescent="0.3">
      <c r="A20" s="2332" t="s">
        <v>2777</v>
      </c>
      <c r="B20" s="2332"/>
      <c r="C20" s="2332"/>
      <c r="D20" s="2332"/>
      <c r="E20" s="2332"/>
      <c r="F20" s="2332"/>
      <c r="G20" s="2332"/>
      <c r="H20" s="2332"/>
      <c r="I20" s="2332"/>
      <c r="J20" s="2332"/>
      <c r="K20" s="2332"/>
      <c r="L20" s="2332"/>
      <c r="M20" s="2332"/>
      <c r="N20" s="2332"/>
      <c r="O20" s="2332"/>
      <c r="P20" s="2332"/>
      <c r="Q20" s="497"/>
    </row>
    <row r="21" spans="1:45" s="420" customFormat="1" ht="15.75" customHeight="1" x14ac:dyDescent="0.25">
      <c r="A21" s="2056" t="s">
        <v>2778</v>
      </c>
      <c r="B21" s="2049"/>
      <c r="C21" s="2049"/>
      <c r="D21" s="2049"/>
      <c r="E21" s="2049"/>
      <c r="F21" s="2095" t="s">
        <v>2779</v>
      </c>
      <c r="G21" s="2095"/>
      <c r="H21" s="2095"/>
      <c r="I21" s="2095"/>
      <c r="J21" s="2095"/>
      <c r="K21" s="2095"/>
      <c r="L21" s="2095"/>
      <c r="M21" s="2095"/>
      <c r="N21" s="2095"/>
      <c r="O21" s="2095"/>
      <c r="P21" s="2096"/>
      <c r="Q21" s="1908"/>
    </row>
    <row r="22" spans="1:45" s="420" customFormat="1" ht="15.75" customHeight="1" x14ac:dyDescent="0.25">
      <c r="A22" s="2057"/>
      <c r="B22" s="2050"/>
      <c r="C22" s="2050"/>
      <c r="D22" s="2050"/>
      <c r="E22" s="2050"/>
      <c r="F22" s="2050" t="s">
        <v>2780</v>
      </c>
      <c r="G22" s="2050"/>
      <c r="H22" s="2050"/>
      <c r="I22" s="2333" t="s">
        <v>918</v>
      </c>
      <c r="J22" s="2333"/>
      <c r="K22" s="2333"/>
      <c r="L22" s="2333"/>
      <c r="M22" s="2334" t="s">
        <v>2781</v>
      </c>
      <c r="N22" s="2334"/>
      <c r="O22" s="2050" t="s">
        <v>2782</v>
      </c>
      <c r="P22" s="2052"/>
      <c r="Q22" s="2327"/>
    </row>
    <row r="23" spans="1:45" s="420" customFormat="1" ht="26.25" thickBot="1" x14ac:dyDescent="0.3">
      <c r="A23" s="1869" t="s">
        <v>2783</v>
      </c>
      <c r="B23" s="1870" t="s">
        <v>32</v>
      </c>
      <c r="C23" s="1870" t="s">
        <v>23</v>
      </c>
      <c r="D23" s="1870" t="s">
        <v>2784</v>
      </c>
      <c r="E23" s="1870" t="s">
        <v>33</v>
      </c>
      <c r="F23" s="12" t="s">
        <v>2785</v>
      </c>
      <c r="G23" s="1870" t="s">
        <v>36</v>
      </c>
      <c r="H23" s="1870" t="s">
        <v>2784</v>
      </c>
      <c r="I23" s="1498" t="s">
        <v>2786</v>
      </c>
      <c r="J23" s="1498" t="s">
        <v>2787</v>
      </c>
      <c r="K23" s="1498" t="s">
        <v>2788</v>
      </c>
      <c r="L23" s="1498" t="s">
        <v>2789</v>
      </c>
      <c r="M23" s="1909" t="s">
        <v>58</v>
      </c>
      <c r="N23" s="1909" t="s">
        <v>2790</v>
      </c>
      <c r="O23" s="1870" t="s">
        <v>43</v>
      </c>
      <c r="P23" s="1910" t="s">
        <v>47</v>
      </c>
      <c r="Q23" s="2327"/>
    </row>
    <row r="24" spans="1:45" s="420" customFormat="1" ht="30" customHeight="1" x14ac:dyDescent="0.25">
      <c r="A24" s="2328" t="s">
        <v>2791</v>
      </c>
      <c r="B24" s="1394"/>
      <c r="C24" s="2195"/>
      <c r="D24" s="2328"/>
      <c r="E24" s="2021" t="s">
        <v>2792</v>
      </c>
      <c r="F24" s="1770" t="s">
        <v>2793</v>
      </c>
      <c r="G24" s="1717"/>
      <c r="H24" s="1760">
        <v>10894</v>
      </c>
      <c r="I24" s="2290">
        <v>96264</v>
      </c>
      <c r="J24" s="1778">
        <v>0</v>
      </c>
      <c r="K24" s="2290">
        <v>14544.49</v>
      </c>
      <c r="L24" s="2290">
        <v>120329.81000000001</v>
      </c>
      <c r="M24" s="1761">
        <v>41172</v>
      </c>
      <c r="N24" s="1761">
        <v>41563</v>
      </c>
      <c r="O24" s="2021">
        <v>1</v>
      </c>
      <c r="P24" s="2330">
        <v>33903900</v>
      </c>
      <c r="Q24" s="1784"/>
    </row>
    <row r="25" spans="1:45" s="420" customFormat="1" ht="30" customHeight="1" x14ac:dyDescent="0.25">
      <c r="A25" s="2328"/>
      <c r="B25" s="1394" t="s">
        <v>2794</v>
      </c>
      <c r="C25" s="2195"/>
      <c r="D25" s="2328"/>
      <c r="E25" s="2021"/>
      <c r="F25" s="71" t="s">
        <v>2795</v>
      </c>
      <c r="G25" s="1394" t="s">
        <v>2796</v>
      </c>
      <c r="H25" s="1911">
        <v>11143</v>
      </c>
      <c r="I25" s="2290"/>
      <c r="J25" s="1779">
        <v>0</v>
      </c>
      <c r="K25" s="2290"/>
      <c r="L25" s="2290"/>
      <c r="M25" s="1763">
        <v>41564</v>
      </c>
      <c r="N25" s="1763">
        <v>41742</v>
      </c>
      <c r="O25" s="2021"/>
      <c r="P25" s="2330"/>
      <c r="Q25" s="1784"/>
    </row>
    <row r="26" spans="1:45" s="420" customFormat="1" ht="30" customHeight="1" x14ac:dyDescent="0.25">
      <c r="A26" s="2329"/>
      <c r="B26" s="1783"/>
      <c r="C26" s="2196"/>
      <c r="D26" s="2329"/>
      <c r="E26" s="1986"/>
      <c r="F26" s="71" t="s">
        <v>2797</v>
      </c>
      <c r="G26" s="1783"/>
      <c r="H26" s="1758">
        <v>11198</v>
      </c>
      <c r="I26" s="2283"/>
      <c r="J26" s="1779">
        <v>24065.81</v>
      </c>
      <c r="K26" s="2283"/>
      <c r="L26" s="2283"/>
      <c r="M26" s="1779">
        <v>0</v>
      </c>
      <c r="N26" s="1779">
        <v>0</v>
      </c>
      <c r="O26" s="1986"/>
      <c r="P26" s="2331"/>
      <c r="Q26" s="1784"/>
    </row>
    <row r="27" spans="1:45" s="420" customFormat="1" ht="30" customHeight="1" x14ac:dyDescent="0.25">
      <c r="A27" s="1985" t="s">
        <v>2798</v>
      </c>
      <c r="B27" s="1985" t="s">
        <v>2799</v>
      </c>
      <c r="C27" s="1985"/>
      <c r="D27" s="1985"/>
      <c r="E27" s="1985" t="s">
        <v>2800</v>
      </c>
      <c r="F27" s="1759" t="s">
        <v>1003</v>
      </c>
      <c r="G27" s="1985" t="s">
        <v>2801</v>
      </c>
      <c r="H27" s="1758">
        <v>10989</v>
      </c>
      <c r="I27" s="2282">
        <v>122678.37</v>
      </c>
      <c r="J27" s="1779">
        <v>0</v>
      </c>
      <c r="K27" s="2282">
        <v>13567.15</v>
      </c>
      <c r="L27" s="2282">
        <v>58048.9</v>
      </c>
      <c r="M27" s="1763">
        <v>41297</v>
      </c>
      <c r="N27" s="1763">
        <v>41417</v>
      </c>
      <c r="O27" s="1985">
        <v>1</v>
      </c>
      <c r="P27" s="1985">
        <v>33903900</v>
      </c>
      <c r="Q27" s="1784"/>
    </row>
    <row r="28" spans="1:45" s="420" customFormat="1" ht="30" customHeight="1" x14ac:dyDescent="0.25">
      <c r="A28" s="2021"/>
      <c r="B28" s="2021"/>
      <c r="C28" s="2021"/>
      <c r="D28" s="2021"/>
      <c r="E28" s="2021"/>
      <c r="F28" s="1759" t="s">
        <v>2802</v>
      </c>
      <c r="G28" s="2021"/>
      <c r="H28" s="1758">
        <v>11035</v>
      </c>
      <c r="I28" s="2290"/>
      <c r="J28" s="1779">
        <v>0</v>
      </c>
      <c r="K28" s="2290"/>
      <c r="L28" s="2290"/>
      <c r="M28" s="1763">
        <f>N27+1</f>
        <v>41418</v>
      </c>
      <c r="N28" s="1763">
        <v>41477</v>
      </c>
      <c r="O28" s="2021"/>
      <c r="P28" s="2021"/>
      <c r="Q28" s="1784"/>
    </row>
    <row r="29" spans="1:45" s="420" customFormat="1" ht="30" customHeight="1" x14ac:dyDescent="0.25">
      <c r="A29" s="2021"/>
      <c r="B29" s="2021"/>
      <c r="C29" s="2021"/>
      <c r="D29" s="2021"/>
      <c r="E29" s="2021"/>
      <c r="F29" s="1759" t="s">
        <v>2803</v>
      </c>
      <c r="G29" s="2021"/>
      <c r="H29" s="1758">
        <v>11099</v>
      </c>
      <c r="I29" s="2290"/>
      <c r="J29" s="1779">
        <v>0</v>
      </c>
      <c r="K29" s="2290"/>
      <c r="L29" s="2290"/>
      <c r="M29" s="1763">
        <f>N28+1</f>
        <v>41478</v>
      </c>
      <c r="N29" s="1763">
        <v>41597</v>
      </c>
      <c r="O29" s="2021"/>
      <c r="P29" s="2021"/>
      <c r="Q29" s="1784"/>
    </row>
    <row r="30" spans="1:45" s="420" customFormat="1" ht="30" customHeight="1" x14ac:dyDescent="0.25">
      <c r="A30" s="2021"/>
      <c r="B30" s="2021"/>
      <c r="C30" s="2021"/>
      <c r="D30" s="2021"/>
      <c r="E30" s="2021"/>
      <c r="F30" s="1759" t="s">
        <v>2804</v>
      </c>
      <c r="G30" s="2021"/>
      <c r="H30" s="1758">
        <v>11143</v>
      </c>
      <c r="I30" s="2290"/>
      <c r="J30" s="1779">
        <v>0</v>
      </c>
      <c r="K30" s="2290"/>
      <c r="L30" s="2290"/>
      <c r="M30" s="1763">
        <f t="shared" ref="M30:M32" si="0">N29+1</f>
        <v>41598</v>
      </c>
      <c r="N30" s="1763">
        <v>41717</v>
      </c>
      <c r="O30" s="2021"/>
      <c r="P30" s="2021"/>
      <c r="Q30" s="1784"/>
    </row>
    <row r="31" spans="1:45" s="420" customFormat="1" ht="30" customHeight="1" x14ac:dyDescent="0.25">
      <c r="A31" s="2021"/>
      <c r="B31" s="2021"/>
      <c r="C31" s="2021"/>
      <c r="D31" s="2021"/>
      <c r="E31" s="2021"/>
      <c r="F31" s="1759" t="s">
        <v>2805</v>
      </c>
      <c r="G31" s="2021"/>
      <c r="H31" s="1758">
        <v>11207</v>
      </c>
      <c r="I31" s="2290"/>
      <c r="J31" s="1779">
        <v>0</v>
      </c>
      <c r="K31" s="2290"/>
      <c r="L31" s="2290"/>
      <c r="M31" s="1763">
        <f t="shared" si="0"/>
        <v>41718</v>
      </c>
      <c r="N31" s="1763">
        <v>41837</v>
      </c>
      <c r="O31" s="2021"/>
      <c r="P31" s="2021"/>
      <c r="Q31" s="1784"/>
    </row>
    <row r="32" spans="1:45" s="420" customFormat="1" ht="30" customHeight="1" x14ac:dyDescent="0.25">
      <c r="A32" s="2021"/>
      <c r="B32" s="2021"/>
      <c r="C32" s="2021"/>
      <c r="D32" s="2021"/>
      <c r="E32" s="2021"/>
      <c r="F32" s="1759" t="s">
        <v>2806</v>
      </c>
      <c r="G32" s="2021"/>
      <c r="H32" s="1758">
        <v>11354</v>
      </c>
      <c r="I32" s="2290"/>
      <c r="J32" s="1779">
        <v>0</v>
      </c>
      <c r="K32" s="2290"/>
      <c r="L32" s="2290"/>
      <c r="M32" s="1763">
        <f t="shared" si="0"/>
        <v>41838</v>
      </c>
      <c r="N32" s="1763">
        <v>41957</v>
      </c>
      <c r="O32" s="2021"/>
      <c r="P32" s="2021"/>
      <c r="Q32" s="1784"/>
    </row>
    <row r="33" spans="1:17" s="420" customFormat="1" ht="30" customHeight="1" x14ac:dyDescent="0.25">
      <c r="A33" s="1986"/>
      <c r="B33" s="1986"/>
      <c r="C33" s="1986"/>
      <c r="D33" s="1986"/>
      <c r="E33" s="1986"/>
      <c r="F33" s="1759" t="s">
        <v>2807</v>
      </c>
      <c r="G33" s="1986"/>
      <c r="H33" s="1758">
        <v>11460</v>
      </c>
      <c r="I33" s="2283"/>
      <c r="J33" s="1779"/>
      <c r="K33" s="2283"/>
      <c r="L33" s="2283"/>
      <c r="M33" s="1763">
        <v>41958</v>
      </c>
      <c r="N33" s="1763">
        <v>42050</v>
      </c>
      <c r="O33" s="1986"/>
      <c r="P33" s="1986"/>
      <c r="Q33" s="1784"/>
    </row>
    <row r="34" spans="1:17" s="420" customFormat="1" ht="30" customHeight="1" x14ac:dyDescent="0.25">
      <c r="A34" s="1985" t="s">
        <v>2808</v>
      </c>
      <c r="B34" s="1985" t="s">
        <v>2809</v>
      </c>
      <c r="C34" s="1985"/>
      <c r="D34" s="1985"/>
      <c r="E34" s="1985" t="s">
        <v>2810</v>
      </c>
      <c r="F34" s="1759" t="s">
        <v>2811</v>
      </c>
      <c r="G34" s="1985" t="s">
        <v>2812</v>
      </c>
      <c r="H34" s="1758">
        <v>10067</v>
      </c>
      <c r="I34" s="2282">
        <v>73813.64</v>
      </c>
      <c r="J34" s="1779">
        <v>0</v>
      </c>
      <c r="K34" s="2282">
        <v>0</v>
      </c>
      <c r="L34" s="2282">
        <v>84560.5</v>
      </c>
      <c r="M34" s="1763">
        <v>41431</v>
      </c>
      <c r="N34" s="1763">
        <v>41971</v>
      </c>
      <c r="O34" s="1985">
        <v>1</v>
      </c>
      <c r="P34" s="2335">
        <v>33903900</v>
      </c>
      <c r="Q34" s="1784"/>
    </row>
    <row r="35" spans="1:17" s="420" customFormat="1" ht="30" customHeight="1" x14ac:dyDescent="0.25">
      <c r="A35" s="1986"/>
      <c r="B35" s="1986"/>
      <c r="C35" s="1986"/>
      <c r="D35" s="1986"/>
      <c r="E35" s="1986"/>
      <c r="F35" s="1759" t="s">
        <v>2813</v>
      </c>
      <c r="G35" s="1986"/>
      <c r="H35" s="1758">
        <v>11139</v>
      </c>
      <c r="I35" s="2283"/>
      <c r="J35" s="1779">
        <v>36853.35</v>
      </c>
      <c r="K35" s="2283"/>
      <c r="L35" s="2283"/>
      <c r="M35" s="1763"/>
      <c r="N35" s="1763"/>
      <c r="O35" s="1986"/>
      <c r="P35" s="2331"/>
      <c r="Q35" s="1784"/>
    </row>
    <row r="36" spans="1:17" s="420" customFormat="1" ht="30" customHeight="1" x14ac:dyDescent="0.25">
      <c r="A36" s="1985" t="s">
        <v>2814</v>
      </c>
      <c r="B36" s="1985" t="s">
        <v>2809</v>
      </c>
      <c r="C36" s="1985"/>
      <c r="D36" s="1985"/>
      <c r="E36" s="1985" t="s">
        <v>2815</v>
      </c>
      <c r="F36" s="1759" t="s">
        <v>1748</v>
      </c>
      <c r="G36" s="1758" t="s">
        <v>2816</v>
      </c>
      <c r="H36" s="1758">
        <v>11088</v>
      </c>
      <c r="I36" s="2282">
        <v>34141.980000000003</v>
      </c>
      <c r="J36" s="1779">
        <v>0</v>
      </c>
      <c r="K36" s="2282">
        <v>20523.41</v>
      </c>
      <c r="L36" s="2282">
        <v>42549.16</v>
      </c>
      <c r="M36" s="1763">
        <v>41464</v>
      </c>
      <c r="N36" s="1763">
        <v>41584</v>
      </c>
      <c r="O36" s="1985">
        <v>1</v>
      </c>
      <c r="P36" s="2335">
        <v>44905100</v>
      </c>
      <c r="Q36" s="1784"/>
    </row>
    <row r="37" spans="1:17" s="420" customFormat="1" ht="30" customHeight="1" x14ac:dyDescent="0.25">
      <c r="A37" s="2021" t="s">
        <v>2814</v>
      </c>
      <c r="B37" s="2021"/>
      <c r="C37" s="2021"/>
      <c r="D37" s="2021"/>
      <c r="E37" s="2021"/>
      <c r="F37" s="1759" t="s">
        <v>2817</v>
      </c>
      <c r="G37" s="1758" t="s">
        <v>2816</v>
      </c>
      <c r="H37" s="1758">
        <v>11177</v>
      </c>
      <c r="I37" s="2290"/>
      <c r="J37" s="1779">
        <v>0</v>
      </c>
      <c r="K37" s="2290"/>
      <c r="L37" s="2290"/>
      <c r="M37" s="1763">
        <f>N36+1</f>
        <v>41585</v>
      </c>
      <c r="N37" s="1763">
        <v>41704</v>
      </c>
      <c r="O37" s="2021"/>
      <c r="P37" s="2330"/>
      <c r="Q37" s="1784"/>
    </row>
    <row r="38" spans="1:17" s="420" customFormat="1" ht="30" customHeight="1" x14ac:dyDescent="0.25">
      <c r="A38" s="2021" t="s">
        <v>2814</v>
      </c>
      <c r="B38" s="2021"/>
      <c r="C38" s="2021"/>
      <c r="D38" s="2021"/>
      <c r="E38" s="2021"/>
      <c r="F38" s="1759" t="s">
        <v>2818</v>
      </c>
      <c r="G38" s="1758" t="s">
        <v>2816</v>
      </c>
      <c r="H38" s="1758">
        <v>11266</v>
      </c>
      <c r="I38" s="2290"/>
      <c r="J38" s="1779">
        <v>0</v>
      </c>
      <c r="K38" s="2290"/>
      <c r="L38" s="2290"/>
      <c r="M38" s="1763">
        <f t="shared" ref="M38" si="1">N37+1</f>
        <v>41705</v>
      </c>
      <c r="N38" s="1763">
        <v>41764</v>
      </c>
      <c r="O38" s="2021"/>
      <c r="P38" s="2330"/>
      <c r="Q38" s="1784"/>
    </row>
    <row r="39" spans="1:17" s="420" customFormat="1" ht="30" customHeight="1" x14ac:dyDescent="0.25">
      <c r="A39" s="1986" t="s">
        <v>2814</v>
      </c>
      <c r="B39" s="1986"/>
      <c r="C39" s="1986"/>
      <c r="D39" s="1986"/>
      <c r="E39" s="1986"/>
      <c r="F39" s="1759" t="s">
        <v>2819</v>
      </c>
      <c r="G39" s="1758" t="s">
        <v>2816</v>
      </c>
      <c r="H39" s="1758">
        <v>11287</v>
      </c>
      <c r="I39" s="2283"/>
      <c r="J39" s="1779">
        <v>8407.18</v>
      </c>
      <c r="K39" s="2283"/>
      <c r="L39" s="2283"/>
      <c r="M39" s="1763"/>
      <c r="N39" s="1763"/>
      <c r="O39" s="1986"/>
      <c r="P39" s="2331"/>
      <c r="Q39" s="1784"/>
    </row>
    <row r="40" spans="1:17" s="420" customFormat="1" ht="30" customHeight="1" x14ac:dyDescent="0.25">
      <c r="A40" s="1985" t="s">
        <v>2820</v>
      </c>
      <c r="B40" s="1985" t="s">
        <v>2821</v>
      </c>
      <c r="C40" s="1985"/>
      <c r="D40" s="1994"/>
      <c r="E40" s="1985" t="s">
        <v>2822</v>
      </c>
      <c r="F40" s="1759" t="s">
        <v>1392</v>
      </c>
      <c r="G40" s="1985" t="s">
        <v>2823</v>
      </c>
      <c r="H40" s="1762" t="s">
        <v>2824</v>
      </c>
      <c r="I40" s="2282">
        <v>73350.179999999993</v>
      </c>
      <c r="J40" s="613"/>
      <c r="K40" s="2282">
        <v>87881.63</v>
      </c>
      <c r="L40" s="2282">
        <v>87881.63</v>
      </c>
      <c r="M40" s="1763">
        <v>41588</v>
      </c>
      <c r="N40" s="1763">
        <v>41678</v>
      </c>
      <c r="O40" s="1985">
        <v>1</v>
      </c>
      <c r="P40" s="2335">
        <v>33903900</v>
      </c>
      <c r="Q40" s="1912"/>
    </row>
    <row r="41" spans="1:17" s="420" customFormat="1" ht="30" customHeight="1" x14ac:dyDescent="0.25">
      <c r="A41" s="1986" t="s">
        <v>2820</v>
      </c>
      <c r="B41" s="1986"/>
      <c r="C41" s="1986"/>
      <c r="D41" s="1995"/>
      <c r="E41" s="1986"/>
      <c r="F41" s="1759" t="s">
        <v>2825</v>
      </c>
      <c r="G41" s="1986"/>
      <c r="H41" s="1762">
        <v>11240</v>
      </c>
      <c r="I41" s="2283"/>
      <c r="J41" s="613">
        <v>14531.45</v>
      </c>
      <c r="K41" s="2283"/>
      <c r="L41" s="2283"/>
      <c r="M41" s="1763">
        <v>41679</v>
      </c>
      <c r="N41" s="1763">
        <v>41708</v>
      </c>
      <c r="O41" s="1986"/>
      <c r="P41" s="2331"/>
      <c r="Q41" s="1912"/>
    </row>
    <row r="42" spans="1:17" s="420" customFormat="1" ht="30" customHeight="1" x14ac:dyDescent="0.25">
      <c r="A42" s="1985" t="s">
        <v>2826</v>
      </c>
      <c r="B42" s="1985" t="s">
        <v>2827</v>
      </c>
      <c r="C42" s="1985"/>
      <c r="D42" s="1985"/>
      <c r="E42" s="1985" t="s">
        <v>2828</v>
      </c>
      <c r="F42" s="1759" t="s">
        <v>704</v>
      </c>
      <c r="G42" s="1985" t="s">
        <v>2829</v>
      </c>
      <c r="H42" s="1758">
        <v>11238</v>
      </c>
      <c r="I42" s="2282">
        <v>32849.01</v>
      </c>
      <c r="J42" s="1779">
        <v>0</v>
      </c>
      <c r="K42" s="2282">
        <v>49241.64</v>
      </c>
      <c r="L42" s="2282">
        <v>49241.64</v>
      </c>
      <c r="M42" s="1763">
        <v>41662</v>
      </c>
      <c r="N42" s="1763">
        <v>41721</v>
      </c>
      <c r="O42" s="1985">
        <v>1</v>
      </c>
      <c r="P42" s="2335">
        <v>33903900</v>
      </c>
      <c r="Q42" s="1784"/>
    </row>
    <row r="43" spans="1:17" s="420" customFormat="1" ht="30" customHeight="1" x14ac:dyDescent="0.25">
      <c r="A43" s="2021" t="s">
        <v>2826</v>
      </c>
      <c r="B43" s="2021"/>
      <c r="C43" s="2021"/>
      <c r="D43" s="2021"/>
      <c r="E43" s="2021" t="s">
        <v>2828</v>
      </c>
      <c r="F43" s="1759" t="s">
        <v>2830</v>
      </c>
      <c r="G43" s="2021" t="s">
        <v>2829</v>
      </c>
      <c r="H43" s="1758">
        <v>11299</v>
      </c>
      <c r="I43" s="2290"/>
      <c r="J43" s="1779">
        <v>0</v>
      </c>
      <c r="K43" s="2290"/>
      <c r="L43" s="2290"/>
      <c r="M43" s="1763">
        <v>41722</v>
      </c>
      <c r="N43" s="1763">
        <v>41781</v>
      </c>
      <c r="O43" s="2021"/>
      <c r="P43" s="2330"/>
      <c r="Q43" s="1784"/>
    </row>
    <row r="44" spans="1:17" s="420" customFormat="1" ht="30" customHeight="1" x14ac:dyDescent="0.25">
      <c r="A44" s="1986" t="s">
        <v>2826</v>
      </c>
      <c r="B44" s="1986"/>
      <c r="C44" s="1986"/>
      <c r="D44" s="1986"/>
      <c r="E44" s="1986" t="s">
        <v>2828</v>
      </c>
      <c r="F44" s="1759" t="s">
        <v>2831</v>
      </c>
      <c r="G44" s="1986" t="s">
        <v>2829</v>
      </c>
      <c r="H44" s="1758">
        <v>11330</v>
      </c>
      <c r="I44" s="2283"/>
      <c r="J44" s="1779">
        <v>16392.63</v>
      </c>
      <c r="K44" s="2283"/>
      <c r="L44" s="2283"/>
      <c r="M44" s="1763">
        <v>41782</v>
      </c>
      <c r="N44" s="1763">
        <v>41811</v>
      </c>
      <c r="O44" s="1986"/>
      <c r="P44" s="2331"/>
      <c r="Q44" s="1784"/>
    </row>
    <row r="45" spans="1:17" s="420" customFormat="1" ht="30" customHeight="1" x14ac:dyDescent="0.25">
      <c r="A45" s="1985" t="s">
        <v>2832</v>
      </c>
      <c r="B45" s="1985" t="s">
        <v>2833</v>
      </c>
      <c r="C45" s="1985"/>
      <c r="D45" s="1985"/>
      <c r="E45" s="1985" t="s">
        <v>2834</v>
      </c>
      <c r="F45" s="1759" t="s">
        <v>680</v>
      </c>
      <c r="G45" s="1985" t="s">
        <v>2835</v>
      </c>
      <c r="H45" s="1758">
        <v>11225</v>
      </c>
      <c r="I45" s="2282">
        <v>19686.259999999998</v>
      </c>
      <c r="J45" s="1779">
        <v>0</v>
      </c>
      <c r="K45" s="2282">
        <v>29472.01</v>
      </c>
      <c r="L45" s="2282">
        <v>29472.01</v>
      </c>
      <c r="M45" s="1763">
        <v>41655</v>
      </c>
      <c r="N45" s="1763">
        <v>41714</v>
      </c>
      <c r="O45" s="1985">
        <v>1</v>
      </c>
      <c r="P45" s="2335">
        <v>33903900</v>
      </c>
      <c r="Q45" s="1784"/>
    </row>
    <row r="46" spans="1:17" s="420" customFormat="1" ht="30" customHeight="1" x14ac:dyDescent="0.25">
      <c r="A46" s="2021" t="s">
        <v>2832</v>
      </c>
      <c r="B46" s="2021"/>
      <c r="C46" s="2021"/>
      <c r="D46" s="2021"/>
      <c r="E46" s="2021" t="s">
        <v>2834</v>
      </c>
      <c r="F46" s="1759" t="s">
        <v>2836</v>
      </c>
      <c r="G46" s="2021" t="s">
        <v>2835</v>
      </c>
      <c r="H46" s="1758">
        <v>11229</v>
      </c>
      <c r="I46" s="2290"/>
      <c r="J46" s="1779">
        <v>0</v>
      </c>
      <c r="K46" s="2290"/>
      <c r="L46" s="2290"/>
      <c r="M46" s="1763">
        <f>N45+1</f>
        <v>41715</v>
      </c>
      <c r="N46" s="1763">
        <v>41774</v>
      </c>
      <c r="O46" s="2021"/>
      <c r="P46" s="2330"/>
      <c r="Q46" s="1784"/>
    </row>
    <row r="47" spans="1:17" s="420" customFormat="1" ht="30" customHeight="1" x14ac:dyDescent="0.25">
      <c r="A47" s="1986" t="s">
        <v>2832</v>
      </c>
      <c r="B47" s="1986"/>
      <c r="C47" s="1986"/>
      <c r="D47" s="1986"/>
      <c r="E47" s="1986" t="s">
        <v>2834</v>
      </c>
      <c r="F47" s="1759" t="s">
        <v>2837</v>
      </c>
      <c r="G47" s="1986" t="s">
        <v>2835</v>
      </c>
      <c r="H47" s="1758">
        <v>11299</v>
      </c>
      <c r="I47" s="2283"/>
      <c r="J47" s="1779">
        <v>9785.75</v>
      </c>
      <c r="K47" s="2283"/>
      <c r="L47" s="2283"/>
      <c r="M47" s="1763">
        <f>N46+1</f>
        <v>41775</v>
      </c>
      <c r="N47" s="1763">
        <v>41804</v>
      </c>
      <c r="O47" s="1986"/>
      <c r="P47" s="2331"/>
      <c r="Q47" s="1784"/>
    </row>
    <row r="48" spans="1:17" s="420" customFormat="1" ht="30" customHeight="1" x14ac:dyDescent="0.25">
      <c r="A48" s="1985" t="s">
        <v>2838</v>
      </c>
      <c r="B48" s="1985" t="s">
        <v>2839</v>
      </c>
      <c r="C48" s="1985"/>
      <c r="D48" s="1985"/>
      <c r="E48" s="1985" t="s">
        <v>2840</v>
      </c>
      <c r="F48" s="1759" t="s">
        <v>388</v>
      </c>
      <c r="G48" s="1985" t="s">
        <v>2841</v>
      </c>
      <c r="H48" s="1758">
        <v>11225</v>
      </c>
      <c r="I48" s="2282">
        <v>89189.99</v>
      </c>
      <c r="J48" s="1779">
        <v>0</v>
      </c>
      <c r="K48" s="2282">
        <v>111786.47</v>
      </c>
      <c r="L48" s="2282">
        <v>111786.47</v>
      </c>
      <c r="M48" s="1763">
        <v>41655</v>
      </c>
      <c r="N48" s="1763">
        <v>41744</v>
      </c>
      <c r="O48" s="1985">
        <v>1</v>
      </c>
      <c r="P48" s="1985">
        <v>33903900</v>
      </c>
      <c r="Q48" s="1784"/>
    </row>
    <row r="49" spans="1:17" s="420" customFormat="1" ht="30" customHeight="1" x14ac:dyDescent="0.25">
      <c r="A49" s="2021" t="s">
        <v>2838</v>
      </c>
      <c r="B49" s="2021"/>
      <c r="C49" s="2021"/>
      <c r="D49" s="2021"/>
      <c r="E49" s="2021" t="s">
        <v>2840</v>
      </c>
      <c r="F49" s="1759" t="s">
        <v>2842</v>
      </c>
      <c r="G49" s="2021" t="s">
        <v>2841</v>
      </c>
      <c r="H49" s="1758">
        <v>11293</v>
      </c>
      <c r="I49" s="2290"/>
      <c r="J49" s="1779">
        <v>22597.48</v>
      </c>
      <c r="K49" s="2290"/>
      <c r="L49" s="2290"/>
      <c r="M49" s="1763">
        <f>N48+1</f>
        <v>41745</v>
      </c>
      <c r="N49" s="1763">
        <v>41774</v>
      </c>
      <c r="O49" s="2021"/>
      <c r="P49" s="2021"/>
      <c r="Q49" s="1784"/>
    </row>
    <row r="50" spans="1:17" s="420" customFormat="1" ht="30" customHeight="1" x14ac:dyDescent="0.25">
      <c r="A50" s="1985" t="s">
        <v>349</v>
      </c>
      <c r="B50" s="1985" t="s">
        <v>2843</v>
      </c>
      <c r="C50" s="1985"/>
      <c r="D50" s="1994"/>
      <c r="E50" s="1985" t="s">
        <v>2844</v>
      </c>
      <c r="F50" s="1759" t="s">
        <v>810</v>
      </c>
      <c r="G50" s="1985" t="s">
        <v>2845</v>
      </c>
      <c r="H50" s="1762">
        <v>11262</v>
      </c>
      <c r="I50" s="2282">
        <v>77200.91</v>
      </c>
      <c r="J50" s="613">
        <v>0</v>
      </c>
      <c r="K50" s="2282">
        <v>108911.85</v>
      </c>
      <c r="L50" s="2282">
        <v>108911.85</v>
      </c>
      <c r="M50" s="1763">
        <v>41732</v>
      </c>
      <c r="N50" s="1763">
        <v>41761</v>
      </c>
      <c r="O50" s="2282" t="s">
        <v>2846</v>
      </c>
      <c r="P50" s="2282">
        <v>33903900</v>
      </c>
      <c r="Q50" s="1912"/>
    </row>
    <row r="51" spans="1:17" s="420" customFormat="1" ht="30" customHeight="1" x14ac:dyDescent="0.25">
      <c r="A51" s="2021" t="s">
        <v>349</v>
      </c>
      <c r="B51" s="2021"/>
      <c r="C51" s="2021"/>
      <c r="D51" s="2197"/>
      <c r="E51" s="2021"/>
      <c r="F51" s="1759" t="s">
        <v>2847</v>
      </c>
      <c r="G51" s="2021"/>
      <c r="H51" s="1762">
        <v>11300</v>
      </c>
      <c r="I51" s="2290"/>
      <c r="J51" s="613">
        <v>0</v>
      </c>
      <c r="K51" s="2290"/>
      <c r="L51" s="2290"/>
      <c r="M51" s="1763">
        <f>N50+1</f>
        <v>41762</v>
      </c>
      <c r="N51" s="1763">
        <v>41791</v>
      </c>
      <c r="O51" s="2290"/>
      <c r="P51" s="2290"/>
      <c r="Q51" s="1912"/>
    </row>
    <row r="52" spans="1:17" s="420" customFormat="1" ht="30" customHeight="1" x14ac:dyDescent="0.25">
      <c r="A52" s="2021" t="s">
        <v>349</v>
      </c>
      <c r="B52" s="2021"/>
      <c r="C52" s="2021"/>
      <c r="D52" s="2197"/>
      <c r="E52" s="2021"/>
      <c r="F52" s="1759" t="s">
        <v>2848</v>
      </c>
      <c r="G52" s="2021"/>
      <c r="H52" s="1762">
        <v>11342</v>
      </c>
      <c r="I52" s="2290"/>
      <c r="J52" s="613">
        <v>0</v>
      </c>
      <c r="K52" s="2290"/>
      <c r="L52" s="2290"/>
      <c r="M52" s="1763">
        <f t="shared" ref="M52:M53" si="2">N51+1</f>
        <v>41792</v>
      </c>
      <c r="N52" s="1763">
        <v>41821</v>
      </c>
      <c r="O52" s="2290"/>
      <c r="P52" s="2290"/>
      <c r="Q52" s="1912"/>
    </row>
    <row r="53" spans="1:17" s="420" customFormat="1" ht="30" customHeight="1" x14ac:dyDescent="0.25">
      <c r="A53" s="1986" t="s">
        <v>349</v>
      </c>
      <c r="B53" s="1986"/>
      <c r="C53" s="1986"/>
      <c r="D53" s="1995"/>
      <c r="E53" s="1986"/>
      <c r="F53" s="1759" t="s">
        <v>2849</v>
      </c>
      <c r="G53" s="1986"/>
      <c r="H53" s="1762">
        <v>11346</v>
      </c>
      <c r="I53" s="2283"/>
      <c r="J53" s="613">
        <v>31710.94</v>
      </c>
      <c r="K53" s="2283"/>
      <c r="L53" s="2283"/>
      <c r="M53" s="1763">
        <f t="shared" si="2"/>
        <v>41822</v>
      </c>
      <c r="N53" s="1763">
        <v>41851</v>
      </c>
      <c r="O53" s="2283"/>
      <c r="P53" s="2283"/>
      <c r="Q53" s="1912"/>
    </row>
    <row r="54" spans="1:17" s="420" customFormat="1" ht="30" customHeight="1" x14ac:dyDescent="0.25">
      <c r="A54" s="1985" t="s">
        <v>2850</v>
      </c>
      <c r="B54" s="1985" t="s">
        <v>2851</v>
      </c>
      <c r="C54" s="1985"/>
      <c r="D54" s="1985"/>
      <c r="E54" s="1985" t="s">
        <v>2852</v>
      </c>
      <c r="F54" s="1759" t="s">
        <v>383</v>
      </c>
      <c r="G54" s="1758" t="s">
        <v>2853</v>
      </c>
      <c r="H54" s="1758">
        <v>11284</v>
      </c>
      <c r="I54" s="2282">
        <v>27874.77</v>
      </c>
      <c r="J54" s="1779"/>
      <c r="K54" s="2282">
        <v>30226.04</v>
      </c>
      <c r="L54" s="2282">
        <v>30226.04</v>
      </c>
      <c r="M54" s="1763">
        <v>41739</v>
      </c>
      <c r="N54" s="1763">
        <v>41828</v>
      </c>
      <c r="O54" s="1985">
        <v>1</v>
      </c>
      <c r="P54" s="1985">
        <v>44905100</v>
      </c>
      <c r="Q54" s="1784"/>
    </row>
    <row r="55" spans="1:17" s="420" customFormat="1" ht="30" customHeight="1" x14ac:dyDescent="0.25">
      <c r="A55" s="1986" t="s">
        <v>2850</v>
      </c>
      <c r="B55" s="1986"/>
      <c r="C55" s="1986"/>
      <c r="D55" s="1986"/>
      <c r="E55" s="1986" t="s">
        <v>2852</v>
      </c>
      <c r="F55" s="1759" t="s">
        <v>2854</v>
      </c>
      <c r="G55" s="1758" t="s">
        <v>2853</v>
      </c>
      <c r="H55" s="1758">
        <v>11335</v>
      </c>
      <c r="I55" s="2283"/>
      <c r="J55" s="1779">
        <v>2351.27</v>
      </c>
      <c r="K55" s="2283"/>
      <c r="L55" s="2283"/>
      <c r="M55" s="1763">
        <f>N54+1</f>
        <v>41829</v>
      </c>
      <c r="N55" s="1763">
        <v>41858</v>
      </c>
      <c r="O55" s="1986"/>
      <c r="P55" s="1986"/>
      <c r="Q55" s="1784"/>
    </row>
    <row r="56" spans="1:17" s="420" customFormat="1" ht="30" customHeight="1" x14ac:dyDescent="0.25">
      <c r="A56" s="1985" t="s">
        <v>2855</v>
      </c>
      <c r="B56" s="1985" t="s">
        <v>2856</v>
      </c>
      <c r="C56" s="1985"/>
      <c r="D56" s="1985"/>
      <c r="E56" s="1985" t="s">
        <v>2857</v>
      </c>
      <c r="F56" s="1759" t="s">
        <v>1081</v>
      </c>
      <c r="G56" s="1985" t="s">
        <v>2858</v>
      </c>
      <c r="H56" s="1758">
        <v>11287</v>
      </c>
      <c r="I56" s="2282">
        <v>14309.119999999999</v>
      </c>
      <c r="J56" s="1779">
        <v>0</v>
      </c>
      <c r="K56" s="2282">
        <v>21403.56</v>
      </c>
      <c r="L56" s="2282">
        <v>21403.56</v>
      </c>
      <c r="M56" s="1763">
        <v>41745</v>
      </c>
      <c r="N56" s="1763">
        <v>41804</v>
      </c>
      <c r="O56" s="1985">
        <v>1</v>
      </c>
      <c r="P56" s="1985">
        <v>33903900</v>
      </c>
      <c r="Q56" s="1784"/>
    </row>
    <row r="57" spans="1:17" s="420" customFormat="1" ht="30" customHeight="1" x14ac:dyDescent="0.25">
      <c r="A57" s="1986"/>
      <c r="B57" s="1986"/>
      <c r="C57" s="1986"/>
      <c r="D57" s="1986"/>
      <c r="E57" s="1986" t="s">
        <v>2857</v>
      </c>
      <c r="F57" s="1759" t="s">
        <v>2859</v>
      </c>
      <c r="G57" s="1986" t="s">
        <v>2858</v>
      </c>
      <c r="H57" s="1758">
        <v>11306</v>
      </c>
      <c r="I57" s="2283"/>
      <c r="J57" s="1779">
        <v>7094.44</v>
      </c>
      <c r="K57" s="2283"/>
      <c r="L57" s="2283"/>
      <c r="M57" s="1763"/>
      <c r="N57" s="1763"/>
      <c r="O57" s="1986"/>
      <c r="P57" s="1986"/>
      <c r="Q57" s="1784"/>
    </row>
    <row r="58" spans="1:17" s="420" customFormat="1" ht="30" customHeight="1" x14ac:dyDescent="0.25">
      <c r="A58" s="1985" t="s">
        <v>2099</v>
      </c>
      <c r="B58" s="1985" t="s">
        <v>2860</v>
      </c>
      <c r="C58" s="1985"/>
      <c r="D58" s="1985"/>
      <c r="E58" s="1985" t="s">
        <v>2861</v>
      </c>
      <c r="F58" s="1759" t="s">
        <v>2862</v>
      </c>
      <c r="G58" s="1985" t="s">
        <v>2863</v>
      </c>
      <c r="H58" s="1758">
        <v>11353</v>
      </c>
      <c r="I58" s="2282">
        <v>20742.22</v>
      </c>
      <c r="J58" s="1779">
        <v>0</v>
      </c>
      <c r="K58" s="2282">
        <v>19541.5</v>
      </c>
      <c r="L58" s="2282">
        <v>19541.5</v>
      </c>
      <c r="M58" s="1763">
        <v>41787</v>
      </c>
      <c r="N58" s="1763">
        <v>41846</v>
      </c>
      <c r="O58" s="1985">
        <v>1</v>
      </c>
      <c r="P58" s="1985">
        <v>33903900</v>
      </c>
      <c r="Q58" s="1784"/>
    </row>
    <row r="59" spans="1:17" s="420" customFormat="1" ht="30" customHeight="1" x14ac:dyDescent="0.25">
      <c r="A59" s="2021" t="s">
        <v>2099</v>
      </c>
      <c r="B59" s="2021"/>
      <c r="C59" s="2021"/>
      <c r="D59" s="2021"/>
      <c r="E59" s="2021" t="s">
        <v>2861</v>
      </c>
      <c r="F59" s="1759" t="s">
        <v>2864</v>
      </c>
      <c r="G59" s="2021" t="s">
        <v>2863</v>
      </c>
      <c r="H59" s="1758">
        <v>11365</v>
      </c>
      <c r="I59" s="2290"/>
      <c r="J59" s="1779">
        <v>0</v>
      </c>
      <c r="K59" s="2290"/>
      <c r="L59" s="2290"/>
      <c r="M59" s="1763">
        <v>41847</v>
      </c>
      <c r="N59" s="1763">
        <v>41906</v>
      </c>
      <c r="O59" s="2021"/>
      <c r="P59" s="2021"/>
      <c r="Q59" s="1784"/>
    </row>
    <row r="60" spans="1:17" s="420" customFormat="1" ht="30" customHeight="1" x14ac:dyDescent="0.25">
      <c r="A60" s="1986"/>
      <c r="B60" s="1986"/>
      <c r="C60" s="1986"/>
      <c r="D60" s="1986"/>
      <c r="E60" s="1986"/>
      <c r="F60" s="1759" t="s">
        <v>2865</v>
      </c>
      <c r="G60" s="1986"/>
      <c r="H60" s="1758">
        <v>11458</v>
      </c>
      <c r="I60" s="2283"/>
      <c r="J60" s="1779">
        <v>-1200.72</v>
      </c>
      <c r="K60" s="2283"/>
      <c r="L60" s="2283"/>
      <c r="M60" s="1763"/>
      <c r="N60" s="1763"/>
      <c r="O60" s="1986"/>
      <c r="P60" s="1986"/>
      <c r="Q60" s="1784"/>
    </row>
    <row r="61" spans="1:17" s="420" customFormat="1" ht="30" customHeight="1" x14ac:dyDescent="0.25">
      <c r="A61" s="1985">
        <v>11283</v>
      </c>
      <c r="B61" s="1985" t="s">
        <v>2866</v>
      </c>
      <c r="C61" s="1985"/>
      <c r="D61" s="1985"/>
      <c r="E61" s="1985" t="s">
        <v>2867</v>
      </c>
      <c r="F61" s="1759" t="s">
        <v>558</v>
      </c>
      <c r="G61" s="1985" t="s">
        <v>2868</v>
      </c>
      <c r="H61" s="1758">
        <v>11326</v>
      </c>
      <c r="I61" s="2282">
        <v>27805.69</v>
      </c>
      <c r="J61" s="1779">
        <v>0</v>
      </c>
      <c r="K61" s="2282">
        <v>25000</v>
      </c>
      <c r="L61" s="2282">
        <v>25000</v>
      </c>
      <c r="M61" s="1763">
        <v>41796</v>
      </c>
      <c r="N61" s="1763">
        <v>41885</v>
      </c>
      <c r="O61" s="1985">
        <v>1</v>
      </c>
      <c r="P61" s="1985" t="s">
        <v>1438</v>
      </c>
      <c r="Q61" s="1784"/>
    </row>
    <row r="62" spans="1:17" s="420" customFormat="1" ht="30" customHeight="1" x14ac:dyDescent="0.25">
      <c r="A62" s="2021"/>
      <c r="B62" s="2021" t="s">
        <v>2866</v>
      </c>
      <c r="C62" s="2021"/>
      <c r="D62" s="2021"/>
      <c r="E62" s="2021" t="s">
        <v>2867</v>
      </c>
      <c r="F62" s="1759" t="s">
        <v>2869</v>
      </c>
      <c r="G62" s="2021" t="s">
        <v>2868</v>
      </c>
      <c r="H62" s="1758">
        <v>11381</v>
      </c>
      <c r="I62" s="2290"/>
      <c r="J62" s="1779">
        <v>0</v>
      </c>
      <c r="K62" s="2290"/>
      <c r="L62" s="2290"/>
      <c r="M62" s="1763">
        <v>41886</v>
      </c>
      <c r="N62" s="1763">
        <v>41975</v>
      </c>
      <c r="O62" s="2021"/>
      <c r="P62" s="2021"/>
      <c r="Q62" s="1784"/>
    </row>
    <row r="63" spans="1:17" s="420" customFormat="1" ht="30" customHeight="1" x14ac:dyDescent="0.25">
      <c r="A63" s="1986"/>
      <c r="B63" s="1986"/>
      <c r="C63" s="1986"/>
      <c r="D63" s="1986"/>
      <c r="E63" s="1986"/>
      <c r="F63" s="1759" t="s">
        <v>2870</v>
      </c>
      <c r="G63" s="1986"/>
      <c r="H63" s="1758">
        <v>11413</v>
      </c>
      <c r="I63" s="2283"/>
      <c r="J63" s="1779">
        <v>0</v>
      </c>
      <c r="K63" s="2283"/>
      <c r="L63" s="2283"/>
      <c r="M63" s="1763">
        <v>41976</v>
      </c>
      <c r="N63" s="1763">
        <v>42035</v>
      </c>
      <c r="O63" s="1986"/>
      <c r="P63" s="1986"/>
      <c r="Q63" s="1784"/>
    </row>
    <row r="64" spans="1:17" s="420" customFormat="1" ht="30" customHeight="1" x14ac:dyDescent="0.25">
      <c r="A64" s="1758" t="s">
        <v>2871</v>
      </c>
      <c r="B64" s="1758" t="s">
        <v>2872</v>
      </c>
      <c r="C64" s="1758"/>
      <c r="D64" s="1758"/>
      <c r="E64" s="1913" t="s">
        <v>2873</v>
      </c>
      <c r="F64" s="1759" t="s">
        <v>2034</v>
      </c>
      <c r="G64" s="1758" t="s">
        <v>2874</v>
      </c>
      <c r="H64" s="1758">
        <v>11391</v>
      </c>
      <c r="I64" s="1779">
        <v>131679</v>
      </c>
      <c r="J64" s="1779">
        <v>0</v>
      </c>
      <c r="K64" s="1779">
        <v>49946.53</v>
      </c>
      <c r="L64" s="1779">
        <v>49946.53</v>
      </c>
      <c r="M64" s="1763">
        <v>41893</v>
      </c>
      <c r="N64" s="1763">
        <v>42072</v>
      </c>
      <c r="O64" s="1758">
        <v>1</v>
      </c>
      <c r="P64" s="1914">
        <v>33903900</v>
      </c>
      <c r="Q64" s="1784"/>
    </row>
    <row r="65" spans="1:17" s="420" customFormat="1" ht="30" customHeight="1" x14ac:dyDescent="0.25">
      <c r="A65" s="1758" t="s">
        <v>472</v>
      </c>
      <c r="B65" s="1758" t="s">
        <v>2875</v>
      </c>
      <c r="C65" s="1758"/>
      <c r="D65" s="1762">
        <v>11392</v>
      </c>
      <c r="E65" s="1915" t="s">
        <v>2876</v>
      </c>
      <c r="F65" s="1759" t="s">
        <v>2039</v>
      </c>
      <c r="G65" s="1758" t="s">
        <v>2877</v>
      </c>
      <c r="H65" s="1758">
        <v>11400</v>
      </c>
      <c r="I65" s="1779">
        <v>64011.76</v>
      </c>
      <c r="J65" s="1779">
        <v>0</v>
      </c>
      <c r="K65" s="1779">
        <v>0</v>
      </c>
      <c r="L65" s="1779">
        <v>0</v>
      </c>
      <c r="M65" s="1779"/>
      <c r="N65" s="1779"/>
      <c r="O65" s="1758">
        <v>1</v>
      </c>
      <c r="P65" s="1914">
        <v>44905100</v>
      </c>
      <c r="Q65" s="1784"/>
    </row>
    <row r="66" spans="1:17" s="420" customFormat="1" ht="50.25" customHeight="1" x14ac:dyDescent="0.25">
      <c r="A66" s="1758" t="s">
        <v>2878</v>
      </c>
      <c r="B66" s="1758" t="s">
        <v>2879</v>
      </c>
      <c r="C66" s="1758"/>
      <c r="D66" s="1758">
        <v>11425</v>
      </c>
      <c r="E66" s="1780" t="s">
        <v>2880</v>
      </c>
      <c r="F66" s="1759" t="s">
        <v>2057</v>
      </c>
      <c r="G66" s="1758" t="s">
        <v>2881</v>
      </c>
      <c r="H66" s="1758">
        <v>11445</v>
      </c>
      <c r="I66" s="1779">
        <v>121971.39</v>
      </c>
      <c r="J66" s="1779">
        <v>0</v>
      </c>
      <c r="K66" s="1779">
        <v>0</v>
      </c>
      <c r="L66" s="1779"/>
      <c r="M66" s="1779"/>
      <c r="N66" s="1779"/>
      <c r="O66" s="1758" t="s">
        <v>2882</v>
      </c>
      <c r="P66" s="1914">
        <v>44905100</v>
      </c>
      <c r="Q66" s="1784"/>
    </row>
    <row r="67" spans="1:17" s="420" customFormat="1" ht="30" customHeight="1" x14ac:dyDescent="0.25">
      <c r="A67" s="2207" t="s">
        <v>601</v>
      </c>
      <c r="B67" s="2207"/>
      <c r="C67" s="2207"/>
      <c r="D67" s="2207"/>
      <c r="E67" s="2207"/>
      <c r="F67" s="515"/>
      <c r="G67" s="519"/>
      <c r="H67" s="516"/>
      <c r="I67" s="1916">
        <f>SUM(I24:I66)</f>
        <v>1027568.29</v>
      </c>
      <c r="J67" s="1916">
        <f t="shared" ref="J67:L67" si="3">SUM(J24:J66)</f>
        <v>172589.58</v>
      </c>
      <c r="K67" s="1916">
        <f t="shared" si="3"/>
        <v>582046.28</v>
      </c>
      <c r="L67" s="1916">
        <f t="shared" si="3"/>
        <v>838899.60000000009</v>
      </c>
      <c r="M67" s="517"/>
      <c r="N67" s="517"/>
      <c r="O67" s="516"/>
      <c r="P67" s="1917"/>
      <c r="Q67" s="1918"/>
    </row>
    <row r="68" spans="1:17" s="420" customFormat="1" x14ac:dyDescent="0.25">
      <c r="A68" s="1919"/>
      <c r="B68" s="1919"/>
      <c r="C68" s="1919"/>
      <c r="D68" s="1919"/>
      <c r="E68" s="1919"/>
      <c r="F68" s="1919"/>
      <c r="G68" s="1919"/>
      <c r="H68" s="1919"/>
      <c r="I68" s="1919"/>
      <c r="J68" s="1919"/>
      <c r="K68" s="1919"/>
      <c r="L68" s="1919"/>
      <c r="M68" s="1919"/>
      <c r="N68" s="1919"/>
      <c r="O68" s="1919"/>
      <c r="P68" s="1919"/>
      <c r="Q68" s="1918"/>
    </row>
    <row r="69" spans="1:17" s="420" customFormat="1" x14ac:dyDescent="0.25">
      <c r="A69" s="1919"/>
      <c r="B69" s="1919"/>
      <c r="C69" s="1919"/>
      <c r="D69" s="1919"/>
      <c r="E69" s="1919"/>
      <c r="F69" s="1919"/>
      <c r="G69" s="1919"/>
      <c r="H69" s="1919"/>
      <c r="I69" s="1919"/>
      <c r="J69" s="1919"/>
      <c r="K69" s="1919"/>
      <c r="L69" s="1919"/>
      <c r="M69" s="1919"/>
      <c r="N69" s="1919"/>
      <c r="O69" s="1919"/>
      <c r="P69" s="1919"/>
    </row>
    <row r="70" spans="1:17" s="420" customFormat="1" x14ac:dyDescent="0.25">
      <c r="A70" s="1919"/>
      <c r="B70" s="1919"/>
      <c r="C70" s="1919"/>
      <c r="D70" s="1919"/>
      <c r="E70" s="1919"/>
      <c r="F70" s="1919"/>
      <c r="G70" s="1919"/>
      <c r="H70" s="1919"/>
      <c r="I70" s="1919"/>
      <c r="J70" s="1919"/>
      <c r="K70" s="1919"/>
      <c r="L70" s="1919"/>
      <c r="M70" s="1919"/>
      <c r="N70" s="1919"/>
      <c r="O70" s="1919"/>
      <c r="P70" s="1919"/>
    </row>
    <row r="71" spans="1:17" s="420" customFormat="1" ht="19.5" customHeight="1" x14ac:dyDescent="0.25">
      <c r="A71" s="2336" t="s">
        <v>2883</v>
      </c>
      <c r="B71" s="2336"/>
      <c r="C71" s="2336"/>
      <c r="D71" s="2336"/>
      <c r="E71" s="2336"/>
      <c r="F71" s="2336"/>
      <c r="G71" s="2336"/>
      <c r="H71" s="2336"/>
      <c r="I71" s="2336"/>
      <c r="J71" s="2336"/>
      <c r="K71" s="2336"/>
      <c r="L71" s="2336"/>
      <c r="M71" s="2336"/>
      <c r="N71" s="2336"/>
      <c r="O71" s="2336"/>
      <c r="P71" s="2336"/>
      <c r="Q71" s="1908"/>
    </row>
    <row r="72" spans="1:17" s="420" customFormat="1" ht="15.75" customHeight="1" x14ac:dyDescent="0.25">
      <c r="A72" s="2050" t="s">
        <v>2778</v>
      </c>
      <c r="B72" s="2050"/>
      <c r="C72" s="2050"/>
      <c r="D72" s="2050"/>
      <c r="E72" s="2050"/>
      <c r="F72" s="2207" t="s">
        <v>2779</v>
      </c>
      <c r="G72" s="2207"/>
      <c r="H72" s="2207"/>
      <c r="I72" s="2207"/>
      <c r="J72" s="2207"/>
      <c r="K72" s="2207"/>
      <c r="L72" s="2207"/>
      <c r="M72" s="2207"/>
      <c r="N72" s="2207"/>
      <c r="O72" s="2207"/>
      <c r="P72" s="2207"/>
      <c r="Q72" s="1908"/>
    </row>
    <row r="73" spans="1:17" s="420" customFormat="1" ht="15.75" customHeight="1" x14ac:dyDescent="0.25">
      <c r="A73" s="2050"/>
      <c r="B73" s="2050"/>
      <c r="C73" s="2050"/>
      <c r="D73" s="2050"/>
      <c r="E73" s="2050"/>
      <c r="F73" s="1967" t="s">
        <v>2780</v>
      </c>
      <c r="G73" s="1967"/>
      <c r="H73" s="1967"/>
      <c r="I73" s="2296" t="s">
        <v>918</v>
      </c>
      <c r="J73" s="2296"/>
      <c r="K73" s="2296"/>
      <c r="L73" s="2296"/>
      <c r="M73" s="2337" t="s">
        <v>2781</v>
      </c>
      <c r="N73" s="2337"/>
      <c r="O73" s="1967" t="s">
        <v>2782</v>
      </c>
      <c r="P73" s="1967"/>
      <c r="Q73" s="2327"/>
    </row>
    <row r="74" spans="1:17" s="420" customFormat="1" ht="25.5" x14ac:dyDescent="0.25">
      <c r="A74" s="1758" t="s">
        <v>2783</v>
      </c>
      <c r="B74" s="1758" t="s">
        <v>32</v>
      </c>
      <c r="C74" s="1758" t="s">
        <v>23</v>
      </c>
      <c r="D74" s="1758" t="s">
        <v>2784</v>
      </c>
      <c r="E74" s="1758" t="s">
        <v>33</v>
      </c>
      <c r="F74" s="1759" t="s">
        <v>2785</v>
      </c>
      <c r="G74" s="1758" t="s">
        <v>36</v>
      </c>
      <c r="H74" s="1758" t="s">
        <v>2784</v>
      </c>
      <c r="I74" s="1779" t="s">
        <v>2786</v>
      </c>
      <c r="J74" s="1779" t="s">
        <v>2787</v>
      </c>
      <c r="K74" s="1779" t="s">
        <v>2788</v>
      </c>
      <c r="L74" s="1779" t="s">
        <v>2789</v>
      </c>
      <c r="M74" s="1763" t="s">
        <v>58</v>
      </c>
      <c r="N74" s="1763" t="s">
        <v>2790</v>
      </c>
      <c r="O74" s="1758" t="s">
        <v>43</v>
      </c>
      <c r="P74" s="1758" t="s">
        <v>47</v>
      </c>
      <c r="Q74" s="2327"/>
    </row>
    <row r="75" spans="1:17" s="420" customFormat="1" ht="27.75" customHeight="1" x14ac:dyDescent="0.25">
      <c r="A75" s="1985" t="s">
        <v>2884</v>
      </c>
      <c r="B75" s="1985" t="s">
        <v>2885</v>
      </c>
      <c r="C75" s="1985" t="s">
        <v>168</v>
      </c>
      <c r="D75" s="1985">
        <v>10293</v>
      </c>
      <c r="E75" s="1985" t="s">
        <v>2886</v>
      </c>
      <c r="F75" s="1759" t="s">
        <v>2887</v>
      </c>
      <c r="G75" s="1985" t="s">
        <v>2888</v>
      </c>
      <c r="H75" s="1758">
        <v>10326</v>
      </c>
      <c r="I75" s="2282">
        <v>425142.6</v>
      </c>
      <c r="J75" s="1779">
        <v>0</v>
      </c>
      <c r="K75" s="2282">
        <f>47591.45-15000.87</f>
        <v>32590.579999999994</v>
      </c>
      <c r="L75" s="2282">
        <f>320817.59-15000.87</f>
        <v>305816.72000000003</v>
      </c>
      <c r="M75" s="1763">
        <v>40440</v>
      </c>
      <c r="N75" s="1763">
        <f>M75+61</f>
        <v>40501</v>
      </c>
      <c r="O75" s="1985" t="s">
        <v>2882</v>
      </c>
      <c r="P75" s="1985">
        <v>44905100</v>
      </c>
      <c r="Q75" s="1784"/>
    </row>
    <row r="76" spans="1:17" s="420" customFormat="1" ht="27.75" customHeight="1" x14ac:dyDescent="0.25">
      <c r="A76" s="2021"/>
      <c r="B76" s="2021" t="s">
        <v>2885</v>
      </c>
      <c r="C76" s="2021"/>
      <c r="D76" s="2021">
        <v>10293</v>
      </c>
      <c r="E76" s="2021" t="s">
        <v>2886</v>
      </c>
      <c r="F76" s="1759" t="s">
        <v>2889</v>
      </c>
      <c r="G76" s="2021"/>
      <c r="H76" s="1758">
        <v>10435</v>
      </c>
      <c r="I76" s="2290"/>
      <c r="J76" s="1779"/>
      <c r="K76" s="2290"/>
      <c r="L76" s="2290"/>
      <c r="M76" s="1763">
        <v>40502</v>
      </c>
      <c r="N76" s="1763">
        <v>40562</v>
      </c>
      <c r="O76" s="2021"/>
      <c r="P76" s="2021"/>
      <c r="Q76" s="1784"/>
    </row>
    <row r="77" spans="1:17" s="420" customFormat="1" ht="27.75" customHeight="1" x14ac:dyDescent="0.25">
      <c r="A77" s="2021"/>
      <c r="B77" s="2021" t="s">
        <v>2885</v>
      </c>
      <c r="C77" s="2021"/>
      <c r="D77" s="2021">
        <v>10293</v>
      </c>
      <c r="E77" s="2021" t="s">
        <v>2886</v>
      </c>
      <c r="F77" s="1759" t="s">
        <v>2890</v>
      </c>
      <c r="G77" s="2021"/>
      <c r="H77" s="1758">
        <v>10550</v>
      </c>
      <c r="I77" s="2290"/>
      <c r="J77" s="1779"/>
      <c r="K77" s="2290"/>
      <c r="L77" s="2290"/>
      <c r="M77" s="1763">
        <v>40563</v>
      </c>
      <c r="N77" s="1763">
        <v>40623</v>
      </c>
      <c r="O77" s="2021"/>
      <c r="P77" s="2021"/>
      <c r="Q77" s="1784"/>
    </row>
    <row r="78" spans="1:17" s="420" customFormat="1" ht="27.75" customHeight="1" x14ac:dyDescent="0.25">
      <c r="A78" s="2021"/>
      <c r="B78" s="2021" t="s">
        <v>2885</v>
      </c>
      <c r="C78" s="2021"/>
      <c r="D78" s="2021">
        <v>10293</v>
      </c>
      <c r="E78" s="2021" t="s">
        <v>2886</v>
      </c>
      <c r="F78" s="1759" t="s">
        <v>2891</v>
      </c>
      <c r="G78" s="2021"/>
      <c r="H78" s="1758">
        <v>10551</v>
      </c>
      <c r="I78" s="2290"/>
      <c r="J78" s="1779"/>
      <c r="K78" s="2290"/>
      <c r="L78" s="2290"/>
      <c r="M78" s="1763">
        <v>40624</v>
      </c>
      <c r="N78" s="1763">
        <v>40684</v>
      </c>
      <c r="O78" s="2021"/>
      <c r="P78" s="2021"/>
      <c r="Q78" s="1784"/>
    </row>
    <row r="79" spans="1:17" s="420" customFormat="1" ht="27.75" customHeight="1" x14ac:dyDescent="0.25">
      <c r="A79" s="2021"/>
      <c r="B79" s="2021" t="s">
        <v>2885</v>
      </c>
      <c r="C79" s="2021"/>
      <c r="D79" s="2021">
        <v>10293</v>
      </c>
      <c r="E79" s="2021" t="s">
        <v>2886</v>
      </c>
      <c r="F79" s="1759" t="s">
        <v>2892</v>
      </c>
      <c r="G79" s="2021"/>
      <c r="H79" s="1758">
        <v>10555</v>
      </c>
      <c r="I79" s="2290"/>
      <c r="J79" s="1779"/>
      <c r="K79" s="2290"/>
      <c r="L79" s="2290"/>
      <c r="M79" s="1763">
        <v>40685</v>
      </c>
      <c r="N79" s="1763">
        <v>40745</v>
      </c>
      <c r="O79" s="2021"/>
      <c r="P79" s="2021"/>
      <c r="Q79" s="1784"/>
    </row>
    <row r="80" spans="1:17" s="420" customFormat="1" ht="27.75" customHeight="1" x14ac:dyDescent="0.25">
      <c r="A80" s="2021"/>
      <c r="B80" s="2021" t="s">
        <v>2885</v>
      </c>
      <c r="C80" s="2021"/>
      <c r="D80" s="2021">
        <v>10293</v>
      </c>
      <c r="E80" s="2021" t="s">
        <v>2886</v>
      </c>
      <c r="F80" s="1759" t="s">
        <v>2893</v>
      </c>
      <c r="G80" s="2021"/>
      <c r="H80" s="1758">
        <v>10599</v>
      </c>
      <c r="I80" s="2290"/>
      <c r="J80" s="1779"/>
      <c r="K80" s="2290"/>
      <c r="L80" s="2290"/>
      <c r="M80" s="1763">
        <v>40746</v>
      </c>
      <c r="N80" s="1763">
        <v>40806</v>
      </c>
      <c r="O80" s="2021"/>
      <c r="P80" s="2021"/>
      <c r="Q80" s="1784"/>
    </row>
    <row r="81" spans="1:17" s="420" customFormat="1" ht="27.75" customHeight="1" x14ac:dyDescent="0.25">
      <c r="A81" s="2021"/>
      <c r="B81" s="2021" t="s">
        <v>2885</v>
      </c>
      <c r="C81" s="2021"/>
      <c r="D81" s="2021">
        <v>10293</v>
      </c>
      <c r="E81" s="2021" t="s">
        <v>2886</v>
      </c>
      <c r="F81" s="1759" t="s">
        <v>2894</v>
      </c>
      <c r="G81" s="2021"/>
      <c r="H81" s="1758">
        <v>10645</v>
      </c>
      <c r="I81" s="2290"/>
      <c r="J81" s="1779"/>
      <c r="K81" s="2290"/>
      <c r="L81" s="2290"/>
      <c r="M81" s="1763">
        <v>40807</v>
      </c>
      <c r="N81" s="1763">
        <v>40867</v>
      </c>
      <c r="O81" s="2021"/>
      <c r="P81" s="2021"/>
      <c r="Q81" s="1784"/>
    </row>
    <row r="82" spans="1:17" s="420" customFormat="1" ht="27.75" customHeight="1" x14ac:dyDescent="0.25">
      <c r="A82" s="2021"/>
      <c r="B82" s="2021" t="s">
        <v>2885</v>
      </c>
      <c r="C82" s="2021"/>
      <c r="D82" s="2021">
        <v>10293</v>
      </c>
      <c r="E82" s="2021" t="s">
        <v>2886</v>
      </c>
      <c r="F82" s="1759" t="s">
        <v>2895</v>
      </c>
      <c r="G82" s="2021"/>
      <c r="H82" s="1758">
        <v>10696</v>
      </c>
      <c r="I82" s="2290"/>
      <c r="J82" s="1779"/>
      <c r="K82" s="2290"/>
      <c r="L82" s="2290"/>
      <c r="M82" s="1763">
        <v>40868</v>
      </c>
      <c r="N82" s="1763">
        <v>40928</v>
      </c>
      <c r="O82" s="2021"/>
      <c r="P82" s="2021"/>
      <c r="Q82" s="1784"/>
    </row>
    <row r="83" spans="1:17" s="420" customFormat="1" ht="27.75" customHeight="1" x14ac:dyDescent="0.25">
      <c r="A83" s="2021"/>
      <c r="B83" s="2021" t="s">
        <v>2885</v>
      </c>
      <c r="C83" s="2021"/>
      <c r="D83" s="2021">
        <v>10293</v>
      </c>
      <c r="E83" s="2021" t="s">
        <v>2886</v>
      </c>
      <c r="F83" s="1759" t="s">
        <v>2896</v>
      </c>
      <c r="G83" s="2021"/>
      <c r="H83" s="1758">
        <v>10724</v>
      </c>
      <c r="I83" s="2290"/>
      <c r="J83" s="1779"/>
      <c r="K83" s="2290"/>
      <c r="L83" s="2290"/>
      <c r="M83" s="1763">
        <v>40929</v>
      </c>
      <c r="N83" s="1763">
        <v>40989</v>
      </c>
      <c r="O83" s="2021"/>
      <c r="P83" s="2021"/>
      <c r="Q83" s="1784"/>
    </row>
    <row r="84" spans="1:17" s="420" customFormat="1" ht="27.75" customHeight="1" x14ac:dyDescent="0.25">
      <c r="A84" s="2021"/>
      <c r="B84" s="2021" t="s">
        <v>2885</v>
      </c>
      <c r="C84" s="2021"/>
      <c r="D84" s="2021">
        <v>10293</v>
      </c>
      <c r="E84" s="2021" t="s">
        <v>2886</v>
      </c>
      <c r="F84" s="1759" t="s">
        <v>2897</v>
      </c>
      <c r="G84" s="2021"/>
      <c r="H84" s="1758">
        <v>11083</v>
      </c>
      <c r="I84" s="2290"/>
      <c r="J84" s="1779"/>
      <c r="K84" s="2290"/>
      <c r="L84" s="2290"/>
      <c r="M84" s="1763">
        <v>40982</v>
      </c>
      <c r="N84" s="1763">
        <v>41041</v>
      </c>
      <c r="O84" s="2021"/>
      <c r="P84" s="2021"/>
      <c r="Q84" s="1784"/>
    </row>
    <row r="85" spans="1:17" s="420" customFormat="1" ht="27.75" customHeight="1" x14ac:dyDescent="0.25">
      <c r="A85" s="2021"/>
      <c r="B85" s="2021" t="s">
        <v>2885</v>
      </c>
      <c r="C85" s="2021"/>
      <c r="D85" s="2021">
        <v>10293</v>
      </c>
      <c r="E85" s="2021" t="s">
        <v>2886</v>
      </c>
      <c r="F85" s="1759" t="s">
        <v>2898</v>
      </c>
      <c r="G85" s="2021"/>
      <c r="H85" s="1758">
        <v>11084</v>
      </c>
      <c r="I85" s="2290"/>
      <c r="J85" s="1779"/>
      <c r="K85" s="2290"/>
      <c r="L85" s="2290"/>
      <c r="M85" s="1763">
        <v>41042</v>
      </c>
      <c r="N85" s="1763">
        <v>41102</v>
      </c>
      <c r="O85" s="2021"/>
      <c r="P85" s="2021"/>
      <c r="Q85" s="1784"/>
    </row>
    <row r="86" spans="1:17" s="420" customFormat="1" ht="27.75" customHeight="1" x14ac:dyDescent="0.25">
      <c r="A86" s="2021"/>
      <c r="B86" s="2021" t="s">
        <v>2885</v>
      </c>
      <c r="C86" s="2021"/>
      <c r="D86" s="2021">
        <v>10293</v>
      </c>
      <c r="E86" s="2021" t="s">
        <v>2886</v>
      </c>
      <c r="F86" s="1759" t="s">
        <v>2899</v>
      </c>
      <c r="G86" s="2021"/>
      <c r="H86" s="1758">
        <v>11085</v>
      </c>
      <c r="I86" s="2290"/>
      <c r="J86" s="1779"/>
      <c r="K86" s="2290"/>
      <c r="L86" s="2290"/>
      <c r="M86" s="1763">
        <v>41103</v>
      </c>
      <c r="N86" s="1763">
        <v>41163</v>
      </c>
      <c r="O86" s="2021"/>
      <c r="P86" s="2021"/>
      <c r="Q86" s="1784"/>
    </row>
    <row r="87" spans="1:17" s="420" customFormat="1" ht="27.75" customHeight="1" x14ac:dyDescent="0.25">
      <c r="A87" s="2021"/>
      <c r="B87" s="2021" t="s">
        <v>2885</v>
      </c>
      <c r="C87" s="2021"/>
      <c r="D87" s="2021">
        <v>10293</v>
      </c>
      <c r="E87" s="2021" t="s">
        <v>2886</v>
      </c>
      <c r="F87" s="1759" t="s">
        <v>2900</v>
      </c>
      <c r="G87" s="2021"/>
      <c r="H87" s="1758">
        <v>11086</v>
      </c>
      <c r="I87" s="2290"/>
      <c r="J87" s="1779"/>
      <c r="K87" s="2290"/>
      <c r="L87" s="2290"/>
      <c r="M87" s="1763">
        <v>41162</v>
      </c>
      <c r="N87" s="1763">
        <v>41221</v>
      </c>
      <c r="O87" s="2021"/>
      <c r="P87" s="2021"/>
      <c r="Q87" s="1784"/>
    </row>
    <row r="88" spans="1:17" s="420" customFormat="1" ht="27.75" customHeight="1" x14ac:dyDescent="0.25">
      <c r="A88" s="2021"/>
      <c r="B88" s="2021" t="s">
        <v>2885</v>
      </c>
      <c r="C88" s="2021"/>
      <c r="D88" s="2021">
        <v>10293</v>
      </c>
      <c r="E88" s="2021" t="s">
        <v>2886</v>
      </c>
      <c r="F88" s="1759" t="s">
        <v>2901</v>
      </c>
      <c r="G88" s="2021"/>
      <c r="H88" s="1758">
        <v>11088</v>
      </c>
      <c r="I88" s="2290"/>
      <c r="J88" s="1779"/>
      <c r="K88" s="2290"/>
      <c r="L88" s="2290"/>
      <c r="M88" s="1763">
        <v>41222</v>
      </c>
      <c r="N88" s="1763">
        <v>41282</v>
      </c>
      <c r="O88" s="2021"/>
      <c r="P88" s="2021"/>
      <c r="Q88" s="1784"/>
    </row>
    <row r="89" spans="1:17" s="420" customFormat="1" ht="27.75" customHeight="1" x14ac:dyDescent="0.25">
      <c r="A89" s="2021"/>
      <c r="B89" s="2021" t="s">
        <v>2885</v>
      </c>
      <c r="C89" s="2021"/>
      <c r="D89" s="2021">
        <v>10293</v>
      </c>
      <c r="E89" s="2021" t="s">
        <v>2886</v>
      </c>
      <c r="F89" s="1759" t="s">
        <v>2902</v>
      </c>
      <c r="G89" s="2021"/>
      <c r="H89" s="1758">
        <v>11090</v>
      </c>
      <c r="I89" s="2290"/>
      <c r="J89" s="1779"/>
      <c r="K89" s="2290"/>
      <c r="L89" s="2290"/>
      <c r="M89" s="1763">
        <v>41282</v>
      </c>
      <c r="N89" s="1763">
        <v>41342</v>
      </c>
      <c r="O89" s="2021"/>
      <c r="P89" s="2021"/>
      <c r="Q89" s="1784"/>
    </row>
    <row r="90" spans="1:17" s="420" customFormat="1" ht="27.75" customHeight="1" x14ac:dyDescent="0.25">
      <c r="A90" s="2021"/>
      <c r="B90" s="2021" t="s">
        <v>2885</v>
      </c>
      <c r="C90" s="2021"/>
      <c r="D90" s="2021">
        <v>10293</v>
      </c>
      <c r="E90" s="2021" t="s">
        <v>2886</v>
      </c>
      <c r="F90" s="1759" t="s">
        <v>2903</v>
      </c>
      <c r="G90" s="2021"/>
      <c r="H90" s="1758">
        <v>11091</v>
      </c>
      <c r="I90" s="2290"/>
      <c r="J90" s="1779"/>
      <c r="K90" s="2290"/>
      <c r="L90" s="2290"/>
      <c r="M90" s="1763">
        <v>41343</v>
      </c>
      <c r="N90" s="1763">
        <v>41403</v>
      </c>
      <c r="O90" s="2021"/>
      <c r="P90" s="2021"/>
      <c r="Q90" s="1784"/>
    </row>
    <row r="91" spans="1:17" s="420" customFormat="1" ht="27.75" customHeight="1" x14ac:dyDescent="0.25">
      <c r="A91" s="2021"/>
      <c r="B91" s="2021" t="s">
        <v>2885</v>
      </c>
      <c r="C91" s="2021"/>
      <c r="D91" s="2021">
        <v>10293</v>
      </c>
      <c r="E91" s="2021" t="s">
        <v>2886</v>
      </c>
      <c r="F91" s="1759" t="s">
        <v>2904</v>
      </c>
      <c r="G91" s="2021"/>
      <c r="H91" s="1758">
        <v>11092</v>
      </c>
      <c r="I91" s="2290"/>
      <c r="J91" s="1779"/>
      <c r="K91" s="2290"/>
      <c r="L91" s="2290"/>
      <c r="M91" s="1763">
        <v>41402</v>
      </c>
      <c r="N91" s="1763">
        <v>41461</v>
      </c>
      <c r="O91" s="2021"/>
      <c r="P91" s="2021"/>
      <c r="Q91" s="1784"/>
    </row>
    <row r="92" spans="1:17" s="420" customFormat="1" ht="27.75" customHeight="1" x14ac:dyDescent="0.25">
      <c r="A92" s="2021"/>
      <c r="B92" s="2021" t="s">
        <v>2885</v>
      </c>
      <c r="C92" s="2021"/>
      <c r="D92" s="2021">
        <v>10293</v>
      </c>
      <c r="E92" s="2021" t="s">
        <v>2886</v>
      </c>
      <c r="F92" s="1759" t="s">
        <v>2905</v>
      </c>
      <c r="G92" s="2021"/>
      <c r="H92" s="1758">
        <v>11093</v>
      </c>
      <c r="I92" s="2290"/>
      <c r="J92" s="1779"/>
      <c r="K92" s="2290"/>
      <c r="L92" s="2290"/>
      <c r="M92" s="1763">
        <v>41462</v>
      </c>
      <c r="N92" s="1763">
        <v>41522</v>
      </c>
      <c r="O92" s="2021"/>
      <c r="P92" s="2021"/>
      <c r="Q92" s="1784"/>
    </row>
    <row r="93" spans="1:17" s="420" customFormat="1" ht="27.75" customHeight="1" x14ac:dyDescent="0.25">
      <c r="A93" s="2021"/>
      <c r="B93" s="2021" t="s">
        <v>2885</v>
      </c>
      <c r="C93" s="2021"/>
      <c r="D93" s="2021">
        <v>10293</v>
      </c>
      <c r="E93" s="2021" t="s">
        <v>2886</v>
      </c>
      <c r="F93" s="1759" t="s">
        <v>2906</v>
      </c>
      <c r="G93" s="2021"/>
      <c r="H93" s="1758">
        <v>11389</v>
      </c>
      <c r="I93" s="2290"/>
      <c r="J93" s="1779"/>
      <c r="K93" s="2290"/>
      <c r="L93" s="2290"/>
      <c r="M93" s="1763">
        <v>41522</v>
      </c>
      <c r="N93" s="1763">
        <v>41581</v>
      </c>
      <c r="O93" s="2021"/>
      <c r="P93" s="2021"/>
      <c r="Q93" s="1784"/>
    </row>
    <row r="94" spans="1:17" s="420" customFormat="1" ht="27.75" customHeight="1" x14ac:dyDescent="0.25">
      <c r="A94" s="2021"/>
      <c r="B94" s="2021" t="s">
        <v>2885</v>
      </c>
      <c r="C94" s="2021"/>
      <c r="D94" s="2021">
        <v>10293</v>
      </c>
      <c r="E94" s="2021" t="s">
        <v>2886</v>
      </c>
      <c r="F94" s="1759" t="s">
        <v>2907</v>
      </c>
      <c r="G94" s="2021"/>
      <c r="H94" s="1758">
        <v>11391</v>
      </c>
      <c r="I94" s="2290"/>
      <c r="J94" s="1779"/>
      <c r="K94" s="2290"/>
      <c r="L94" s="2290"/>
      <c r="M94" s="1763">
        <v>41582</v>
      </c>
      <c r="N94" s="1763">
        <v>41641</v>
      </c>
      <c r="O94" s="2021"/>
      <c r="P94" s="2021"/>
      <c r="Q94" s="1784"/>
    </row>
    <row r="95" spans="1:17" s="420" customFormat="1" ht="27.75" customHeight="1" x14ac:dyDescent="0.25">
      <c r="A95" s="2021"/>
      <c r="B95" s="2021" t="s">
        <v>2885</v>
      </c>
      <c r="C95" s="2021"/>
      <c r="D95" s="2021">
        <v>10293</v>
      </c>
      <c r="E95" s="2021" t="s">
        <v>2886</v>
      </c>
      <c r="F95" s="1759" t="s">
        <v>2908</v>
      </c>
      <c r="G95" s="2021"/>
      <c r="H95" s="1758">
        <v>11394</v>
      </c>
      <c r="I95" s="2290"/>
      <c r="J95" s="1779"/>
      <c r="K95" s="2290"/>
      <c r="L95" s="2290"/>
      <c r="M95" s="1763">
        <v>41642</v>
      </c>
      <c r="N95" s="1763">
        <v>41701</v>
      </c>
      <c r="O95" s="2021"/>
      <c r="P95" s="2021"/>
      <c r="Q95" s="1784"/>
    </row>
    <row r="96" spans="1:17" s="420" customFormat="1" ht="27.75" customHeight="1" x14ac:dyDescent="0.25">
      <c r="A96" s="2021"/>
      <c r="B96" s="2021" t="s">
        <v>2885</v>
      </c>
      <c r="C96" s="2021"/>
      <c r="D96" s="2021">
        <v>10293</v>
      </c>
      <c r="E96" s="2021" t="s">
        <v>2886</v>
      </c>
      <c r="F96" s="1759" t="s">
        <v>2909</v>
      </c>
      <c r="G96" s="2021"/>
      <c r="H96" s="1758">
        <v>11395</v>
      </c>
      <c r="I96" s="2290"/>
      <c r="J96" s="1779"/>
      <c r="K96" s="2290"/>
      <c r="L96" s="2290"/>
      <c r="M96" s="1763">
        <v>41702</v>
      </c>
      <c r="N96" s="1763">
        <v>41761</v>
      </c>
      <c r="O96" s="2021"/>
      <c r="P96" s="2021"/>
      <c r="Q96" s="1784"/>
    </row>
    <row r="97" spans="1:17" s="420" customFormat="1" ht="27.75" customHeight="1" x14ac:dyDescent="0.25">
      <c r="A97" s="2021"/>
      <c r="B97" s="2021" t="s">
        <v>2885</v>
      </c>
      <c r="C97" s="2021"/>
      <c r="D97" s="2021">
        <v>10293</v>
      </c>
      <c r="E97" s="2021" t="s">
        <v>2886</v>
      </c>
      <c r="F97" s="1759" t="s">
        <v>2910</v>
      </c>
      <c r="G97" s="2021"/>
      <c r="H97" s="1758">
        <v>11397</v>
      </c>
      <c r="I97" s="2290"/>
      <c r="J97" s="1779"/>
      <c r="K97" s="2290"/>
      <c r="L97" s="2290"/>
      <c r="M97" s="1763">
        <v>41762</v>
      </c>
      <c r="N97" s="1763">
        <v>41821</v>
      </c>
      <c r="O97" s="2021"/>
      <c r="P97" s="2021"/>
      <c r="Q97" s="1784"/>
    </row>
    <row r="98" spans="1:17" s="420" customFormat="1" ht="27.75" customHeight="1" x14ac:dyDescent="0.25">
      <c r="A98" s="2021"/>
      <c r="B98" s="2021" t="s">
        <v>2885</v>
      </c>
      <c r="C98" s="2021"/>
      <c r="D98" s="2021">
        <v>10293</v>
      </c>
      <c r="E98" s="2021" t="s">
        <v>2886</v>
      </c>
      <c r="F98" s="1759" t="s">
        <v>2911</v>
      </c>
      <c r="G98" s="2021"/>
      <c r="H98" s="1758">
        <v>11398</v>
      </c>
      <c r="I98" s="2290"/>
      <c r="J98" s="1779"/>
      <c r="K98" s="2290"/>
      <c r="L98" s="2290"/>
      <c r="M98" s="1763">
        <v>41822</v>
      </c>
      <c r="N98" s="1763">
        <v>41881</v>
      </c>
      <c r="O98" s="2021"/>
      <c r="P98" s="2021"/>
      <c r="Q98" s="1784"/>
    </row>
    <row r="99" spans="1:17" s="420" customFormat="1" ht="27.75" customHeight="1" x14ac:dyDescent="0.25">
      <c r="A99" s="2021"/>
      <c r="B99" s="2021" t="s">
        <v>2885</v>
      </c>
      <c r="C99" s="2021"/>
      <c r="D99" s="2021">
        <v>10293</v>
      </c>
      <c r="E99" s="2021" t="s">
        <v>2886</v>
      </c>
      <c r="F99" s="1759" t="s">
        <v>2912</v>
      </c>
      <c r="G99" s="2021"/>
      <c r="H99" s="1758">
        <v>11398</v>
      </c>
      <c r="I99" s="2290"/>
      <c r="J99" s="1779"/>
      <c r="K99" s="2290"/>
      <c r="L99" s="2290"/>
      <c r="M99" s="1763">
        <v>41882</v>
      </c>
      <c r="N99" s="1763">
        <v>41941</v>
      </c>
      <c r="O99" s="2021"/>
      <c r="P99" s="2021"/>
      <c r="Q99" s="1784"/>
    </row>
    <row r="100" spans="1:17" s="420" customFormat="1" ht="27.75" customHeight="1" x14ac:dyDescent="0.25">
      <c r="A100" s="1986"/>
      <c r="B100" s="1986"/>
      <c r="C100" s="1986"/>
      <c r="D100" s="1986"/>
      <c r="E100" s="1986"/>
      <c r="F100" s="1759" t="s">
        <v>2913</v>
      </c>
      <c r="G100" s="1986"/>
      <c r="H100" s="1758">
        <v>11453</v>
      </c>
      <c r="I100" s="2283"/>
      <c r="J100" s="1779"/>
      <c r="K100" s="2283"/>
      <c r="L100" s="2283"/>
      <c r="M100" s="1763">
        <v>41942</v>
      </c>
      <c r="N100" s="1763">
        <v>42001</v>
      </c>
      <c r="O100" s="1986"/>
      <c r="P100" s="1986"/>
      <c r="Q100" s="1784"/>
    </row>
    <row r="101" spans="1:17" s="420" customFormat="1" ht="40.5" customHeight="1" x14ac:dyDescent="0.25">
      <c r="A101" s="1985" t="s">
        <v>2914</v>
      </c>
      <c r="B101" s="1985" t="s">
        <v>2915</v>
      </c>
      <c r="C101" s="1985" t="s">
        <v>168</v>
      </c>
      <c r="D101" s="1985">
        <v>10880</v>
      </c>
      <c r="E101" s="1985" t="s">
        <v>2916</v>
      </c>
      <c r="F101" s="1759" t="s">
        <v>2917</v>
      </c>
      <c r="G101" s="1985" t="s">
        <v>2918</v>
      </c>
      <c r="H101" s="1762">
        <v>10914</v>
      </c>
      <c r="I101" s="2282">
        <v>634200</v>
      </c>
      <c r="J101" s="613"/>
      <c r="K101" s="2282">
        <v>254398.76</v>
      </c>
      <c r="L101" s="2282">
        <v>1047191.0400000002</v>
      </c>
      <c r="M101" s="1763">
        <v>41205</v>
      </c>
      <c r="N101" s="1763">
        <v>41570</v>
      </c>
      <c r="O101" s="1985">
        <v>19</v>
      </c>
      <c r="P101" s="1985">
        <v>33903900</v>
      </c>
      <c r="Q101" s="1912"/>
    </row>
    <row r="102" spans="1:17" s="420" customFormat="1" ht="40.5" customHeight="1" x14ac:dyDescent="0.25">
      <c r="A102" s="2021" t="s">
        <v>2914</v>
      </c>
      <c r="B102" s="2021" t="s">
        <v>2915</v>
      </c>
      <c r="C102" s="2021"/>
      <c r="D102" s="2021">
        <v>10880</v>
      </c>
      <c r="E102" s="2021"/>
      <c r="F102" s="1759" t="s">
        <v>2919</v>
      </c>
      <c r="G102" s="2021" t="s">
        <v>2918</v>
      </c>
      <c r="H102" s="1762">
        <v>11146</v>
      </c>
      <c r="I102" s="2290"/>
      <c r="J102" s="613">
        <v>105700</v>
      </c>
      <c r="K102" s="2290"/>
      <c r="L102" s="2290"/>
      <c r="M102" s="1763">
        <v>41936</v>
      </c>
      <c r="N102" s="1763">
        <v>41626</v>
      </c>
      <c r="O102" s="2021"/>
      <c r="P102" s="2021"/>
      <c r="Q102" s="1912"/>
    </row>
    <row r="103" spans="1:17" s="420" customFormat="1" ht="40.5" customHeight="1" x14ac:dyDescent="0.25">
      <c r="A103" s="2021" t="s">
        <v>2914</v>
      </c>
      <c r="B103" s="2021" t="s">
        <v>2915</v>
      </c>
      <c r="C103" s="2021"/>
      <c r="D103" s="2021">
        <v>10880</v>
      </c>
      <c r="E103" s="2021"/>
      <c r="F103" s="1759" t="s">
        <v>2920</v>
      </c>
      <c r="G103" s="2021" t="s">
        <v>2918</v>
      </c>
      <c r="H103" s="1762">
        <v>11166</v>
      </c>
      <c r="I103" s="2290"/>
      <c r="J103" s="613"/>
      <c r="K103" s="2290"/>
      <c r="L103" s="2290"/>
      <c r="M103" s="1763">
        <v>41627</v>
      </c>
      <c r="N103" s="1763">
        <v>41686</v>
      </c>
      <c r="O103" s="2021"/>
      <c r="P103" s="2021"/>
      <c r="Q103" s="1912"/>
    </row>
    <row r="104" spans="1:17" s="420" customFormat="1" ht="40.5" customHeight="1" x14ac:dyDescent="0.25">
      <c r="A104" s="2021" t="s">
        <v>2914</v>
      </c>
      <c r="B104" s="2021" t="s">
        <v>2915</v>
      </c>
      <c r="C104" s="2021"/>
      <c r="D104" s="2021">
        <v>10880</v>
      </c>
      <c r="E104" s="2021"/>
      <c r="F104" s="1759" t="s">
        <v>2921</v>
      </c>
      <c r="G104" s="2021" t="s">
        <v>2918</v>
      </c>
      <c r="H104" s="1762">
        <v>11170</v>
      </c>
      <c r="I104" s="2290"/>
      <c r="J104" s="613">
        <v>52892.28</v>
      </c>
      <c r="K104" s="2290"/>
      <c r="L104" s="2290"/>
      <c r="M104" s="1763">
        <v>41687</v>
      </c>
      <c r="N104" s="1763">
        <v>41745</v>
      </c>
      <c r="O104" s="2021"/>
      <c r="P104" s="2021"/>
      <c r="Q104" s="1912"/>
    </row>
    <row r="105" spans="1:17" s="420" customFormat="1" ht="40.5" customHeight="1" x14ac:dyDescent="0.25">
      <c r="A105" s="2021" t="s">
        <v>2914</v>
      </c>
      <c r="B105" s="2021" t="s">
        <v>2915</v>
      </c>
      <c r="C105" s="2021"/>
      <c r="D105" s="2021">
        <v>10880</v>
      </c>
      <c r="E105" s="2021"/>
      <c r="F105" s="1759" t="s">
        <v>2922</v>
      </c>
      <c r="G105" s="2021" t="s">
        <v>2918</v>
      </c>
      <c r="H105" s="1762">
        <v>11207</v>
      </c>
      <c r="I105" s="2290"/>
      <c r="J105" s="613">
        <v>150812.76</v>
      </c>
      <c r="K105" s="2290"/>
      <c r="L105" s="2290"/>
      <c r="M105" s="1763">
        <v>41746</v>
      </c>
      <c r="N105" s="1763">
        <v>41806</v>
      </c>
      <c r="O105" s="2021"/>
      <c r="P105" s="2021"/>
      <c r="Q105" s="1912"/>
    </row>
    <row r="106" spans="1:17" s="420" customFormat="1" ht="40.5" customHeight="1" x14ac:dyDescent="0.25">
      <c r="A106" s="2021" t="s">
        <v>2914</v>
      </c>
      <c r="B106" s="2021" t="s">
        <v>2915</v>
      </c>
      <c r="C106" s="2021"/>
      <c r="D106" s="2021">
        <v>10880</v>
      </c>
      <c r="E106" s="2021"/>
      <c r="F106" s="1759" t="s">
        <v>2923</v>
      </c>
      <c r="G106" s="2021" t="s">
        <v>2918</v>
      </c>
      <c r="H106" s="1762">
        <v>11252</v>
      </c>
      <c r="I106" s="2290"/>
      <c r="J106" s="613"/>
      <c r="K106" s="2290"/>
      <c r="L106" s="2290"/>
      <c r="M106" s="1763">
        <v>41687</v>
      </c>
      <c r="N106" s="1763">
        <v>41745</v>
      </c>
      <c r="O106" s="2021"/>
      <c r="P106" s="2021"/>
      <c r="Q106" s="1912"/>
    </row>
    <row r="107" spans="1:17" s="420" customFormat="1" ht="40.5" customHeight="1" x14ac:dyDescent="0.25">
      <c r="A107" s="1986" t="s">
        <v>2914</v>
      </c>
      <c r="B107" s="1986" t="s">
        <v>2915</v>
      </c>
      <c r="C107" s="1986"/>
      <c r="D107" s="1986">
        <v>10880</v>
      </c>
      <c r="E107" s="1986"/>
      <c r="F107" s="1759" t="s">
        <v>2924</v>
      </c>
      <c r="G107" s="1986" t="s">
        <v>2918</v>
      </c>
      <c r="H107" s="1762">
        <v>11292</v>
      </c>
      <c r="I107" s="2283"/>
      <c r="J107" s="613"/>
      <c r="K107" s="2283"/>
      <c r="L107" s="2283"/>
      <c r="M107" s="1763">
        <v>41746</v>
      </c>
      <c r="N107" s="1763">
        <v>41806</v>
      </c>
      <c r="O107" s="1986"/>
      <c r="P107" s="1986"/>
      <c r="Q107" s="1912"/>
    </row>
    <row r="108" spans="1:17" s="420" customFormat="1" ht="36.75" customHeight="1" x14ac:dyDescent="0.25">
      <c r="A108" s="1985" t="s">
        <v>2727</v>
      </c>
      <c r="B108" s="1985" t="s">
        <v>2925</v>
      </c>
      <c r="C108" s="1985" t="s">
        <v>168</v>
      </c>
      <c r="D108" s="1985">
        <v>10978</v>
      </c>
      <c r="E108" s="1985" t="s">
        <v>2926</v>
      </c>
      <c r="F108" s="1759" t="s">
        <v>1280</v>
      </c>
      <c r="G108" s="1985" t="s">
        <v>2927</v>
      </c>
      <c r="H108" s="1762">
        <v>11022</v>
      </c>
      <c r="I108" s="2282">
        <v>944944.18</v>
      </c>
      <c r="J108" s="613"/>
      <c r="K108" s="2282">
        <f>217258.82-45117.91</f>
        <v>172140.91</v>
      </c>
      <c r="L108" s="2282">
        <f>1064176.03-45117.91</f>
        <v>1019058.12</v>
      </c>
      <c r="M108" s="1763">
        <v>41365</v>
      </c>
      <c r="N108" s="1763">
        <v>41970</v>
      </c>
      <c r="O108" s="1985" t="s">
        <v>2882</v>
      </c>
      <c r="P108" s="1985">
        <v>44905100</v>
      </c>
      <c r="Q108" s="1912"/>
    </row>
    <row r="109" spans="1:17" s="420" customFormat="1" ht="36.75" customHeight="1" x14ac:dyDescent="0.25">
      <c r="A109" s="2021"/>
      <c r="B109" s="2021" t="s">
        <v>2925</v>
      </c>
      <c r="C109" s="2021"/>
      <c r="D109" s="2021">
        <v>10978</v>
      </c>
      <c r="E109" s="2021" t="s">
        <v>2926</v>
      </c>
      <c r="F109" s="1759" t="s">
        <v>2928</v>
      </c>
      <c r="G109" s="2021" t="s">
        <v>2927</v>
      </c>
      <c r="H109" s="1758">
        <v>11193</v>
      </c>
      <c r="I109" s="2290"/>
      <c r="J109" s="1779"/>
      <c r="K109" s="2290"/>
      <c r="L109" s="2290"/>
      <c r="M109" s="1763">
        <v>41606</v>
      </c>
      <c r="N109" s="1763">
        <v>41725</v>
      </c>
      <c r="O109" s="2021"/>
      <c r="P109" s="2021"/>
      <c r="Q109" s="1784"/>
    </row>
    <row r="110" spans="1:17" s="420" customFormat="1" ht="36.75" customHeight="1" x14ac:dyDescent="0.25">
      <c r="A110" s="1986"/>
      <c r="B110" s="1986" t="s">
        <v>2925</v>
      </c>
      <c r="C110" s="1986"/>
      <c r="D110" s="1986">
        <v>10978</v>
      </c>
      <c r="E110" s="1986" t="s">
        <v>2926</v>
      </c>
      <c r="F110" s="1759" t="s">
        <v>2929</v>
      </c>
      <c r="G110" s="1986" t="s">
        <v>2927</v>
      </c>
      <c r="H110" s="1758">
        <v>11254</v>
      </c>
      <c r="I110" s="2283"/>
      <c r="J110" s="1779">
        <v>119231.8</v>
      </c>
      <c r="K110" s="2283"/>
      <c r="L110" s="2283"/>
      <c r="M110" s="1763"/>
      <c r="N110" s="1763"/>
      <c r="O110" s="1986"/>
      <c r="P110" s="1986"/>
      <c r="Q110" s="1784"/>
    </row>
    <row r="111" spans="1:17" s="420" customFormat="1" ht="32.25" customHeight="1" x14ac:dyDescent="0.25">
      <c r="A111" s="1985" t="s">
        <v>980</v>
      </c>
      <c r="B111" s="1985" t="s">
        <v>2930</v>
      </c>
      <c r="C111" s="1985" t="s">
        <v>168</v>
      </c>
      <c r="D111" s="1985">
        <v>10998</v>
      </c>
      <c r="E111" s="1985" t="s">
        <v>2931</v>
      </c>
      <c r="F111" s="1759" t="s">
        <v>1608</v>
      </c>
      <c r="G111" s="1985" t="s">
        <v>2093</v>
      </c>
      <c r="H111" s="1758">
        <v>11025</v>
      </c>
      <c r="I111" s="2282">
        <v>342964.14</v>
      </c>
      <c r="J111" s="1779"/>
      <c r="K111" s="2282">
        <v>161203.70000000001</v>
      </c>
      <c r="L111" s="2282">
        <v>375879.88</v>
      </c>
      <c r="M111" s="1763">
        <v>41368</v>
      </c>
      <c r="N111" s="1763">
        <v>41518</v>
      </c>
      <c r="O111" s="1985" t="s">
        <v>2882</v>
      </c>
      <c r="P111" s="1985">
        <v>44905100</v>
      </c>
      <c r="Q111" s="1784"/>
    </row>
    <row r="112" spans="1:17" s="420" customFormat="1" ht="25.5" customHeight="1" x14ac:dyDescent="0.25">
      <c r="A112" s="2021"/>
      <c r="B112" s="2021" t="s">
        <v>2930</v>
      </c>
      <c r="C112" s="2021"/>
      <c r="D112" s="2021">
        <v>10998</v>
      </c>
      <c r="E112" s="2021" t="s">
        <v>2931</v>
      </c>
      <c r="F112" s="1759" t="s">
        <v>2932</v>
      </c>
      <c r="G112" s="2021" t="s">
        <v>2093</v>
      </c>
      <c r="H112" s="1758">
        <v>11127</v>
      </c>
      <c r="I112" s="2290"/>
      <c r="J112" s="1779"/>
      <c r="K112" s="2290"/>
      <c r="L112" s="2290"/>
      <c r="M112" s="1763">
        <v>41884</v>
      </c>
      <c r="N112" s="1763">
        <v>41668</v>
      </c>
      <c r="O112" s="2021"/>
      <c r="P112" s="2021"/>
      <c r="Q112" s="1784"/>
    </row>
    <row r="113" spans="1:17" s="420" customFormat="1" ht="25.5" customHeight="1" x14ac:dyDescent="0.25">
      <c r="A113" s="2021"/>
      <c r="B113" s="2021" t="s">
        <v>2930</v>
      </c>
      <c r="C113" s="2021"/>
      <c r="D113" s="2021">
        <v>10998</v>
      </c>
      <c r="E113" s="2021" t="s">
        <v>2931</v>
      </c>
      <c r="F113" s="1759" t="s">
        <v>2933</v>
      </c>
      <c r="G113" s="2021" t="s">
        <v>2093</v>
      </c>
      <c r="H113" s="1758">
        <v>11207</v>
      </c>
      <c r="I113" s="2290"/>
      <c r="J113" s="1779"/>
      <c r="K113" s="2290"/>
      <c r="L113" s="2290"/>
      <c r="M113" s="1763">
        <v>41669</v>
      </c>
      <c r="N113" s="1763">
        <v>41758</v>
      </c>
      <c r="O113" s="2021"/>
      <c r="P113" s="2021"/>
      <c r="Q113" s="1784"/>
    </row>
    <row r="114" spans="1:17" s="420" customFormat="1" ht="25.5" customHeight="1" x14ac:dyDescent="0.25">
      <c r="A114" s="2021"/>
      <c r="B114" s="2021" t="s">
        <v>2930</v>
      </c>
      <c r="C114" s="2021"/>
      <c r="D114" s="2021">
        <v>10998</v>
      </c>
      <c r="E114" s="2021" t="s">
        <v>2931</v>
      </c>
      <c r="F114" s="1759" t="s">
        <v>2934</v>
      </c>
      <c r="G114" s="2021" t="s">
        <v>2093</v>
      </c>
      <c r="H114" s="1758">
        <v>11280</v>
      </c>
      <c r="I114" s="2290"/>
      <c r="J114" s="1779">
        <v>35263.699999999997</v>
      </c>
      <c r="K114" s="2290"/>
      <c r="L114" s="2290"/>
      <c r="M114" s="1763"/>
      <c r="N114" s="1763"/>
      <c r="O114" s="2021"/>
      <c r="P114" s="2021"/>
      <c r="Q114" s="1784"/>
    </row>
    <row r="115" spans="1:17" s="420" customFormat="1" ht="25.5" customHeight="1" x14ac:dyDescent="0.25">
      <c r="A115" s="2021"/>
      <c r="B115" s="2021" t="s">
        <v>2930</v>
      </c>
      <c r="C115" s="2021"/>
      <c r="D115" s="2021">
        <v>10998</v>
      </c>
      <c r="E115" s="2021" t="s">
        <v>2931</v>
      </c>
      <c r="F115" s="1759" t="s">
        <v>2935</v>
      </c>
      <c r="G115" s="2021" t="s">
        <v>2093</v>
      </c>
      <c r="H115" s="1758">
        <v>11480</v>
      </c>
      <c r="I115" s="2290"/>
      <c r="J115" s="1779"/>
      <c r="K115" s="2290"/>
      <c r="L115" s="2290"/>
      <c r="M115" s="1763">
        <v>41759</v>
      </c>
      <c r="N115" s="1763">
        <v>41908</v>
      </c>
      <c r="O115" s="2021"/>
      <c r="P115" s="2021"/>
      <c r="Q115" s="1784"/>
    </row>
    <row r="116" spans="1:17" s="420" customFormat="1" ht="25.5" customHeight="1" x14ac:dyDescent="0.25">
      <c r="A116" s="2021"/>
      <c r="B116" s="2021" t="s">
        <v>2930</v>
      </c>
      <c r="C116" s="2021"/>
      <c r="D116" s="2021">
        <v>10998</v>
      </c>
      <c r="E116" s="2021" t="s">
        <v>2931</v>
      </c>
      <c r="F116" s="1759" t="s">
        <v>2936</v>
      </c>
      <c r="G116" s="2021" t="s">
        <v>2093</v>
      </c>
      <c r="H116" s="1758">
        <v>11412</v>
      </c>
      <c r="I116" s="2290"/>
      <c r="J116" s="1779"/>
      <c r="K116" s="2290"/>
      <c r="L116" s="2290"/>
      <c r="M116" s="1763" t="s">
        <v>2937</v>
      </c>
      <c r="N116" s="1763">
        <v>41968</v>
      </c>
      <c r="O116" s="2021"/>
      <c r="P116" s="2021"/>
      <c r="Q116" s="1784"/>
    </row>
    <row r="117" spans="1:17" s="420" customFormat="1" ht="18" customHeight="1" x14ac:dyDescent="0.25">
      <c r="A117" s="1986"/>
      <c r="B117" s="1986" t="s">
        <v>2930</v>
      </c>
      <c r="C117" s="1986"/>
      <c r="D117" s="1986">
        <v>10998</v>
      </c>
      <c r="E117" s="1986" t="s">
        <v>2931</v>
      </c>
      <c r="F117" s="1759" t="s">
        <v>2938</v>
      </c>
      <c r="G117" s="1986" t="s">
        <v>2093</v>
      </c>
      <c r="H117" s="1758">
        <v>11447</v>
      </c>
      <c r="I117" s="2283"/>
      <c r="J117" s="1779">
        <v>-2347.9299999999998</v>
      </c>
      <c r="K117" s="2283"/>
      <c r="L117" s="2283"/>
      <c r="M117" s="1763">
        <v>41969</v>
      </c>
      <c r="N117" s="1763">
        <v>41998</v>
      </c>
      <c r="O117" s="1986"/>
      <c r="P117" s="1986"/>
      <c r="Q117" s="1784"/>
    </row>
    <row r="118" spans="1:17" s="420" customFormat="1" ht="27" customHeight="1" x14ac:dyDescent="0.25">
      <c r="A118" s="1985" t="s">
        <v>2939</v>
      </c>
      <c r="B118" s="1985" t="s">
        <v>2940</v>
      </c>
      <c r="C118" s="1985" t="s">
        <v>168</v>
      </c>
      <c r="D118" s="1985">
        <v>10998</v>
      </c>
      <c r="E118" s="1985" t="s">
        <v>2941</v>
      </c>
      <c r="F118" s="1759" t="s">
        <v>1529</v>
      </c>
      <c r="G118" s="1985" t="s">
        <v>2942</v>
      </c>
      <c r="H118" s="1762">
        <v>11029</v>
      </c>
      <c r="I118" s="2282">
        <v>405439.24</v>
      </c>
      <c r="J118" s="613"/>
      <c r="K118" s="2282">
        <f>252838.86-31105.23</f>
        <v>221733.62999999998</v>
      </c>
      <c r="L118" s="2282">
        <f>398433.92-31105.23</f>
        <v>367328.69</v>
      </c>
      <c r="M118" s="1763">
        <v>41378</v>
      </c>
      <c r="N118" s="1763">
        <v>41588</v>
      </c>
      <c r="O118" s="1985" t="s">
        <v>2882</v>
      </c>
      <c r="P118" s="1985">
        <v>44905100</v>
      </c>
      <c r="Q118" s="1912"/>
    </row>
    <row r="119" spans="1:17" s="420" customFormat="1" ht="27" customHeight="1" x14ac:dyDescent="0.25">
      <c r="A119" s="2021"/>
      <c r="B119" s="2021" t="s">
        <v>2940</v>
      </c>
      <c r="C119" s="2021"/>
      <c r="D119" s="2021">
        <v>10998</v>
      </c>
      <c r="E119" s="2021" t="s">
        <v>2941</v>
      </c>
      <c r="F119" s="1759" t="s">
        <v>2943</v>
      </c>
      <c r="G119" s="2021" t="s">
        <v>2942</v>
      </c>
      <c r="H119" s="1762">
        <v>11193</v>
      </c>
      <c r="I119" s="2290"/>
      <c r="J119" s="613"/>
      <c r="K119" s="2290"/>
      <c r="L119" s="2290"/>
      <c r="M119" s="1763">
        <v>41589</v>
      </c>
      <c r="N119" s="1763">
        <v>41678</v>
      </c>
      <c r="O119" s="2021"/>
      <c r="P119" s="2021"/>
      <c r="Q119" s="1912"/>
    </row>
    <row r="120" spans="1:17" s="420" customFormat="1" ht="27" customHeight="1" x14ac:dyDescent="0.25">
      <c r="A120" s="2021"/>
      <c r="B120" s="2021" t="s">
        <v>2940</v>
      </c>
      <c r="C120" s="2021"/>
      <c r="D120" s="2021">
        <v>10998</v>
      </c>
      <c r="E120" s="2021" t="s">
        <v>2941</v>
      </c>
      <c r="F120" s="1759" t="s">
        <v>2944</v>
      </c>
      <c r="G120" s="2021" t="s">
        <v>2942</v>
      </c>
      <c r="H120" s="1762">
        <v>11240</v>
      </c>
      <c r="I120" s="2290"/>
      <c r="J120" s="613"/>
      <c r="K120" s="2290"/>
      <c r="L120" s="2290"/>
      <c r="M120" s="1763">
        <v>41679</v>
      </c>
      <c r="N120" s="1763">
        <v>41768</v>
      </c>
      <c r="O120" s="2021"/>
      <c r="P120" s="2021"/>
      <c r="Q120" s="1912"/>
    </row>
    <row r="121" spans="1:17" s="420" customFormat="1" ht="27" customHeight="1" x14ac:dyDescent="0.25">
      <c r="A121" s="2021"/>
      <c r="B121" s="2021" t="s">
        <v>2940</v>
      </c>
      <c r="C121" s="2021"/>
      <c r="D121" s="2021">
        <v>10998</v>
      </c>
      <c r="E121" s="2021" t="s">
        <v>2941</v>
      </c>
      <c r="F121" s="1759" t="s">
        <v>2945</v>
      </c>
      <c r="G121" s="2021" t="s">
        <v>2942</v>
      </c>
      <c r="H121" s="1762">
        <v>11262</v>
      </c>
      <c r="I121" s="2290"/>
      <c r="J121" s="613">
        <v>-29208.13</v>
      </c>
      <c r="K121" s="2290"/>
      <c r="L121" s="2290"/>
      <c r="M121" s="1763"/>
      <c r="N121" s="1763"/>
      <c r="O121" s="2021"/>
      <c r="P121" s="2021"/>
      <c r="Q121" s="1912"/>
    </row>
    <row r="122" spans="1:17" s="420" customFormat="1" ht="27" customHeight="1" x14ac:dyDescent="0.25">
      <c r="A122" s="2021"/>
      <c r="B122" s="2021" t="s">
        <v>2940</v>
      </c>
      <c r="C122" s="2021"/>
      <c r="D122" s="2021">
        <v>10998</v>
      </c>
      <c r="E122" s="2021" t="s">
        <v>2941</v>
      </c>
      <c r="F122" s="1759" t="s">
        <v>2946</v>
      </c>
      <c r="G122" s="2021" t="s">
        <v>2942</v>
      </c>
      <c r="H122" s="1762">
        <v>11311</v>
      </c>
      <c r="I122" s="2290"/>
      <c r="J122" s="613"/>
      <c r="K122" s="2290"/>
      <c r="L122" s="2290"/>
      <c r="M122" s="1763">
        <v>41769</v>
      </c>
      <c r="N122" s="1763">
        <v>41828</v>
      </c>
      <c r="O122" s="2021"/>
      <c r="P122" s="2021"/>
      <c r="Q122" s="1912"/>
    </row>
    <row r="123" spans="1:17" s="420" customFormat="1" ht="27" customHeight="1" x14ac:dyDescent="0.25">
      <c r="A123" s="2021"/>
      <c r="B123" s="2021" t="s">
        <v>2940</v>
      </c>
      <c r="C123" s="2021"/>
      <c r="D123" s="2021">
        <v>10998</v>
      </c>
      <c r="E123" s="2021" t="s">
        <v>2941</v>
      </c>
      <c r="F123" s="1759" t="s">
        <v>2947</v>
      </c>
      <c r="G123" s="2021" t="s">
        <v>2942</v>
      </c>
      <c r="H123" s="1762">
        <v>11353</v>
      </c>
      <c r="I123" s="2290"/>
      <c r="J123" s="613"/>
      <c r="K123" s="2290"/>
      <c r="L123" s="2290"/>
      <c r="M123" s="1763">
        <v>41829</v>
      </c>
      <c r="N123" s="1763">
        <v>41888</v>
      </c>
      <c r="O123" s="2021"/>
      <c r="P123" s="2021"/>
      <c r="Q123" s="1912"/>
    </row>
    <row r="124" spans="1:17" s="420" customFormat="1" ht="27" customHeight="1" x14ac:dyDescent="0.25">
      <c r="A124" s="2021"/>
      <c r="B124" s="2021" t="s">
        <v>2940</v>
      </c>
      <c r="C124" s="2021"/>
      <c r="D124" s="2021">
        <v>10998</v>
      </c>
      <c r="E124" s="2021" t="s">
        <v>2941</v>
      </c>
      <c r="F124" s="1759" t="s">
        <v>2948</v>
      </c>
      <c r="G124" s="2021" t="s">
        <v>2942</v>
      </c>
      <c r="H124" s="1762">
        <v>11398</v>
      </c>
      <c r="I124" s="2290"/>
      <c r="J124" s="613"/>
      <c r="K124" s="2290"/>
      <c r="L124" s="2290"/>
      <c r="M124" s="1763">
        <v>41889</v>
      </c>
      <c r="N124" s="1763">
        <v>41948</v>
      </c>
      <c r="O124" s="2021"/>
      <c r="P124" s="2021"/>
      <c r="Q124" s="1784"/>
    </row>
    <row r="125" spans="1:17" s="420" customFormat="1" ht="27" customHeight="1" x14ac:dyDescent="0.25">
      <c r="A125" s="2021"/>
      <c r="B125" s="2021" t="s">
        <v>2940</v>
      </c>
      <c r="C125" s="2021"/>
      <c r="D125" s="2021">
        <v>10998</v>
      </c>
      <c r="E125" s="2021" t="s">
        <v>2941</v>
      </c>
      <c r="F125" s="1759" t="s">
        <v>2949</v>
      </c>
      <c r="G125" s="2021" t="s">
        <v>2942</v>
      </c>
      <c r="H125" s="1762">
        <v>11399</v>
      </c>
      <c r="I125" s="2290"/>
      <c r="J125" s="613">
        <v>34737.919999999998</v>
      </c>
      <c r="K125" s="2290"/>
      <c r="L125" s="2290"/>
      <c r="M125" s="1763"/>
      <c r="N125" s="1763"/>
      <c r="O125" s="2021"/>
      <c r="P125" s="2021"/>
      <c r="Q125" s="1912"/>
    </row>
    <row r="126" spans="1:17" s="420" customFormat="1" ht="27" customHeight="1" x14ac:dyDescent="0.25">
      <c r="A126" s="1986"/>
      <c r="B126" s="1986" t="s">
        <v>2940</v>
      </c>
      <c r="C126" s="1986"/>
      <c r="D126" s="1986">
        <v>10998</v>
      </c>
      <c r="E126" s="1986" t="s">
        <v>2941</v>
      </c>
      <c r="F126" s="1759" t="s">
        <v>2950</v>
      </c>
      <c r="G126" s="1986" t="s">
        <v>2942</v>
      </c>
      <c r="H126" s="1762">
        <v>11433</v>
      </c>
      <c r="I126" s="2283"/>
      <c r="J126" s="613">
        <v>-12535.12</v>
      </c>
      <c r="K126" s="2283"/>
      <c r="L126" s="2283"/>
      <c r="M126" s="1763">
        <v>41949</v>
      </c>
      <c r="N126" s="1763">
        <v>41978</v>
      </c>
      <c r="O126" s="1986"/>
      <c r="P126" s="1986"/>
      <c r="Q126" s="1912"/>
    </row>
    <row r="127" spans="1:17" s="420" customFormat="1" ht="30" customHeight="1" x14ac:dyDescent="0.25">
      <c r="A127" s="1985" t="s">
        <v>1693</v>
      </c>
      <c r="B127" s="1985" t="s">
        <v>2951</v>
      </c>
      <c r="C127" s="1985" t="s">
        <v>168</v>
      </c>
      <c r="D127" s="1985">
        <v>10999</v>
      </c>
      <c r="E127" s="1985" t="s">
        <v>2952</v>
      </c>
      <c r="F127" s="1759" t="s">
        <v>2259</v>
      </c>
      <c r="G127" s="1985" t="s">
        <v>2841</v>
      </c>
      <c r="H127" s="1758">
        <v>11053</v>
      </c>
      <c r="I127" s="2282">
        <v>204667.27</v>
      </c>
      <c r="J127" s="1779"/>
      <c r="K127" s="2282">
        <v>77180.5</v>
      </c>
      <c r="L127" s="2282">
        <v>240569.31</v>
      </c>
      <c r="M127" s="1763">
        <v>41413</v>
      </c>
      <c r="N127" s="1763">
        <v>41563</v>
      </c>
      <c r="O127" s="1985" t="s">
        <v>2882</v>
      </c>
      <c r="P127" s="1985">
        <v>44905100</v>
      </c>
      <c r="Q127" s="1912"/>
    </row>
    <row r="128" spans="1:17" s="420" customFormat="1" ht="30" customHeight="1" x14ac:dyDescent="0.25">
      <c r="A128" s="2021"/>
      <c r="B128" s="2021" t="s">
        <v>2951</v>
      </c>
      <c r="C128" s="2021"/>
      <c r="D128" s="2021">
        <v>10999</v>
      </c>
      <c r="E128" s="2021" t="s">
        <v>2952</v>
      </c>
      <c r="F128" s="1759" t="s">
        <v>2953</v>
      </c>
      <c r="G128" s="2021" t="s">
        <v>2841</v>
      </c>
      <c r="H128" s="1758">
        <v>11145</v>
      </c>
      <c r="I128" s="2290"/>
      <c r="J128" s="1779"/>
      <c r="K128" s="2290"/>
      <c r="L128" s="2290"/>
      <c r="M128" s="1763">
        <v>41549</v>
      </c>
      <c r="N128" s="1763">
        <v>41623</v>
      </c>
      <c r="O128" s="2021"/>
      <c r="P128" s="2021"/>
      <c r="Q128" s="1912"/>
    </row>
    <row r="129" spans="1:17" s="420" customFormat="1" ht="30" customHeight="1" x14ac:dyDescent="0.25">
      <c r="A129" s="2021"/>
      <c r="B129" s="2021" t="s">
        <v>2951</v>
      </c>
      <c r="C129" s="2021"/>
      <c r="D129" s="2021">
        <v>10999</v>
      </c>
      <c r="E129" s="2021" t="s">
        <v>2952</v>
      </c>
      <c r="F129" s="1759" t="s">
        <v>2954</v>
      </c>
      <c r="G129" s="2021" t="s">
        <v>2841</v>
      </c>
      <c r="H129" s="1758">
        <v>11193</v>
      </c>
      <c r="I129" s="2290"/>
      <c r="J129" s="1779"/>
      <c r="K129" s="2290"/>
      <c r="L129" s="2290"/>
      <c r="M129" s="1763">
        <v>41624</v>
      </c>
      <c r="N129" s="1763">
        <v>41683</v>
      </c>
      <c r="O129" s="2021"/>
      <c r="P129" s="2021"/>
      <c r="Q129" s="1912"/>
    </row>
    <row r="130" spans="1:17" s="420" customFormat="1" ht="30" customHeight="1" x14ac:dyDescent="0.25">
      <c r="A130" s="2021"/>
      <c r="B130" s="2021" t="s">
        <v>2951</v>
      </c>
      <c r="C130" s="2021"/>
      <c r="D130" s="2021">
        <v>10999</v>
      </c>
      <c r="E130" s="2021" t="s">
        <v>2952</v>
      </c>
      <c r="F130" s="1759" t="s">
        <v>2955</v>
      </c>
      <c r="G130" s="2021" t="s">
        <v>2841</v>
      </c>
      <c r="H130" s="1758">
        <v>11280</v>
      </c>
      <c r="I130" s="2290"/>
      <c r="J130" s="1779"/>
      <c r="K130" s="2290"/>
      <c r="L130" s="2290"/>
      <c r="M130" s="1763">
        <v>41684</v>
      </c>
      <c r="N130" s="1763">
        <v>41773</v>
      </c>
      <c r="O130" s="2021"/>
      <c r="P130" s="2021"/>
      <c r="Q130" s="1912"/>
    </row>
    <row r="131" spans="1:17" s="420" customFormat="1" ht="30" customHeight="1" x14ac:dyDescent="0.25">
      <c r="A131" s="1986"/>
      <c r="B131" s="1986" t="s">
        <v>2951</v>
      </c>
      <c r="C131" s="1986"/>
      <c r="D131" s="1986">
        <v>10999</v>
      </c>
      <c r="E131" s="1986" t="s">
        <v>2952</v>
      </c>
      <c r="F131" s="1759" t="s">
        <v>2956</v>
      </c>
      <c r="G131" s="1986" t="s">
        <v>2841</v>
      </c>
      <c r="H131" s="1758">
        <v>11282</v>
      </c>
      <c r="I131" s="2283"/>
      <c r="J131" s="1779">
        <v>35902.04</v>
      </c>
      <c r="K131" s="2283"/>
      <c r="L131" s="2283"/>
      <c r="M131" s="1763"/>
      <c r="N131" s="1763"/>
      <c r="O131" s="1986"/>
      <c r="P131" s="1986"/>
      <c r="Q131" s="1912"/>
    </row>
    <row r="132" spans="1:17" s="420" customFormat="1" ht="30" customHeight="1" x14ac:dyDescent="0.25">
      <c r="A132" s="1985" t="s">
        <v>2957</v>
      </c>
      <c r="B132" s="1985" t="s">
        <v>2958</v>
      </c>
      <c r="C132" s="1985" t="s">
        <v>168</v>
      </c>
      <c r="D132" s="1985">
        <v>11048</v>
      </c>
      <c r="E132" s="1985" t="s">
        <v>2959</v>
      </c>
      <c r="F132" s="1759" t="s">
        <v>2960</v>
      </c>
      <c r="G132" s="1985" t="s">
        <v>2961</v>
      </c>
      <c r="H132" s="1758">
        <v>11106</v>
      </c>
      <c r="I132" s="2282">
        <v>101370.06</v>
      </c>
      <c r="J132" s="1779"/>
      <c r="K132" s="2282">
        <v>0</v>
      </c>
      <c r="L132" s="2282">
        <v>120810.54000000001</v>
      </c>
      <c r="M132" s="1763">
        <v>41490</v>
      </c>
      <c r="N132" s="1763">
        <v>41610</v>
      </c>
      <c r="O132" s="1985">
        <v>1</v>
      </c>
      <c r="P132" s="1985">
        <v>33903900</v>
      </c>
      <c r="Q132" s="1912"/>
    </row>
    <row r="133" spans="1:17" s="420" customFormat="1" ht="30" customHeight="1" x14ac:dyDescent="0.25">
      <c r="A133" s="2021"/>
      <c r="B133" s="2021" t="s">
        <v>2958</v>
      </c>
      <c r="C133" s="2021"/>
      <c r="D133" s="2021">
        <v>11048</v>
      </c>
      <c r="E133" s="2021" t="s">
        <v>2959</v>
      </c>
      <c r="F133" s="1759" t="s">
        <v>2962</v>
      </c>
      <c r="G133" s="2021" t="s">
        <v>2961</v>
      </c>
      <c r="H133" s="1758">
        <v>11158</v>
      </c>
      <c r="I133" s="2290"/>
      <c r="J133" s="1779">
        <v>24095.84</v>
      </c>
      <c r="K133" s="2290"/>
      <c r="L133" s="2290"/>
      <c r="M133" s="1763"/>
      <c r="N133" s="1763"/>
      <c r="O133" s="2021"/>
      <c r="P133" s="2021"/>
      <c r="Q133" s="1912"/>
    </row>
    <row r="134" spans="1:17" s="420" customFormat="1" ht="30" customHeight="1" x14ac:dyDescent="0.25">
      <c r="A134" s="1986"/>
      <c r="B134" s="1986" t="s">
        <v>2958</v>
      </c>
      <c r="C134" s="1986"/>
      <c r="D134" s="1986">
        <v>11048</v>
      </c>
      <c r="E134" s="1986" t="s">
        <v>2959</v>
      </c>
      <c r="F134" s="1759" t="s">
        <v>2963</v>
      </c>
      <c r="G134" s="1986" t="s">
        <v>2961</v>
      </c>
      <c r="H134" s="1758">
        <v>11207</v>
      </c>
      <c r="I134" s="2283"/>
      <c r="J134" s="1779"/>
      <c r="K134" s="2283"/>
      <c r="L134" s="2283"/>
      <c r="M134" s="1763">
        <v>41611</v>
      </c>
      <c r="N134" s="1763">
        <v>41670</v>
      </c>
      <c r="O134" s="1986"/>
      <c r="P134" s="1986"/>
      <c r="Q134" s="1912"/>
    </row>
    <row r="135" spans="1:17" s="420" customFormat="1" ht="47.25" customHeight="1" x14ac:dyDescent="0.25">
      <c r="A135" s="1985" t="s">
        <v>2964</v>
      </c>
      <c r="B135" s="1985" t="s">
        <v>2965</v>
      </c>
      <c r="C135" s="1985" t="s">
        <v>168</v>
      </c>
      <c r="D135" s="1985">
        <v>11091</v>
      </c>
      <c r="E135" s="1985" t="s">
        <v>2966</v>
      </c>
      <c r="F135" s="1759" t="s">
        <v>2967</v>
      </c>
      <c r="G135" s="1985" t="s">
        <v>2968</v>
      </c>
      <c r="H135" s="1758">
        <v>11119</v>
      </c>
      <c r="I135" s="2282">
        <v>233108.88</v>
      </c>
      <c r="J135" s="1779">
        <v>0</v>
      </c>
      <c r="K135" s="2282">
        <v>155405.89000000001</v>
      </c>
      <c r="L135" s="2282">
        <v>233108.84000000003</v>
      </c>
      <c r="M135" s="1763">
        <v>41506</v>
      </c>
      <c r="N135" s="1763">
        <v>41871</v>
      </c>
      <c r="O135" s="1985">
        <v>19</v>
      </c>
      <c r="P135" s="1985">
        <v>33903900</v>
      </c>
      <c r="Q135" s="1784"/>
    </row>
    <row r="136" spans="1:17" s="420" customFormat="1" ht="47.25" customHeight="1" x14ac:dyDescent="0.25">
      <c r="A136" s="1986"/>
      <c r="B136" s="1986" t="s">
        <v>2965</v>
      </c>
      <c r="C136" s="1986"/>
      <c r="D136" s="1986">
        <v>11091</v>
      </c>
      <c r="E136" s="1986" t="s">
        <v>2966</v>
      </c>
      <c r="F136" s="1759" t="s">
        <v>2969</v>
      </c>
      <c r="G136" s="1986" t="s">
        <v>2968</v>
      </c>
      <c r="H136" s="1758">
        <v>11401</v>
      </c>
      <c r="I136" s="2283"/>
      <c r="J136" s="1779"/>
      <c r="K136" s="2283"/>
      <c r="L136" s="2283"/>
      <c r="M136" s="1763">
        <v>41872</v>
      </c>
      <c r="N136" s="1763">
        <v>42236</v>
      </c>
      <c r="O136" s="1986"/>
      <c r="P136" s="1986"/>
      <c r="Q136" s="1784"/>
    </row>
    <row r="137" spans="1:17" s="420" customFormat="1" ht="26.25" customHeight="1" x14ac:dyDescent="0.25">
      <c r="A137" s="1985" t="s">
        <v>2970</v>
      </c>
      <c r="B137" s="1985" t="s">
        <v>2971</v>
      </c>
      <c r="C137" s="1985" t="s">
        <v>168</v>
      </c>
      <c r="D137" s="1985">
        <v>11098</v>
      </c>
      <c r="E137" s="1985" t="s">
        <v>2972</v>
      </c>
      <c r="F137" s="1759" t="s">
        <v>1879</v>
      </c>
      <c r="G137" s="1985" t="s">
        <v>2973</v>
      </c>
      <c r="H137" s="1758">
        <v>11118</v>
      </c>
      <c r="I137" s="2282">
        <v>656826.15</v>
      </c>
      <c r="J137" s="1779"/>
      <c r="K137" s="2282">
        <v>501079.25999999995</v>
      </c>
      <c r="L137" s="2282">
        <v>819555.78</v>
      </c>
      <c r="M137" s="1763">
        <v>41506</v>
      </c>
      <c r="N137" s="1763">
        <v>41896</v>
      </c>
      <c r="O137" s="1985">
        <v>1</v>
      </c>
      <c r="P137" s="1985">
        <v>33903900</v>
      </c>
      <c r="Q137" s="1784"/>
    </row>
    <row r="138" spans="1:17" s="420" customFormat="1" ht="26.25" customHeight="1" x14ac:dyDescent="0.25">
      <c r="A138" s="1986"/>
      <c r="B138" s="1986" t="s">
        <v>2971</v>
      </c>
      <c r="C138" s="1986"/>
      <c r="D138" s="1986">
        <v>11098</v>
      </c>
      <c r="E138" s="1986" t="s">
        <v>2972</v>
      </c>
      <c r="F138" s="1759" t="s">
        <v>2974</v>
      </c>
      <c r="G138" s="1986" t="s">
        <v>2973</v>
      </c>
      <c r="H138" s="1758">
        <v>11311</v>
      </c>
      <c r="I138" s="2283"/>
      <c r="J138" s="1779">
        <v>162729.63</v>
      </c>
      <c r="K138" s="2283"/>
      <c r="L138" s="2283"/>
      <c r="M138" s="1763"/>
      <c r="N138" s="1763"/>
      <c r="O138" s="1986"/>
      <c r="P138" s="1986"/>
      <c r="Q138" s="1912"/>
    </row>
    <row r="139" spans="1:17" s="420" customFormat="1" ht="33.75" customHeight="1" x14ac:dyDescent="0.25">
      <c r="A139" s="1985" t="s">
        <v>2975</v>
      </c>
      <c r="B139" s="1985" t="s">
        <v>2976</v>
      </c>
      <c r="C139" s="1985" t="s">
        <v>168</v>
      </c>
      <c r="D139" s="1985">
        <v>11083</v>
      </c>
      <c r="E139" s="1985" t="s">
        <v>2977</v>
      </c>
      <c r="F139" s="1759" t="s">
        <v>344</v>
      </c>
      <c r="G139" s="1985" t="s">
        <v>2978</v>
      </c>
      <c r="H139" s="1758">
        <v>11121</v>
      </c>
      <c r="I139" s="2282">
        <v>720135.99</v>
      </c>
      <c r="J139" s="1779"/>
      <c r="K139" s="2282">
        <v>702495.99</v>
      </c>
      <c r="L139" s="2282">
        <v>1117139.55</v>
      </c>
      <c r="M139" s="1763">
        <v>41512</v>
      </c>
      <c r="N139" s="1763">
        <v>41877</v>
      </c>
      <c r="O139" s="1985">
        <v>19</v>
      </c>
      <c r="P139" s="1985">
        <v>33903900</v>
      </c>
      <c r="Q139" s="1912"/>
    </row>
    <row r="140" spans="1:17" s="420" customFormat="1" ht="33.75" customHeight="1" x14ac:dyDescent="0.25">
      <c r="A140" s="2021"/>
      <c r="B140" s="2021" t="s">
        <v>2976</v>
      </c>
      <c r="C140" s="2021"/>
      <c r="D140" s="2021"/>
      <c r="E140" s="2021" t="s">
        <v>2977</v>
      </c>
      <c r="F140" s="1759" t="s">
        <v>2979</v>
      </c>
      <c r="G140" s="2021" t="s">
        <v>2978</v>
      </c>
      <c r="H140" s="1758" t="s">
        <v>2980</v>
      </c>
      <c r="I140" s="2290"/>
      <c r="J140" s="1779">
        <v>179676.56</v>
      </c>
      <c r="K140" s="2290"/>
      <c r="L140" s="2290"/>
      <c r="M140" s="1763"/>
      <c r="N140" s="1763"/>
      <c r="O140" s="2021"/>
      <c r="P140" s="2021"/>
      <c r="Q140" s="1912"/>
    </row>
    <row r="141" spans="1:17" s="420" customFormat="1" ht="33.75" customHeight="1" x14ac:dyDescent="0.25">
      <c r="A141" s="1986"/>
      <c r="B141" s="1986" t="s">
        <v>2976</v>
      </c>
      <c r="C141" s="1986"/>
      <c r="D141" s="1986"/>
      <c r="E141" s="1986" t="s">
        <v>2977</v>
      </c>
      <c r="F141" s="1759" t="s">
        <v>2981</v>
      </c>
      <c r="G141" s="1986" t="s">
        <v>2978</v>
      </c>
      <c r="H141" s="1758">
        <v>11395</v>
      </c>
      <c r="I141" s="2283"/>
      <c r="J141" s="1779"/>
      <c r="K141" s="2283"/>
      <c r="L141" s="2283"/>
      <c r="M141" s="1763">
        <v>41878</v>
      </c>
      <c r="N141" s="1763">
        <v>42242</v>
      </c>
      <c r="O141" s="1986"/>
      <c r="P141" s="1986"/>
      <c r="Q141" s="1912"/>
    </row>
    <row r="142" spans="1:17" s="420" customFormat="1" ht="31.5" customHeight="1" x14ac:dyDescent="0.25">
      <c r="A142" s="1985" t="s">
        <v>2982</v>
      </c>
      <c r="B142" s="1985" t="s">
        <v>2983</v>
      </c>
      <c r="C142" s="1985" t="s">
        <v>168</v>
      </c>
      <c r="D142" s="1985">
        <v>11106</v>
      </c>
      <c r="E142" s="1985" t="s">
        <v>2984</v>
      </c>
      <c r="F142" s="1759" t="s">
        <v>1366</v>
      </c>
      <c r="G142" s="1985" t="s">
        <v>2978</v>
      </c>
      <c r="H142" s="1762">
        <v>11139</v>
      </c>
      <c r="I142" s="2282">
        <v>342555.63</v>
      </c>
      <c r="J142" s="613"/>
      <c r="K142" s="2282">
        <v>349328.45999999996</v>
      </c>
      <c r="L142" s="2282">
        <v>425799.1</v>
      </c>
      <c r="M142" s="1763">
        <v>41534</v>
      </c>
      <c r="N142" s="1763">
        <v>41899</v>
      </c>
      <c r="O142" s="1985">
        <v>19</v>
      </c>
      <c r="P142" s="1985">
        <v>33903900</v>
      </c>
      <c r="Q142" s="1912"/>
    </row>
    <row r="143" spans="1:17" s="420" customFormat="1" ht="31.5" customHeight="1" x14ac:dyDescent="0.25">
      <c r="A143" s="2021"/>
      <c r="B143" s="2021" t="s">
        <v>2983</v>
      </c>
      <c r="C143" s="2021"/>
      <c r="D143" s="2021">
        <v>11106</v>
      </c>
      <c r="E143" s="2021" t="s">
        <v>2984</v>
      </c>
      <c r="F143" s="1759" t="s">
        <v>2985</v>
      </c>
      <c r="G143" s="2021" t="s">
        <v>2978</v>
      </c>
      <c r="H143" s="1762">
        <v>11385</v>
      </c>
      <c r="I143" s="2290"/>
      <c r="J143" s="613">
        <v>83243.47</v>
      </c>
      <c r="K143" s="2290"/>
      <c r="L143" s="2290"/>
      <c r="M143" s="1763"/>
      <c r="N143" s="1763"/>
      <c r="O143" s="2021"/>
      <c r="P143" s="2021"/>
      <c r="Q143" s="1912"/>
    </row>
    <row r="144" spans="1:17" s="420" customFormat="1" ht="31.5" customHeight="1" x14ac:dyDescent="0.25">
      <c r="A144" s="1986"/>
      <c r="B144" s="1986" t="s">
        <v>2983</v>
      </c>
      <c r="C144" s="1986"/>
      <c r="D144" s="1986">
        <v>11106</v>
      </c>
      <c r="E144" s="1986" t="s">
        <v>2984</v>
      </c>
      <c r="F144" s="1759" t="s">
        <v>2986</v>
      </c>
      <c r="G144" s="1986" t="s">
        <v>2978</v>
      </c>
      <c r="H144" s="1762">
        <v>11409</v>
      </c>
      <c r="I144" s="2283"/>
      <c r="J144" s="613"/>
      <c r="K144" s="2283"/>
      <c r="L144" s="2283"/>
      <c r="M144" s="1763">
        <v>41900</v>
      </c>
      <c r="N144" s="1763">
        <v>41959</v>
      </c>
      <c r="O144" s="1986"/>
      <c r="P144" s="1986"/>
      <c r="Q144" s="1912"/>
    </row>
    <row r="145" spans="1:17" s="420" customFormat="1" ht="39.75" customHeight="1" x14ac:dyDescent="0.25">
      <c r="A145" s="1985" t="s">
        <v>2987</v>
      </c>
      <c r="B145" s="1985" t="s">
        <v>2988</v>
      </c>
      <c r="C145" s="1985" t="s">
        <v>168</v>
      </c>
      <c r="D145" s="1985">
        <v>11103</v>
      </c>
      <c r="E145" s="1985" t="s">
        <v>2989</v>
      </c>
      <c r="F145" s="1759" t="s">
        <v>1378</v>
      </c>
      <c r="G145" s="1985" t="s">
        <v>2990</v>
      </c>
      <c r="H145" s="1762">
        <v>11149</v>
      </c>
      <c r="I145" s="2282">
        <v>153078.46</v>
      </c>
      <c r="J145" s="613"/>
      <c r="K145" s="2282">
        <v>132218.55000000002</v>
      </c>
      <c r="L145" s="2282">
        <v>180852.53000000003</v>
      </c>
      <c r="M145" s="1763">
        <v>41549</v>
      </c>
      <c r="N145" s="1763">
        <v>41729</v>
      </c>
      <c r="O145" s="1985">
        <v>1</v>
      </c>
      <c r="P145" s="1985">
        <v>33903900</v>
      </c>
      <c r="Q145" s="1912"/>
    </row>
    <row r="146" spans="1:17" s="420" customFormat="1" ht="39.75" customHeight="1" x14ac:dyDescent="0.25">
      <c r="A146" s="2021"/>
      <c r="B146" s="2021" t="s">
        <v>2988</v>
      </c>
      <c r="C146" s="2021"/>
      <c r="D146" s="2021"/>
      <c r="E146" s="2021" t="s">
        <v>2989</v>
      </c>
      <c r="F146" s="1759" t="s">
        <v>2991</v>
      </c>
      <c r="G146" s="2021" t="s">
        <v>2990</v>
      </c>
      <c r="H146" s="1762">
        <v>11329</v>
      </c>
      <c r="I146" s="2290"/>
      <c r="J146" s="613"/>
      <c r="K146" s="2290"/>
      <c r="L146" s="2290"/>
      <c r="M146" s="1763">
        <v>41730</v>
      </c>
      <c r="N146" s="1763">
        <v>41849</v>
      </c>
      <c r="O146" s="2021"/>
      <c r="P146" s="2021"/>
      <c r="Q146" s="1912"/>
    </row>
    <row r="147" spans="1:17" s="420" customFormat="1" ht="39.75" customHeight="1" x14ac:dyDescent="0.25">
      <c r="A147" s="1986"/>
      <c r="B147" s="1986" t="s">
        <v>2988</v>
      </c>
      <c r="C147" s="1986"/>
      <c r="D147" s="1986"/>
      <c r="E147" s="1986" t="s">
        <v>2989</v>
      </c>
      <c r="F147" s="1759" t="s">
        <v>2992</v>
      </c>
      <c r="G147" s="1986" t="s">
        <v>2990</v>
      </c>
      <c r="H147" s="1762">
        <v>11346</v>
      </c>
      <c r="I147" s="2283"/>
      <c r="J147" s="613">
        <v>27774.07</v>
      </c>
      <c r="K147" s="2283"/>
      <c r="L147" s="2283"/>
      <c r="M147" s="1763"/>
      <c r="N147" s="1763"/>
      <c r="O147" s="1986"/>
      <c r="P147" s="1986"/>
      <c r="Q147" s="1912"/>
    </row>
    <row r="148" spans="1:17" s="420" customFormat="1" ht="27" customHeight="1" x14ac:dyDescent="0.25">
      <c r="A148" s="1985" t="s">
        <v>2993</v>
      </c>
      <c r="B148" s="1985" t="s">
        <v>2994</v>
      </c>
      <c r="C148" s="1985" t="s">
        <v>168</v>
      </c>
      <c r="D148" s="1985">
        <v>11116</v>
      </c>
      <c r="E148" s="1985" t="s">
        <v>2995</v>
      </c>
      <c r="F148" s="1759" t="s">
        <v>1382</v>
      </c>
      <c r="G148" s="1985" t="s">
        <v>2996</v>
      </c>
      <c r="H148" s="1758">
        <v>11153</v>
      </c>
      <c r="I148" s="2282">
        <v>96679.86</v>
      </c>
      <c r="J148" s="1779">
        <v>0</v>
      </c>
      <c r="K148" s="2282">
        <v>92141.41</v>
      </c>
      <c r="L148" s="2282">
        <v>113383.51000000001</v>
      </c>
      <c r="M148" s="1763">
        <v>41555</v>
      </c>
      <c r="N148" s="1763">
        <v>41675</v>
      </c>
      <c r="O148" s="1985">
        <v>1</v>
      </c>
      <c r="P148" s="1985">
        <v>44905100</v>
      </c>
      <c r="Q148" s="1912"/>
    </row>
    <row r="149" spans="1:17" s="420" customFormat="1" ht="27" customHeight="1" x14ac:dyDescent="0.25">
      <c r="A149" s="2021"/>
      <c r="B149" s="2021" t="s">
        <v>2994</v>
      </c>
      <c r="C149" s="2021"/>
      <c r="D149" s="2021">
        <v>11116</v>
      </c>
      <c r="E149" s="2021" t="s">
        <v>2995</v>
      </c>
      <c r="F149" s="1759" t="s">
        <v>2997</v>
      </c>
      <c r="G149" s="2021" t="s">
        <v>2996</v>
      </c>
      <c r="H149" s="1758">
        <v>11193</v>
      </c>
      <c r="I149" s="2290"/>
      <c r="J149" s="1779"/>
      <c r="K149" s="2290"/>
      <c r="L149" s="2290"/>
      <c r="M149" s="1763">
        <v>41676</v>
      </c>
      <c r="N149" s="1763">
        <v>41765</v>
      </c>
      <c r="O149" s="2021"/>
      <c r="P149" s="2021"/>
      <c r="Q149" s="1784"/>
    </row>
    <row r="150" spans="1:17" s="420" customFormat="1" ht="27" customHeight="1" x14ac:dyDescent="0.25">
      <c r="A150" s="2021"/>
      <c r="B150" s="2021" t="s">
        <v>2994</v>
      </c>
      <c r="C150" s="2021"/>
      <c r="D150" s="2021">
        <v>11116</v>
      </c>
      <c r="E150" s="2021" t="s">
        <v>2995</v>
      </c>
      <c r="F150" s="1759" t="s">
        <v>2998</v>
      </c>
      <c r="G150" s="2021" t="s">
        <v>2996</v>
      </c>
      <c r="H150" s="1758">
        <v>11330</v>
      </c>
      <c r="I150" s="2290"/>
      <c r="J150" s="1779"/>
      <c r="K150" s="2290"/>
      <c r="L150" s="2290"/>
      <c r="M150" s="1763">
        <v>41766</v>
      </c>
      <c r="N150" s="1763">
        <v>41855</v>
      </c>
      <c r="O150" s="2021"/>
      <c r="P150" s="2021"/>
      <c r="Q150" s="1912"/>
    </row>
    <row r="151" spans="1:17" s="420" customFormat="1" ht="27" customHeight="1" x14ac:dyDescent="0.25">
      <c r="A151" s="2021"/>
      <c r="B151" s="2021" t="s">
        <v>2994</v>
      </c>
      <c r="C151" s="2021"/>
      <c r="D151" s="2021">
        <v>11116</v>
      </c>
      <c r="E151" s="2021" t="s">
        <v>2995</v>
      </c>
      <c r="F151" s="1759" t="s">
        <v>2999</v>
      </c>
      <c r="G151" s="2021" t="s">
        <v>2996</v>
      </c>
      <c r="H151" s="1758">
        <v>11354</v>
      </c>
      <c r="I151" s="2290"/>
      <c r="J151" s="1779"/>
      <c r="K151" s="2290"/>
      <c r="L151" s="2290"/>
      <c r="M151" s="1763">
        <v>41856</v>
      </c>
      <c r="N151" s="1763">
        <v>41885</v>
      </c>
      <c r="O151" s="2021"/>
      <c r="P151" s="2021"/>
      <c r="Q151" s="1912"/>
    </row>
    <row r="152" spans="1:17" s="420" customFormat="1" ht="27" customHeight="1" x14ac:dyDescent="0.25">
      <c r="A152" s="1986"/>
      <c r="B152" s="1986" t="s">
        <v>2994</v>
      </c>
      <c r="C152" s="1986"/>
      <c r="D152" s="1986">
        <v>11116</v>
      </c>
      <c r="E152" s="1986" t="s">
        <v>2995</v>
      </c>
      <c r="F152" s="1759" t="s">
        <v>3000</v>
      </c>
      <c r="G152" s="1986" t="s">
        <v>2996</v>
      </c>
      <c r="H152" s="1758">
        <v>11389</v>
      </c>
      <c r="I152" s="2283"/>
      <c r="J152" s="1779">
        <v>16703.650000000001</v>
      </c>
      <c r="K152" s="2283"/>
      <c r="L152" s="2283"/>
      <c r="M152" s="1763"/>
      <c r="N152" s="1763"/>
      <c r="O152" s="1986"/>
      <c r="P152" s="1986"/>
      <c r="Q152" s="1912"/>
    </row>
    <row r="153" spans="1:17" s="420" customFormat="1" ht="56.25" customHeight="1" x14ac:dyDescent="0.25">
      <c r="A153" s="1758" t="s">
        <v>3001</v>
      </c>
      <c r="B153" s="1758" t="s">
        <v>3002</v>
      </c>
      <c r="C153" s="1758" t="s">
        <v>168</v>
      </c>
      <c r="D153" s="1758">
        <v>11146</v>
      </c>
      <c r="E153" s="1780" t="s">
        <v>3003</v>
      </c>
      <c r="F153" s="1759" t="s">
        <v>3004</v>
      </c>
      <c r="G153" s="1758" t="s">
        <v>2978</v>
      </c>
      <c r="H153" s="1758">
        <v>11163</v>
      </c>
      <c r="I153" s="1779">
        <v>151214.31</v>
      </c>
      <c r="J153" s="1779">
        <v>0</v>
      </c>
      <c r="K153" s="1779">
        <v>14475.25</v>
      </c>
      <c r="L153" s="1779">
        <v>151214.31</v>
      </c>
      <c r="M153" s="1763">
        <v>41567</v>
      </c>
      <c r="N153" s="1763">
        <v>41632</v>
      </c>
      <c r="O153" s="1758">
        <v>19</v>
      </c>
      <c r="P153" s="1758">
        <v>33903900</v>
      </c>
      <c r="Q153" s="1912"/>
    </row>
    <row r="154" spans="1:17" s="420" customFormat="1" ht="47.25" customHeight="1" x14ac:dyDescent="0.25">
      <c r="A154" s="1985" t="s">
        <v>2957</v>
      </c>
      <c r="B154" s="1985" t="s">
        <v>3005</v>
      </c>
      <c r="C154" s="1985" t="s">
        <v>168</v>
      </c>
      <c r="D154" s="1985">
        <v>11048</v>
      </c>
      <c r="E154" s="1985" t="s">
        <v>3006</v>
      </c>
      <c r="F154" s="1759" t="s">
        <v>3007</v>
      </c>
      <c r="G154" s="1985" t="s">
        <v>2961</v>
      </c>
      <c r="H154" s="1758">
        <v>11176</v>
      </c>
      <c r="I154" s="2282">
        <v>101370.06</v>
      </c>
      <c r="J154" s="1779">
        <v>0</v>
      </c>
      <c r="K154" s="2282">
        <v>10212.02</v>
      </c>
      <c r="L154" s="2282">
        <v>93252.42</v>
      </c>
      <c r="M154" s="1763">
        <v>41582</v>
      </c>
      <c r="N154" s="1763">
        <v>41882</v>
      </c>
      <c r="O154" s="1985">
        <v>1</v>
      </c>
      <c r="P154" s="1985">
        <v>33903900</v>
      </c>
      <c r="Q154" s="1912"/>
    </row>
    <row r="155" spans="1:17" s="420" customFormat="1" ht="38.25" customHeight="1" x14ac:dyDescent="0.25">
      <c r="A155" s="2021"/>
      <c r="B155" s="2021" t="s">
        <v>3005</v>
      </c>
      <c r="C155" s="2021"/>
      <c r="D155" s="2021">
        <v>11048</v>
      </c>
      <c r="E155" s="2021" t="s">
        <v>3006</v>
      </c>
      <c r="F155" s="1759" t="s">
        <v>3008</v>
      </c>
      <c r="G155" s="2021" t="s">
        <v>2961</v>
      </c>
      <c r="H155" s="1758">
        <v>11266</v>
      </c>
      <c r="I155" s="2290"/>
      <c r="J155" s="1779"/>
      <c r="K155" s="2290"/>
      <c r="L155" s="2290"/>
      <c r="M155" s="1763">
        <v>41703</v>
      </c>
      <c r="N155" s="1763">
        <v>41762</v>
      </c>
      <c r="O155" s="2021"/>
      <c r="P155" s="2021"/>
      <c r="Q155" s="1912"/>
    </row>
    <row r="156" spans="1:17" s="420" customFormat="1" ht="38.25" customHeight="1" x14ac:dyDescent="0.25">
      <c r="A156" s="2021"/>
      <c r="B156" s="2021" t="s">
        <v>3005</v>
      </c>
      <c r="C156" s="2021"/>
      <c r="D156" s="2021">
        <v>11048</v>
      </c>
      <c r="E156" s="2021" t="s">
        <v>3006</v>
      </c>
      <c r="F156" s="1759" t="s">
        <v>3009</v>
      </c>
      <c r="G156" s="2021" t="s">
        <v>2961</v>
      </c>
      <c r="H156" s="1758">
        <v>11303</v>
      </c>
      <c r="I156" s="2290"/>
      <c r="J156" s="1779"/>
      <c r="K156" s="2290"/>
      <c r="L156" s="2290"/>
      <c r="M156" s="1763">
        <v>41763</v>
      </c>
      <c r="N156" s="1763">
        <v>41822</v>
      </c>
      <c r="O156" s="2021"/>
      <c r="P156" s="2021"/>
      <c r="Q156" s="1912"/>
    </row>
    <row r="157" spans="1:17" s="420" customFormat="1" ht="40.5" customHeight="1" x14ac:dyDescent="0.25">
      <c r="A157" s="2021"/>
      <c r="B157" s="2021" t="s">
        <v>3005</v>
      </c>
      <c r="C157" s="2021"/>
      <c r="D157" s="2021">
        <v>11048</v>
      </c>
      <c r="E157" s="2021" t="s">
        <v>3006</v>
      </c>
      <c r="F157" s="1759" t="s">
        <v>3010</v>
      </c>
      <c r="G157" s="2021" t="s">
        <v>2961</v>
      </c>
      <c r="H157" s="1758">
        <v>11361</v>
      </c>
      <c r="I157" s="2290"/>
      <c r="J157" s="1779"/>
      <c r="K157" s="2290"/>
      <c r="L157" s="2290"/>
      <c r="M157" s="1763">
        <v>41823</v>
      </c>
      <c r="N157" s="1763">
        <v>41882</v>
      </c>
      <c r="O157" s="2021"/>
      <c r="P157" s="2021"/>
      <c r="Q157" s="1912"/>
    </row>
    <row r="158" spans="1:17" s="420" customFormat="1" ht="25.5" x14ac:dyDescent="0.25">
      <c r="A158" s="1986"/>
      <c r="B158" s="1986" t="s">
        <v>3005</v>
      </c>
      <c r="C158" s="1986"/>
      <c r="D158" s="1986">
        <v>11048</v>
      </c>
      <c r="E158" s="1986" t="s">
        <v>3006</v>
      </c>
      <c r="F158" s="1759" t="s">
        <v>3011</v>
      </c>
      <c r="G158" s="1986" t="s">
        <v>2961</v>
      </c>
      <c r="H158" s="1758">
        <v>11386</v>
      </c>
      <c r="I158" s="2283"/>
      <c r="J158" s="1779">
        <v>-8117.64</v>
      </c>
      <c r="K158" s="2283"/>
      <c r="L158" s="2283"/>
      <c r="M158" s="1763"/>
      <c r="N158" s="1763"/>
      <c r="O158" s="1986"/>
      <c r="P158" s="1986"/>
      <c r="Q158" s="1912"/>
    </row>
    <row r="159" spans="1:17" s="420" customFormat="1" ht="45.75" customHeight="1" x14ac:dyDescent="0.25">
      <c r="A159" s="1985" t="s">
        <v>3012</v>
      </c>
      <c r="B159" s="1985" t="s">
        <v>3013</v>
      </c>
      <c r="C159" s="1985" t="s">
        <v>168</v>
      </c>
      <c r="D159" s="1985">
        <v>11150</v>
      </c>
      <c r="E159" s="1985" t="s">
        <v>3014</v>
      </c>
      <c r="F159" s="1759" t="s">
        <v>3015</v>
      </c>
      <c r="G159" s="1985" t="s">
        <v>3016</v>
      </c>
      <c r="H159" s="1762">
        <v>11181</v>
      </c>
      <c r="I159" s="2282">
        <v>690697.52999999991</v>
      </c>
      <c r="J159" s="613"/>
      <c r="K159" s="2282">
        <f>434034.24-158429.07-84801.77-157470.07</f>
        <v>33333.329999999958</v>
      </c>
      <c r="L159" s="2282">
        <f>434034.24-158429.07-84801.77-157470.07</f>
        <v>33333.329999999958</v>
      </c>
      <c r="M159" s="1763">
        <v>41703</v>
      </c>
      <c r="N159" s="1763">
        <v>41793</v>
      </c>
      <c r="O159" s="1985" t="s">
        <v>2882</v>
      </c>
      <c r="P159" s="1985">
        <v>44905100</v>
      </c>
      <c r="Q159" s="1912"/>
    </row>
    <row r="160" spans="1:17" s="420" customFormat="1" ht="45.75" customHeight="1" x14ac:dyDescent="0.25">
      <c r="A160" s="2021"/>
      <c r="B160" s="2021" t="s">
        <v>3013</v>
      </c>
      <c r="C160" s="2021"/>
      <c r="D160" s="2021">
        <v>11150</v>
      </c>
      <c r="E160" s="2021" t="s">
        <v>3014</v>
      </c>
      <c r="F160" s="1759" t="s">
        <v>3017</v>
      </c>
      <c r="G160" s="2021" t="s">
        <v>3016</v>
      </c>
      <c r="H160" s="1762">
        <v>11303</v>
      </c>
      <c r="I160" s="2290"/>
      <c r="J160" s="613">
        <v>-61392.62</v>
      </c>
      <c r="K160" s="2290"/>
      <c r="L160" s="2290"/>
      <c r="M160" s="1763"/>
      <c r="N160" s="1763"/>
      <c r="O160" s="2021"/>
      <c r="P160" s="2021"/>
      <c r="Q160" s="1912"/>
    </row>
    <row r="161" spans="1:17" s="420" customFormat="1" ht="45.75" customHeight="1" x14ac:dyDescent="0.25">
      <c r="A161" s="2021"/>
      <c r="B161" s="2021" t="s">
        <v>3013</v>
      </c>
      <c r="C161" s="2021"/>
      <c r="D161" s="2021">
        <v>11150</v>
      </c>
      <c r="E161" s="2021" t="s">
        <v>3014</v>
      </c>
      <c r="F161" s="1759" t="s">
        <v>3018</v>
      </c>
      <c r="G161" s="2021" t="s">
        <v>3016</v>
      </c>
      <c r="H161" s="1762">
        <v>11353</v>
      </c>
      <c r="I161" s="2290"/>
      <c r="J161" s="613"/>
      <c r="K161" s="2290"/>
      <c r="L161" s="2290"/>
      <c r="M161" s="1763">
        <v>41794</v>
      </c>
      <c r="N161" s="1763">
        <v>41883</v>
      </c>
      <c r="O161" s="2021"/>
      <c r="P161" s="2021"/>
      <c r="Q161" s="1912"/>
    </row>
    <row r="162" spans="1:17" s="420" customFormat="1" ht="45.75" customHeight="1" x14ac:dyDescent="0.25">
      <c r="A162" s="1986"/>
      <c r="B162" s="1986" t="s">
        <v>3013</v>
      </c>
      <c r="C162" s="1986"/>
      <c r="D162" s="1986">
        <v>11150</v>
      </c>
      <c r="E162" s="1986" t="s">
        <v>3014</v>
      </c>
      <c r="F162" s="1759" t="s">
        <v>3019</v>
      </c>
      <c r="G162" s="1986" t="s">
        <v>3016</v>
      </c>
      <c r="H162" s="1762">
        <v>11409</v>
      </c>
      <c r="I162" s="2283"/>
      <c r="J162" s="613"/>
      <c r="K162" s="2283"/>
      <c r="L162" s="2283"/>
      <c r="M162" s="1763">
        <v>41884</v>
      </c>
      <c r="N162" s="1763">
        <v>41943</v>
      </c>
      <c r="O162" s="1986"/>
      <c r="P162" s="1986"/>
      <c r="Q162" s="1912"/>
    </row>
    <row r="163" spans="1:17" s="420" customFormat="1" ht="40.5" customHeight="1" x14ac:dyDescent="0.25">
      <c r="A163" s="1985" t="s">
        <v>3020</v>
      </c>
      <c r="B163" s="1985" t="s">
        <v>3021</v>
      </c>
      <c r="C163" s="1985" t="s">
        <v>168</v>
      </c>
      <c r="D163" s="1985">
        <v>11149</v>
      </c>
      <c r="E163" s="1985" t="s">
        <v>3022</v>
      </c>
      <c r="F163" s="1759" t="s">
        <v>671</v>
      </c>
      <c r="G163" s="1985" t="s">
        <v>3023</v>
      </c>
      <c r="H163" s="1758">
        <v>11205</v>
      </c>
      <c r="I163" s="2282">
        <v>668751.79</v>
      </c>
      <c r="J163" s="1779"/>
      <c r="K163" s="2282">
        <v>69517.48000000001</v>
      </c>
      <c r="L163" s="2282">
        <v>69517.48000000001</v>
      </c>
      <c r="M163" s="1763">
        <v>41659</v>
      </c>
      <c r="N163" s="1763">
        <v>41778</v>
      </c>
      <c r="O163" s="1985" t="s">
        <v>2882</v>
      </c>
      <c r="P163" s="1985">
        <v>44905100</v>
      </c>
      <c r="Q163" s="1912"/>
    </row>
    <row r="164" spans="1:17" s="420" customFormat="1" ht="43.5" customHeight="1" x14ac:dyDescent="0.25">
      <c r="A164" s="2021"/>
      <c r="B164" s="2021" t="s">
        <v>3021</v>
      </c>
      <c r="C164" s="2021"/>
      <c r="D164" s="2021"/>
      <c r="E164" s="2021" t="s">
        <v>3022</v>
      </c>
      <c r="F164" s="1759" t="s">
        <v>3024</v>
      </c>
      <c r="G164" s="2021" t="s">
        <v>3023</v>
      </c>
      <c r="H164" s="1758">
        <v>11321</v>
      </c>
      <c r="I164" s="2290"/>
      <c r="J164" s="1779"/>
      <c r="K164" s="2290"/>
      <c r="L164" s="2290"/>
      <c r="M164" s="1763">
        <v>41779</v>
      </c>
      <c r="N164" s="1763">
        <v>41898</v>
      </c>
      <c r="O164" s="2021"/>
      <c r="P164" s="2021"/>
      <c r="Q164" s="1784"/>
    </row>
    <row r="165" spans="1:17" s="420" customFormat="1" ht="40.5" customHeight="1" x14ac:dyDescent="0.25">
      <c r="A165" s="1986"/>
      <c r="B165" s="1986" t="s">
        <v>3021</v>
      </c>
      <c r="C165" s="1986"/>
      <c r="D165" s="1986"/>
      <c r="E165" s="1986" t="s">
        <v>3022</v>
      </c>
      <c r="F165" s="1759" t="s">
        <v>3025</v>
      </c>
      <c r="G165" s="1986" t="s">
        <v>3023</v>
      </c>
      <c r="H165" s="1758">
        <v>11325</v>
      </c>
      <c r="I165" s="2283"/>
      <c r="J165" s="1779">
        <v>-80792.350000000006</v>
      </c>
      <c r="K165" s="2283"/>
      <c r="L165" s="2283"/>
      <c r="M165" s="1763"/>
      <c r="N165" s="1763"/>
      <c r="O165" s="1986"/>
      <c r="P165" s="1986"/>
      <c r="Q165" s="1784"/>
    </row>
    <row r="166" spans="1:17" s="420" customFormat="1" ht="40.5" customHeight="1" x14ac:dyDescent="0.25">
      <c r="A166" s="1985" t="s">
        <v>689</v>
      </c>
      <c r="B166" s="1985" t="s">
        <v>3026</v>
      </c>
      <c r="C166" s="1985" t="s">
        <v>168</v>
      </c>
      <c r="D166" s="1985"/>
      <c r="E166" s="1985" t="s">
        <v>3027</v>
      </c>
      <c r="F166" s="1759" t="s">
        <v>716</v>
      </c>
      <c r="G166" s="1985" t="s">
        <v>1574</v>
      </c>
      <c r="H166" s="1762">
        <v>11223</v>
      </c>
      <c r="I166" s="2282">
        <v>511896.68</v>
      </c>
      <c r="J166" s="613">
        <v>0</v>
      </c>
      <c r="K166" s="2282">
        <v>0</v>
      </c>
      <c r="L166" s="2282">
        <v>0</v>
      </c>
      <c r="M166" s="1763">
        <v>41652</v>
      </c>
      <c r="N166" s="1763">
        <v>41878</v>
      </c>
      <c r="O166" s="1985" t="s">
        <v>2882</v>
      </c>
      <c r="P166" s="1985">
        <v>44905100</v>
      </c>
      <c r="Q166" s="1784"/>
    </row>
    <row r="167" spans="1:17" s="420" customFormat="1" ht="40.5" customHeight="1" x14ac:dyDescent="0.25">
      <c r="A167" s="1986"/>
      <c r="B167" s="1986" t="s">
        <v>3026</v>
      </c>
      <c r="C167" s="1986"/>
      <c r="D167" s="1986"/>
      <c r="E167" s="1986" t="s">
        <v>3027</v>
      </c>
      <c r="F167" s="1759" t="s">
        <v>3028</v>
      </c>
      <c r="G167" s="1986" t="s">
        <v>1574</v>
      </c>
      <c r="H167" s="1762">
        <v>11393</v>
      </c>
      <c r="I167" s="2283"/>
      <c r="J167" s="613"/>
      <c r="K167" s="2283"/>
      <c r="L167" s="2283"/>
      <c r="M167" s="1763">
        <v>41879</v>
      </c>
      <c r="N167" s="1763">
        <v>42088</v>
      </c>
      <c r="O167" s="1986"/>
      <c r="P167" s="1986"/>
      <c r="Q167" s="1912"/>
    </row>
    <row r="168" spans="1:17" s="420" customFormat="1" ht="40.5" customHeight="1" x14ac:dyDescent="0.25">
      <c r="A168" s="1985" t="s">
        <v>3029</v>
      </c>
      <c r="B168" s="1985" t="s">
        <v>3030</v>
      </c>
      <c r="C168" s="1985" t="s">
        <v>168</v>
      </c>
      <c r="D168" s="1985">
        <v>11030</v>
      </c>
      <c r="E168" s="1985" t="s">
        <v>3031</v>
      </c>
      <c r="F168" s="1759" t="s">
        <v>724</v>
      </c>
      <c r="G168" s="1985" t="s">
        <v>3032</v>
      </c>
      <c r="H168" s="1758">
        <v>11225</v>
      </c>
      <c r="I168" s="2282">
        <v>157939.44</v>
      </c>
      <c r="J168" s="1779"/>
      <c r="K168" s="2282">
        <v>197424.3</v>
      </c>
      <c r="L168" s="2282">
        <v>197424.3</v>
      </c>
      <c r="M168" s="1763">
        <v>41663</v>
      </c>
      <c r="N168" s="1763">
        <v>41842</v>
      </c>
      <c r="O168" s="1985">
        <v>1</v>
      </c>
      <c r="P168" s="1985">
        <v>44905100</v>
      </c>
      <c r="Q168" s="1912"/>
    </row>
    <row r="169" spans="1:17" s="420" customFormat="1" ht="40.5" customHeight="1" x14ac:dyDescent="0.25">
      <c r="A169" s="1986"/>
      <c r="B169" s="1986" t="s">
        <v>3030</v>
      </c>
      <c r="C169" s="1986"/>
      <c r="D169" s="1986">
        <v>11030</v>
      </c>
      <c r="E169" s="1986" t="s">
        <v>3031</v>
      </c>
      <c r="F169" s="1759" t="s">
        <v>3033</v>
      </c>
      <c r="G169" s="1986" t="s">
        <v>3032</v>
      </c>
      <c r="H169" s="1758">
        <v>11301</v>
      </c>
      <c r="I169" s="2283"/>
      <c r="J169" s="1779">
        <v>39484.86</v>
      </c>
      <c r="K169" s="2283"/>
      <c r="L169" s="2283"/>
      <c r="M169" s="1763">
        <v>41843</v>
      </c>
      <c r="N169" s="1763">
        <v>41902</v>
      </c>
      <c r="O169" s="1986"/>
      <c r="P169" s="1986"/>
      <c r="Q169" s="1912"/>
    </row>
    <row r="170" spans="1:17" s="420" customFormat="1" ht="38.25" customHeight="1" x14ac:dyDescent="0.25">
      <c r="A170" s="1985" t="s">
        <v>2957</v>
      </c>
      <c r="B170" s="1985" t="s">
        <v>3034</v>
      </c>
      <c r="C170" s="1985" t="s">
        <v>168</v>
      </c>
      <c r="D170" s="1985">
        <v>11048</v>
      </c>
      <c r="E170" s="1985" t="s">
        <v>3035</v>
      </c>
      <c r="F170" s="1759" t="s">
        <v>741</v>
      </c>
      <c r="G170" s="1985" t="s">
        <v>3036</v>
      </c>
      <c r="H170" s="1758">
        <v>11233</v>
      </c>
      <c r="I170" s="2282">
        <v>101370.06</v>
      </c>
      <c r="J170" s="1779"/>
      <c r="K170" s="2282">
        <v>93073.52</v>
      </c>
      <c r="L170" s="2282">
        <v>93073.52</v>
      </c>
      <c r="M170" s="1763">
        <v>41649</v>
      </c>
      <c r="N170" s="1763">
        <v>41768</v>
      </c>
      <c r="O170" s="1985">
        <v>1</v>
      </c>
      <c r="P170" s="1985">
        <v>33903900</v>
      </c>
      <c r="Q170" s="1912"/>
    </row>
    <row r="171" spans="1:17" s="420" customFormat="1" ht="38.25" customHeight="1" x14ac:dyDescent="0.25">
      <c r="A171" s="2021"/>
      <c r="B171" s="2021" t="s">
        <v>3034</v>
      </c>
      <c r="C171" s="2021"/>
      <c r="D171" s="2021">
        <v>11048</v>
      </c>
      <c r="E171" s="2021" t="s">
        <v>3035</v>
      </c>
      <c r="F171" s="1759" t="s">
        <v>3037</v>
      </c>
      <c r="G171" s="2021" t="s">
        <v>3036</v>
      </c>
      <c r="H171" s="1758">
        <v>11303</v>
      </c>
      <c r="I171" s="2290"/>
      <c r="J171" s="1779"/>
      <c r="K171" s="2290"/>
      <c r="L171" s="2290"/>
      <c r="M171" s="1763">
        <v>41769</v>
      </c>
      <c r="N171" s="1763">
        <v>41829</v>
      </c>
      <c r="O171" s="2021"/>
      <c r="P171" s="2021"/>
      <c r="Q171" s="1912"/>
    </row>
    <row r="172" spans="1:17" s="420" customFormat="1" ht="38.25" customHeight="1" x14ac:dyDescent="0.25">
      <c r="A172" s="1986"/>
      <c r="B172" s="1986" t="s">
        <v>3034</v>
      </c>
      <c r="C172" s="1986"/>
      <c r="D172" s="1986">
        <v>11048</v>
      </c>
      <c r="E172" s="1986" t="s">
        <v>3035</v>
      </c>
      <c r="F172" s="1759" t="s">
        <v>3038</v>
      </c>
      <c r="G172" s="1986" t="s">
        <v>3036</v>
      </c>
      <c r="H172" s="1758">
        <v>11352</v>
      </c>
      <c r="I172" s="2283"/>
      <c r="J172" s="1779">
        <v>-8296.5400000000009</v>
      </c>
      <c r="K172" s="2283"/>
      <c r="L172" s="2283"/>
      <c r="M172" s="1763">
        <v>41830</v>
      </c>
      <c r="N172" s="1763">
        <v>41858</v>
      </c>
      <c r="O172" s="1986"/>
      <c r="P172" s="1986"/>
      <c r="Q172" s="1912"/>
    </row>
    <row r="173" spans="1:17" s="420" customFormat="1" ht="33" customHeight="1" x14ac:dyDescent="0.25">
      <c r="A173" s="1985">
        <v>3202013</v>
      </c>
      <c r="B173" s="1985" t="s">
        <v>3039</v>
      </c>
      <c r="C173" s="1985" t="s">
        <v>168</v>
      </c>
      <c r="D173" s="1985">
        <v>11185</v>
      </c>
      <c r="E173" s="1985" t="s">
        <v>3040</v>
      </c>
      <c r="F173" s="1759" t="s">
        <v>747</v>
      </c>
      <c r="G173" s="1985" t="s">
        <v>3041</v>
      </c>
      <c r="H173" s="1758">
        <v>11233</v>
      </c>
      <c r="I173" s="2282">
        <v>485038.41</v>
      </c>
      <c r="J173" s="1779"/>
      <c r="K173" s="2282">
        <v>606200.27999999991</v>
      </c>
      <c r="L173" s="2282">
        <v>606200.27999999991</v>
      </c>
      <c r="M173" s="1763">
        <v>41666</v>
      </c>
      <c r="N173" s="1763">
        <v>41905</v>
      </c>
      <c r="O173" s="1985">
        <v>1</v>
      </c>
      <c r="P173" s="1985">
        <v>33903900</v>
      </c>
      <c r="Q173" s="1912"/>
    </row>
    <row r="174" spans="1:17" s="420" customFormat="1" ht="33" customHeight="1" x14ac:dyDescent="0.25">
      <c r="A174" s="2021"/>
      <c r="B174" s="2021" t="s">
        <v>3039</v>
      </c>
      <c r="C174" s="2021"/>
      <c r="D174" s="2021">
        <v>11185</v>
      </c>
      <c r="E174" s="2021" t="s">
        <v>3040</v>
      </c>
      <c r="F174" s="1759" t="s">
        <v>3042</v>
      </c>
      <c r="G174" s="2021" t="s">
        <v>3041</v>
      </c>
      <c r="H174" s="1758">
        <v>11329</v>
      </c>
      <c r="I174" s="2290"/>
      <c r="J174" s="1779">
        <v>121161.86</v>
      </c>
      <c r="K174" s="2290"/>
      <c r="L174" s="2290"/>
      <c r="M174" s="1763"/>
      <c r="N174" s="1763"/>
      <c r="O174" s="2021"/>
      <c r="P174" s="2021"/>
      <c r="Q174" s="1912"/>
    </row>
    <row r="175" spans="1:17" s="420" customFormat="1" ht="33" customHeight="1" x14ac:dyDescent="0.25">
      <c r="A175" s="1986"/>
      <c r="B175" s="1986" t="s">
        <v>3039</v>
      </c>
      <c r="C175" s="1986"/>
      <c r="D175" s="1986">
        <v>11185</v>
      </c>
      <c r="E175" s="1986" t="s">
        <v>3040</v>
      </c>
      <c r="F175" s="1759" t="s">
        <v>3043</v>
      </c>
      <c r="G175" s="1986" t="s">
        <v>3041</v>
      </c>
      <c r="H175" s="1758">
        <v>11361</v>
      </c>
      <c r="I175" s="2283"/>
      <c r="J175" s="1779"/>
      <c r="K175" s="2283"/>
      <c r="L175" s="2283"/>
      <c r="M175" s="1763">
        <v>41846</v>
      </c>
      <c r="N175" s="1763">
        <v>41905</v>
      </c>
      <c r="O175" s="1986"/>
      <c r="P175" s="1986"/>
      <c r="Q175" s="1912"/>
    </row>
    <row r="176" spans="1:17" s="420" customFormat="1" ht="40.5" customHeight="1" x14ac:dyDescent="0.25">
      <c r="A176" s="1985" t="s">
        <v>3044</v>
      </c>
      <c r="B176" s="1985" t="s">
        <v>3045</v>
      </c>
      <c r="C176" s="1985" t="s">
        <v>168</v>
      </c>
      <c r="D176" s="1985">
        <v>11193</v>
      </c>
      <c r="E176" s="1985" t="s">
        <v>3046</v>
      </c>
      <c r="F176" s="1759" t="s">
        <v>757</v>
      </c>
      <c r="G176" s="1985" t="s">
        <v>2841</v>
      </c>
      <c r="H176" s="1758">
        <v>11233</v>
      </c>
      <c r="I176" s="2282">
        <v>218359.06</v>
      </c>
      <c r="J176" s="1779"/>
      <c r="K176" s="2282">
        <v>246213.94</v>
      </c>
      <c r="L176" s="2282">
        <v>246213.94</v>
      </c>
      <c r="M176" s="1763">
        <v>41668</v>
      </c>
      <c r="N176" s="1763">
        <v>41787</v>
      </c>
      <c r="O176" s="1985" t="s">
        <v>2882</v>
      </c>
      <c r="P176" s="1985">
        <v>33903900</v>
      </c>
      <c r="Q176" s="1912"/>
    </row>
    <row r="177" spans="1:17" s="420" customFormat="1" ht="40.5" customHeight="1" x14ac:dyDescent="0.25">
      <c r="A177" s="2021"/>
      <c r="B177" s="2021" t="s">
        <v>3045</v>
      </c>
      <c r="C177" s="2021"/>
      <c r="D177" s="2021">
        <v>11193</v>
      </c>
      <c r="E177" s="2021" t="s">
        <v>3046</v>
      </c>
      <c r="F177" s="1759" t="s">
        <v>3047</v>
      </c>
      <c r="G177" s="2021" t="s">
        <v>2841</v>
      </c>
      <c r="H177" s="1758">
        <v>11282</v>
      </c>
      <c r="I177" s="2290"/>
      <c r="J177" s="1779">
        <v>-34128.629999999997</v>
      </c>
      <c r="K177" s="2290"/>
      <c r="L177" s="2290"/>
      <c r="M177" s="1763">
        <v>41788</v>
      </c>
      <c r="N177" s="1763">
        <v>41878</v>
      </c>
      <c r="O177" s="2021"/>
      <c r="P177" s="2021"/>
      <c r="Q177" s="1912"/>
    </row>
    <row r="178" spans="1:17" s="420" customFormat="1" ht="40.5" customHeight="1" x14ac:dyDescent="0.25">
      <c r="A178" s="2021"/>
      <c r="B178" s="2021" t="s">
        <v>3045</v>
      </c>
      <c r="C178" s="2021"/>
      <c r="D178" s="2021">
        <v>11193</v>
      </c>
      <c r="E178" s="2021" t="s">
        <v>3046</v>
      </c>
      <c r="F178" s="1759" t="s">
        <v>3048</v>
      </c>
      <c r="G178" s="2021" t="s">
        <v>2841</v>
      </c>
      <c r="H178" s="1758">
        <v>11303</v>
      </c>
      <c r="I178" s="2290"/>
      <c r="J178" s="1779"/>
      <c r="K178" s="2290"/>
      <c r="L178" s="2290"/>
      <c r="M178" s="1763">
        <v>41768</v>
      </c>
      <c r="N178" s="1763">
        <v>41877</v>
      </c>
      <c r="O178" s="2021"/>
      <c r="P178" s="2021"/>
      <c r="Q178" s="1912"/>
    </row>
    <row r="179" spans="1:17" s="420" customFormat="1" ht="40.5" customHeight="1" x14ac:dyDescent="0.25">
      <c r="A179" s="2021"/>
      <c r="B179" s="2021" t="s">
        <v>3045</v>
      </c>
      <c r="C179" s="2021"/>
      <c r="D179" s="2021">
        <v>11193</v>
      </c>
      <c r="E179" s="2021" t="s">
        <v>3046</v>
      </c>
      <c r="F179" s="1759" t="s">
        <v>3049</v>
      </c>
      <c r="G179" s="2021" t="s">
        <v>2841</v>
      </c>
      <c r="H179" s="1758"/>
      <c r="I179" s="2290"/>
      <c r="J179" s="1779"/>
      <c r="K179" s="2290"/>
      <c r="L179" s="2290"/>
      <c r="M179" s="1763">
        <v>41878</v>
      </c>
      <c r="N179" s="1763">
        <v>41937</v>
      </c>
      <c r="O179" s="2021"/>
      <c r="P179" s="2021"/>
      <c r="Q179" s="1912"/>
    </row>
    <row r="180" spans="1:17" s="420" customFormat="1" ht="40.5" customHeight="1" x14ac:dyDescent="0.25">
      <c r="A180" s="2021"/>
      <c r="B180" s="2021" t="s">
        <v>3045</v>
      </c>
      <c r="C180" s="2021"/>
      <c r="D180" s="2021">
        <v>11193</v>
      </c>
      <c r="E180" s="2021" t="s">
        <v>3046</v>
      </c>
      <c r="F180" s="1759" t="s">
        <v>3050</v>
      </c>
      <c r="G180" s="2021" t="s">
        <v>2841</v>
      </c>
      <c r="H180" s="1758">
        <v>11381</v>
      </c>
      <c r="I180" s="2290"/>
      <c r="J180" s="1779">
        <v>-29146.83</v>
      </c>
      <c r="K180" s="2290"/>
      <c r="L180" s="2290"/>
      <c r="M180" s="1763"/>
      <c r="N180" s="1763"/>
      <c r="O180" s="2021"/>
      <c r="P180" s="2021"/>
      <c r="Q180" s="1912"/>
    </row>
    <row r="181" spans="1:17" s="420" customFormat="1" ht="35.25" customHeight="1" x14ac:dyDescent="0.25">
      <c r="A181" s="1986"/>
      <c r="B181" s="1986" t="s">
        <v>3045</v>
      </c>
      <c r="C181" s="1986"/>
      <c r="D181" s="1986">
        <v>11193</v>
      </c>
      <c r="E181" s="1986" t="s">
        <v>3046</v>
      </c>
      <c r="F181" s="1759" t="s">
        <v>3051</v>
      </c>
      <c r="G181" s="1986" t="s">
        <v>2841</v>
      </c>
      <c r="H181" s="1758">
        <v>11382</v>
      </c>
      <c r="I181" s="2283"/>
      <c r="J181" s="1779" t="s">
        <v>3052</v>
      </c>
      <c r="K181" s="2283"/>
      <c r="L181" s="2283"/>
      <c r="M181" s="1763"/>
      <c r="N181" s="1763"/>
      <c r="O181" s="1986"/>
      <c r="P181" s="1986"/>
      <c r="Q181" s="1912"/>
    </row>
    <row r="182" spans="1:17" s="420" customFormat="1" ht="35.25" customHeight="1" x14ac:dyDescent="0.25">
      <c r="A182" s="1985" t="s">
        <v>3044</v>
      </c>
      <c r="B182" s="1985" t="s">
        <v>3045</v>
      </c>
      <c r="C182" s="1985" t="s">
        <v>168</v>
      </c>
      <c r="D182" s="1985">
        <v>11193</v>
      </c>
      <c r="E182" s="1985" t="s">
        <v>3053</v>
      </c>
      <c r="F182" s="1759" t="s">
        <v>765</v>
      </c>
      <c r="G182" s="1985" t="s">
        <v>3054</v>
      </c>
      <c r="H182" s="1758">
        <v>11233</v>
      </c>
      <c r="I182" s="2282">
        <v>188301.66999999998</v>
      </c>
      <c r="J182" s="1779"/>
      <c r="K182" s="2282">
        <v>212982.26</v>
      </c>
      <c r="L182" s="2282">
        <v>212982.26</v>
      </c>
      <c r="M182" s="1763">
        <v>41668</v>
      </c>
      <c r="N182" s="1763">
        <v>41757</v>
      </c>
      <c r="O182" s="1985" t="s">
        <v>2882</v>
      </c>
      <c r="P182" s="1985">
        <v>33903900</v>
      </c>
      <c r="Q182" s="1912"/>
    </row>
    <row r="183" spans="1:17" s="420" customFormat="1" ht="35.25" customHeight="1" x14ac:dyDescent="0.25">
      <c r="A183" s="2021"/>
      <c r="B183" s="2021" t="s">
        <v>3045</v>
      </c>
      <c r="C183" s="2021"/>
      <c r="D183" s="2021">
        <v>11193</v>
      </c>
      <c r="E183" s="2021" t="s">
        <v>3053</v>
      </c>
      <c r="F183" s="1759" t="s">
        <v>3055</v>
      </c>
      <c r="G183" s="2021" t="s">
        <v>3054</v>
      </c>
      <c r="H183" s="1758">
        <v>11275</v>
      </c>
      <c r="I183" s="2290"/>
      <c r="J183" s="1779">
        <v>-6647</v>
      </c>
      <c r="K183" s="2290"/>
      <c r="L183" s="2290"/>
      <c r="M183" s="1763"/>
      <c r="N183" s="1763"/>
      <c r="O183" s="2021"/>
      <c r="P183" s="2021"/>
      <c r="Q183" s="1912"/>
    </row>
    <row r="184" spans="1:17" s="420" customFormat="1" ht="35.25" customHeight="1" x14ac:dyDescent="0.25">
      <c r="A184" s="2021"/>
      <c r="B184" s="2021" t="s">
        <v>3045</v>
      </c>
      <c r="C184" s="2021"/>
      <c r="D184" s="2021">
        <v>11193</v>
      </c>
      <c r="E184" s="2021" t="s">
        <v>3053</v>
      </c>
      <c r="F184" s="1759" t="s">
        <v>3056</v>
      </c>
      <c r="G184" s="2021" t="s">
        <v>3054</v>
      </c>
      <c r="H184" s="1758">
        <v>11297</v>
      </c>
      <c r="I184" s="2290"/>
      <c r="J184" s="1779"/>
      <c r="K184" s="2290"/>
      <c r="L184" s="2290"/>
      <c r="M184" s="1763">
        <v>41758</v>
      </c>
      <c r="N184" s="1763">
        <v>41817</v>
      </c>
      <c r="O184" s="2021"/>
      <c r="P184" s="2021"/>
      <c r="Q184" s="1912"/>
    </row>
    <row r="185" spans="1:17" s="420" customFormat="1" ht="35.25" customHeight="1" x14ac:dyDescent="0.25">
      <c r="A185" s="2021"/>
      <c r="B185" s="2021" t="s">
        <v>3045</v>
      </c>
      <c r="C185" s="2021"/>
      <c r="D185" s="2021">
        <v>11193</v>
      </c>
      <c r="E185" s="2021" t="s">
        <v>3053</v>
      </c>
      <c r="F185" s="1759" t="s">
        <v>3057</v>
      </c>
      <c r="G185" s="2021" t="s">
        <v>3054</v>
      </c>
      <c r="H185" s="1758">
        <v>11325</v>
      </c>
      <c r="I185" s="2290"/>
      <c r="J185" s="1779">
        <v>-5708.1</v>
      </c>
      <c r="K185" s="2290"/>
      <c r="L185" s="2290"/>
      <c r="M185" s="1763">
        <v>41758</v>
      </c>
      <c r="N185" s="1763">
        <v>41817</v>
      </c>
      <c r="O185" s="2021"/>
      <c r="P185" s="2021"/>
      <c r="Q185" s="1912"/>
    </row>
    <row r="186" spans="1:17" s="420" customFormat="1" ht="40.5" customHeight="1" x14ac:dyDescent="0.25">
      <c r="A186" s="1986"/>
      <c r="B186" s="1986" t="s">
        <v>3045</v>
      </c>
      <c r="C186" s="1986"/>
      <c r="D186" s="1986">
        <v>11193</v>
      </c>
      <c r="E186" s="1986" t="s">
        <v>3053</v>
      </c>
      <c r="F186" s="1759" t="s">
        <v>3058</v>
      </c>
      <c r="G186" s="1986" t="s">
        <v>3054</v>
      </c>
      <c r="H186" s="1758">
        <v>11325</v>
      </c>
      <c r="I186" s="2283"/>
      <c r="J186" s="1779">
        <v>37035.69</v>
      </c>
      <c r="K186" s="2283"/>
      <c r="L186" s="2283"/>
      <c r="M186" s="1763"/>
      <c r="N186" s="1763"/>
      <c r="O186" s="1986"/>
      <c r="P186" s="1986"/>
      <c r="Q186" s="1912"/>
    </row>
    <row r="187" spans="1:17" s="420" customFormat="1" ht="32.25" customHeight="1" x14ac:dyDescent="0.25">
      <c r="A187" s="1985" t="s">
        <v>3059</v>
      </c>
      <c r="B187" s="1985" t="s">
        <v>3060</v>
      </c>
      <c r="C187" s="1985" t="s">
        <v>168</v>
      </c>
      <c r="D187" s="1985">
        <v>11218</v>
      </c>
      <c r="E187" s="1985" t="s">
        <v>3061</v>
      </c>
      <c r="F187" s="1759" t="s">
        <v>777</v>
      </c>
      <c r="G187" s="1985" t="s">
        <v>2829</v>
      </c>
      <c r="H187" s="1758">
        <v>11245</v>
      </c>
      <c r="I187" s="2282">
        <v>81982.7</v>
      </c>
      <c r="J187" s="1779">
        <v>0</v>
      </c>
      <c r="K187" s="2282">
        <v>77693.56</v>
      </c>
      <c r="L187" s="2282">
        <v>77693.56</v>
      </c>
      <c r="M187" s="1763">
        <v>41694</v>
      </c>
      <c r="N187" s="1763">
        <v>41739</v>
      </c>
      <c r="O187" s="1985">
        <v>1</v>
      </c>
      <c r="P187" s="1985">
        <v>44905100</v>
      </c>
      <c r="Q187" s="1912"/>
    </row>
    <row r="188" spans="1:17" s="420" customFormat="1" ht="32.25" customHeight="1" x14ac:dyDescent="0.25">
      <c r="A188" s="2021"/>
      <c r="B188" s="2021" t="s">
        <v>3060</v>
      </c>
      <c r="C188" s="2021"/>
      <c r="D188" s="2021">
        <v>11218</v>
      </c>
      <c r="E188" s="2021" t="s">
        <v>3061</v>
      </c>
      <c r="F188" s="1759" t="s">
        <v>3062</v>
      </c>
      <c r="G188" s="2021" t="s">
        <v>2829</v>
      </c>
      <c r="H188" s="1758">
        <v>11292</v>
      </c>
      <c r="I188" s="2290"/>
      <c r="J188" s="1779"/>
      <c r="K188" s="2290"/>
      <c r="L188" s="2290"/>
      <c r="M188" s="1763">
        <v>41740</v>
      </c>
      <c r="N188" s="1763">
        <v>41784</v>
      </c>
      <c r="O188" s="2021"/>
      <c r="P188" s="2021"/>
      <c r="Q188" s="1912"/>
    </row>
    <row r="189" spans="1:17" s="420" customFormat="1" ht="32.25" customHeight="1" x14ac:dyDescent="0.25">
      <c r="A189" s="2021"/>
      <c r="B189" s="2021" t="s">
        <v>3060</v>
      </c>
      <c r="C189" s="2021"/>
      <c r="D189" s="2021">
        <v>11218</v>
      </c>
      <c r="E189" s="2021" t="s">
        <v>3061</v>
      </c>
      <c r="F189" s="1759" t="s">
        <v>3063</v>
      </c>
      <c r="G189" s="2021" t="s">
        <v>2829</v>
      </c>
      <c r="H189" s="1758">
        <v>11315</v>
      </c>
      <c r="I189" s="2290"/>
      <c r="J189" s="1779"/>
      <c r="K189" s="2290"/>
      <c r="L189" s="2290"/>
      <c r="M189" s="1763">
        <v>41785</v>
      </c>
      <c r="N189" s="1763">
        <v>41813</v>
      </c>
      <c r="O189" s="2021"/>
      <c r="P189" s="2021"/>
      <c r="Q189" s="1912"/>
    </row>
    <row r="190" spans="1:17" s="420" customFormat="1" ht="32.25" customHeight="1" x14ac:dyDescent="0.25">
      <c r="A190" s="2021"/>
      <c r="B190" s="2021" t="s">
        <v>3060</v>
      </c>
      <c r="C190" s="2021"/>
      <c r="D190" s="2021">
        <v>11218</v>
      </c>
      <c r="E190" s="2021" t="s">
        <v>3061</v>
      </c>
      <c r="F190" s="1759" t="s">
        <v>3064</v>
      </c>
      <c r="G190" s="2021" t="s">
        <v>2829</v>
      </c>
      <c r="H190" s="1758">
        <v>11373</v>
      </c>
      <c r="I190" s="2290"/>
      <c r="J190" s="1779">
        <v>4289.1400000000003</v>
      </c>
      <c r="K190" s="2290"/>
      <c r="L190" s="2290"/>
      <c r="M190" s="1763"/>
      <c r="N190" s="1763"/>
      <c r="O190" s="2021"/>
      <c r="P190" s="2021"/>
      <c r="Q190" s="1912"/>
    </row>
    <row r="191" spans="1:17" s="420" customFormat="1" ht="32.25" customHeight="1" x14ac:dyDescent="0.25">
      <c r="A191" s="1986"/>
      <c r="B191" s="1986" t="s">
        <v>3060</v>
      </c>
      <c r="C191" s="1986"/>
      <c r="D191" s="1986">
        <v>11218</v>
      </c>
      <c r="E191" s="1986" t="s">
        <v>3061</v>
      </c>
      <c r="F191" s="1759" t="s">
        <v>3065</v>
      </c>
      <c r="G191" s="1986" t="s">
        <v>2829</v>
      </c>
      <c r="H191" s="1758">
        <v>11376</v>
      </c>
      <c r="I191" s="2283"/>
      <c r="J191" s="1779"/>
      <c r="K191" s="2283"/>
      <c r="L191" s="2283"/>
      <c r="M191" s="1763">
        <v>41859</v>
      </c>
      <c r="N191" s="1763">
        <v>41888</v>
      </c>
      <c r="O191" s="1986"/>
      <c r="P191" s="1986"/>
      <c r="Q191" s="1912"/>
    </row>
    <row r="192" spans="1:17" s="420" customFormat="1" ht="41.25" customHeight="1" x14ac:dyDescent="0.25">
      <c r="A192" s="1758" t="s">
        <v>784</v>
      </c>
      <c r="B192" s="1758" t="s">
        <v>3066</v>
      </c>
      <c r="C192" s="1758" t="s">
        <v>168</v>
      </c>
      <c r="D192" s="1758">
        <v>11241</v>
      </c>
      <c r="E192" s="1780" t="s">
        <v>3067</v>
      </c>
      <c r="F192" s="1759" t="s">
        <v>817</v>
      </c>
      <c r="G192" s="1758" t="s">
        <v>3068</v>
      </c>
      <c r="H192" s="1758">
        <v>11267</v>
      </c>
      <c r="I192" s="1779">
        <v>399600.99</v>
      </c>
      <c r="J192" s="1779">
        <v>0</v>
      </c>
      <c r="K192" s="1779">
        <v>0</v>
      </c>
      <c r="L192" s="1779">
        <v>0</v>
      </c>
      <c r="M192" s="1763"/>
      <c r="N192" s="1763"/>
      <c r="O192" s="1758">
        <v>1</v>
      </c>
      <c r="P192" s="1758">
        <v>44905100</v>
      </c>
      <c r="Q192" s="1912"/>
    </row>
    <row r="193" spans="1:17" s="420" customFormat="1" ht="40.5" customHeight="1" x14ac:dyDescent="0.25">
      <c r="A193" s="1985" t="s">
        <v>1679</v>
      </c>
      <c r="B193" s="1985" t="s">
        <v>3069</v>
      </c>
      <c r="C193" s="1985" t="s">
        <v>168</v>
      </c>
      <c r="D193" s="1985">
        <v>112358</v>
      </c>
      <c r="E193" s="1985" t="s">
        <v>3070</v>
      </c>
      <c r="F193" s="1759" t="s">
        <v>823</v>
      </c>
      <c r="G193" s="1985" t="s">
        <v>3071</v>
      </c>
      <c r="H193" s="1758">
        <v>11267</v>
      </c>
      <c r="I193" s="2282">
        <v>181166.74</v>
      </c>
      <c r="J193" s="1779">
        <v>0</v>
      </c>
      <c r="K193" s="2282">
        <v>0</v>
      </c>
      <c r="L193" s="2282">
        <v>0</v>
      </c>
      <c r="M193" s="1763">
        <v>41771</v>
      </c>
      <c r="N193" s="1763">
        <v>41831</v>
      </c>
      <c r="O193" s="1985" t="s">
        <v>2882</v>
      </c>
      <c r="P193" s="1985">
        <v>44905100</v>
      </c>
      <c r="Q193" s="1912"/>
    </row>
    <row r="194" spans="1:17" s="420" customFormat="1" ht="37.5" customHeight="1" x14ac:dyDescent="0.25">
      <c r="A194" s="2021"/>
      <c r="B194" s="2021" t="s">
        <v>3069</v>
      </c>
      <c r="C194" s="2021"/>
      <c r="D194" s="2021">
        <v>112358</v>
      </c>
      <c r="E194" s="2021" t="s">
        <v>3070</v>
      </c>
      <c r="F194" s="1759" t="s">
        <v>3072</v>
      </c>
      <c r="G194" s="2021" t="s">
        <v>3071</v>
      </c>
      <c r="H194" s="1758">
        <v>11361</v>
      </c>
      <c r="I194" s="2290"/>
      <c r="J194" s="1779"/>
      <c r="K194" s="2290"/>
      <c r="L194" s="2290"/>
      <c r="M194" s="1763">
        <v>41832</v>
      </c>
      <c r="N194" s="1763">
        <v>41890</v>
      </c>
      <c r="O194" s="2021"/>
      <c r="P194" s="2021"/>
      <c r="Q194" s="1912"/>
    </row>
    <row r="195" spans="1:17" s="420" customFormat="1" ht="37.5" customHeight="1" x14ac:dyDescent="0.25">
      <c r="A195" s="2021"/>
      <c r="B195" s="2021" t="s">
        <v>3069</v>
      </c>
      <c r="C195" s="2021"/>
      <c r="D195" s="2021">
        <v>112358</v>
      </c>
      <c r="E195" s="2021" t="s">
        <v>3070</v>
      </c>
      <c r="F195" s="1759" t="s">
        <v>3073</v>
      </c>
      <c r="G195" s="2021" t="s">
        <v>3071</v>
      </c>
      <c r="H195" s="1758">
        <v>11408</v>
      </c>
      <c r="I195" s="2290"/>
      <c r="J195" s="1779"/>
      <c r="K195" s="2290"/>
      <c r="L195" s="2290"/>
      <c r="M195" s="1763">
        <v>41891</v>
      </c>
      <c r="N195" s="1763">
        <v>41950</v>
      </c>
      <c r="O195" s="2021"/>
      <c r="P195" s="2021"/>
      <c r="Q195" s="1912"/>
    </row>
    <row r="196" spans="1:17" s="420" customFormat="1" ht="37.5" customHeight="1" x14ac:dyDescent="0.25">
      <c r="A196" s="1986"/>
      <c r="B196" s="1986"/>
      <c r="C196" s="1986"/>
      <c r="D196" s="1986"/>
      <c r="E196" s="1986"/>
      <c r="F196" s="1759" t="s">
        <v>3074</v>
      </c>
      <c r="G196" s="1986"/>
      <c r="H196" s="1758">
        <v>11451</v>
      </c>
      <c r="I196" s="2283"/>
      <c r="J196" s="1779"/>
      <c r="K196" s="2283"/>
      <c r="L196" s="2283"/>
      <c r="M196" s="1763">
        <v>41951</v>
      </c>
      <c r="N196" s="1763">
        <v>42010</v>
      </c>
      <c r="O196" s="1986"/>
      <c r="P196" s="1986"/>
      <c r="Q196" s="1912"/>
    </row>
    <row r="197" spans="1:17" s="420" customFormat="1" ht="25.5" customHeight="1" x14ac:dyDescent="0.25">
      <c r="A197" s="1985" t="s">
        <v>1679</v>
      </c>
      <c r="B197" s="1985" t="s">
        <v>3069</v>
      </c>
      <c r="C197" s="1985" t="s">
        <v>168</v>
      </c>
      <c r="D197" s="1985">
        <v>11235</v>
      </c>
      <c r="E197" s="1985" t="s">
        <v>3075</v>
      </c>
      <c r="F197" s="1759" t="s">
        <v>828</v>
      </c>
      <c r="G197" s="1985" t="s">
        <v>3071</v>
      </c>
      <c r="H197" s="1758">
        <v>11267</v>
      </c>
      <c r="I197" s="2282">
        <v>223533.87</v>
      </c>
      <c r="J197" s="1779">
        <v>0</v>
      </c>
      <c r="K197" s="2282">
        <v>42975.57</v>
      </c>
      <c r="L197" s="2282">
        <v>42975.57</v>
      </c>
      <c r="M197" s="1763">
        <v>41771</v>
      </c>
      <c r="N197" s="1763">
        <v>41890</v>
      </c>
      <c r="O197" s="1985" t="s">
        <v>2882</v>
      </c>
      <c r="P197" s="1985">
        <v>44905100</v>
      </c>
      <c r="Q197" s="1912"/>
    </row>
    <row r="198" spans="1:17" s="420" customFormat="1" ht="25.5" customHeight="1" x14ac:dyDescent="0.25">
      <c r="A198" s="2021"/>
      <c r="B198" s="2021" t="s">
        <v>3069</v>
      </c>
      <c r="C198" s="2021"/>
      <c r="D198" s="2021"/>
      <c r="E198" s="2021" t="s">
        <v>3075</v>
      </c>
      <c r="F198" s="1759" t="s">
        <v>3076</v>
      </c>
      <c r="G198" s="2021" t="s">
        <v>3071</v>
      </c>
      <c r="H198" s="1758">
        <v>11361</v>
      </c>
      <c r="I198" s="2290"/>
      <c r="J198" s="1779"/>
      <c r="K198" s="2290"/>
      <c r="L198" s="2290"/>
      <c r="M198" s="1763">
        <v>41831</v>
      </c>
      <c r="N198" s="1763">
        <v>41890</v>
      </c>
      <c r="O198" s="2021"/>
      <c r="P198" s="2021"/>
      <c r="Q198" s="1912"/>
    </row>
    <row r="199" spans="1:17" s="420" customFormat="1" ht="25.5" customHeight="1" x14ac:dyDescent="0.25">
      <c r="A199" s="2021"/>
      <c r="B199" s="2021" t="s">
        <v>3069</v>
      </c>
      <c r="C199" s="2021"/>
      <c r="D199" s="2021"/>
      <c r="E199" s="2021" t="s">
        <v>3075</v>
      </c>
      <c r="F199" s="1759" t="s">
        <v>3077</v>
      </c>
      <c r="G199" s="2021" t="s">
        <v>3071</v>
      </c>
      <c r="H199" s="1758">
        <v>11408</v>
      </c>
      <c r="I199" s="2290"/>
      <c r="J199" s="1779"/>
      <c r="K199" s="2290"/>
      <c r="L199" s="2290"/>
      <c r="M199" s="1763">
        <v>41891</v>
      </c>
      <c r="N199" s="1763">
        <v>41950</v>
      </c>
      <c r="O199" s="2021"/>
      <c r="P199" s="2021"/>
      <c r="Q199" s="1912"/>
    </row>
    <row r="200" spans="1:17" s="420" customFormat="1" ht="25.5" customHeight="1" x14ac:dyDescent="0.25">
      <c r="A200" s="1986"/>
      <c r="B200" s="1986"/>
      <c r="C200" s="1986"/>
      <c r="D200" s="1986"/>
      <c r="E200" s="1986"/>
      <c r="F200" s="1759" t="s">
        <v>3078</v>
      </c>
      <c r="G200" s="1986"/>
      <c r="H200" s="1758">
        <v>11451</v>
      </c>
      <c r="I200" s="2283"/>
      <c r="J200" s="1779"/>
      <c r="K200" s="2283"/>
      <c r="L200" s="2283"/>
      <c r="M200" s="1763">
        <v>41951</v>
      </c>
      <c r="N200" s="1763">
        <v>42010</v>
      </c>
      <c r="O200" s="1986"/>
      <c r="P200" s="1986"/>
      <c r="Q200" s="1912"/>
    </row>
    <row r="201" spans="1:17" s="420" customFormat="1" ht="25.5" customHeight="1" x14ac:dyDescent="0.25">
      <c r="A201" s="1985" t="s">
        <v>1781</v>
      </c>
      <c r="B201" s="1985" t="s">
        <v>3079</v>
      </c>
      <c r="C201" s="1985" t="s">
        <v>168</v>
      </c>
      <c r="D201" s="1985">
        <v>11241</v>
      </c>
      <c r="E201" s="1985" t="s">
        <v>3080</v>
      </c>
      <c r="F201" s="1759" t="s">
        <v>832</v>
      </c>
      <c r="G201" s="1985" t="s">
        <v>2835</v>
      </c>
      <c r="H201" s="1758">
        <v>11275</v>
      </c>
      <c r="I201" s="2282">
        <v>65849.679999999993</v>
      </c>
      <c r="J201" s="1779">
        <v>0</v>
      </c>
      <c r="K201" s="2282">
        <v>68004.42</v>
      </c>
      <c r="L201" s="2282">
        <v>68004.42</v>
      </c>
      <c r="M201" s="1763">
        <v>41779</v>
      </c>
      <c r="N201" s="1763">
        <v>41868</v>
      </c>
      <c r="O201" s="1985">
        <v>1</v>
      </c>
      <c r="P201" s="1985">
        <v>44905100</v>
      </c>
      <c r="Q201" s="1912"/>
    </row>
    <row r="202" spans="1:17" s="420" customFormat="1" ht="25.5" customHeight="1" x14ac:dyDescent="0.25">
      <c r="A202" s="2021"/>
      <c r="B202" s="2021" t="s">
        <v>3079</v>
      </c>
      <c r="C202" s="2021"/>
      <c r="D202" s="2021">
        <v>11241</v>
      </c>
      <c r="E202" s="2021" t="s">
        <v>3080</v>
      </c>
      <c r="F202" s="1759" t="s">
        <v>3081</v>
      </c>
      <c r="G202" s="2021" t="s">
        <v>2835</v>
      </c>
      <c r="H202" s="1758">
        <v>11361</v>
      </c>
      <c r="I202" s="2290"/>
      <c r="J202" s="1779"/>
      <c r="K202" s="2290"/>
      <c r="L202" s="2290"/>
      <c r="M202" s="1763">
        <v>41839</v>
      </c>
      <c r="N202" s="1763">
        <v>41898</v>
      </c>
      <c r="O202" s="2021"/>
      <c r="P202" s="2021"/>
      <c r="Q202" s="1912"/>
    </row>
    <row r="203" spans="1:17" s="420" customFormat="1" ht="25.5" customHeight="1" x14ac:dyDescent="0.25">
      <c r="A203" s="2021"/>
      <c r="B203" s="2021" t="s">
        <v>3079</v>
      </c>
      <c r="C203" s="2021"/>
      <c r="D203" s="2021">
        <v>11241</v>
      </c>
      <c r="E203" s="2021" t="s">
        <v>3080</v>
      </c>
      <c r="F203" s="1759" t="s">
        <v>3082</v>
      </c>
      <c r="G203" s="2021" t="s">
        <v>2835</v>
      </c>
      <c r="H203" s="1758">
        <v>11370</v>
      </c>
      <c r="I203" s="2290"/>
      <c r="J203" s="1779">
        <v>15983.55</v>
      </c>
      <c r="K203" s="2290"/>
      <c r="L203" s="2290"/>
      <c r="M203" s="1763"/>
      <c r="N203" s="1763"/>
      <c r="O203" s="2021"/>
      <c r="P203" s="2021"/>
      <c r="Q203" s="1912"/>
    </row>
    <row r="204" spans="1:17" s="420" customFormat="1" ht="25.5" customHeight="1" x14ac:dyDescent="0.25">
      <c r="A204" s="2021"/>
      <c r="B204" s="2021" t="s">
        <v>3079</v>
      </c>
      <c r="C204" s="2021"/>
      <c r="D204" s="2021">
        <v>11241</v>
      </c>
      <c r="E204" s="2021" t="s">
        <v>3080</v>
      </c>
      <c r="F204" s="1759" t="s">
        <v>3083</v>
      </c>
      <c r="G204" s="2021" t="s">
        <v>2835</v>
      </c>
      <c r="H204" s="1758">
        <v>11408</v>
      </c>
      <c r="I204" s="2290"/>
      <c r="J204" s="1779"/>
      <c r="K204" s="2290"/>
      <c r="L204" s="2290"/>
      <c r="M204" s="1763">
        <v>41899</v>
      </c>
      <c r="N204" s="1763">
        <v>41928</v>
      </c>
      <c r="O204" s="2021"/>
      <c r="P204" s="2021"/>
      <c r="Q204" s="1912"/>
    </row>
    <row r="205" spans="1:17" s="420" customFormat="1" ht="25.5" customHeight="1" x14ac:dyDescent="0.25">
      <c r="A205" s="2021"/>
      <c r="B205" s="2021"/>
      <c r="C205" s="2021"/>
      <c r="D205" s="2021"/>
      <c r="E205" s="2021"/>
      <c r="F205" s="1759" t="s">
        <v>3084</v>
      </c>
      <c r="G205" s="2021"/>
      <c r="H205" s="1758">
        <v>11451</v>
      </c>
      <c r="I205" s="2290"/>
      <c r="J205" s="1779"/>
      <c r="K205" s="2290"/>
      <c r="L205" s="2290"/>
      <c r="M205" s="1763">
        <v>41929</v>
      </c>
      <c r="N205" s="1763">
        <v>42019</v>
      </c>
      <c r="O205" s="2021"/>
      <c r="P205" s="2021"/>
      <c r="Q205" s="1912"/>
    </row>
    <row r="206" spans="1:17" s="420" customFormat="1" ht="25.5" customHeight="1" x14ac:dyDescent="0.25">
      <c r="A206" s="1986"/>
      <c r="B206" s="1986"/>
      <c r="C206" s="1986"/>
      <c r="D206" s="1986"/>
      <c r="E206" s="1986"/>
      <c r="F206" s="1759" t="s">
        <v>3085</v>
      </c>
      <c r="G206" s="1986"/>
      <c r="H206" s="1758">
        <v>11464</v>
      </c>
      <c r="I206" s="2283"/>
      <c r="J206" s="1779"/>
      <c r="K206" s="2283"/>
      <c r="L206" s="2283"/>
      <c r="M206" s="1763">
        <v>42020</v>
      </c>
      <c r="N206" s="1763">
        <v>42109</v>
      </c>
      <c r="O206" s="1986"/>
      <c r="P206" s="1986"/>
      <c r="Q206" s="1912"/>
    </row>
    <row r="207" spans="1:17" s="420" customFormat="1" ht="40.5" customHeight="1" x14ac:dyDescent="0.25">
      <c r="A207" s="1985" t="s">
        <v>3086</v>
      </c>
      <c r="B207" s="1985" t="s">
        <v>3087</v>
      </c>
      <c r="C207" s="1985" t="s">
        <v>168</v>
      </c>
      <c r="D207" s="1985">
        <v>11241</v>
      </c>
      <c r="E207" s="1985" t="s">
        <v>3088</v>
      </c>
      <c r="F207" s="1759" t="s">
        <v>1750</v>
      </c>
      <c r="G207" s="1985" t="s">
        <v>3089</v>
      </c>
      <c r="H207" s="1758">
        <v>11287</v>
      </c>
      <c r="I207" s="2282">
        <v>283038.82</v>
      </c>
      <c r="J207" s="1779">
        <v>0</v>
      </c>
      <c r="K207" s="2282">
        <v>296107.90999999997</v>
      </c>
      <c r="L207" s="2282">
        <v>296107.90999999997</v>
      </c>
      <c r="M207" s="1763">
        <v>41740</v>
      </c>
      <c r="N207" s="1763">
        <v>42104</v>
      </c>
      <c r="O207" s="1985">
        <v>1</v>
      </c>
      <c r="P207" s="1985">
        <v>33903900</v>
      </c>
      <c r="Q207" s="1912"/>
    </row>
    <row r="208" spans="1:17" s="420" customFormat="1" ht="40.5" customHeight="1" x14ac:dyDescent="0.25">
      <c r="A208" s="1986"/>
      <c r="B208" s="1986" t="s">
        <v>3087</v>
      </c>
      <c r="C208" s="1986"/>
      <c r="D208" s="1986">
        <v>11241</v>
      </c>
      <c r="E208" s="1986" t="s">
        <v>3088</v>
      </c>
      <c r="F208" s="1759" t="s">
        <v>3090</v>
      </c>
      <c r="G208" s="1986" t="s">
        <v>3089</v>
      </c>
      <c r="H208" s="1758">
        <v>11428</v>
      </c>
      <c r="I208" s="2283"/>
      <c r="J208" s="1779">
        <v>70600.33</v>
      </c>
      <c r="K208" s="2283"/>
      <c r="L208" s="2283"/>
      <c r="M208" s="1763"/>
      <c r="N208" s="1763"/>
      <c r="O208" s="1986"/>
      <c r="P208" s="1986"/>
      <c r="Q208" s="1912"/>
    </row>
    <row r="209" spans="1:17" s="420" customFormat="1" ht="40.5" customHeight="1" x14ac:dyDescent="0.25">
      <c r="A209" s="1985" t="s">
        <v>3091</v>
      </c>
      <c r="B209" s="1985" t="s">
        <v>3092</v>
      </c>
      <c r="C209" s="1985" t="s">
        <v>168</v>
      </c>
      <c r="D209" s="1985">
        <v>11253</v>
      </c>
      <c r="E209" s="1985" t="s">
        <v>3093</v>
      </c>
      <c r="F209" s="1759" t="s">
        <v>774</v>
      </c>
      <c r="G209" s="1985" t="s">
        <v>2829</v>
      </c>
      <c r="H209" s="1758">
        <v>11298</v>
      </c>
      <c r="I209" s="2282">
        <v>160455.32</v>
      </c>
      <c r="J209" s="1779">
        <v>0</v>
      </c>
      <c r="K209" s="2282">
        <v>153502.73000000001</v>
      </c>
      <c r="L209" s="2282">
        <v>153502.73000000001</v>
      </c>
      <c r="M209" s="1763">
        <v>41765</v>
      </c>
      <c r="N209" s="1763">
        <v>41884</v>
      </c>
      <c r="O209" s="1985">
        <v>1</v>
      </c>
      <c r="P209" s="1985">
        <v>33903900</v>
      </c>
      <c r="Q209" s="1912"/>
    </row>
    <row r="210" spans="1:17" s="420" customFormat="1" ht="45.75" customHeight="1" x14ac:dyDescent="0.25">
      <c r="A210" s="1986"/>
      <c r="B210" s="1986" t="s">
        <v>3092</v>
      </c>
      <c r="C210" s="1986"/>
      <c r="D210" s="1986">
        <v>11253</v>
      </c>
      <c r="E210" s="1986" t="s">
        <v>3093</v>
      </c>
      <c r="F210" s="1759" t="s">
        <v>3094</v>
      </c>
      <c r="G210" s="1986" t="s">
        <v>2829</v>
      </c>
      <c r="H210" s="1758">
        <v>11365</v>
      </c>
      <c r="I210" s="2283"/>
      <c r="J210" s="1779"/>
      <c r="K210" s="2283"/>
      <c r="L210" s="2283"/>
      <c r="M210" s="1763">
        <v>41885</v>
      </c>
      <c r="N210" s="1763">
        <v>41974</v>
      </c>
      <c r="O210" s="1986"/>
      <c r="P210" s="1986"/>
      <c r="Q210" s="1912"/>
    </row>
    <row r="211" spans="1:17" s="420" customFormat="1" ht="40.5" customHeight="1" x14ac:dyDescent="0.25">
      <c r="A211" s="1985" t="s">
        <v>3091</v>
      </c>
      <c r="B211" s="1985" t="s">
        <v>3092</v>
      </c>
      <c r="C211" s="1985" t="s">
        <v>168</v>
      </c>
      <c r="D211" s="1985">
        <v>11253</v>
      </c>
      <c r="E211" s="1985" t="s">
        <v>3095</v>
      </c>
      <c r="F211" s="1759" t="s">
        <v>802</v>
      </c>
      <c r="G211" s="1985" t="s">
        <v>3096</v>
      </c>
      <c r="H211" s="1758">
        <v>11299</v>
      </c>
      <c r="I211" s="2282">
        <v>114979.20999999999</v>
      </c>
      <c r="J211" s="1779">
        <v>0</v>
      </c>
      <c r="K211" s="2282">
        <v>111404.73</v>
      </c>
      <c r="L211" s="2282">
        <v>111404.73</v>
      </c>
      <c r="M211" s="1763">
        <v>41765</v>
      </c>
      <c r="N211" s="1763">
        <v>41884</v>
      </c>
      <c r="O211" s="1985">
        <v>1</v>
      </c>
      <c r="P211" s="1985">
        <v>33903900</v>
      </c>
      <c r="Q211" s="1912"/>
    </row>
    <row r="212" spans="1:17" s="420" customFormat="1" ht="40.5" customHeight="1" x14ac:dyDescent="0.25">
      <c r="A212" s="2021"/>
      <c r="B212" s="2021" t="s">
        <v>3092</v>
      </c>
      <c r="C212" s="2021"/>
      <c r="D212" s="2021">
        <v>11253</v>
      </c>
      <c r="E212" s="2021" t="s">
        <v>3095</v>
      </c>
      <c r="F212" s="1759" t="s">
        <v>3097</v>
      </c>
      <c r="G212" s="2021" t="s">
        <v>3096</v>
      </c>
      <c r="H212" s="1758">
        <v>11365</v>
      </c>
      <c r="I212" s="2290"/>
      <c r="J212" s="1779"/>
      <c r="K212" s="2290"/>
      <c r="L212" s="2290"/>
      <c r="M212" s="1763">
        <v>41885</v>
      </c>
      <c r="N212" s="1763">
        <v>41974</v>
      </c>
      <c r="O212" s="2021"/>
      <c r="P212" s="2021"/>
      <c r="Q212" s="1912"/>
    </row>
    <row r="213" spans="1:17" s="420" customFormat="1" ht="40.5" customHeight="1" x14ac:dyDescent="0.25">
      <c r="A213" s="1986"/>
      <c r="B213" s="1986"/>
      <c r="C213" s="1986"/>
      <c r="D213" s="1986"/>
      <c r="E213" s="1986"/>
      <c r="F213" s="1759" t="s">
        <v>3098</v>
      </c>
      <c r="G213" s="1986"/>
      <c r="H213" s="1758">
        <v>11451</v>
      </c>
      <c r="I213" s="2283"/>
      <c r="J213" s="1779"/>
      <c r="K213" s="2283"/>
      <c r="L213" s="2283"/>
      <c r="M213" s="1763">
        <v>41975</v>
      </c>
      <c r="N213" s="1763">
        <v>42064</v>
      </c>
      <c r="O213" s="1986"/>
      <c r="P213" s="1986"/>
      <c r="Q213" s="1912"/>
    </row>
    <row r="214" spans="1:17" s="420" customFormat="1" ht="40.5" customHeight="1" x14ac:dyDescent="0.25">
      <c r="A214" s="1758" t="s">
        <v>3099</v>
      </c>
      <c r="B214" s="1758" t="s">
        <v>3100</v>
      </c>
      <c r="C214" s="1758" t="s">
        <v>168</v>
      </c>
      <c r="D214" s="1758" t="s">
        <v>3101</v>
      </c>
      <c r="E214" s="1780" t="s">
        <v>3095</v>
      </c>
      <c r="F214" s="1759" t="s">
        <v>3102</v>
      </c>
      <c r="G214" s="1758" t="s">
        <v>3103</v>
      </c>
      <c r="H214" s="1758">
        <v>11383</v>
      </c>
      <c r="I214" s="1779">
        <v>49137.62</v>
      </c>
      <c r="J214" s="1779">
        <v>0</v>
      </c>
      <c r="K214" s="1779">
        <v>35000</v>
      </c>
      <c r="L214" s="1779">
        <v>35000</v>
      </c>
      <c r="M214" s="1763">
        <v>41877</v>
      </c>
      <c r="N214" s="1763">
        <v>41996</v>
      </c>
      <c r="O214" s="1758">
        <v>1</v>
      </c>
      <c r="P214" s="1758">
        <v>33903900</v>
      </c>
      <c r="Q214" s="1912"/>
    </row>
    <row r="215" spans="1:17" s="420" customFormat="1" ht="40.5" customHeight="1" x14ac:dyDescent="0.25">
      <c r="A215" s="1985" t="s">
        <v>3091</v>
      </c>
      <c r="B215" s="1985" t="s">
        <v>3092</v>
      </c>
      <c r="C215" s="1985" t="s">
        <v>168</v>
      </c>
      <c r="D215" s="1985">
        <v>11253</v>
      </c>
      <c r="E215" s="1985" t="s">
        <v>3104</v>
      </c>
      <c r="F215" s="1759" t="s">
        <v>820</v>
      </c>
      <c r="G215" s="1985" t="s">
        <v>3096</v>
      </c>
      <c r="H215" s="1758">
        <v>11300</v>
      </c>
      <c r="I215" s="2282">
        <v>164116.82999999999</v>
      </c>
      <c r="J215" s="1779">
        <v>0</v>
      </c>
      <c r="K215" s="2282">
        <v>146603.70000000001</v>
      </c>
      <c r="L215" s="2282">
        <v>146603.70000000001</v>
      </c>
      <c r="M215" s="1763">
        <v>41765</v>
      </c>
      <c r="N215" s="1763">
        <v>41884</v>
      </c>
      <c r="O215" s="1985">
        <v>1</v>
      </c>
      <c r="P215" s="1985">
        <v>33903900</v>
      </c>
      <c r="Q215" s="1912"/>
    </row>
    <row r="216" spans="1:17" s="420" customFormat="1" ht="38.25" customHeight="1" x14ac:dyDescent="0.25">
      <c r="A216" s="2021"/>
      <c r="B216" s="2021" t="s">
        <v>3092</v>
      </c>
      <c r="C216" s="2021"/>
      <c r="D216" s="2021">
        <v>11253</v>
      </c>
      <c r="E216" s="2021" t="s">
        <v>3104</v>
      </c>
      <c r="F216" s="1759" t="s">
        <v>3105</v>
      </c>
      <c r="G216" s="2021" t="s">
        <v>3096</v>
      </c>
      <c r="H216" s="1758">
        <v>11365</v>
      </c>
      <c r="I216" s="2290"/>
      <c r="J216" s="1779"/>
      <c r="K216" s="2290"/>
      <c r="L216" s="2290"/>
      <c r="M216" s="1763">
        <v>41885</v>
      </c>
      <c r="N216" s="1763">
        <v>41974</v>
      </c>
      <c r="O216" s="2021"/>
      <c r="P216" s="2021"/>
      <c r="Q216" s="1912"/>
    </row>
    <row r="217" spans="1:17" s="420" customFormat="1" ht="40.5" customHeight="1" x14ac:dyDescent="0.25">
      <c r="A217" s="2021"/>
      <c r="B217" s="2021" t="s">
        <v>3092</v>
      </c>
      <c r="C217" s="2021"/>
      <c r="D217" s="2021">
        <v>11253</v>
      </c>
      <c r="E217" s="2021" t="s">
        <v>3104</v>
      </c>
      <c r="F217" s="1759" t="s">
        <v>3106</v>
      </c>
      <c r="G217" s="2021" t="s">
        <v>3096</v>
      </c>
      <c r="H217" s="1758">
        <v>11386</v>
      </c>
      <c r="I217" s="2290"/>
      <c r="J217" s="1779">
        <v>28307.95</v>
      </c>
      <c r="K217" s="2290"/>
      <c r="L217" s="2290"/>
      <c r="M217" s="1763"/>
      <c r="N217" s="1763"/>
      <c r="O217" s="2021"/>
      <c r="P217" s="2021"/>
      <c r="Q217" s="1912"/>
    </row>
    <row r="218" spans="1:17" s="420" customFormat="1" ht="40.5" customHeight="1" x14ac:dyDescent="0.25">
      <c r="A218" s="1986"/>
      <c r="B218" s="1986"/>
      <c r="C218" s="1986"/>
      <c r="D218" s="1986"/>
      <c r="E218" s="1986"/>
      <c r="F218" s="1759" t="s">
        <v>3107</v>
      </c>
      <c r="G218" s="1986"/>
      <c r="H218" s="1758">
        <v>11451</v>
      </c>
      <c r="I218" s="2283"/>
      <c r="J218" s="1779"/>
      <c r="K218" s="2283"/>
      <c r="L218" s="2283"/>
      <c r="M218" s="1763">
        <v>41975</v>
      </c>
      <c r="N218" s="1763">
        <v>42064</v>
      </c>
      <c r="O218" s="1986"/>
      <c r="P218" s="1986"/>
      <c r="Q218" s="1912"/>
    </row>
    <row r="219" spans="1:17" s="420" customFormat="1" ht="40.5" customHeight="1" x14ac:dyDescent="0.25">
      <c r="A219" s="1985" t="s">
        <v>3091</v>
      </c>
      <c r="B219" s="1985" t="s">
        <v>3092</v>
      </c>
      <c r="C219" s="1985" t="s">
        <v>168</v>
      </c>
      <c r="D219" s="1985">
        <v>11253</v>
      </c>
      <c r="E219" s="1985" t="s">
        <v>3108</v>
      </c>
      <c r="F219" s="1759" t="s">
        <v>1788</v>
      </c>
      <c r="G219" s="1985" t="s">
        <v>1983</v>
      </c>
      <c r="H219" s="1758">
        <v>11300</v>
      </c>
      <c r="I219" s="2282">
        <v>163905.54999999999</v>
      </c>
      <c r="J219" s="1779">
        <v>0</v>
      </c>
      <c r="K219" s="2282">
        <v>125744.35</v>
      </c>
      <c r="L219" s="2282">
        <v>125744.35</v>
      </c>
      <c r="M219" s="1763">
        <v>41764</v>
      </c>
      <c r="N219" s="1763">
        <v>41883</v>
      </c>
      <c r="O219" s="1985">
        <v>1</v>
      </c>
      <c r="P219" s="1985">
        <v>33903900</v>
      </c>
      <c r="Q219" s="1912"/>
    </row>
    <row r="220" spans="1:17" s="420" customFormat="1" ht="40.5" customHeight="1" x14ac:dyDescent="0.25">
      <c r="A220" s="2021"/>
      <c r="B220" s="2021" t="s">
        <v>3092</v>
      </c>
      <c r="C220" s="2021"/>
      <c r="D220" s="2021">
        <v>11253</v>
      </c>
      <c r="E220" s="2021" t="s">
        <v>3108</v>
      </c>
      <c r="F220" s="1759" t="s">
        <v>3109</v>
      </c>
      <c r="G220" s="2021" t="s">
        <v>1983</v>
      </c>
      <c r="H220" s="1758">
        <v>11365</v>
      </c>
      <c r="I220" s="2290"/>
      <c r="J220" s="1779"/>
      <c r="K220" s="2290"/>
      <c r="L220" s="2290"/>
      <c r="M220" s="1763">
        <v>41885</v>
      </c>
      <c r="N220" s="1763">
        <v>41974</v>
      </c>
      <c r="O220" s="2021"/>
      <c r="P220" s="2021"/>
      <c r="Q220" s="1912"/>
    </row>
    <row r="221" spans="1:17" s="420" customFormat="1" ht="40.5" customHeight="1" x14ac:dyDescent="0.25">
      <c r="A221" s="1986"/>
      <c r="B221" s="1986"/>
      <c r="C221" s="1986"/>
      <c r="D221" s="1986"/>
      <c r="E221" s="1986"/>
      <c r="F221" s="1759" t="s">
        <v>3110</v>
      </c>
      <c r="G221" s="1986"/>
      <c r="H221" s="1758">
        <v>11453</v>
      </c>
      <c r="I221" s="2283"/>
      <c r="J221" s="1779"/>
      <c r="K221" s="2283"/>
      <c r="L221" s="2283"/>
      <c r="M221" s="1763">
        <v>41975</v>
      </c>
      <c r="N221" s="1763">
        <v>42064</v>
      </c>
      <c r="O221" s="1986"/>
      <c r="P221" s="1986"/>
      <c r="Q221" s="1912"/>
    </row>
    <row r="222" spans="1:17" s="420" customFormat="1" ht="27.75" customHeight="1" x14ac:dyDescent="0.25">
      <c r="A222" s="1985" t="s">
        <v>3111</v>
      </c>
      <c r="B222" s="1985" t="s">
        <v>3112</v>
      </c>
      <c r="C222" s="1985" t="s">
        <v>168</v>
      </c>
      <c r="D222" s="1985">
        <v>11274</v>
      </c>
      <c r="E222" s="1985" t="s">
        <v>3113</v>
      </c>
      <c r="F222" s="1759" t="s">
        <v>1811</v>
      </c>
      <c r="G222" s="1985" t="s">
        <v>3114</v>
      </c>
      <c r="H222" s="1758">
        <v>11305</v>
      </c>
      <c r="I222" s="2282">
        <v>594301.97</v>
      </c>
      <c r="J222" s="1779"/>
      <c r="K222" s="2282">
        <v>515573.75</v>
      </c>
      <c r="L222" s="2282">
        <v>515573.75</v>
      </c>
      <c r="M222" s="1763">
        <v>41773</v>
      </c>
      <c r="N222" s="1763">
        <v>41952</v>
      </c>
      <c r="O222" s="1985" t="s">
        <v>2882</v>
      </c>
      <c r="P222" s="1985">
        <v>44905100</v>
      </c>
      <c r="Q222" s="1912"/>
    </row>
    <row r="223" spans="1:17" s="420" customFormat="1" ht="27.75" customHeight="1" x14ac:dyDescent="0.25">
      <c r="A223" s="2021"/>
      <c r="B223" s="2021" t="s">
        <v>3112</v>
      </c>
      <c r="C223" s="2021"/>
      <c r="D223" s="2021">
        <v>11274</v>
      </c>
      <c r="E223" s="2021" t="s">
        <v>3113</v>
      </c>
      <c r="F223" s="1759" t="s">
        <v>3115</v>
      </c>
      <c r="G223" s="2021" t="s">
        <v>3114</v>
      </c>
      <c r="H223" s="1758">
        <v>11338</v>
      </c>
      <c r="I223" s="2290"/>
      <c r="J223" s="1779">
        <v>-17650.86</v>
      </c>
      <c r="K223" s="2290"/>
      <c r="L223" s="2290"/>
      <c r="M223" s="1763"/>
      <c r="N223" s="1763"/>
      <c r="O223" s="2021"/>
      <c r="P223" s="2021"/>
      <c r="Q223" s="1912"/>
    </row>
    <row r="224" spans="1:17" s="420" customFormat="1" ht="27.75" customHeight="1" x14ac:dyDescent="0.25">
      <c r="A224" s="2021"/>
      <c r="B224" s="2021" t="s">
        <v>3112</v>
      </c>
      <c r="C224" s="2021"/>
      <c r="D224" s="2021">
        <v>11274</v>
      </c>
      <c r="E224" s="2021" t="s">
        <v>3113</v>
      </c>
      <c r="F224" s="1759" t="s">
        <v>3116</v>
      </c>
      <c r="G224" s="2021" t="s">
        <v>3114</v>
      </c>
      <c r="H224" s="1758">
        <v>11345</v>
      </c>
      <c r="I224" s="2290"/>
      <c r="J224" s="1779">
        <v>3100.34</v>
      </c>
      <c r="K224" s="2290"/>
      <c r="L224" s="2290"/>
      <c r="M224" s="1763"/>
      <c r="N224" s="1763"/>
      <c r="O224" s="2021"/>
      <c r="P224" s="2021"/>
      <c r="Q224" s="1912"/>
    </row>
    <row r="225" spans="1:17" s="420" customFormat="1" ht="27.75" customHeight="1" x14ac:dyDescent="0.25">
      <c r="A225" s="1986"/>
      <c r="B225" s="1986"/>
      <c r="C225" s="1986"/>
      <c r="D225" s="1986"/>
      <c r="E225" s="1986"/>
      <c r="F225" s="1759" t="s">
        <v>3117</v>
      </c>
      <c r="G225" s="1986"/>
      <c r="H225" s="1758">
        <v>11448</v>
      </c>
      <c r="I225" s="2283"/>
      <c r="J225" s="1779"/>
      <c r="K225" s="2283"/>
      <c r="L225" s="2283"/>
      <c r="M225" s="1763">
        <v>41953</v>
      </c>
      <c r="N225" s="1763">
        <v>42132</v>
      </c>
      <c r="O225" s="1986"/>
      <c r="P225" s="1986"/>
      <c r="Q225" s="1912"/>
    </row>
    <row r="226" spans="1:17" s="420" customFormat="1" ht="41.25" customHeight="1" x14ac:dyDescent="0.25">
      <c r="A226" s="1758" t="s">
        <v>2957</v>
      </c>
      <c r="B226" s="1758" t="s">
        <v>2958</v>
      </c>
      <c r="C226" s="1758" t="s">
        <v>168</v>
      </c>
      <c r="D226" s="1758">
        <v>11048</v>
      </c>
      <c r="E226" s="1780" t="s">
        <v>3118</v>
      </c>
      <c r="F226" s="1759" t="s">
        <v>395</v>
      </c>
      <c r="G226" s="1758" t="s">
        <v>2961</v>
      </c>
      <c r="H226" s="1758">
        <v>11317</v>
      </c>
      <c r="I226" s="1779">
        <v>101370.06</v>
      </c>
      <c r="J226" s="1779">
        <v>0</v>
      </c>
      <c r="K226" s="1779">
        <v>91484.88</v>
      </c>
      <c r="L226" s="1779">
        <v>91484.88</v>
      </c>
      <c r="M226" s="1763">
        <v>41772</v>
      </c>
      <c r="N226" s="1763">
        <v>41891</v>
      </c>
      <c r="O226" s="1758">
        <v>1</v>
      </c>
      <c r="P226" s="1758">
        <v>33903900</v>
      </c>
      <c r="Q226" s="1912"/>
    </row>
    <row r="227" spans="1:17" s="420" customFormat="1" ht="30" customHeight="1" x14ac:dyDescent="0.25">
      <c r="A227" s="1985" t="s">
        <v>334</v>
      </c>
      <c r="B227" s="1985" t="s">
        <v>3119</v>
      </c>
      <c r="C227" s="1985" t="s">
        <v>168</v>
      </c>
      <c r="D227" s="1985">
        <v>11230</v>
      </c>
      <c r="E227" s="1985" t="s">
        <v>3120</v>
      </c>
      <c r="F227" s="1759" t="s">
        <v>1821</v>
      </c>
      <c r="G227" s="1985" t="s">
        <v>3089</v>
      </c>
      <c r="H227" s="1758">
        <v>11311</v>
      </c>
      <c r="I227" s="2282">
        <v>481717.61</v>
      </c>
      <c r="J227" s="1779">
        <v>0</v>
      </c>
      <c r="K227" s="2282">
        <v>0</v>
      </c>
      <c r="L227" s="2282">
        <v>0</v>
      </c>
      <c r="M227" s="1763">
        <v>41780</v>
      </c>
      <c r="N227" s="1763">
        <v>41899</v>
      </c>
      <c r="O227" s="1985" t="s">
        <v>2882</v>
      </c>
      <c r="P227" s="1985">
        <v>44905100</v>
      </c>
      <c r="Q227" s="1912"/>
    </row>
    <row r="228" spans="1:17" s="420" customFormat="1" ht="30" customHeight="1" x14ac:dyDescent="0.25">
      <c r="A228" s="2021"/>
      <c r="B228" s="2021" t="s">
        <v>3119</v>
      </c>
      <c r="C228" s="2021"/>
      <c r="D228" s="2021"/>
      <c r="E228" s="2021" t="s">
        <v>3120</v>
      </c>
      <c r="F228" s="1759" t="s">
        <v>3121</v>
      </c>
      <c r="G228" s="2021" t="s">
        <v>3089</v>
      </c>
      <c r="H228" s="1758">
        <v>11338</v>
      </c>
      <c r="I228" s="2290"/>
      <c r="J228" s="1779">
        <v>-74607.16</v>
      </c>
      <c r="K228" s="2290"/>
      <c r="L228" s="2290"/>
      <c r="M228" s="1763"/>
      <c r="N228" s="1763"/>
      <c r="O228" s="2021"/>
      <c r="P228" s="2021"/>
      <c r="Q228" s="1912"/>
    </row>
    <row r="229" spans="1:17" s="420" customFormat="1" ht="30" customHeight="1" x14ac:dyDescent="0.25">
      <c r="A229" s="1986"/>
      <c r="B229" s="1986" t="s">
        <v>3119</v>
      </c>
      <c r="C229" s="1986"/>
      <c r="D229" s="1986"/>
      <c r="E229" s="1986" t="s">
        <v>3120</v>
      </c>
      <c r="F229" s="1759" t="s">
        <v>3122</v>
      </c>
      <c r="G229" s="1986" t="s">
        <v>3089</v>
      </c>
      <c r="H229" s="1758">
        <v>11417</v>
      </c>
      <c r="I229" s="2283"/>
      <c r="J229" s="1779">
        <v>0</v>
      </c>
      <c r="K229" s="2283"/>
      <c r="L229" s="2283"/>
      <c r="M229" s="1763">
        <v>41900</v>
      </c>
      <c r="N229" s="1763">
        <v>42019</v>
      </c>
      <c r="O229" s="1986"/>
      <c r="P229" s="1986"/>
      <c r="Q229" s="1912"/>
    </row>
    <row r="230" spans="1:17" s="420" customFormat="1" ht="40.5" customHeight="1" x14ac:dyDescent="0.25">
      <c r="A230" s="1985" t="s">
        <v>2150</v>
      </c>
      <c r="B230" s="1985" t="s">
        <v>3123</v>
      </c>
      <c r="C230" s="1985" t="s">
        <v>168</v>
      </c>
      <c r="D230" s="1985">
        <v>11279</v>
      </c>
      <c r="E230" s="1985" t="s">
        <v>3124</v>
      </c>
      <c r="F230" s="1759" t="s">
        <v>1824</v>
      </c>
      <c r="G230" s="1985" t="s">
        <v>2841</v>
      </c>
      <c r="H230" s="1758">
        <v>11314</v>
      </c>
      <c r="I230" s="2282">
        <v>248471.91</v>
      </c>
      <c r="J230" s="1779">
        <v>0</v>
      </c>
      <c r="K230" s="2282">
        <v>177735.5</v>
      </c>
      <c r="L230" s="2282">
        <v>177735.5</v>
      </c>
      <c r="M230" s="1763">
        <v>41781</v>
      </c>
      <c r="N230" s="1763">
        <v>41930</v>
      </c>
      <c r="O230" s="1985" t="s">
        <v>2882</v>
      </c>
      <c r="P230" s="1985">
        <v>44905100</v>
      </c>
      <c r="Q230" s="1912"/>
    </row>
    <row r="231" spans="1:17" s="420" customFormat="1" ht="40.5" customHeight="1" x14ac:dyDescent="0.25">
      <c r="A231" s="2021"/>
      <c r="B231" s="2021" t="s">
        <v>3123</v>
      </c>
      <c r="C231" s="2021"/>
      <c r="D231" s="2021">
        <v>11279</v>
      </c>
      <c r="E231" s="2021" t="s">
        <v>3124</v>
      </c>
      <c r="F231" s="1759" t="s">
        <v>3125</v>
      </c>
      <c r="G231" s="2021" t="s">
        <v>2841</v>
      </c>
      <c r="H231" s="1758">
        <v>11409</v>
      </c>
      <c r="I231" s="2290"/>
      <c r="J231" s="1779">
        <v>0</v>
      </c>
      <c r="K231" s="2290"/>
      <c r="L231" s="2290"/>
      <c r="M231" s="1763">
        <v>41931</v>
      </c>
      <c r="N231" s="1763">
        <v>42050</v>
      </c>
      <c r="O231" s="2021"/>
      <c r="P231" s="2021"/>
      <c r="Q231" s="1912"/>
    </row>
    <row r="232" spans="1:17" s="420" customFormat="1" ht="40.5" customHeight="1" x14ac:dyDescent="0.25">
      <c r="A232" s="1986"/>
      <c r="B232" s="1986"/>
      <c r="C232" s="1986"/>
      <c r="D232" s="1986"/>
      <c r="E232" s="1986"/>
      <c r="F232" s="1759" t="s">
        <v>3126</v>
      </c>
      <c r="G232" s="1986"/>
      <c r="H232" s="1758">
        <v>11464</v>
      </c>
      <c r="I232" s="2283"/>
      <c r="J232" s="1779">
        <v>0</v>
      </c>
      <c r="K232" s="2283"/>
      <c r="L232" s="2283"/>
      <c r="M232" s="1763">
        <v>42051</v>
      </c>
      <c r="N232" s="1763">
        <v>42110</v>
      </c>
      <c r="O232" s="1986"/>
      <c r="P232" s="1986"/>
      <c r="Q232" s="1912"/>
    </row>
    <row r="233" spans="1:17" s="420" customFormat="1" ht="40.5" customHeight="1" x14ac:dyDescent="0.25">
      <c r="A233" s="1985" t="s">
        <v>2155</v>
      </c>
      <c r="B233" s="1985" t="s">
        <v>3127</v>
      </c>
      <c r="C233" s="1985" t="s">
        <v>168</v>
      </c>
      <c r="D233" s="1985">
        <v>11279</v>
      </c>
      <c r="E233" s="1985" t="s">
        <v>3128</v>
      </c>
      <c r="F233" s="1759" t="s">
        <v>1828</v>
      </c>
      <c r="G233" s="1985" t="s">
        <v>3129</v>
      </c>
      <c r="H233" s="1758">
        <v>11315</v>
      </c>
      <c r="I233" s="2282">
        <v>224171.48</v>
      </c>
      <c r="J233" s="1779">
        <v>0</v>
      </c>
      <c r="K233" s="2282">
        <v>114015.79000000001</v>
      </c>
      <c r="L233" s="2282">
        <v>114015.79000000001</v>
      </c>
      <c r="M233" s="1763">
        <v>41787</v>
      </c>
      <c r="N233" s="1763">
        <v>41936</v>
      </c>
      <c r="O233" s="1985" t="s">
        <v>2882</v>
      </c>
      <c r="P233" s="1985">
        <v>44905100</v>
      </c>
      <c r="Q233" s="1912"/>
    </row>
    <row r="234" spans="1:17" s="420" customFormat="1" ht="40.5" customHeight="1" x14ac:dyDescent="0.25">
      <c r="A234" s="2021"/>
      <c r="B234" s="2021" t="s">
        <v>3127</v>
      </c>
      <c r="C234" s="2021"/>
      <c r="D234" s="2021">
        <v>11279</v>
      </c>
      <c r="E234" s="2021" t="s">
        <v>3128</v>
      </c>
      <c r="F234" s="1759" t="s">
        <v>3130</v>
      </c>
      <c r="G234" s="2021" t="s">
        <v>3129</v>
      </c>
      <c r="H234" s="1758">
        <v>11413</v>
      </c>
      <c r="I234" s="2290"/>
      <c r="J234" s="1779"/>
      <c r="K234" s="2290"/>
      <c r="L234" s="2290"/>
      <c r="M234" s="1763">
        <v>41937</v>
      </c>
      <c r="N234" s="1763">
        <v>41996</v>
      </c>
      <c r="O234" s="2021"/>
      <c r="P234" s="2021"/>
      <c r="Q234" s="1912"/>
    </row>
    <row r="235" spans="1:17" s="420" customFormat="1" ht="40.5" customHeight="1" x14ac:dyDescent="0.25">
      <c r="A235" s="1986"/>
      <c r="B235" s="1986"/>
      <c r="C235" s="1986"/>
      <c r="D235" s="1986"/>
      <c r="E235" s="1986"/>
      <c r="F235" s="1759" t="s">
        <v>3130</v>
      </c>
      <c r="G235" s="1986"/>
      <c r="H235" s="1758">
        <v>11455</v>
      </c>
      <c r="I235" s="2283"/>
      <c r="J235" s="1779"/>
      <c r="K235" s="2283"/>
      <c r="L235" s="2283"/>
      <c r="M235" s="1763">
        <v>41997</v>
      </c>
      <c r="N235" s="1763">
        <v>42086</v>
      </c>
      <c r="O235" s="1986"/>
      <c r="P235" s="1986"/>
      <c r="Q235" s="1912"/>
    </row>
    <row r="236" spans="1:17" s="420" customFormat="1" ht="27.75" customHeight="1" x14ac:dyDescent="0.25">
      <c r="A236" s="1985" t="s">
        <v>2160</v>
      </c>
      <c r="B236" s="1985" t="s">
        <v>3131</v>
      </c>
      <c r="C236" s="1985" t="s">
        <v>168</v>
      </c>
      <c r="D236" s="1985">
        <v>11279</v>
      </c>
      <c r="E236" s="1985" t="s">
        <v>3132</v>
      </c>
      <c r="F236" s="1759" t="s">
        <v>1831</v>
      </c>
      <c r="G236" s="1985" t="s">
        <v>3129</v>
      </c>
      <c r="H236" s="1758">
        <v>11315</v>
      </c>
      <c r="I236" s="2282">
        <v>508498.12</v>
      </c>
      <c r="J236" s="1779"/>
      <c r="K236" s="2282">
        <v>264487.19</v>
      </c>
      <c r="L236" s="2282">
        <v>264487.19</v>
      </c>
      <c r="M236" s="1763">
        <v>41787</v>
      </c>
      <c r="N236" s="1763">
        <v>41936</v>
      </c>
      <c r="O236" s="1985" t="s">
        <v>2882</v>
      </c>
      <c r="P236" s="1985">
        <v>44905100</v>
      </c>
      <c r="Q236" s="1912"/>
    </row>
    <row r="237" spans="1:17" s="420" customFormat="1" ht="27.75" customHeight="1" x14ac:dyDescent="0.25">
      <c r="A237" s="2021"/>
      <c r="B237" s="2021" t="s">
        <v>3131</v>
      </c>
      <c r="C237" s="2021"/>
      <c r="D237" s="2021">
        <v>11279</v>
      </c>
      <c r="E237" s="2021" t="s">
        <v>3132</v>
      </c>
      <c r="F237" s="1759" t="s">
        <v>3133</v>
      </c>
      <c r="G237" s="2021" t="s">
        <v>3129</v>
      </c>
      <c r="H237" s="1758">
        <v>11336</v>
      </c>
      <c r="I237" s="2290">
        <v>484033.68</v>
      </c>
      <c r="J237" s="1779">
        <v>9741.5</v>
      </c>
      <c r="K237" s="2290"/>
      <c r="L237" s="2290"/>
      <c r="M237" s="1763"/>
      <c r="N237" s="1763"/>
      <c r="O237" s="2021"/>
      <c r="P237" s="2021"/>
      <c r="Q237" s="1912"/>
    </row>
    <row r="238" spans="1:17" s="420" customFormat="1" ht="27.75" customHeight="1" x14ac:dyDescent="0.25">
      <c r="A238" s="1986"/>
      <c r="B238" s="1986" t="s">
        <v>3131</v>
      </c>
      <c r="C238" s="1986"/>
      <c r="D238" s="1986">
        <v>11279</v>
      </c>
      <c r="E238" s="1986" t="s">
        <v>3132</v>
      </c>
      <c r="F238" s="1759" t="s">
        <v>3134</v>
      </c>
      <c r="G238" s="1986" t="s">
        <v>3129</v>
      </c>
      <c r="H238" s="1758">
        <v>11426</v>
      </c>
      <c r="I238" s="2283"/>
      <c r="J238" s="1779"/>
      <c r="K238" s="2283"/>
      <c r="L238" s="2283"/>
      <c r="M238" s="1763">
        <v>41937</v>
      </c>
      <c r="N238" s="1763">
        <v>42086</v>
      </c>
      <c r="O238" s="1986"/>
      <c r="P238" s="1986"/>
      <c r="Q238" s="1912"/>
    </row>
    <row r="239" spans="1:17" s="420" customFormat="1" ht="35.25" customHeight="1" x14ac:dyDescent="0.25">
      <c r="A239" s="1985" t="s">
        <v>2179</v>
      </c>
      <c r="B239" s="1985" t="s">
        <v>3100</v>
      </c>
      <c r="C239" s="1985" t="s">
        <v>168</v>
      </c>
      <c r="D239" s="1985"/>
      <c r="E239" s="1985" t="s">
        <v>3135</v>
      </c>
      <c r="F239" s="1759" t="s">
        <v>3136</v>
      </c>
      <c r="G239" s="1985" t="s">
        <v>3137</v>
      </c>
      <c r="H239" s="1758">
        <v>11329</v>
      </c>
      <c r="I239" s="2282">
        <v>647525.63</v>
      </c>
      <c r="J239" s="1779"/>
      <c r="K239" s="2282"/>
      <c r="L239" s="2282"/>
      <c r="M239" s="1763">
        <v>41821</v>
      </c>
      <c r="N239" s="1763">
        <v>41940</v>
      </c>
      <c r="O239" s="1985" t="s">
        <v>2882</v>
      </c>
      <c r="P239" s="1985">
        <v>44905100</v>
      </c>
      <c r="Q239" s="1912"/>
    </row>
    <row r="240" spans="1:17" s="420" customFormat="1" ht="35.25" customHeight="1" x14ac:dyDescent="0.25">
      <c r="A240" s="1986"/>
      <c r="B240" s="1986"/>
      <c r="C240" s="1986"/>
      <c r="D240" s="1986"/>
      <c r="E240" s="1986"/>
      <c r="F240" s="1759" t="s">
        <v>3138</v>
      </c>
      <c r="G240" s="1986"/>
      <c r="H240" s="1758">
        <v>11448</v>
      </c>
      <c r="I240" s="2283"/>
      <c r="J240" s="1779"/>
      <c r="K240" s="2283"/>
      <c r="L240" s="2283"/>
      <c r="M240" s="1763">
        <v>41941</v>
      </c>
      <c r="N240" s="1763">
        <v>42060</v>
      </c>
      <c r="O240" s="1986"/>
      <c r="P240" s="1986"/>
      <c r="Q240" s="1912"/>
    </row>
    <row r="241" spans="1:17" s="420" customFormat="1" ht="35.25" customHeight="1" x14ac:dyDescent="0.25">
      <c r="A241" s="1985" t="s">
        <v>3139</v>
      </c>
      <c r="B241" s="1985" t="s">
        <v>3140</v>
      </c>
      <c r="C241" s="1985" t="s">
        <v>168</v>
      </c>
      <c r="D241" s="1985">
        <v>11274</v>
      </c>
      <c r="E241" s="1985" t="s">
        <v>3141</v>
      </c>
      <c r="F241" s="1759" t="s">
        <v>3142</v>
      </c>
      <c r="G241" s="1985" t="s">
        <v>3143</v>
      </c>
      <c r="H241" s="1758">
        <v>11336</v>
      </c>
      <c r="I241" s="2282">
        <v>72776.070000000007</v>
      </c>
      <c r="J241" s="1779">
        <v>0</v>
      </c>
      <c r="K241" s="2282">
        <v>0</v>
      </c>
      <c r="L241" s="2282">
        <v>0</v>
      </c>
      <c r="M241" s="1763">
        <v>41820</v>
      </c>
      <c r="N241" s="1763">
        <v>41909</v>
      </c>
      <c r="O241" s="1985" t="s">
        <v>3144</v>
      </c>
      <c r="P241" s="1985">
        <v>44905100</v>
      </c>
      <c r="Q241" s="1912"/>
    </row>
    <row r="242" spans="1:17" s="420" customFormat="1" ht="35.25" customHeight="1" x14ac:dyDescent="0.25">
      <c r="A242" s="1986"/>
      <c r="B242" s="1986" t="s">
        <v>3140</v>
      </c>
      <c r="C242" s="1986"/>
      <c r="D242" s="1986">
        <v>11274</v>
      </c>
      <c r="E242" s="1986" t="s">
        <v>3141</v>
      </c>
      <c r="F242" s="1759" t="s">
        <v>3145</v>
      </c>
      <c r="G242" s="1986" t="s">
        <v>3143</v>
      </c>
      <c r="H242" s="1758">
        <v>11409</v>
      </c>
      <c r="I242" s="2283"/>
      <c r="J242" s="1779"/>
      <c r="K242" s="2283"/>
      <c r="L242" s="2283"/>
      <c r="M242" s="1763">
        <v>41910</v>
      </c>
      <c r="N242" s="1763">
        <v>41999</v>
      </c>
      <c r="O242" s="1986"/>
      <c r="P242" s="1986"/>
      <c r="Q242" s="1912"/>
    </row>
    <row r="243" spans="1:17" s="420" customFormat="1" ht="35.25" customHeight="1" x14ac:dyDescent="0.25">
      <c r="A243" s="1985" t="s">
        <v>3139</v>
      </c>
      <c r="B243" s="1985" t="s">
        <v>3140</v>
      </c>
      <c r="C243" s="1985" t="s">
        <v>168</v>
      </c>
      <c r="D243" s="1985">
        <v>11274</v>
      </c>
      <c r="E243" s="1985" t="s">
        <v>3146</v>
      </c>
      <c r="F243" s="1759" t="s">
        <v>3147</v>
      </c>
      <c r="G243" s="1985" t="s">
        <v>3143</v>
      </c>
      <c r="H243" s="1758">
        <v>11329</v>
      </c>
      <c r="I243" s="2282">
        <v>120817.62</v>
      </c>
      <c r="J243" s="1779">
        <v>0</v>
      </c>
      <c r="K243" s="2282">
        <v>0</v>
      </c>
      <c r="L243" s="2282">
        <v>0</v>
      </c>
      <c r="M243" s="1763">
        <v>41820</v>
      </c>
      <c r="N243" s="1763">
        <v>41909</v>
      </c>
      <c r="O243" s="1985" t="s">
        <v>3144</v>
      </c>
      <c r="P243" s="1985">
        <v>44905100</v>
      </c>
      <c r="Q243" s="1912"/>
    </row>
    <row r="244" spans="1:17" s="420" customFormat="1" ht="35.25" customHeight="1" x14ac:dyDescent="0.25">
      <c r="A244" s="1986"/>
      <c r="B244" s="1986" t="s">
        <v>3140</v>
      </c>
      <c r="C244" s="1986"/>
      <c r="D244" s="1986">
        <v>11274</v>
      </c>
      <c r="E244" s="1986" t="s">
        <v>3146</v>
      </c>
      <c r="F244" s="1759" t="s">
        <v>3148</v>
      </c>
      <c r="G244" s="1986" t="s">
        <v>3143</v>
      </c>
      <c r="H244" s="1758">
        <v>11409</v>
      </c>
      <c r="I244" s="2283"/>
      <c r="J244" s="1779"/>
      <c r="K244" s="2283"/>
      <c r="L244" s="2283"/>
      <c r="M244" s="1763">
        <v>41910</v>
      </c>
      <c r="N244" s="1763">
        <v>41999</v>
      </c>
      <c r="O244" s="1986"/>
      <c r="P244" s="1986"/>
      <c r="Q244" s="1912"/>
    </row>
    <row r="245" spans="1:17" s="420" customFormat="1" ht="35.25" customHeight="1" x14ac:dyDescent="0.25">
      <c r="A245" s="1985" t="s">
        <v>3139</v>
      </c>
      <c r="B245" s="1985" t="s">
        <v>3140</v>
      </c>
      <c r="C245" s="1985" t="s">
        <v>168</v>
      </c>
      <c r="D245" s="1985">
        <v>11274</v>
      </c>
      <c r="E245" s="1985" t="s">
        <v>3149</v>
      </c>
      <c r="F245" s="1759" t="s">
        <v>3150</v>
      </c>
      <c r="G245" s="1985" t="s">
        <v>3143</v>
      </c>
      <c r="H245" s="1758">
        <v>11329</v>
      </c>
      <c r="I245" s="2282">
        <v>89199.48</v>
      </c>
      <c r="J245" s="1779"/>
      <c r="K245" s="2282"/>
      <c r="L245" s="2282"/>
      <c r="M245" s="1763">
        <v>41820</v>
      </c>
      <c r="N245" s="1763">
        <v>41909</v>
      </c>
      <c r="O245" s="1985" t="s">
        <v>3144</v>
      </c>
      <c r="P245" s="1985">
        <v>44905100</v>
      </c>
      <c r="Q245" s="1912"/>
    </row>
    <row r="246" spans="1:17" s="420" customFormat="1" ht="35.25" customHeight="1" x14ac:dyDescent="0.25">
      <c r="A246" s="1986"/>
      <c r="B246" s="1986" t="s">
        <v>3140</v>
      </c>
      <c r="C246" s="1986"/>
      <c r="D246" s="1986">
        <v>11274</v>
      </c>
      <c r="E246" s="1986" t="s">
        <v>3149</v>
      </c>
      <c r="F246" s="1759" t="s">
        <v>3151</v>
      </c>
      <c r="G246" s="1986" t="s">
        <v>3143</v>
      </c>
      <c r="H246" s="1758">
        <v>11409</v>
      </c>
      <c r="I246" s="2283"/>
      <c r="J246" s="1779"/>
      <c r="K246" s="2283"/>
      <c r="L246" s="2283"/>
      <c r="M246" s="1763">
        <v>41910</v>
      </c>
      <c r="N246" s="1763">
        <v>41999</v>
      </c>
      <c r="O246" s="1986"/>
      <c r="P246" s="1986"/>
      <c r="Q246" s="1912"/>
    </row>
    <row r="247" spans="1:17" s="420" customFormat="1" ht="35.25" customHeight="1" x14ac:dyDescent="0.25">
      <c r="A247" s="1758" t="s">
        <v>3152</v>
      </c>
      <c r="B247" s="1758" t="s">
        <v>3153</v>
      </c>
      <c r="C247" s="1758" t="s">
        <v>168</v>
      </c>
      <c r="D247" s="1758">
        <v>11275</v>
      </c>
      <c r="E247" s="1780" t="s">
        <v>3154</v>
      </c>
      <c r="F247" s="1759" t="s">
        <v>3155</v>
      </c>
      <c r="G247" s="1758" t="s">
        <v>3156</v>
      </c>
      <c r="H247" s="1758">
        <v>11329</v>
      </c>
      <c r="I247" s="1779">
        <v>413803.9</v>
      </c>
      <c r="J247" s="1779">
        <v>0</v>
      </c>
      <c r="K247" s="1779">
        <v>220413.75</v>
      </c>
      <c r="L247" s="1779">
        <v>220413.75</v>
      </c>
      <c r="M247" s="1763">
        <v>41807</v>
      </c>
      <c r="N247" s="1763">
        <v>42171</v>
      </c>
      <c r="O247" s="1758">
        <v>19</v>
      </c>
      <c r="P247" s="1758">
        <v>33903900</v>
      </c>
      <c r="Q247" s="1912"/>
    </row>
    <row r="248" spans="1:17" s="420" customFormat="1" ht="35.25" customHeight="1" x14ac:dyDescent="0.25">
      <c r="A248" s="1985" t="s">
        <v>3157</v>
      </c>
      <c r="B248" s="1985" t="s">
        <v>3158</v>
      </c>
      <c r="C248" s="1985" t="s">
        <v>168</v>
      </c>
      <c r="D248" s="1985">
        <v>11302</v>
      </c>
      <c r="E248" s="1985" t="s">
        <v>3159</v>
      </c>
      <c r="F248" s="1759" t="s">
        <v>3160</v>
      </c>
      <c r="G248" s="1985" t="s">
        <v>2829</v>
      </c>
      <c r="H248" s="1758">
        <v>11335</v>
      </c>
      <c r="I248" s="2282">
        <v>140264.22</v>
      </c>
      <c r="J248" s="1779">
        <v>0</v>
      </c>
      <c r="K248" s="2282">
        <v>185675.78</v>
      </c>
      <c r="L248" s="2282">
        <v>185675.78</v>
      </c>
      <c r="M248" s="1763">
        <v>41813</v>
      </c>
      <c r="N248" s="1763">
        <v>41872</v>
      </c>
      <c r="O248" s="1985">
        <v>1</v>
      </c>
      <c r="P248" s="1985" t="s">
        <v>3161</v>
      </c>
      <c r="Q248" s="1912"/>
    </row>
    <row r="249" spans="1:17" s="420" customFormat="1" ht="35.25" customHeight="1" x14ac:dyDescent="0.25">
      <c r="A249" s="2021"/>
      <c r="B249" s="2021" t="s">
        <v>3158</v>
      </c>
      <c r="C249" s="2021"/>
      <c r="D249" s="2021">
        <v>11302</v>
      </c>
      <c r="E249" s="2021" t="s">
        <v>3159</v>
      </c>
      <c r="F249" s="1759" t="s">
        <v>3162</v>
      </c>
      <c r="G249" s="2021" t="s">
        <v>2829</v>
      </c>
      <c r="H249" s="1758">
        <v>11381</v>
      </c>
      <c r="I249" s="2290"/>
      <c r="J249" s="1779"/>
      <c r="K249" s="2290"/>
      <c r="L249" s="2290"/>
      <c r="M249" s="1763">
        <v>41874</v>
      </c>
      <c r="N249" s="1763">
        <v>41933</v>
      </c>
      <c r="O249" s="2021"/>
      <c r="P249" s="2021"/>
      <c r="Q249" s="1912"/>
    </row>
    <row r="250" spans="1:17" s="420" customFormat="1" ht="35.25" customHeight="1" x14ac:dyDescent="0.25">
      <c r="A250" s="1986"/>
      <c r="B250" s="1986" t="s">
        <v>3158</v>
      </c>
      <c r="C250" s="1986"/>
      <c r="D250" s="1986">
        <v>11302</v>
      </c>
      <c r="E250" s="1986" t="s">
        <v>3159</v>
      </c>
      <c r="F250" s="1759" t="s">
        <v>3163</v>
      </c>
      <c r="G250" s="1986" t="s">
        <v>2829</v>
      </c>
      <c r="H250" s="1758">
        <v>11444</v>
      </c>
      <c r="I250" s="2283"/>
      <c r="J250" s="1779">
        <v>55718.080000000002</v>
      </c>
      <c r="K250" s="2283"/>
      <c r="L250" s="2283"/>
      <c r="M250" s="1763">
        <v>41934</v>
      </c>
      <c r="N250" s="1763">
        <v>41993</v>
      </c>
      <c r="O250" s="1986"/>
      <c r="P250" s="1986"/>
      <c r="Q250" s="1912"/>
    </row>
    <row r="251" spans="1:17" s="420" customFormat="1" ht="33.75" customHeight="1" x14ac:dyDescent="0.25">
      <c r="A251" s="1985" t="s">
        <v>3157</v>
      </c>
      <c r="B251" s="1985" t="s">
        <v>3158</v>
      </c>
      <c r="C251" s="1985" t="s">
        <v>168</v>
      </c>
      <c r="D251" s="1985">
        <v>11302</v>
      </c>
      <c r="E251" s="1985" t="s">
        <v>3164</v>
      </c>
      <c r="F251" s="1759" t="s">
        <v>3165</v>
      </c>
      <c r="G251" s="1985" t="s">
        <v>2829</v>
      </c>
      <c r="H251" s="1758">
        <v>11335</v>
      </c>
      <c r="I251" s="2282">
        <v>13580.72</v>
      </c>
      <c r="J251" s="1779">
        <v>0</v>
      </c>
      <c r="K251" s="2282">
        <v>13580.72</v>
      </c>
      <c r="L251" s="2282">
        <v>13580.72</v>
      </c>
      <c r="M251" s="1763">
        <v>41814</v>
      </c>
      <c r="N251" s="1763">
        <v>41853</v>
      </c>
      <c r="O251" s="1985">
        <v>1</v>
      </c>
      <c r="P251" s="1985" t="s">
        <v>3161</v>
      </c>
      <c r="Q251" s="1912"/>
    </row>
    <row r="252" spans="1:17" s="420" customFormat="1" ht="23.25" customHeight="1" x14ac:dyDescent="0.25">
      <c r="A252" s="2021"/>
      <c r="B252" s="2021" t="s">
        <v>3158</v>
      </c>
      <c r="C252" s="2021"/>
      <c r="D252" s="2021"/>
      <c r="E252" s="2021" t="s">
        <v>3164</v>
      </c>
      <c r="F252" s="1759" t="s">
        <v>3166</v>
      </c>
      <c r="G252" s="2021" t="s">
        <v>2829</v>
      </c>
      <c r="H252" s="1758">
        <v>11361</v>
      </c>
      <c r="I252" s="2290"/>
      <c r="J252" s="1779">
        <v>0</v>
      </c>
      <c r="K252" s="2290"/>
      <c r="L252" s="2290"/>
      <c r="M252" s="1763">
        <v>41834</v>
      </c>
      <c r="N252" s="1763">
        <v>41853</v>
      </c>
      <c r="O252" s="2021"/>
      <c r="P252" s="2021"/>
      <c r="Q252" s="1912"/>
    </row>
    <row r="253" spans="1:17" s="420" customFormat="1" ht="23.25" customHeight="1" x14ac:dyDescent="0.25">
      <c r="A253" s="2021"/>
      <c r="B253" s="2021" t="s">
        <v>3158</v>
      </c>
      <c r="C253" s="2021"/>
      <c r="D253" s="2021"/>
      <c r="E253" s="2021" t="s">
        <v>3164</v>
      </c>
      <c r="F253" s="1759" t="s">
        <v>3167</v>
      </c>
      <c r="G253" s="2021" t="s">
        <v>2829</v>
      </c>
      <c r="H253" s="1758">
        <v>11381</v>
      </c>
      <c r="I253" s="2290"/>
      <c r="J253" s="1779">
        <v>0</v>
      </c>
      <c r="K253" s="2290"/>
      <c r="L253" s="2290"/>
      <c r="M253" s="1763">
        <v>41854</v>
      </c>
      <c r="N253" s="1763">
        <v>41873</v>
      </c>
      <c r="O253" s="2021"/>
      <c r="P253" s="2021"/>
      <c r="Q253" s="1912"/>
    </row>
    <row r="254" spans="1:17" s="420" customFormat="1" ht="23.25" customHeight="1" x14ac:dyDescent="0.25">
      <c r="A254" s="2021"/>
      <c r="B254" s="2021" t="s">
        <v>3158</v>
      </c>
      <c r="C254" s="2021"/>
      <c r="D254" s="2021"/>
      <c r="E254" s="2021" t="s">
        <v>3164</v>
      </c>
      <c r="F254" s="1759" t="s">
        <v>3168</v>
      </c>
      <c r="G254" s="2021" t="s">
        <v>2829</v>
      </c>
      <c r="H254" s="1758">
        <v>11394</v>
      </c>
      <c r="I254" s="2290"/>
      <c r="J254" s="1779">
        <v>0</v>
      </c>
      <c r="K254" s="2290"/>
      <c r="L254" s="2290"/>
      <c r="M254" s="1763">
        <v>41874</v>
      </c>
      <c r="N254" s="1763">
        <v>41893</v>
      </c>
      <c r="O254" s="2021"/>
      <c r="P254" s="2021"/>
      <c r="Q254" s="1912"/>
    </row>
    <row r="255" spans="1:17" s="420" customFormat="1" ht="23.25" customHeight="1" x14ac:dyDescent="0.25">
      <c r="A255" s="2021"/>
      <c r="B255" s="2021" t="s">
        <v>3158</v>
      </c>
      <c r="C255" s="2021"/>
      <c r="D255" s="2021"/>
      <c r="E255" s="2021" t="s">
        <v>3164</v>
      </c>
      <c r="F255" s="1759" t="s">
        <v>3169</v>
      </c>
      <c r="G255" s="2021" t="s">
        <v>2829</v>
      </c>
      <c r="H255" s="1758">
        <v>11399</v>
      </c>
      <c r="I255" s="2290"/>
      <c r="J255" s="1779">
        <v>0</v>
      </c>
      <c r="K255" s="2290"/>
      <c r="L255" s="2290"/>
      <c r="M255" s="1763">
        <v>41894</v>
      </c>
      <c r="N255" s="1763">
        <v>41913</v>
      </c>
      <c r="O255" s="2021"/>
      <c r="P255" s="2021"/>
      <c r="Q255" s="1912"/>
    </row>
    <row r="256" spans="1:17" s="420" customFormat="1" ht="23.25" customHeight="1" x14ac:dyDescent="0.25">
      <c r="A256" s="1986"/>
      <c r="B256" s="1986" t="s">
        <v>3158</v>
      </c>
      <c r="C256" s="1986"/>
      <c r="D256" s="1986"/>
      <c r="E256" s="1986" t="s">
        <v>3164</v>
      </c>
      <c r="F256" s="1759" t="s">
        <v>3170</v>
      </c>
      <c r="G256" s="1986" t="s">
        <v>2829</v>
      </c>
      <c r="H256" s="1758">
        <v>11413</v>
      </c>
      <c r="I256" s="2283"/>
      <c r="J256" s="1779">
        <v>0</v>
      </c>
      <c r="K256" s="2283"/>
      <c r="L256" s="2283"/>
      <c r="M256" s="1763">
        <v>41914</v>
      </c>
      <c r="N256" s="1763">
        <v>41933</v>
      </c>
      <c r="O256" s="1986"/>
      <c r="P256" s="1986"/>
      <c r="Q256" s="1912"/>
    </row>
    <row r="257" spans="1:17" s="420" customFormat="1" ht="35.25" customHeight="1" x14ac:dyDescent="0.25">
      <c r="A257" s="1985" t="s">
        <v>3171</v>
      </c>
      <c r="B257" s="1985" t="s">
        <v>3127</v>
      </c>
      <c r="C257" s="1985" t="s">
        <v>168</v>
      </c>
      <c r="D257" s="1985">
        <v>11278</v>
      </c>
      <c r="E257" s="1985" t="s">
        <v>3172</v>
      </c>
      <c r="F257" s="1759" t="s">
        <v>1943</v>
      </c>
      <c r="G257" s="1985" t="s">
        <v>3173</v>
      </c>
      <c r="H257" s="1758">
        <v>11338</v>
      </c>
      <c r="I257" s="2282">
        <v>74780.7</v>
      </c>
      <c r="J257" s="1779">
        <v>0</v>
      </c>
      <c r="K257" s="2282">
        <v>55088.11</v>
      </c>
      <c r="L257" s="2282">
        <v>55088.11</v>
      </c>
      <c r="M257" s="1763">
        <v>41816</v>
      </c>
      <c r="N257" s="1763">
        <v>89</v>
      </c>
      <c r="O257" s="1985">
        <v>1</v>
      </c>
      <c r="P257" s="1985">
        <v>44905100</v>
      </c>
      <c r="Q257" s="1912"/>
    </row>
    <row r="258" spans="1:17" s="420" customFormat="1" ht="35.25" customHeight="1" x14ac:dyDescent="0.25">
      <c r="A258" s="2021"/>
      <c r="B258" s="2021" t="s">
        <v>3127</v>
      </c>
      <c r="C258" s="2021"/>
      <c r="D258" s="2021">
        <v>11278</v>
      </c>
      <c r="E258" s="2021" t="s">
        <v>3172</v>
      </c>
      <c r="F258" s="1759" t="s">
        <v>3174</v>
      </c>
      <c r="G258" s="2021" t="s">
        <v>3173</v>
      </c>
      <c r="H258" s="1758">
        <v>11381</v>
      </c>
      <c r="I258" s="2290"/>
      <c r="J258" s="1779">
        <v>0</v>
      </c>
      <c r="K258" s="2290"/>
      <c r="L258" s="2290"/>
      <c r="M258" s="1763">
        <v>41910</v>
      </c>
      <c r="N258" s="1763">
        <v>41999</v>
      </c>
      <c r="O258" s="2021"/>
      <c r="P258" s="2021"/>
      <c r="Q258" s="1912"/>
    </row>
    <row r="259" spans="1:17" s="420" customFormat="1" ht="35.25" customHeight="1" x14ac:dyDescent="0.25">
      <c r="A259" s="1986"/>
      <c r="B259" s="1986" t="s">
        <v>3127</v>
      </c>
      <c r="C259" s="1986"/>
      <c r="D259" s="1986">
        <v>11278</v>
      </c>
      <c r="E259" s="1986" t="s">
        <v>3172</v>
      </c>
      <c r="F259" s="1759" t="s">
        <v>3175</v>
      </c>
      <c r="G259" s="1986" t="s">
        <v>3173</v>
      </c>
      <c r="H259" s="1758">
        <v>11430</v>
      </c>
      <c r="I259" s="2283"/>
      <c r="J259" s="1779">
        <v>6934.68</v>
      </c>
      <c r="K259" s="2283"/>
      <c r="L259" s="2283"/>
      <c r="M259" s="1763"/>
      <c r="N259" s="1763"/>
      <c r="O259" s="1986"/>
      <c r="P259" s="1986"/>
      <c r="Q259" s="1912"/>
    </row>
    <row r="260" spans="1:17" s="420" customFormat="1" ht="35.25" customHeight="1" x14ac:dyDescent="0.25">
      <c r="A260" s="1985" t="s">
        <v>3176</v>
      </c>
      <c r="B260" s="1985" t="s">
        <v>3177</v>
      </c>
      <c r="C260" s="1985" t="s">
        <v>168</v>
      </c>
      <c r="D260" s="1985">
        <v>11307</v>
      </c>
      <c r="E260" s="1985" t="s">
        <v>3178</v>
      </c>
      <c r="F260" s="1759" t="s">
        <v>1982</v>
      </c>
      <c r="G260" s="1985" t="s">
        <v>3143</v>
      </c>
      <c r="H260" s="1758">
        <v>11355</v>
      </c>
      <c r="I260" s="2282">
        <v>396613.46</v>
      </c>
      <c r="J260" s="1779">
        <v>0</v>
      </c>
      <c r="K260" s="2282">
        <v>426244.39</v>
      </c>
      <c r="L260" s="2282">
        <v>426244.39</v>
      </c>
      <c r="M260" s="1763">
        <v>41843</v>
      </c>
      <c r="N260" s="1763">
        <v>42022</v>
      </c>
      <c r="O260" s="1985">
        <v>1</v>
      </c>
      <c r="P260" s="1985">
        <v>33903900</v>
      </c>
      <c r="Q260" s="1912"/>
    </row>
    <row r="261" spans="1:17" s="420" customFormat="1" ht="35.25" customHeight="1" x14ac:dyDescent="0.25">
      <c r="A261" s="1986"/>
      <c r="B261" s="1986"/>
      <c r="C261" s="1986"/>
      <c r="D261" s="1986"/>
      <c r="E261" s="1986"/>
      <c r="F261" s="1759" t="s">
        <v>3179</v>
      </c>
      <c r="G261" s="1986" t="s">
        <v>3143</v>
      </c>
      <c r="H261" s="1758">
        <v>11453</v>
      </c>
      <c r="I261" s="2283"/>
      <c r="J261" s="1779">
        <v>99153.37</v>
      </c>
      <c r="K261" s="2283"/>
      <c r="L261" s="2283"/>
      <c r="M261" s="1763"/>
      <c r="N261" s="1763"/>
      <c r="O261" s="1986"/>
      <c r="P261" s="1986"/>
      <c r="Q261" s="1912"/>
    </row>
    <row r="262" spans="1:17" s="420" customFormat="1" ht="35.25" customHeight="1" x14ac:dyDescent="0.25">
      <c r="A262" s="1758" t="s">
        <v>670</v>
      </c>
      <c r="B262" s="1758" t="s">
        <v>3180</v>
      </c>
      <c r="C262" s="1758" t="s">
        <v>168</v>
      </c>
      <c r="D262" s="1762">
        <v>11331</v>
      </c>
      <c r="E262" s="1780" t="s">
        <v>3181</v>
      </c>
      <c r="F262" s="1759" t="s">
        <v>2015</v>
      </c>
      <c r="G262" s="1758" t="s">
        <v>2996</v>
      </c>
      <c r="H262" s="1762">
        <v>11389</v>
      </c>
      <c r="I262" s="1779">
        <v>157975.32999999999</v>
      </c>
      <c r="J262" s="1779">
        <v>0</v>
      </c>
      <c r="K262" s="1779">
        <v>53548.38</v>
      </c>
      <c r="L262" s="1779">
        <v>53548.38</v>
      </c>
      <c r="M262" s="1763">
        <v>41912</v>
      </c>
      <c r="N262" s="1763">
        <v>42031</v>
      </c>
      <c r="O262" s="1758">
        <v>1</v>
      </c>
      <c r="P262" s="1758">
        <v>33903900</v>
      </c>
      <c r="Q262" s="1912"/>
    </row>
    <row r="263" spans="1:17" s="420" customFormat="1" ht="35.25" customHeight="1" x14ac:dyDescent="0.25">
      <c r="A263" s="1985" t="s">
        <v>3182</v>
      </c>
      <c r="B263" s="1985" t="s">
        <v>3183</v>
      </c>
      <c r="C263" s="1985" t="s">
        <v>168</v>
      </c>
      <c r="D263" s="1985">
        <v>11404</v>
      </c>
      <c r="E263" s="1985" t="s">
        <v>3184</v>
      </c>
      <c r="F263" s="1759" t="s">
        <v>2046</v>
      </c>
      <c r="G263" s="1985" t="s">
        <v>3185</v>
      </c>
      <c r="H263" s="1762"/>
      <c r="I263" s="2282">
        <v>39855.11</v>
      </c>
      <c r="J263" s="1779">
        <v>0</v>
      </c>
      <c r="K263" s="2282">
        <v>35693.660000000003</v>
      </c>
      <c r="L263" s="2282">
        <v>35693.660000000003</v>
      </c>
      <c r="M263" s="1763">
        <v>41914</v>
      </c>
      <c r="N263" s="1763">
        <v>42003</v>
      </c>
      <c r="O263" s="1985">
        <v>1</v>
      </c>
      <c r="P263" s="1985">
        <v>33903900</v>
      </c>
      <c r="Q263" s="1912"/>
    </row>
    <row r="264" spans="1:17" s="420" customFormat="1" ht="35.25" customHeight="1" x14ac:dyDescent="0.25">
      <c r="A264" s="1986"/>
      <c r="B264" s="1986"/>
      <c r="C264" s="1986"/>
      <c r="D264" s="1986"/>
      <c r="E264" s="1986"/>
      <c r="F264" s="1759" t="s">
        <v>3186</v>
      </c>
      <c r="G264" s="1986" t="s">
        <v>3185</v>
      </c>
      <c r="H264" s="1762">
        <v>11451</v>
      </c>
      <c r="I264" s="2283"/>
      <c r="J264" s="1779">
        <v>6650.01</v>
      </c>
      <c r="K264" s="2283"/>
      <c r="L264" s="2283"/>
      <c r="M264" s="1763"/>
      <c r="N264" s="1763"/>
      <c r="O264" s="1986"/>
      <c r="P264" s="1986"/>
      <c r="Q264" s="1912"/>
    </row>
    <row r="265" spans="1:17" s="420" customFormat="1" ht="35.25" customHeight="1" x14ac:dyDescent="0.25">
      <c r="A265" s="1758" t="s">
        <v>3187</v>
      </c>
      <c r="B265" s="1758" t="s">
        <v>3188</v>
      </c>
      <c r="C265" s="1758" t="s">
        <v>168</v>
      </c>
      <c r="D265" s="1762">
        <v>11392</v>
      </c>
      <c r="E265" s="1780" t="s">
        <v>3189</v>
      </c>
      <c r="F265" s="1759" t="s">
        <v>2051</v>
      </c>
      <c r="G265" s="1758" t="s">
        <v>3190</v>
      </c>
      <c r="H265" s="1762">
        <v>11428</v>
      </c>
      <c r="I265" s="1779">
        <v>99941.47</v>
      </c>
      <c r="J265" s="1779">
        <v>0</v>
      </c>
      <c r="K265" s="1779">
        <v>15000</v>
      </c>
      <c r="L265" s="1779">
        <v>15000</v>
      </c>
      <c r="M265" s="1763">
        <v>41946</v>
      </c>
      <c r="N265" s="1763">
        <v>42034</v>
      </c>
      <c r="O265" s="1758">
        <v>1</v>
      </c>
      <c r="P265" s="1758">
        <v>44905100</v>
      </c>
      <c r="Q265" s="1912"/>
    </row>
    <row r="266" spans="1:17" s="420" customFormat="1" ht="35.25" customHeight="1" x14ac:dyDescent="0.25">
      <c r="A266" s="1758" t="s">
        <v>3187</v>
      </c>
      <c r="B266" s="1758" t="s">
        <v>3191</v>
      </c>
      <c r="C266" s="1758" t="s">
        <v>168</v>
      </c>
      <c r="D266" s="1762">
        <v>11392</v>
      </c>
      <c r="E266" s="1780" t="s">
        <v>3192</v>
      </c>
      <c r="F266" s="1759" t="s">
        <v>2055</v>
      </c>
      <c r="G266" s="1758" t="s">
        <v>3193</v>
      </c>
      <c r="H266" s="1762">
        <v>11428</v>
      </c>
      <c r="I266" s="1779">
        <v>211194.91</v>
      </c>
      <c r="J266" s="1779">
        <v>0</v>
      </c>
      <c r="K266" s="1779">
        <v>0</v>
      </c>
      <c r="L266" s="1779">
        <v>0</v>
      </c>
      <c r="M266" s="1763">
        <v>41946</v>
      </c>
      <c r="N266" s="1763">
        <v>42034</v>
      </c>
      <c r="O266" s="1758">
        <v>1</v>
      </c>
      <c r="P266" s="1758">
        <v>33903900</v>
      </c>
      <c r="Q266" s="1912"/>
    </row>
    <row r="267" spans="1:17" s="420" customFormat="1" ht="35.25" customHeight="1" x14ac:dyDescent="0.25">
      <c r="A267" s="1758" t="s">
        <v>3194</v>
      </c>
      <c r="B267" s="1758" t="s">
        <v>3195</v>
      </c>
      <c r="C267" s="1758" t="s">
        <v>168</v>
      </c>
      <c r="D267" s="1762">
        <v>11419</v>
      </c>
      <c r="E267" s="1780" t="s">
        <v>3196</v>
      </c>
      <c r="F267" s="1759" t="s">
        <v>2056</v>
      </c>
      <c r="G267" s="1758" t="s">
        <v>2978</v>
      </c>
      <c r="H267" s="1762">
        <v>11433</v>
      </c>
      <c r="I267" s="1779">
        <v>189895.09</v>
      </c>
      <c r="J267" s="1779">
        <v>0</v>
      </c>
      <c r="K267" s="1779">
        <v>0</v>
      </c>
      <c r="L267" s="1779">
        <v>0</v>
      </c>
      <c r="M267" s="1920">
        <v>41954</v>
      </c>
      <c r="N267" s="1920">
        <v>42023</v>
      </c>
      <c r="O267" s="1758">
        <v>1</v>
      </c>
      <c r="P267" s="1758">
        <v>44905100</v>
      </c>
      <c r="Q267" s="1912"/>
    </row>
    <row r="268" spans="1:17" s="420" customFormat="1" ht="35.25" customHeight="1" x14ac:dyDescent="0.25">
      <c r="A268" s="1758" t="s">
        <v>3197</v>
      </c>
      <c r="B268" s="1758" t="s">
        <v>3180</v>
      </c>
      <c r="C268" s="1758" t="s">
        <v>168</v>
      </c>
      <c r="D268" s="1762">
        <v>11402</v>
      </c>
      <c r="E268" s="1780" t="s">
        <v>3198</v>
      </c>
      <c r="F268" s="1759" t="s">
        <v>2060</v>
      </c>
      <c r="G268" s="1758" t="s">
        <v>2841</v>
      </c>
      <c r="H268" s="1762">
        <v>11443</v>
      </c>
      <c r="I268" s="1779">
        <v>556759.59</v>
      </c>
      <c r="J268" s="1779">
        <v>0</v>
      </c>
      <c r="K268" s="1779">
        <v>0</v>
      </c>
      <c r="L268" s="1779">
        <v>0</v>
      </c>
      <c r="M268" s="1763"/>
      <c r="N268" s="1763"/>
      <c r="O268" s="1758" t="s">
        <v>2882</v>
      </c>
      <c r="P268" s="1758">
        <v>44905100</v>
      </c>
      <c r="Q268" s="1912"/>
    </row>
    <row r="269" spans="1:17" s="422" customFormat="1" ht="29.25" customHeight="1" x14ac:dyDescent="0.25">
      <c r="A269" s="2050" t="s">
        <v>601</v>
      </c>
      <c r="B269" s="2050"/>
      <c r="C269" s="2050"/>
      <c r="D269" s="2050"/>
      <c r="E269" s="2050"/>
      <c r="F269" s="527"/>
      <c r="G269" s="519"/>
      <c r="H269" s="519"/>
      <c r="I269" s="1916">
        <f t="shared" ref="I269:L269" si="4">SUM(I75:I268)</f>
        <v>16291366.930000002</v>
      </c>
      <c r="J269" s="1916">
        <f t="shared" si="4"/>
        <v>1156346.1699999997</v>
      </c>
      <c r="K269" s="1916">
        <f>SUM(K75:K268)</f>
        <v>7560928.8900000006</v>
      </c>
      <c r="L269" s="1916">
        <f t="shared" si="4"/>
        <v>11295284.319999998</v>
      </c>
      <c r="M269" s="1921"/>
      <c r="N269" s="1921"/>
      <c r="O269" s="519"/>
      <c r="P269" s="519"/>
      <c r="Q269" s="1922"/>
    </row>
    <row r="270" spans="1:17" s="420" customFormat="1" x14ac:dyDescent="0.25">
      <c r="G270" s="422"/>
      <c r="I270" s="1923"/>
      <c r="J270" s="428"/>
      <c r="K270" s="428"/>
      <c r="L270" s="428"/>
      <c r="M270" s="1924"/>
      <c r="N270" s="1924"/>
      <c r="P270" s="1925"/>
    </row>
    <row r="271" spans="1:17" s="420" customFormat="1" x14ac:dyDescent="0.25">
      <c r="G271" s="422"/>
      <c r="I271" s="1923"/>
      <c r="J271" s="428"/>
      <c r="K271" s="428"/>
      <c r="L271" s="428"/>
      <c r="M271" s="1924"/>
      <c r="N271" s="1924"/>
      <c r="P271" s="1925"/>
    </row>
    <row r="272" spans="1:17" s="1927" customFormat="1" ht="15" customHeight="1" x14ac:dyDescent="0.25">
      <c r="A272" s="2336" t="s">
        <v>3199</v>
      </c>
      <c r="B272" s="2336"/>
      <c r="C272" s="2336"/>
      <c r="D272" s="2336"/>
      <c r="E272" s="2336"/>
      <c r="F272" s="2336"/>
      <c r="G272" s="2336"/>
      <c r="H272" s="2336"/>
      <c r="I272" s="2336"/>
      <c r="J272" s="2336"/>
      <c r="K272" s="2336"/>
      <c r="L272" s="2336"/>
      <c r="M272" s="2336"/>
      <c r="N272" s="2336"/>
      <c r="O272" s="2336"/>
      <c r="P272" s="2336"/>
      <c r="Q272" s="1926"/>
    </row>
    <row r="273" spans="1:17" s="420" customFormat="1" x14ac:dyDescent="0.25">
      <c r="A273" s="2050" t="s">
        <v>2778</v>
      </c>
      <c r="B273" s="2050"/>
      <c r="C273" s="2050"/>
      <c r="D273" s="2050"/>
      <c r="E273" s="2050"/>
      <c r="F273" s="2207" t="s">
        <v>2779</v>
      </c>
      <c r="G273" s="2207"/>
      <c r="H273" s="2207"/>
      <c r="I273" s="2207"/>
      <c r="J273" s="2207"/>
      <c r="K273" s="2207"/>
      <c r="L273" s="2207"/>
      <c r="M273" s="2207"/>
      <c r="N273" s="2207"/>
      <c r="O273" s="2207"/>
      <c r="P273" s="2207"/>
      <c r="Q273" s="1908"/>
    </row>
    <row r="274" spans="1:17" s="420" customFormat="1" x14ac:dyDescent="0.25">
      <c r="A274" s="2050"/>
      <c r="B274" s="2050"/>
      <c r="C274" s="2050"/>
      <c r="D274" s="2050"/>
      <c r="E274" s="2050"/>
      <c r="F274" s="1967" t="s">
        <v>2780</v>
      </c>
      <c r="G274" s="1967"/>
      <c r="H274" s="1967"/>
      <c r="I274" s="2296" t="s">
        <v>918</v>
      </c>
      <c r="J274" s="2296"/>
      <c r="K274" s="2296"/>
      <c r="L274" s="2296"/>
      <c r="M274" s="2337" t="s">
        <v>2781</v>
      </c>
      <c r="N274" s="2337"/>
      <c r="O274" s="1967" t="s">
        <v>2782</v>
      </c>
      <c r="P274" s="1967"/>
      <c r="Q274" s="2327"/>
    </row>
    <row r="275" spans="1:17" s="420" customFormat="1" ht="25.5" x14ac:dyDescent="0.25">
      <c r="A275" s="1758" t="s">
        <v>2783</v>
      </c>
      <c r="B275" s="1758" t="s">
        <v>32</v>
      </c>
      <c r="C275" s="1758" t="s">
        <v>23</v>
      </c>
      <c r="D275" s="1758" t="s">
        <v>2784</v>
      </c>
      <c r="E275" s="1780" t="s">
        <v>33</v>
      </c>
      <c r="F275" s="1759" t="s">
        <v>2785</v>
      </c>
      <c r="G275" s="1758" t="s">
        <v>36</v>
      </c>
      <c r="H275" s="1758" t="s">
        <v>2784</v>
      </c>
      <c r="I275" s="1779" t="s">
        <v>2786</v>
      </c>
      <c r="J275" s="1779" t="s">
        <v>2787</v>
      </c>
      <c r="K275" s="1779" t="s">
        <v>2788</v>
      </c>
      <c r="L275" s="1779" t="s">
        <v>2789</v>
      </c>
      <c r="M275" s="1763" t="s">
        <v>58</v>
      </c>
      <c r="N275" s="1763" t="s">
        <v>2790</v>
      </c>
      <c r="O275" s="1758" t="s">
        <v>43</v>
      </c>
      <c r="P275" s="1758" t="s">
        <v>47</v>
      </c>
      <c r="Q275" s="2327"/>
    </row>
    <row r="276" spans="1:17" s="420" customFormat="1" x14ac:dyDescent="0.25">
      <c r="A276" s="1985" t="s">
        <v>3200</v>
      </c>
      <c r="B276" s="1985" t="s">
        <v>3201</v>
      </c>
      <c r="C276" s="1985" t="s">
        <v>168</v>
      </c>
      <c r="D276" s="1985">
        <v>9987</v>
      </c>
      <c r="E276" s="2233" t="s">
        <v>3202</v>
      </c>
      <c r="F276" s="1759" t="s">
        <v>3203</v>
      </c>
      <c r="G276" s="1985" t="s">
        <v>3204</v>
      </c>
      <c r="H276" s="1758">
        <v>10033</v>
      </c>
      <c r="I276" s="2282">
        <v>3344914.73</v>
      </c>
      <c r="J276" s="1779">
        <v>0</v>
      </c>
      <c r="K276" s="2282">
        <v>51618.78</v>
      </c>
      <c r="L276" s="2282">
        <v>3199234.56</v>
      </c>
      <c r="M276" s="1763">
        <v>40104</v>
      </c>
      <c r="N276" s="1763">
        <f>M276+242</f>
        <v>40346</v>
      </c>
      <c r="O276" s="1985" t="s">
        <v>2882</v>
      </c>
      <c r="P276" s="1985">
        <v>44905100</v>
      </c>
      <c r="Q276" s="1784"/>
    </row>
    <row r="277" spans="1:17" s="420" customFormat="1" ht="25.5" x14ac:dyDescent="0.25">
      <c r="A277" s="2021"/>
      <c r="B277" s="2021" t="s">
        <v>3201</v>
      </c>
      <c r="C277" s="2021"/>
      <c r="D277" s="2021">
        <v>9987</v>
      </c>
      <c r="E277" s="2252" t="s">
        <v>3202</v>
      </c>
      <c r="F277" s="1759" t="s">
        <v>3205</v>
      </c>
      <c r="G277" s="2021" t="s">
        <v>3204</v>
      </c>
      <c r="H277" s="1758">
        <v>10250</v>
      </c>
      <c r="I277" s="2290"/>
      <c r="J277" s="1779"/>
      <c r="K277" s="2290"/>
      <c r="L277" s="2290"/>
      <c r="M277" s="1763">
        <v>40347</v>
      </c>
      <c r="N277" s="1763">
        <v>40589</v>
      </c>
      <c r="O277" s="2021"/>
      <c r="P277" s="2021"/>
      <c r="Q277" s="1784"/>
    </row>
    <row r="278" spans="1:17" s="420" customFormat="1" ht="25.5" x14ac:dyDescent="0.25">
      <c r="A278" s="2021"/>
      <c r="B278" s="2021" t="s">
        <v>3201</v>
      </c>
      <c r="C278" s="2021"/>
      <c r="D278" s="2021">
        <v>9987</v>
      </c>
      <c r="E278" s="2252" t="s">
        <v>3202</v>
      </c>
      <c r="F278" s="1759" t="s">
        <v>3206</v>
      </c>
      <c r="G278" s="2021" t="s">
        <v>3204</v>
      </c>
      <c r="H278" s="1758">
        <v>10374</v>
      </c>
      <c r="I278" s="2290"/>
      <c r="J278" s="1779"/>
      <c r="K278" s="2290"/>
      <c r="L278" s="2290"/>
      <c r="M278" s="1763">
        <v>40590</v>
      </c>
      <c r="N278" s="1763">
        <v>40649</v>
      </c>
      <c r="O278" s="2021"/>
      <c r="P278" s="2021"/>
      <c r="Q278" s="1784"/>
    </row>
    <row r="279" spans="1:17" s="420" customFormat="1" ht="25.5" x14ac:dyDescent="0.25">
      <c r="A279" s="2021"/>
      <c r="B279" s="2021" t="s">
        <v>3201</v>
      </c>
      <c r="C279" s="2021"/>
      <c r="D279" s="2021">
        <v>9987</v>
      </c>
      <c r="E279" s="2252" t="s">
        <v>3202</v>
      </c>
      <c r="F279" s="1759" t="s">
        <v>3207</v>
      </c>
      <c r="G279" s="2021" t="s">
        <v>3204</v>
      </c>
      <c r="H279" s="1758">
        <v>10418</v>
      </c>
      <c r="I279" s="2290"/>
      <c r="J279" s="1779"/>
      <c r="K279" s="2290"/>
      <c r="L279" s="2290"/>
      <c r="M279" s="1763">
        <v>40650</v>
      </c>
      <c r="N279" s="1763">
        <v>40799</v>
      </c>
      <c r="O279" s="2021"/>
      <c r="P279" s="2021"/>
      <c r="Q279" s="1784"/>
    </row>
    <row r="280" spans="1:17" s="420" customFormat="1" ht="25.5" x14ac:dyDescent="0.25">
      <c r="A280" s="2021"/>
      <c r="B280" s="2021" t="s">
        <v>3201</v>
      </c>
      <c r="C280" s="2021"/>
      <c r="D280" s="2021">
        <v>9987</v>
      </c>
      <c r="E280" s="2252" t="s">
        <v>3202</v>
      </c>
      <c r="F280" s="1759" t="s">
        <v>3208</v>
      </c>
      <c r="G280" s="2021" t="s">
        <v>3204</v>
      </c>
      <c r="H280" s="1758">
        <v>10546</v>
      </c>
      <c r="I280" s="2290"/>
      <c r="J280" s="1779"/>
      <c r="K280" s="2290"/>
      <c r="L280" s="2290"/>
      <c r="M280" s="1763">
        <v>40800</v>
      </c>
      <c r="N280" s="1763">
        <v>40919</v>
      </c>
      <c r="O280" s="2021"/>
      <c r="P280" s="2021"/>
      <c r="Q280" s="1784"/>
    </row>
    <row r="281" spans="1:17" s="420" customFormat="1" ht="25.5" x14ac:dyDescent="0.25">
      <c r="A281" s="2021"/>
      <c r="B281" s="2021" t="s">
        <v>3201</v>
      </c>
      <c r="C281" s="2021"/>
      <c r="D281" s="2021">
        <v>9987</v>
      </c>
      <c r="E281" s="2252" t="s">
        <v>3202</v>
      </c>
      <c r="F281" s="1759" t="s">
        <v>3209</v>
      </c>
      <c r="G281" s="2021" t="s">
        <v>3204</v>
      </c>
      <c r="H281" s="1758">
        <v>10596</v>
      </c>
      <c r="I281" s="2290"/>
      <c r="J281" s="1779"/>
      <c r="K281" s="2290"/>
      <c r="L281" s="2290"/>
      <c r="M281" s="1763">
        <v>40920</v>
      </c>
      <c r="N281" s="1763">
        <v>41039</v>
      </c>
      <c r="O281" s="2021"/>
      <c r="P281" s="2021"/>
      <c r="Q281" s="1784"/>
    </row>
    <row r="282" spans="1:17" s="420" customFormat="1" ht="25.5" x14ac:dyDescent="0.25">
      <c r="A282" s="2021"/>
      <c r="B282" s="2021" t="s">
        <v>3201</v>
      </c>
      <c r="C282" s="2021"/>
      <c r="D282" s="2021">
        <v>9987</v>
      </c>
      <c r="E282" s="2252" t="s">
        <v>3202</v>
      </c>
      <c r="F282" s="1759" t="s">
        <v>3210</v>
      </c>
      <c r="G282" s="2021" t="s">
        <v>3204</v>
      </c>
      <c r="H282" s="1758">
        <v>10664</v>
      </c>
      <c r="I282" s="2290"/>
      <c r="J282" s="1779"/>
      <c r="K282" s="2290"/>
      <c r="L282" s="2290"/>
      <c r="M282" s="1763">
        <v>41040</v>
      </c>
      <c r="N282" s="1763">
        <v>41159</v>
      </c>
      <c r="O282" s="2021"/>
      <c r="P282" s="2021"/>
      <c r="Q282" s="1784"/>
    </row>
    <row r="283" spans="1:17" s="420" customFormat="1" ht="25.5" x14ac:dyDescent="0.25">
      <c r="A283" s="2021"/>
      <c r="B283" s="2021" t="s">
        <v>3201</v>
      </c>
      <c r="C283" s="2021"/>
      <c r="D283" s="2021">
        <v>9987</v>
      </c>
      <c r="E283" s="2252" t="s">
        <v>3202</v>
      </c>
      <c r="F283" s="1759" t="s">
        <v>3211</v>
      </c>
      <c r="G283" s="2021" t="s">
        <v>3204</v>
      </c>
      <c r="H283" s="1758">
        <v>10762</v>
      </c>
      <c r="I283" s="2290"/>
      <c r="J283" s="1779">
        <v>32.06</v>
      </c>
      <c r="K283" s="2290"/>
      <c r="L283" s="2290"/>
      <c r="M283" s="1763"/>
      <c r="N283" s="1763"/>
      <c r="O283" s="2021"/>
      <c r="P283" s="2021"/>
      <c r="Q283" s="1784"/>
    </row>
    <row r="284" spans="1:17" s="420" customFormat="1" ht="25.5" x14ac:dyDescent="0.25">
      <c r="A284" s="2021"/>
      <c r="B284" s="2021" t="s">
        <v>3201</v>
      </c>
      <c r="C284" s="2021"/>
      <c r="D284" s="2021">
        <v>9987</v>
      </c>
      <c r="E284" s="2252" t="s">
        <v>3202</v>
      </c>
      <c r="F284" s="1759" t="s">
        <v>3212</v>
      </c>
      <c r="G284" s="2021" t="s">
        <v>3204</v>
      </c>
      <c r="H284" s="1758">
        <v>11410</v>
      </c>
      <c r="I284" s="2290"/>
      <c r="J284" s="1779"/>
      <c r="K284" s="2290"/>
      <c r="L284" s="2290"/>
      <c r="M284" s="1763">
        <v>41101</v>
      </c>
      <c r="N284" s="1763">
        <v>41341</v>
      </c>
      <c r="O284" s="2021"/>
      <c r="P284" s="2021"/>
      <c r="Q284" s="1784"/>
    </row>
    <row r="285" spans="1:17" s="420" customFormat="1" ht="25.5" x14ac:dyDescent="0.25">
      <c r="A285" s="2021"/>
      <c r="B285" s="2021" t="s">
        <v>3201</v>
      </c>
      <c r="C285" s="2021"/>
      <c r="D285" s="2021">
        <v>9987</v>
      </c>
      <c r="E285" s="2252" t="s">
        <v>3202</v>
      </c>
      <c r="F285" s="1759" t="s">
        <v>3213</v>
      </c>
      <c r="G285" s="2021" t="s">
        <v>3204</v>
      </c>
      <c r="H285" s="1758">
        <v>11413</v>
      </c>
      <c r="I285" s="2290"/>
      <c r="J285" s="1779"/>
      <c r="K285" s="2290"/>
      <c r="L285" s="2290"/>
      <c r="M285" s="1763">
        <v>41342</v>
      </c>
      <c r="N285" s="1763">
        <v>41581</v>
      </c>
      <c r="O285" s="2021"/>
      <c r="P285" s="2021"/>
      <c r="Q285" s="1784"/>
    </row>
    <row r="286" spans="1:17" s="420" customFormat="1" ht="25.5" x14ac:dyDescent="0.25">
      <c r="A286" s="2021"/>
      <c r="B286" s="2021" t="s">
        <v>3201</v>
      </c>
      <c r="C286" s="2021"/>
      <c r="D286" s="2021">
        <v>9987</v>
      </c>
      <c r="E286" s="2252" t="s">
        <v>3202</v>
      </c>
      <c r="F286" s="1759" t="s">
        <v>3214</v>
      </c>
      <c r="G286" s="2021" t="s">
        <v>3204</v>
      </c>
      <c r="H286" s="1758">
        <v>11414</v>
      </c>
      <c r="I286" s="2290"/>
      <c r="J286" s="1779"/>
      <c r="K286" s="2290"/>
      <c r="L286" s="2290"/>
      <c r="M286" s="1763">
        <v>41582</v>
      </c>
      <c r="N286" s="1763">
        <v>41821</v>
      </c>
      <c r="O286" s="2021"/>
      <c r="P286" s="2021"/>
      <c r="Q286" s="1784"/>
    </row>
    <row r="287" spans="1:17" s="420" customFormat="1" ht="25.5" x14ac:dyDescent="0.25">
      <c r="A287" s="1986"/>
      <c r="B287" s="1986" t="s">
        <v>3201</v>
      </c>
      <c r="C287" s="1986"/>
      <c r="D287" s="1986">
        <v>9987</v>
      </c>
      <c r="E287" s="2234" t="s">
        <v>3202</v>
      </c>
      <c r="F287" s="1759" t="s">
        <v>3215</v>
      </c>
      <c r="G287" s="1986" t="s">
        <v>3204</v>
      </c>
      <c r="H287" s="1758">
        <v>11242</v>
      </c>
      <c r="I287" s="2283"/>
      <c r="J287" s="1779"/>
      <c r="K287" s="2283"/>
      <c r="L287" s="2283"/>
      <c r="M287" s="1763">
        <v>41822</v>
      </c>
      <c r="N287" s="1763">
        <v>41912</v>
      </c>
      <c r="O287" s="1986"/>
      <c r="P287" s="1986"/>
      <c r="Q287" s="1784"/>
    </row>
    <row r="288" spans="1:17" s="420" customFormat="1" x14ac:dyDescent="0.25">
      <c r="A288" s="1985" t="s">
        <v>3216</v>
      </c>
      <c r="B288" s="1985" t="s">
        <v>3217</v>
      </c>
      <c r="C288" s="1985" t="s">
        <v>168</v>
      </c>
      <c r="D288" s="1985">
        <v>10288</v>
      </c>
      <c r="E288" s="2233" t="s">
        <v>3218</v>
      </c>
      <c r="F288" s="1759" t="s">
        <v>3219</v>
      </c>
      <c r="G288" s="1985" t="s">
        <v>3220</v>
      </c>
      <c r="H288" s="1762">
        <v>10316</v>
      </c>
      <c r="I288" s="2282">
        <v>6224540.6200000001</v>
      </c>
      <c r="J288" s="613">
        <v>0</v>
      </c>
      <c r="K288" s="2282">
        <v>72087.649999999994</v>
      </c>
      <c r="L288" s="2282" t="s">
        <v>3221</v>
      </c>
      <c r="M288" s="1763">
        <v>40346</v>
      </c>
      <c r="N288" s="1763">
        <f>M288+300</f>
        <v>40646</v>
      </c>
      <c r="O288" s="1985" t="s">
        <v>2882</v>
      </c>
      <c r="P288" s="1985">
        <v>44905100</v>
      </c>
      <c r="Q288" s="1912"/>
    </row>
    <row r="289" spans="1:17" s="420" customFormat="1" ht="25.5" x14ac:dyDescent="0.25">
      <c r="A289" s="2021"/>
      <c r="B289" s="2021" t="s">
        <v>3217</v>
      </c>
      <c r="C289" s="2021"/>
      <c r="D289" s="2021">
        <v>10288</v>
      </c>
      <c r="E289" s="2252" t="s">
        <v>3218</v>
      </c>
      <c r="F289" s="1759" t="s">
        <v>3222</v>
      </c>
      <c r="G289" s="2021" t="s">
        <v>3220</v>
      </c>
      <c r="H289" s="1762">
        <v>10521</v>
      </c>
      <c r="I289" s="2290"/>
      <c r="J289" s="613"/>
      <c r="K289" s="2290"/>
      <c r="L289" s="2290"/>
      <c r="M289" s="1763">
        <v>40620</v>
      </c>
      <c r="N289" s="1763">
        <v>40985</v>
      </c>
      <c r="O289" s="2021"/>
      <c r="P289" s="2021"/>
      <c r="Q289" s="1912"/>
    </row>
    <row r="290" spans="1:17" s="420" customFormat="1" ht="25.5" x14ac:dyDescent="0.25">
      <c r="A290" s="2021"/>
      <c r="B290" s="2021" t="s">
        <v>3217</v>
      </c>
      <c r="C290" s="2021"/>
      <c r="D290" s="2021">
        <v>10288</v>
      </c>
      <c r="E290" s="2252" t="s">
        <v>3218</v>
      </c>
      <c r="F290" s="1759" t="s">
        <v>3223</v>
      </c>
      <c r="G290" s="2021" t="s">
        <v>3220</v>
      </c>
      <c r="H290" s="1762">
        <v>10610</v>
      </c>
      <c r="I290" s="2290"/>
      <c r="J290" s="613"/>
      <c r="K290" s="2290"/>
      <c r="L290" s="2290"/>
      <c r="M290" s="1763">
        <v>40984</v>
      </c>
      <c r="N290" s="1763">
        <v>41290</v>
      </c>
      <c r="O290" s="2021"/>
      <c r="P290" s="2021"/>
      <c r="Q290" s="1912"/>
    </row>
    <row r="291" spans="1:17" s="420" customFormat="1" ht="25.5" x14ac:dyDescent="0.25">
      <c r="A291" s="2021"/>
      <c r="B291" s="2021" t="s">
        <v>3217</v>
      </c>
      <c r="C291" s="2021"/>
      <c r="D291" s="2021">
        <v>10288</v>
      </c>
      <c r="E291" s="2252" t="s">
        <v>3218</v>
      </c>
      <c r="F291" s="1759" t="s">
        <v>3224</v>
      </c>
      <c r="G291" s="2021" t="s">
        <v>3220</v>
      </c>
      <c r="H291" s="1762" t="s">
        <v>3225</v>
      </c>
      <c r="I291" s="2290"/>
      <c r="J291" s="613">
        <v>-737802.05</v>
      </c>
      <c r="K291" s="2290"/>
      <c r="L291" s="2290"/>
      <c r="M291" s="1763"/>
      <c r="N291" s="1763"/>
      <c r="O291" s="2021"/>
      <c r="P291" s="2021"/>
      <c r="Q291" s="1912"/>
    </row>
    <row r="292" spans="1:17" s="420" customFormat="1" ht="25.5" x14ac:dyDescent="0.25">
      <c r="A292" s="2021"/>
      <c r="B292" s="2021" t="s">
        <v>3217</v>
      </c>
      <c r="C292" s="2021"/>
      <c r="D292" s="2021">
        <v>10288</v>
      </c>
      <c r="E292" s="2252" t="s">
        <v>3218</v>
      </c>
      <c r="F292" s="1759" t="s">
        <v>3226</v>
      </c>
      <c r="G292" s="2021" t="s">
        <v>3220</v>
      </c>
      <c r="H292" s="1762">
        <v>11013</v>
      </c>
      <c r="I292" s="2290"/>
      <c r="J292" s="613"/>
      <c r="K292" s="2290"/>
      <c r="L292" s="2290"/>
      <c r="M292" s="1763">
        <v>41290</v>
      </c>
      <c r="N292" s="1763">
        <v>41502</v>
      </c>
      <c r="O292" s="2021"/>
      <c r="P292" s="2021"/>
      <c r="Q292" s="1912"/>
    </row>
    <row r="293" spans="1:17" s="420" customFormat="1" ht="25.5" x14ac:dyDescent="0.25">
      <c r="A293" s="2021"/>
      <c r="B293" s="2021" t="s">
        <v>3217</v>
      </c>
      <c r="C293" s="2021"/>
      <c r="D293" s="2021">
        <v>10288</v>
      </c>
      <c r="E293" s="2252" t="s">
        <v>3218</v>
      </c>
      <c r="F293" s="1759" t="s">
        <v>3227</v>
      </c>
      <c r="G293" s="2021" t="s">
        <v>3220</v>
      </c>
      <c r="H293" s="1762">
        <v>11154</v>
      </c>
      <c r="I293" s="2290"/>
      <c r="J293" s="613"/>
      <c r="K293" s="2290"/>
      <c r="L293" s="2290"/>
      <c r="M293" s="1763">
        <v>41503</v>
      </c>
      <c r="N293" s="1763">
        <v>41802</v>
      </c>
      <c r="O293" s="2021"/>
      <c r="P293" s="2021"/>
      <c r="Q293" s="1912"/>
    </row>
    <row r="294" spans="1:17" s="420" customFormat="1" ht="25.5" x14ac:dyDescent="0.25">
      <c r="A294" s="1986"/>
      <c r="B294" s="1986" t="s">
        <v>3217</v>
      </c>
      <c r="C294" s="1986"/>
      <c r="D294" s="1986">
        <v>10288</v>
      </c>
      <c r="E294" s="2234" t="s">
        <v>3218</v>
      </c>
      <c r="F294" s="1759" t="s">
        <v>3228</v>
      </c>
      <c r="G294" s="1986" t="s">
        <v>3220</v>
      </c>
      <c r="H294" s="1762">
        <v>11353</v>
      </c>
      <c r="I294" s="2283"/>
      <c r="J294" s="613"/>
      <c r="K294" s="2283"/>
      <c r="L294" s="2283"/>
      <c r="M294" s="1763">
        <v>41803</v>
      </c>
      <c r="N294" s="1763">
        <v>41737</v>
      </c>
      <c r="O294" s="1986"/>
      <c r="P294" s="1986"/>
      <c r="Q294" s="1912"/>
    </row>
    <row r="295" spans="1:17" s="420" customFormat="1" x14ac:dyDescent="0.25">
      <c r="A295" s="1985" t="s">
        <v>3229</v>
      </c>
      <c r="B295" s="1985" t="s">
        <v>3230</v>
      </c>
      <c r="C295" s="1985" t="s">
        <v>168</v>
      </c>
      <c r="D295" s="1985">
        <v>10581</v>
      </c>
      <c r="E295" s="2233" t="s">
        <v>3231</v>
      </c>
      <c r="F295" s="1759" t="s">
        <v>3232</v>
      </c>
      <c r="G295" s="1985" t="s">
        <v>3233</v>
      </c>
      <c r="H295" s="1762">
        <v>10616</v>
      </c>
      <c r="I295" s="2282">
        <v>5440766</v>
      </c>
      <c r="J295" s="613"/>
      <c r="K295" s="2282">
        <v>115533.72</v>
      </c>
      <c r="L295" s="2282">
        <v>5449049.2400000002</v>
      </c>
      <c r="M295" s="1763">
        <v>40770</v>
      </c>
      <c r="N295" s="1763">
        <v>41136</v>
      </c>
      <c r="O295" s="1985">
        <v>19</v>
      </c>
      <c r="P295" s="1985">
        <v>33903900</v>
      </c>
      <c r="Q295" s="1912"/>
    </row>
    <row r="296" spans="1:17" s="420" customFormat="1" ht="25.5" x14ac:dyDescent="0.25">
      <c r="A296" s="2021"/>
      <c r="B296" s="2021" t="s">
        <v>3230</v>
      </c>
      <c r="C296" s="2021"/>
      <c r="D296" s="2021">
        <v>10581</v>
      </c>
      <c r="E296" s="2252" t="s">
        <v>3231</v>
      </c>
      <c r="F296" s="1759" t="s">
        <v>3234</v>
      </c>
      <c r="G296" s="2021" t="s">
        <v>3233</v>
      </c>
      <c r="H296" s="1762">
        <v>10726</v>
      </c>
      <c r="I296" s="2290"/>
      <c r="J296" s="613">
        <v>325352.5</v>
      </c>
      <c r="K296" s="2290"/>
      <c r="L296" s="2290"/>
      <c r="M296" s="1763"/>
      <c r="N296" s="1763"/>
      <c r="O296" s="2021"/>
      <c r="P296" s="2021"/>
      <c r="Q296" s="1912"/>
    </row>
    <row r="297" spans="1:17" s="420" customFormat="1" ht="25.5" x14ac:dyDescent="0.25">
      <c r="A297" s="2021"/>
      <c r="B297" s="2021" t="s">
        <v>3230</v>
      </c>
      <c r="C297" s="2021"/>
      <c r="D297" s="2021">
        <v>10581</v>
      </c>
      <c r="E297" s="2252" t="s">
        <v>3231</v>
      </c>
      <c r="F297" s="1759" t="s">
        <v>3235</v>
      </c>
      <c r="G297" s="2021" t="s">
        <v>3233</v>
      </c>
      <c r="H297" s="1762">
        <v>10867</v>
      </c>
      <c r="I297" s="2290"/>
      <c r="J297" s="613">
        <v>59902</v>
      </c>
      <c r="K297" s="2290"/>
      <c r="L297" s="2290"/>
      <c r="M297" s="1763"/>
      <c r="N297" s="1763"/>
      <c r="O297" s="2021"/>
      <c r="P297" s="2021"/>
      <c r="Q297" s="1912"/>
    </row>
    <row r="298" spans="1:17" s="420" customFormat="1" ht="25.5" x14ac:dyDescent="0.25">
      <c r="A298" s="2021"/>
      <c r="B298" s="2021" t="s">
        <v>3230</v>
      </c>
      <c r="C298" s="2021"/>
      <c r="D298" s="2021">
        <v>10581</v>
      </c>
      <c r="E298" s="2252" t="s">
        <v>3231</v>
      </c>
      <c r="F298" s="1759" t="s">
        <v>3236</v>
      </c>
      <c r="G298" s="2021" t="s">
        <v>3233</v>
      </c>
      <c r="H298" s="1762">
        <v>10875</v>
      </c>
      <c r="I298" s="2290"/>
      <c r="J298" s="613"/>
      <c r="K298" s="2290"/>
      <c r="L298" s="2290"/>
      <c r="M298" s="1763">
        <v>41136</v>
      </c>
      <c r="N298" s="1763">
        <v>41501</v>
      </c>
      <c r="O298" s="2021"/>
      <c r="P298" s="2021"/>
      <c r="Q298" s="1912"/>
    </row>
    <row r="299" spans="1:17" s="420" customFormat="1" ht="25.5" x14ac:dyDescent="0.25">
      <c r="A299" s="2021"/>
      <c r="B299" s="2021" t="s">
        <v>3230</v>
      </c>
      <c r="C299" s="2021"/>
      <c r="D299" s="2021">
        <v>10581</v>
      </c>
      <c r="E299" s="2252" t="s">
        <v>3231</v>
      </c>
      <c r="F299" s="1759" t="s">
        <v>3237</v>
      </c>
      <c r="G299" s="2021" t="s">
        <v>3233</v>
      </c>
      <c r="H299" s="1762">
        <v>10987</v>
      </c>
      <c r="I299" s="2290"/>
      <c r="J299" s="613">
        <v>17015</v>
      </c>
      <c r="K299" s="2290"/>
      <c r="L299" s="2290"/>
      <c r="M299" s="1763"/>
      <c r="N299" s="1763"/>
      <c r="O299" s="2021"/>
      <c r="P299" s="2021"/>
      <c r="Q299" s="1912"/>
    </row>
    <row r="300" spans="1:17" s="420" customFormat="1" ht="25.5" x14ac:dyDescent="0.25">
      <c r="A300" s="2021"/>
      <c r="B300" s="2021" t="s">
        <v>3238</v>
      </c>
      <c r="C300" s="2021"/>
      <c r="D300" s="2021">
        <v>10581</v>
      </c>
      <c r="E300" s="2252" t="s">
        <v>3239</v>
      </c>
      <c r="F300" s="1759" t="s">
        <v>3240</v>
      </c>
      <c r="G300" s="2021" t="s">
        <v>3233</v>
      </c>
      <c r="H300" s="1762">
        <v>11147</v>
      </c>
      <c r="I300" s="2290"/>
      <c r="J300" s="613">
        <v>0</v>
      </c>
      <c r="K300" s="2290"/>
      <c r="L300" s="2290"/>
      <c r="M300" s="1763">
        <v>41497</v>
      </c>
      <c r="N300" s="1763">
        <v>41556</v>
      </c>
      <c r="O300" s="2021"/>
      <c r="P300" s="2021"/>
      <c r="Q300" s="1912"/>
    </row>
    <row r="301" spans="1:17" s="420" customFormat="1" ht="25.5" x14ac:dyDescent="0.25">
      <c r="A301" s="2021"/>
      <c r="B301" s="2021" t="s">
        <v>3238</v>
      </c>
      <c r="C301" s="2021"/>
      <c r="D301" s="2021">
        <v>10581</v>
      </c>
      <c r="E301" s="2252" t="s">
        <v>3239</v>
      </c>
      <c r="F301" s="1759" t="s">
        <v>3241</v>
      </c>
      <c r="G301" s="2021" t="s">
        <v>3233</v>
      </c>
      <c r="H301" s="1762">
        <v>11149</v>
      </c>
      <c r="I301" s="2290"/>
      <c r="J301" s="613">
        <v>91093.99</v>
      </c>
      <c r="K301" s="2290"/>
      <c r="L301" s="2290"/>
      <c r="M301" s="1763">
        <v>41557</v>
      </c>
      <c r="N301" s="1763">
        <v>41616</v>
      </c>
      <c r="O301" s="2021"/>
      <c r="P301" s="2021"/>
      <c r="Q301" s="1912"/>
    </row>
    <row r="302" spans="1:17" s="420" customFormat="1" ht="25.5" x14ac:dyDescent="0.25">
      <c r="A302" s="1986"/>
      <c r="B302" s="1986" t="s">
        <v>3238</v>
      </c>
      <c r="C302" s="1986"/>
      <c r="D302" s="1986">
        <v>10581</v>
      </c>
      <c r="E302" s="2234" t="s">
        <v>3239</v>
      </c>
      <c r="F302" s="1759" t="s">
        <v>3242</v>
      </c>
      <c r="G302" s="1986" t="s">
        <v>3233</v>
      </c>
      <c r="H302" s="1762">
        <v>11207</v>
      </c>
      <c r="I302" s="2283"/>
      <c r="J302" s="613"/>
      <c r="K302" s="2283"/>
      <c r="L302" s="2283"/>
      <c r="M302" s="1763" t="s">
        <v>3243</v>
      </c>
      <c r="N302" s="1763">
        <v>41639</v>
      </c>
      <c r="O302" s="1986"/>
      <c r="P302" s="1986"/>
      <c r="Q302" s="1912"/>
    </row>
    <row r="303" spans="1:17" s="420" customFormat="1" x14ac:dyDescent="0.25">
      <c r="A303" s="1985" t="s">
        <v>3244</v>
      </c>
      <c r="B303" s="1985" t="s">
        <v>3245</v>
      </c>
      <c r="C303" s="1985" t="s">
        <v>168</v>
      </c>
      <c r="D303" s="1985">
        <v>10619</v>
      </c>
      <c r="E303" s="2233" t="s">
        <v>3246</v>
      </c>
      <c r="F303" s="1759" t="s">
        <v>3247</v>
      </c>
      <c r="G303" s="1985" t="s">
        <v>3248</v>
      </c>
      <c r="H303" s="1762">
        <v>10711</v>
      </c>
      <c r="I303" s="2282">
        <v>657719.69999999995</v>
      </c>
      <c r="J303" s="613">
        <v>0</v>
      </c>
      <c r="K303" s="2282">
        <v>176744.41</v>
      </c>
      <c r="L303" s="2282">
        <v>325562.52</v>
      </c>
      <c r="M303" s="1763">
        <v>41386</v>
      </c>
      <c r="N303" s="1763">
        <v>41505</v>
      </c>
      <c r="O303" s="2338" t="s">
        <v>2882</v>
      </c>
      <c r="P303" s="2338">
        <v>44905100</v>
      </c>
      <c r="Q303" s="1912"/>
    </row>
    <row r="304" spans="1:17" s="420" customFormat="1" ht="25.5" x14ac:dyDescent="0.25">
      <c r="A304" s="2021"/>
      <c r="B304" s="2021" t="s">
        <v>3245</v>
      </c>
      <c r="C304" s="2021"/>
      <c r="D304" s="2021">
        <v>10619</v>
      </c>
      <c r="E304" s="2252" t="s">
        <v>3246</v>
      </c>
      <c r="F304" s="1759" t="s">
        <v>3249</v>
      </c>
      <c r="G304" s="2021"/>
      <c r="H304" s="1762">
        <v>11090</v>
      </c>
      <c r="I304" s="2290"/>
      <c r="J304" s="613"/>
      <c r="K304" s="2290"/>
      <c r="L304" s="2290"/>
      <c r="M304" s="1763">
        <v>41506</v>
      </c>
      <c r="N304" s="1763">
        <v>41655</v>
      </c>
      <c r="O304" s="2339"/>
      <c r="P304" s="2339"/>
      <c r="Q304" s="1912"/>
    </row>
    <row r="305" spans="1:17" s="420" customFormat="1" ht="25.5" x14ac:dyDescent="0.25">
      <c r="A305" s="2021"/>
      <c r="B305" s="2021" t="s">
        <v>3245</v>
      </c>
      <c r="C305" s="2021"/>
      <c r="D305" s="2021">
        <v>10619</v>
      </c>
      <c r="E305" s="2252" t="s">
        <v>3246</v>
      </c>
      <c r="F305" s="1759" t="s">
        <v>3250</v>
      </c>
      <c r="G305" s="2021"/>
      <c r="H305" s="1762">
        <v>11146</v>
      </c>
      <c r="I305" s="2290"/>
      <c r="J305" s="613"/>
      <c r="K305" s="2290"/>
      <c r="L305" s="2290"/>
      <c r="M305" s="1763">
        <v>41656</v>
      </c>
      <c r="N305" s="1763">
        <v>41805</v>
      </c>
      <c r="O305" s="2339"/>
      <c r="P305" s="2339"/>
      <c r="Q305" s="1912"/>
    </row>
    <row r="306" spans="1:17" s="420" customFormat="1" ht="25.5" x14ac:dyDescent="0.25">
      <c r="A306" s="2021"/>
      <c r="B306" s="2021" t="s">
        <v>3245</v>
      </c>
      <c r="C306" s="2021"/>
      <c r="D306" s="2021">
        <v>10619</v>
      </c>
      <c r="E306" s="2252" t="s">
        <v>3246</v>
      </c>
      <c r="F306" s="1759" t="s">
        <v>3251</v>
      </c>
      <c r="G306" s="2021"/>
      <c r="H306" s="1762">
        <v>11193</v>
      </c>
      <c r="I306" s="2290"/>
      <c r="J306" s="613">
        <v>77586.94</v>
      </c>
      <c r="K306" s="2290"/>
      <c r="L306" s="2290"/>
      <c r="M306" s="1763"/>
      <c r="N306" s="1763"/>
      <c r="O306" s="2339"/>
      <c r="P306" s="2339"/>
      <c r="Q306" s="1912"/>
    </row>
    <row r="307" spans="1:17" s="420" customFormat="1" ht="25.5" x14ac:dyDescent="0.25">
      <c r="A307" s="2021"/>
      <c r="B307" s="2021" t="s">
        <v>3245</v>
      </c>
      <c r="C307" s="2021"/>
      <c r="D307" s="2021">
        <v>10619</v>
      </c>
      <c r="E307" s="2252" t="s">
        <v>3246</v>
      </c>
      <c r="F307" s="1759" t="s">
        <v>3252</v>
      </c>
      <c r="G307" s="2021"/>
      <c r="H307" s="1762">
        <v>11207</v>
      </c>
      <c r="I307" s="2290"/>
      <c r="J307" s="613"/>
      <c r="K307" s="2290"/>
      <c r="L307" s="2290"/>
      <c r="M307" s="1763">
        <v>41656</v>
      </c>
      <c r="N307" s="1763">
        <v>41805</v>
      </c>
      <c r="O307" s="2339"/>
      <c r="P307" s="2339"/>
      <c r="Q307" s="1912"/>
    </row>
    <row r="308" spans="1:17" s="420" customFormat="1" ht="25.5" x14ac:dyDescent="0.25">
      <c r="A308" s="2021"/>
      <c r="B308" s="2021" t="s">
        <v>3245</v>
      </c>
      <c r="C308" s="2021"/>
      <c r="D308" s="2021">
        <v>10619</v>
      </c>
      <c r="E308" s="2252" t="s">
        <v>3246</v>
      </c>
      <c r="F308" s="1759" t="s">
        <v>3253</v>
      </c>
      <c r="G308" s="2021"/>
      <c r="H308" s="1762">
        <v>11335</v>
      </c>
      <c r="I308" s="2290"/>
      <c r="J308" s="613"/>
      <c r="K308" s="2290"/>
      <c r="L308" s="2290"/>
      <c r="M308" s="1763">
        <v>41806</v>
      </c>
      <c r="N308" s="1763">
        <v>41925</v>
      </c>
      <c r="O308" s="2339"/>
      <c r="P308" s="2339"/>
      <c r="Q308" s="1912"/>
    </row>
    <row r="309" spans="1:17" s="420" customFormat="1" ht="25.5" x14ac:dyDescent="0.25">
      <c r="A309" s="2021"/>
      <c r="B309" s="2021" t="s">
        <v>3245</v>
      </c>
      <c r="C309" s="2021"/>
      <c r="D309" s="2021">
        <v>10619</v>
      </c>
      <c r="E309" s="2252" t="s">
        <v>3246</v>
      </c>
      <c r="F309" s="1759" t="s">
        <v>3254</v>
      </c>
      <c r="G309" s="2021"/>
      <c r="H309" s="1762">
        <v>11410</v>
      </c>
      <c r="I309" s="2290"/>
      <c r="J309" s="613"/>
      <c r="K309" s="2290"/>
      <c r="L309" s="2290"/>
      <c r="M309" s="1763">
        <v>41926</v>
      </c>
      <c r="N309" s="1763">
        <v>42045</v>
      </c>
      <c r="O309" s="2339"/>
      <c r="P309" s="2339"/>
      <c r="Q309" s="1912"/>
    </row>
    <row r="310" spans="1:17" s="420" customFormat="1" ht="25.5" x14ac:dyDescent="0.25">
      <c r="A310" s="1986"/>
      <c r="B310" s="1986"/>
      <c r="C310" s="1986"/>
      <c r="D310" s="1986"/>
      <c r="E310" s="2234"/>
      <c r="F310" s="1759" t="s">
        <v>3255</v>
      </c>
      <c r="G310" s="1986"/>
      <c r="H310" s="1762">
        <v>11466</v>
      </c>
      <c r="I310" s="2283"/>
      <c r="J310" s="613"/>
      <c r="K310" s="2283"/>
      <c r="L310" s="2283"/>
      <c r="M310" s="1763">
        <v>42046</v>
      </c>
      <c r="N310" s="1763">
        <v>42135</v>
      </c>
      <c r="O310" s="2340"/>
      <c r="P310" s="2340"/>
      <c r="Q310" s="1912"/>
    </row>
    <row r="311" spans="1:17" s="420" customFormat="1" x14ac:dyDescent="0.25">
      <c r="A311" s="1985" t="s">
        <v>3256</v>
      </c>
      <c r="B311" s="1985" t="s">
        <v>3257</v>
      </c>
      <c r="C311" s="1985" t="s">
        <v>168</v>
      </c>
      <c r="D311" s="1985">
        <v>10619</v>
      </c>
      <c r="E311" s="2233" t="s">
        <v>3258</v>
      </c>
      <c r="F311" s="1759" t="s">
        <v>2523</v>
      </c>
      <c r="G311" s="1985" t="s">
        <v>3259</v>
      </c>
      <c r="H311" s="1762">
        <v>10712</v>
      </c>
      <c r="I311" s="2282">
        <v>542682.91</v>
      </c>
      <c r="J311" s="613">
        <v>0</v>
      </c>
      <c r="K311" s="2282">
        <v>85776.36</v>
      </c>
      <c r="L311" s="2282">
        <v>359790.14</v>
      </c>
      <c r="M311" s="1763">
        <v>41386</v>
      </c>
      <c r="N311" s="1763">
        <v>41506</v>
      </c>
      <c r="O311" s="1985" t="s">
        <v>2882</v>
      </c>
      <c r="P311" s="1985">
        <v>44905100</v>
      </c>
      <c r="Q311" s="1912"/>
    </row>
    <row r="312" spans="1:17" s="420" customFormat="1" ht="25.5" x14ac:dyDescent="0.25">
      <c r="A312" s="2021"/>
      <c r="B312" s="2021" t="s">
        <v>3257</v>
      </c>
      <c r="C312" s="2021"/>
      <c r="D312" s="2021">
        <v>10619</v>
      </c>
      <c r="E312" s="2252" t="s">
        <v>3258</v>
      </c>
      <c r="F312" s="1759" t="s">
        <v>3260</v>
      </c>
      <c r="G312" s="2021" t="s">
        <v>3259</v>
      </c>
      <c r="H312" s="1762">
        <v>11090</v>
      </c>
      <c r="I312" s="2290"/>
      <c r="J312" s="613"/>
      <c r="K312" s="2290"/>
      <c r="L312" s="2290"/>
      <c r="M312" s="1763">
        <v>41872</v>
      </c>
      <c r="N312" s="1763">
        <v>41656</v>
      </c>
      <c r="O312" s="2021"/>
      <c r="P312" s="2021"/>
      <c r="Q312" s="1912"/>
    </row>
    <row r="313" spans="1:17" s="420" customFormat="1" ht="25.5" x14ac:dyDescent="0.25">
      <c r="A313" s="2021"/>
      <c r="B313" s="2021" t="s">
        <v>3257</v>
      </c>
      <c r="C313" s="2021"/>
      <c r="D313" s="2021">
        <v>10619</v>
      </c>
      <c r="E313" s="2252" t="s">
        <v>3258</v>
      </c>
      <c r="F313" s="1759" t="s">
        <v>3261</v>
      </c>
      <c r="G313" s="2021" t="s">
        <v>3259</v>
      </c>
      <c r="H313" s="1762">
        <v>11193</v>
      </c>
      <c r="I313" s="2290"/>
      <c r="J313" s="613">
        <v>43383.46</v>
      </c>
      <c r="K313" s="2290"/>
      <c r="L313" s="2290"/>
      <c r="M313" s="1763"/>
      <c r="N313" s="1763"/>
      <c r="O313" s="2021"/>
      <c r="P313" s="2021"/>
      <c r="Q313" s="1912"/>
    </row>
    <row r="314" spans="1:17" s="420" customFormat="1" ht="25.5" x14ac:dyDescent="0.25">
      <c r="A314" s="2021"/>
      <c r="B314" s="2021" t="s">
        <v>3257</v>
      </c>
      <c r="C314" s="2021"/>
      <c r="D314" s="2021">
        <v>10619</v>
      </c>
      <c r="E314" s="2252" t="s">
        <v>3258</v>
      </c>
      <c r="F314" s="1759" t="s">
        <v>3262</v>
      </c>
      <c r="G314" s="2021" t="s">
        <v>3259</v>
      </c>
      <c r="H314" s="1762">
        <v>11207</v>
      </c>
      <c r="I314" s="2290"/>
      <c r="J314" s="613"/>
      <c r="K314" s="2290"/>
      <c r="L314" s="2290"/>
      <c r="M314" s="1763">
        <v>41657</v>
      </c>
      <c r="N314" s="1763">
        <v>41806</v>
      </c>
      <c r="O314" s="2021"/>
      <c r="P314" s="2021"/>
      <c r="Q314" s="1912"/>
    </row>
    <row r="315" spans="1:17" s="420" customFormat="1" ht="25.5" x14ac:dyDescent="0.25">
      <c r="A315" s="2021"/>
      <c r="B315" s="2021" t="s">
        <v>3257</v>
      </c>
      <c r="C315" s="2021"/>
      <c r="D315" s="2021">
        <v>10619</v>
      </c>
      <c r="E315" s="2252" t="s">
        <v>3258</v>
      </c>
      <c r="F315" s="1759" t="s">
        <v>3263</v>
      </c>
      <c r="G315" s="2021" t="s">
        <v>3259</v>
      </c>
      <c r="H315" s="1762">
        <v>11335</v>
      </c>
      <c r="I315" s="2290"/>
      <c r="J315" s="613"/>
      <c r="K315" s="2290"/>
      <c r="L315" s="2290"/>
      <c r="M315" s="1763">
        <v>41807</v>
      </c>
      <c r="N315" s="1763">
        <v>41926</v>
      </c>
      <c r="O315" s="2021"/>
      <c r="P315" s="2021"/>
      <c r="Q315" s="1912"/>
    </row>
    <row r="316" spans="1:17" s="420" customFormat="1" ht="25.5" x14ac:dyDescent="0.25">
      <c r="A316" s="1986"/>
      <c r="B316" s="1986" t="s">
        <v>3257</v>
      </c>
      <c r="C316" s="1986"/>
      <c r="D316" s="1986">
        <v>10619</v>
      </c>
      <c r="E316" s="2234" t="s">
        <v>3258</v>
      </c>
      <c r="F316" s="1759" t="s">
        <v>3264</v>
      </c>
      <c r="G316" s="1986" t="s">
        <v>3259</v>
      </c>
      <c r="H316" s="1762">
        <v>11412</v>
      </c>
      <c r="I316" s="2283"/>
      <c r="J316" s="613"/>
      <c r="K316" s="2283"/>
      <c r="L316" s="2283"/>
      <c r="M316" s="1763">
        <v>41927</v>
      </c>
      <c r="N316" s="1763">
        <v>42046</v>
      </c>
      <c r="O316" s="1986"/>
      <c r="P316" s="1986"/>
      <c r="Q316" s="1912"/>
    </row>
    <row r="317" spans="1:17" s="420" customFormat="1" x14ac:dyDescent="0.25">
      <c r="A317" s="1985" t="s">
        <v>2982</v>
      </c>
      <c r="B317" s="1985" t="s">
        <v>3265</v>
      </c>
      <c r="C317" s="1985" t="s">
        <v>168</v>
      </c>
      <c r="D317" s="1985">
        <v>10619</v>
      </c>
      <c r="E317" s="2233" t="s">
        <v>3266</v>
      </c>
      <c r="F317" s="1759" t="s">
        <v>1067</v>
      </c>
      <c r="G317" s="1985" t="s">
        <v>3267</v>
      </c>
      <c r="H317" s="1762">
        <v>10730</v>
      </c>
      <c r="I317" s="2282">
        <v>2158952.3199999998</v>
      </c>
      <c r="J317" s="613">
        <v>0</v>
      </c>
      <c r="K317" s="2282">
        <v>99315.83</v>
      </c>
      <c r="L317" s="2282">
        <v>215627.53</v>
      </c>
      <c r="M317" s="1763">
        <v>41386</v>
      </c>
      <c r="N317" s="1763">
        <v>41590</v>
      </c>
      <c r="O317" s="1985" t="s">
        <v>2882</v>
      </c>
      <c r="P317" s="1985">
        <v>44905100</v>
      </c>
      <c r="Q317" s="1912"/>
    </row>
    <row r="318" spans="1:17" s="420" customFormat="1" x14ac:dyDescent="0.25">
      <c r="A318" s="2021"/>
      <c r="B318" s="2021" t="s">
        <v>3265</v>
      </c>
      <c r="C318" s="2021"/>
      <c r="D318" s="2021">
        <v>10619</v>
      </c>
      <c r="E318" s="2252" t="s">
        <v>3266</v>
      </c>
      <c r="F318" s="1759" t="s">
        <v>3268</v>
      </c>
      <c r="G318" s="2021" t="s">
        <v>3267</v>
      </c>
      <c r="H318" s="1762">
        <v>11148</v>
      </c>
      <c r="I318" s="2290"/>
      <c r="J318" s="613"/>
      <c r="K318" s="2290"/>
      <c r="L318" s="2290"/>
      <c r="M318" s="1763">
        <v>41591</v>
      </c>
      <c r="N318" s="1763">
        <v>41800</v>
      </c>
      <c r="O318" s="2021"/>
      <c r="P318" s="2021"/>
      <c r="Q318" s="1912"/>
    </row>
    <row r="319" spans="1:17" s="420" customFormat="1" ht="25.5" x14ac:dyDescent="0.25">
      <c r="A319" s="2021"/>
      <c r="B319" s="2021" t="s">
        <v>3265</v>
      </c>
      <c r="C319" s="2021"/>
      <c r="D319" s="2021">
        <v>10619</v>
      </c>
      <c r="E319" s="2252" t="s">
        <v>3266</v>
      </c>
      <c r="F319" s="1759" t="s">
        <v>3269</v>
      </c>
      <c r="G319" s="2021" t="s">
        <v>3267</v>
      </c>
      <c r="H319" s="1762">
        <v>11101</v>
      </c>
      <c r="I319" s="2290"/>
      <c r="J319" s="613"/>
      <c r="K319" s="2290"/>
      <c r="L319" s="2290"/>
      <c r="M319" s="1763">
        <v>41801</v>
      </c>
      <c r="N319" s="1763">
        <v>42010</v>
      </c>
      <c r="O319" s="2021"/>
      <c r="P319" s="2021"/>
      <c r="Q319" s="1912"/>
    </row>
    <row r="320" spans="1:17" s="420" customFormat="1" ht="25.5" x14ac:dyDescent="0.25">
      <c r="A320" s="2021"/>
      <c r="B320" s="2021" t="s">
        <v>3270</v>
      </c>
      <c r="C320" s="2021"/>
      <c r="D320" s="2021">
        <v>10619</v>
      </c>
      <c r="E320" s="2252" t="s">
        <v>3271</v>
      </c>
      <c r="F320" s="1759" t="s">
        <v>3272</v>
      </c>
      <c r="G320" s="2021" t="s">
        <v>3273</v>
      </c>
      <c r="H320" s="1762">
        <v>11429</v>
      </c>
      <c r="I320" s="2290"/>
      <c r="J320" s="613">
        <v>263928.90999999997</v>
      </c>
      <c r="K320" s="2290"/>
      <c r="L320" s="2290"/>
      <c r="M320" s="1763"/>
      <c r="N320" s="1763"/>
      <c r="O320" s="2021"/>
      <c r="P320" s="2021"/>
      <c r="Q320" s="1912"/>
    </row>
    <row r="321" spans="1:17" s="420" customFormat="1" ht="25.5" x14ac:dyDescent="0.25">
      <c r="A321" s="1986"/>
      <c r="B321" s="1986" t="s">
        <v>3270</v>
      </c>
      <c r="C321" s="1986"/>
      <c r="D321" s="1986">
        <v>10619</v>
      </c>
      <c r="E321" s="2234" t="s">
        <v>3271</v>
      </c>
      <c r="F321" s="1759" t="s">
        <v>3274</v>
      </c>
      <c r="G321" s="1986" t="s">
        <v>3273</v>
      </c>
      <c r="H321" s="1762">
        <v>11466</v>
      </c>
      <c r="I321" s="2283"/>
      <c r="J321" s="613"/>
      <c r="K321" s="2283"/>
      <c r="L321" s="2283"/>
      <c r="M321" s="1763">
        <v>42011</v>
      </c>
      <c r="N321" s="1763">
        <v>42160</v>
      </c>
      <c r="O321" s="1986"/>
      <c r="P321" s="1986"/>
      <c r="Q321" s="1912"/>
    </row>
    <row r="322" spans="1:17" s="420" customFormat="1" ht="25.5" x14ac:dyDescent="0.25">
      <c r="A322" s="1985" t="s">
        <v>3275</v>
      </c>
      <c r="B322" s="1985" t="s">
        <v>3276</v>
      </c>
      <c r="C322" s="1985" t="s">
        <v>168</v>
      </c>
      <c r="D322" s="1985">
        <v>10747</v>
      </c>
      <c r="E322" s="2233" t="s">
        <v>3277</v>
      </c>
      <c r="F322" s="1759" t="s">
        <v>3278</v>
      </c>
      <c r="G322" s="1985" t="s">
        <v>3279</v>
      </c>
      <c r="H322" s="1762" t="s">
        <v>3280</v>
      </c>
      <c r="I322" s="2282">
        <v>1528554.93</v>
      </c>
      <c r="J322" s="613">
        <v>0</v>
      </c>
      <c r="K322" s="2282">
        <v>733399.94</v>
      </c>
      <c r="L322" s="2282">
        <v>1865560.26</v>
      </c>
      <c r="M322" s="1763">
        <v>41030</v>
      </c>
      <c r="N322" s="1763">
        <v>41270</v>
      </c>
      <c r="O322" s="1985" t="s">
        <v>2882</v>
      </c>
      <c r="P322" s="1985">
        <v>44905100</v>
      </c>
      <c r="Q322" s="1912"/>
    </row>
    <row r="323" spans="1:17" s="420" customFormat="1" ht="25.5" x14ac:dyDescent="0.25">
      <c r="A323" s="2021"/>
      <c r="B323" s="2021" t="s">
        <v>3276</v>
      </c>
      <c r="C323" s="2021"/>
      <c r="D323" s="2021">
        <v>10747</v>
      </c>
      <c r="E323" s="2252" t="s">
        <v>3277</v>
      </c>
      <c r="F323" s="1759" t="s">
        <v>3281</v>
      </c>
      <c r="G323" s="2021" t="s">
        <v>3279</v>
      </c>
      <c r="H323" s="1762">
        <v>10986</v>
      </c>
      <c r="I323" s="2290"/>
      <c r="J323" s="613"/>
      <c r="K323" s="2290"/>
      <c r="L323" s="2290"/>
      <c r="M323" s="1763">
        <v>41271</v>
      </c>
      <c r="N323" s="1763">
        <v>41510</v>
      </c>
      <c r="O323" s="2021"/>
      <c r="P323" s="2021"/>
      <c r="Q323" s="1912"/>
    </row>
    <row r="324" spans="1:17" s="420" customFormat="1" ht="25.5" x14ac:dyDescent="0.25">
      <c r="A324" s="2021"/>
      <c r="B324" s="2021" t="s">
        <v>3276</v>
      </c>
      <c r="C324" s="2021"/>
      <c r="D324" s="2021">
        <v>10747</v>
      </c>
      <c r="E324" s="2252" t="s">
        <v>3277</v>
      </c>
      <c r="F324" s="1759" t="s">
        <v>3282</v>
      </c>
      <c r="G324" s="2021" t="s">
        <v>3279</v>
      </c>
      <c r="H324" s="1762">
        <v>11093</v>
      </c>
      <c r="I324" s="2290"/>
      <c r="J324" s="613">
        <v>241944.72</v>
      </c>
      <c r="K324" s="2290"/>
      <c r="L324" s="2290"/>
      <c r="M324" s="1763"/>
      <c r="N324" s="1763"/>
      <c r="O324" s="2021"/>
      <c r="P324" s="2021"/>
      <c r="Q324" s="1912"/>
    </row>
    <row r="325" spans="1:17" s="420" customFormat="1" ht="25.5" x14ac:dyDescent="0.25">
      <c r="A325" s="2021"/>
      <c r="B325" s="2021" t="s">
        <v>3276</v>
      </c>
      <c r="C325" s="2021"/>
      <c r="D325" s="2021">
        <v>10747</v>
      </c>
      <c r="E325" s="2252" t="s">
        <v>3277</v>
      </c>
      <c r="F325" s="1759" t="s">
        <v>3283</v>
      </c>
      <c r="G325" s="2021" t="s">
        <v>3279</v>
      </c>
      <c r="H325" s="1762">
        <v>11123</v>
      </c>
      <c r="I325" s="2290"/>
      <c r="J325" s="613"/>
      <c r="K325" s="2290"/>
      <c r="L325" s="2290"/>
      <c r="M325" s="1763">
        <v>41511</v>
      </c>
      <c r="N325" s="1763">
        <v>41750</v>
      </c>
      <c r="O325" s="2021"/>
      <c r="P325" s="2021"/>
      <c r="Q325" s="1912"/>
    </row>
    <row r="326" spans="1:17" s="420" customFormat="1" ht="25.5" x14ac:dyDescent="0.25">
      <c r="A326" s="2021"/>
      <c r="B326" s="2021" t="s">
        <v>3276</v>
      </c>
      <c r="C326" s="2021"/>
      <c r="D326" s="2021">
        <v>10747</v>
      </c>
      <c r="E326" s="2252" t="s">
        <v>3277</v>
      </c>
      <c r="F326" s="1759" t="s">
        <v>3284</v>
      </c>
      <c r="G326" s="2021" t="s">
        <v>3279</v>
      </c>
      <c r="H326" s="1762">
        <v>11266</v>
      </c>
      <c r="I326" s="2290"/>
      <c r="J326" s="613"/>
      <c r="K326" s="2290"/>
      <c r="L326" s="2290"/>
      <c r="M326" s="1763">
        <v>41751</v>
      </c>
      <c r="N326" s="1763">
        <v>41780</v>
      </c>
      <c r="O326" s="2021"/>
      <c r="P326" s="2021"/>
      <c r="Q326" s="1912"/>
    </row>
    <row r="327" spans="1:17" s="420" customFormat="1" ht="25.5" x14ac:dyDescent="0.25">
      <c r="A327" s="2021"/>
      <c r="B327" s="2021" t="s">
        <v>3276</v>
      </c>
      <c r="C327" s="2021"/>
      <c r="D327" s="2021">
        <v>10747</v>
      </c>
      <c r="E327" s="2252" t="s">
        <v>3277</v>
      </c>
      <c r="F327" s="1759" t="s">
        <v>3285</v>
      </c>
      <c r="G327" s="2021" t="s">
        <v>3279</v>
      </c>
      <c r="H327" s="1762">
        <v>11311</v>
      </c>
      <c r="I327" s="2290"/>
      <c r="J327" s="613"/>
      <c r="K327" s="2290"/>
      <c r="L327" s="2290"/>
      <c r="M327" s="1763">
        <v>41781</v>
      </c>
      <c r="N327" s="1763">
        <v>41840</v>
      </c>
      <c r="O327" s="2021"/>
      <c r="P327" s="2021"/>
      <c r="Q327" s="1912"/>
    </row>
    <row r="328" spans="1:17" s="420" customFormat="1" ht="25.5" x14ac:dyDescent="0.25">
      <c r="A328" s="1986"/>
      <c r="B328" s="1986"/>
      <c r="C328" s="1986"/>
      <c r="D328" s="1986">
        <v>10747</v>
      </c>
      <c r="E328" s="2234" t="s">
        <v>3277</v>
      </c>
      <c r="F328" s="1759" t="s">
        <v>3286</v>
      </c>
      <c r="G328" s="1986" t="s">
        <v>3279</v>
      </c>
      <c r="H328" s="1762">
        <v>11353</v>
      </c>
      <c r="I328" s="2283"/>
      <c r="J328" s="613"/>
      <c r="K328" s="2283"/>
      <c r="L328" s="2283"/>
      <c r="M328" s="1763">
        <v>41841</v>
      </c>
      <c r="N328" s="1763">
        <v>41900</v>
      </c>
      <c r="O328" s="1986"/>
      <c r="P328" s="1986"/>
      <c r="Q328" s="1912"/>
    </row>
    <row r="329" spans="1:17" s="420" customFormat="1" x14ac:dyDescent="0.25">
      <c r="A329" s="1985" t="s">
        <v>3287</v>
      </c>
      <c r="B329" s="1985" t="s">
        <v>3288</v>
      </c>
      <c r="C329" s="1985" t="s">
        <v>168</v>
      </c>
      <c r="D329" s="1985">
        <v>10798</v>
      </c>
      <c r="E329" s="2233" t="s">
        <v>3289</v>
      </c>
      <c r="F329" s="1759" t="s">
        <v>3290</v>
      </c>
      <c r="G329" s="1985" t="s">
        <v>3291</v>
      </c>
      <c r="H329" s="1762">
        <v>10829</v>
      </c>
      <c r="I329" s="2282">
        <v>4123064.89</v>
      </c>
      <c r="J329" s="613">
        <v>0</v>
      </c>
      <c r="K329" s="2282">
        <v>230764.29</v>
      </c>
      <c r="L329" s="2282">
        <v>1656363.62</v>
      </c>
      <c r="M329" s="1763">
        <v>41086</v>
      </c>
      <c r="N329" s="1763">
        <v>41451</v>
      </c>
      <c r="O329" s="1985" t="s">
        <v>2882</v>
      </c>
      <c r="P329" s="1985">
        <v>44905100</v>
      </c>
      <c r="Q329" s="1912"/>
    </row>
    <row r="330" spans="1:17" s="420" customFormat="1" ht="25.5" x14ac:dyDescent="0.25">
      <c r="A330" s="2021"/>
      <c r="B330" s="2021" t="s">
        <v>3288</v>
      </c>
      <c r="C330" s="2021"/>
      <c r="D330" s="2021">
        <v>10798</v>
      </c>
      <c r="E330" s="2252" t="s">
        <v>3289</v>
      </c>
      <c r="F330" s="1759" t="s">
        <v>3292</v>
      </c>
      <c r="G330" s="2021" t="s">
        <v>3291</v>
      </c>
      <c r="H330" s="1762">
        <v>11048</v>
      </c>
      <c r="I330" s="2290"/>
      <c r="J330" s="613"/>
      <c r="K330" s="2290"/>
      <c r="L330" s="2290"/>
      <c r="M330" s="1763">
        <v>41451</v>
      </c>
      <c r="N330" s="1763">
        <v>41815</v>
      </c>
      <c r="O330" s="2021"/>
      <c r="P330" s="2021"/>
      <c r="Q330" s="1912"/>
    </row>
    <row r="331" spans="1:17" s="420" customFormat="1" ht="25.5" x14ac:dyDescent="0.25">
      <c r="A331" s="1986"/>
      <c r="B331" s="1986" t="s">
        <v>3288</v>
      </c>
      <c r="C331" s="1986"/>
      <c r="D331" s="1986">
        <v>10798</v>
      </c>
      <c r="E331" s="2234" t="s">
        <v>3289</v>
      </c>
      <c r="F331" s="1759" t="s">
        <v>3293</v>
      </c>
      <c r="G331" s="1986" t="s">
        <v>3291</v>
      </c>
      <c r="H331" s="1762">
        <v>11282</v>
      </c>
      <c r="I331" s="2283"/>
      <c r="J331" s="613"/>
      <c r="K331" s="2283"/>
      <c r="L331" s="2283"/>
      <c r="M331" s="1763">
        <v>41816</v>
      </c>
      <c r="N331" s="1763">
        <v>42025</v>
      </c>
      <c r="O331" s="1986"/>
      <c r="P331" s="1986"/>
      <c r="Q331" s="1912"/>
    </row>
    <row r="332" spans="1:17" s="420" customFormat="1" x14ac:dyDescent="0.25">
      <c r="A332" s="1985" t="s">
        <v>3294</v>
      </c>
      <c r="B332" s="1985" t="s">
        <v>3295</v>
      </c>
      <c r="C332" s="1985" t="s">
        <v>168</v>
      </c>
      <c r="D332" s="1985">
        <v>11103</v>
      </c>
      <c r="E332" s="2233" t="s">
        <v>3296</v>
      </c>
      <c r="F332" s="1759" t="s">
        <v>1374</v>
      </c>
      <c r="G332" s="1985" t="s">
        <v>3297</v>
      </c>
      <c r="H332" s="1762">
        <v>11149</v>
      </c>
      <c r="I332" s="2282">
        <v>277626.99</v>
      </c>
      <c r="J332" s="613">
        <v>0</v>
      </c>
      <c r="K332" s="2282">
        <v>161883.49000000002</v>
      </c>
      <c r="L332" s="2282">
        <v>277626.99</v>
      </c>
      <c r="M332" s="1763">
        <v>41550</v>
      </c>
      <c r="N332" s="1763">
        <v>41609</v>
      </c>
      <c r="O332" s="1985" t="s">
        <v>2882</v>
      </c>
      <c r="P332" s="1985">
        <v>44905100</v>
      </c>
      <c r="Q332" s="1912"/>
    </row>
    <row r="333" spans="1:17" s="420" customFormat="1" ht="25.5" x14ac:dyDescent="0.25">
      <c r="A333" s="2021"/>
      <c r="B333" s="2021" t="s">
        <v>3295</v>
      </c>
      <c r="C333" s="2021"/>
      <c r="D333" s="2021">
        <v>11103</v>
      </c>
      <c r="E333" s="2252" t="s">
        <v>3296</v>
      </c>
      <c r="F333" s="1759" t="s">
        <v>3298</v>
      </c>
      <c r="G333" s="2021" t="s">
        <v>3297</v>
      </c>
      <c r="H333" s="1762">
        <v>11207</v>
      </c>
      <c r="I333" s="2290"/>
      <c r="J333" s="613"/>
      <c r="K333" s="2290"/>
      <c r="L333" s="2290"/>
      <c r="M333" s="1763">
        <v>41610</v>
      </c>
      <c r="N333" s="1763">
        <v>41669</v>
      </c>
      <c r="O333" s="2021"/>
      <c r="P333" s="2021"/>
      <c r="Q333" s="1912"/>
    </row>
    <row r="334" spans="1:17" s="420" customFormat="1" ht="25.5" x14ac:dyDescent="0.25">
      <c r="A334" s="2021"/>
      <c r="B334" s="2021" t="s">
        <v>3295</v>
      </c>
      <c r="C334" s="2021"/>
      <c r="D334" s="2021">
        <v>11103</v>
      </c>
      <c r="E334" s="2252" t="s">
        <v>3296</v>
      </c>
      <c r="F334" s="1759" t="s">
        <v>3299</v>
      </c>
      <c r="G334" s="2021" t="s">
        <v>3297</v>
      </c>
      <c r="H334" s="1762">
        <v>11242</v>
      </c>
      <c r="I334" s="2290"/>
      <c r="J334" s="613"/>
      <c r="K334" s="2290"/>
      <c r="L334" s="2290"/>
      <c r="M334" s="1763">
        <v>41670</v>
      </c>
      <c r="N334" s="1763">
        <v>41729</v>
      </c>
      <c r="O334" s="2021"/>
      <c r="P334" s="2021"/>
      <c r="Q334" s="1912"/>
    </row>
    <row r="335" spans="1:17" s="420" customFormat="1" ht="25.5" x14ac:dyDescent="0.25">
      <c r="A335" s="2021"/>
      <c r="B335" s="2021" t="s">
        <v>3295</v>
      </c>
      <c r="C335" s="2021"/>
      <c r="D335" s="2021">
        <v>11103</v>
      </c>
      <c r="E335" s="2252" t="s">
        <v>3296</v>
      </c>
      <c r="F335" s="1759" t="s">
        <v>3300</v>
      </c>
      <c r="G335" s="2021" t="s">
        <v>3297</v>
      </c>
      <c r="H335" s="1762">
        <v>11266</v>
      </c>
      <c r="I335" s="2290"/>
      <c r="J335" s="613"/>
      <c r="K335" s="2290"/>
      <c r="L335" s="2290"/>
      <c r="M335" s="1763">
        <v>41730</v>
      </c>
      <c r="N335" s="1763">
        <v>41759</v>
      </c>
      <c r="O335" s="2021"/>
      <c r="P335" s="2021"/>
      <c r="Q335" s="1912"/>
    </row>
    <row r="336" spans="1:17" s="420" customFormat="1" ht="25.5" x14ac:dyDescent="0.25">
      <c r="A336" s="2021"/>
      <c r="B336" s="2021" t="s">
        <v>3295</v>
      </c>
      <c r="C336" s="2021"/>
      <c r="D336" s="2021">
        <v>11103</v>
      </c>
      <c r="E336" s="2252" t="s">
        <v>3296</v>
      </c>
      <c r="F336" s="1759" t="s">
        <v>3301</v>
      </c>
      <c r="G336" s="2021" t="s">
        <v>3297</v>
      </c>
      <c r="H336" s="1762">
        <v>11299</v>
      </c>
      <c r="I336" s="2290"/>
      <c r="J336" s="613"/>
      <c r="K336" s="2290"/>
      <c r="L336" s="2290"/>
      <c r="M336" s="1763">
        <v>41760</v>
      </c>
      <c r="N336" s="1763">
        <v>41820</v>
      </c>
      <c r="O336" s="2021"/>
      <c r="P336" s="2021"/>
      <c r="Q336" s="1912"/>
    </row>
    <row r="337" spans="1:17" s="420" customFormat="1" ht="25.5" x14ac:dyDescent="0.25">
      <c r="A337" s="2021"/>
      <c r="B337" s="2021" t="s">
        <v>3295</v>
      </c>
      <c r="C337" s="2021"/>
      <c r="D337" s="2021">
        <v>11103</v>
      </c>
      <c r="E337" s="2252" t="s">
        <v>3296</v>
      </c>
      <c r="F337" s="1759" t="s">
        <v>3302</v>
      </c>
      <c r="G337" s="2021" t="s">
        <v>3297</v>
      </c>
      <c r="H337" s="1762">
        <v>11350</v>
      </c>
      <c r="I337" s="2290"/>
      <c r="J337" s="613"/>
      <c r="K337" s="2290"/>
      <c r="L337" s="2290"/>
      <c r="M337" s="1763">
        <v>41821</v>
      </c>
      <c r="N337" s="1763">
        <v>41880</v>
      </c>
      <c r="O337" s="2021"/>
      <c r="P337" s="2021"/>
      <c r="Q337" s="1912"/>
    </row>
    <row r="338" spans="1:17" s="420" customFormat="1" ht="25.5" x14ac:dyDescent="0.25">
      <c r="A338" s="2021"/>
      <c r="B338" s="2021" t="s">
        <v>3295</v>
      </c>
      <c r="C338" s="2021"/>
      <c r="D338" s="2021">
        <v>11103</v>
      </c>
      <c r="E338" s="2252" t="s">
        <v>3296</v>
      </c>
      <c r="F338" s="1759" t="s">
        <v>3303</v>
      </c>
      <c r="G338" s="2021" t="s">
        <v>3297</v>
      </c>
      <c r="H338" s="1762">
        <v>11385</v>
      </c>
      <c r="I338" s="2290"/>
      <c r="J338" s="1779">
        <v>69180.58</v>
      </c>
      <c r="K338" s="2290"/>
      <c r="L338" s="2290"/>
      <c r="M338" s="1767"/>
      <c r="N338" s="1763"/>
      <c r="O338" s="2021"/>
      <c r="P338" s="2021"/>
      <c r="Q338" s="1912"/>
    </row>
    <row r="339" spans="1:17" s="420" customFormat="1" ht="25.5" x14ac:dyDescent="0.25">
      <c r="A339" s="2021"/>
      <c r="B339" s="2021" t="s">
        <v>3295</v>
      </c>
      <c r="C339" s="2021"/>
      <c r="D339" s="2021">
        <v>11103</v>
      </c>
      <c r="E339" s="2252" t="s">
        <v>3296</v>
      </c>
      <c r="F339" s="1759" t="s">
        <v>3304</v>
      </c>
      <c r="G339" s="2021" t="s">
        <v>3297</v>
      </c>
      <c r="H339" s="1762">
        <v>11389</v>
      </c>
      <c r="I339" s="2290"/>
      <c r="J339" s="1779"/>
      <c r="K339" s="2290"/>
      <c r="L339" s="2290"/>
      <c r="M339" s="1766">
        <v>41881</v>
      </c>
      <c r="N339" s="1763">
        <v>41910</v>
      </c>
      <c r="O339" s="2021"/>
      <c r="P339" s="2021"/>
      <c r="Q339" s="1912"/>
    </row>
    <row r="340" spans="1:17" s="420" customFormat="1" ht="25.5" x14ac:dyDescent="0.25">
      <c r="A340" s="2021"/>
      <c r="B340" s="2021" t="s">
        <v>3295</v>
      </c>
      <c r="C340" s="2021"/>
      <c r="D340" s="2021">
        <v>11103</v>
      </c>
      <c r="E340" s="2252" t="s">
        <v>3296</v>
      </c>
      <c r="F340" s="1759" t="s">
        <v>3305</v>
      </c>
      <c r="G340" s="2021" t="s">
        <v>3297</v>
      </c>
      <c r="H340" s="1762">
        <v>11414</v>
      </c>
      <c r="I340" s="2290"/>
      <c r="J340" s="1779"/>
      <c r="K340" s="2290"/>
      <c r="L340" s="2290"/>
      <c r="M340" s="1766">
        <v>41911</v>
      </c>
      <c r="N340" s="1763">
        <v>41970</v>
      </c>
      <c r="O340" s="2021"/>
      <c r="P340" s="2021"/>
      <c r="Q340" s="1912"/>
    </row>
    <row r="341" spans="1:17" s="420" customFormat="1" x14ac:dyDescent="0.25">
      <c r="A341" s="1986"/>
      <c r="B341" s="1986" t="s">
        <v>3306</v>
      </c>
      <c r="C341" s="1986"/>
      <c r="D341" s="1986">
        <v>11103</v>
      </c>
      <c r="E341" s="2234" t="s">
        <v>3307</v>
      </c>
      <c r="F341" s="1759" t="s">
        <v>3308</v>
      </c>
      <c r="G341" s="1986"/>
      <c r="H341" s="1762">
        <v>11453</v>
      </c>
      <c r="I341" s="2283"/>
      <c r="J341" s="1779"/>
      <c r="K341" s="2283"/>
      <c r="L341" s="2283"/>
      <c r="M341" s="1766">
        <v>41971</v>
      </c>
      <c r="N341" s="1763">
        <v>42030</v>
      </c>
      <c r="O341" s="1986"/>
      <c r="P341" s="1986"/>
      <c r="Q341" s="1912"/>
    </row>
    <row r="342" spans="1:17" s="420" customFormat="1" x14ac:dyDescent="0.25">
      <c r="A342" s="1985" t="s">
        <v>3309</v>
      </c>
      <c r="B342" s="1985" t="s">
        <v>3310</v>
      </c>
      <c r="C342" s="1985" t="s">
        <v>168</v>
      </c>
      <c r="D342" s="1985">
        <v>11085</v>
      </c>
      <c r="E342" s="2233" t="s">
        <v>3311</v>
      </c>
      <c r="F342" s="1759" t="s">
        <v>3312</v>
      </c>
      <c r="G342" s="1985" t="s">
        <v>3313</v>
      </c>
      <c r="H342" s="1762">
        <v>11213</v>
      </c>
      <c r="I342" s="2282">
        <v>2575122.6800000002</v>
      </c>
      <c r="J342" s="613">
        <v>0</v>
      </c>
      <c r="K342" s="2282">
        <v>2634304.02</v>
      </c>
      <c r="L342" s="2282">
        <v>2634304.02</v>
      </c>
      <c r="M342" s="1763">
        <v>41644</v>
      </c>
      <c r="N342" s="1763">
        <v>42009</v>
      </c>
      <c r="O342" s="1985">
        <v>19</v>
      </c>
      <c r="P342" s="1985">
        <v>33903900</v>
      </c>
      <c r="Q342" s="1912"/>
    </row>
    <row r="343" spans="1:17" s="420" customFormat="1" ht="25.5" x14ac:dyDescent="0.25">
      <c r="A343" s="2021"/>
      <c r="B343" s="2021" t="s">
        <v>3310</v>
      </c>
      <c r="C343" s="2021"/>
      <c r="D343" s="2021"/>
      <c r="E343" s="2252" t="s">
        <v>3311</v>
      </c>
      <c r="F343" s="1759" t="s">
        <v>3314</v>
      </c>
      <c r="G343" s="2021" t="s">
        <v>3313</v>
      </c>
      <c r="H343" s="1762">
        <v>11367</v>
      </c>
      <c r="I343" s="2290"/>
      <c r="J343" s="613">
        <v>138143.88</v>
      </c>
      <c r="K343" s="2290"/>
      <c r="L343" s="2290"/>
      <c r="M343" s="1763"/>
      <c r="N343" s="1763"/>
      <c r="O343" s="2021"/>
      <c r="P343" s="2021"/>
      <c r="Q343" s="1912"/>
    </row>
    <row r="344" spans="1:17" s="420" customFormat="1" ht="25.5" x14ac:dyDescent="0.25">
      <c r="A344" s="2021"/>
      <c r="B344" s="2021" t="s">
        <v>3310</v>
      </c>
      <c r="C344" s="2021"/>
      <c r="D344" s="2021"/>
      <c r="E344" s="2252" t="s">
        <v>3311</v>
      </c>
      <c r="F344" s="1759" t="s">
        <v>3315</v>
      </c>
      <c r="G344" s="2021" t="s">
        <v>3313</v>
      </c>
      <c r="H344" s="1762">
        <v>11385</v>
      </c>
      <c r="I344" s="2290"/>
      <c r="J344" s="613">
        <v>252809.88</v>
      </c>
      <c r="K344" s="2290"/>
      <c r="L344" s="2290"/>
      <c r="M344" s="1763"/>
      <c r="N344" s="1763"/>
      <c r="O344" s="2021"/>
      <c r="P344" s="2021"/>
      <c r="Q344" s="1912"/>
    </row>
    <row r="345" spans="1:17" s="420" customFormat="1" ht="25.5" x14ac:dyDescent="0.25">
      <c r="A345" s="1986"/>
      <c r="B345" s="1986" t="s">
        <v>3310</v>
      </c>
      <c r="C345" s="1986"/>
      <c r="D345" s="1986">
        <v>11085</v>
      </c>
      <c r="E345" s="2234" t="s">
        <v>3311</v>
      </c>
      <c r="F345" s="1759" t="s">
        <v>3316</v>
      </c>
      <c r="G345" s="1986" t="s">
        <v>3313</v>
      </c>
      <c r="H345" s="1762">
        <v>11405</v>
      </c>
      <c r="I345" s="2283"/>
      <c r="J345" s="613">
        <v>250776.46</v>
      </c>
      <c r="K345" s="2283"/>
      <c r="L345" s="2283"/>
      <c r="M345" s="1763"/>
      <c r="N345" s="1763"/>
      <c r="O345" s="1986"/>
      <c r="P345" s="1986"/>
      <c r="Q345" s="1912"/>
    </row>
    <row r="346" spans="1:17" s="420" customFormat="1" x14ac:dyDescent="0.25">
      <c r="A346" s="1985" t="s">
        <v>3317</v>
      </c>
      <c r="B346" s="1985" t="s">
        <v>3318</v>
      </c>
      <c r="C346" s="1985" t="s">
        <v>168</v>
      </c>
      <c r="D346" s="1985">
        <v>11155</v>
      </c>
      <c r="E346" s="2233" t="s">
        <v>3319</v>
      </c>
      <c r="F346" s="1759" t="s">
        <v>381</v>
      </c>
      <c r="G346" s="1985" t="s">
        <v>3320</v>
      </c>
      <c r="H346" s="1762">
        <v>11155</v>
      </c>
      <c r="I346" s="2282">
        <v>18672857.509999998</v>
      </c>
      <c r="J346" s="613">
        <v>0</v>
      </c>
      <c r="K346" s="2282">
        <v>643548.32999999996</v>
      </c>
      <c r="L346" s="2282">
        <v>643548.32999999996</v>
      </c>
      <c r="M346" s="1763">
        <v>41667</v>
      </c>
      <c r="N346" s="1763">
        <v>42236</v>
      </c>
      <c r="O346" s="1985" t="s">
        <v>2882</v>
      </c>
      <c r="P346" s="1985">
        <v>44905100</v>
      </c>
      <c r="Q346" s="1912"/>
    </row>
    <row r="347" spans="1:17" s="420" customFormat="1" ht="25.5" x14ac:dyDescent="0.25">
      <c r="A347" s="2021"/>
      <c r="B347" s="2021" t="s">
        <v>3318</v>
      </c>
      <c r="C347" s="2021"/>
      <c r="D347" s="2021">
        <v>11155</v>
      </c>
      <c r="E347" s="2252" t="s">
        <v>3319</v>
      </c>
      <c r="F347" s="1759" t="s">
        <v>3321</v>
      </c>
      <c r="G347" s="2021" t="s">
        <v>3320</v>
      </c>
      <c r="H347" s="1762">
        <v>11300</v>
      </c>
      <c r="I347" s="2290"/>
      <c r="J347" s="613">
        <v>-208299.54</v>
      </c>
      <c r="K347" s="2290"/>
      <c r="L347" s="2290"/>
      <c r="M347" s="1763"/>
      <c r="N347" s="1763"/>
      <c r="O347" s="2021"/>
      <c r="P347" s="2021"/>
      <c r="Q347" s="1912"/>
    </row>
    <row r="348" spans="1:17" s="420" customFormat="1" ht="25.5" x14ac:dyDescent="0.25">
      <c r="A348" s="1986"/>
      <c r="B348" s="1986" t="s">
        <v>3318</v>
      </c>
      <c r="C348" s="1986"/>
      <c r="D348" s="1986">
        <v>11155</v>
      </c>
      <c r="E348" s="2234" t="s">
        <v>3319</v>
      </c>
      <c r="F348" s="1759" t="s">
        <v>3322</v>
      </c>
      <c r="G348" s="1986" t="s">
        <v>3320</v>
      </c>
      <c r="H348" s="1762">
        <v>11348</v>
      </c>
      <c r="I348" s="2283"/>
      <c r="J348" s="613">
        <v>1146542.06</v>
      </c>
      <c r="K348" s="2283"/>
      <c r="L348" s="2283"/>
      <c r="M348" s="1763"/>
      <c r="N348" s="1763"/>
      <c r="O348" s="1986"/>
      <c r="P348" s="1986"/>
      <c r="Q348" s="1912"/>
    </row>
    <row r="349" spans="1:17" s="420" customFormat="1" x14ac:dyDescent="0.25">
      <c r="A349" s="1985" t="s">
        <v>3323</v>
      </c>
      <c r="B349" s="1985" t="s">
        <v>3324</v>
      </c>
      <c r="C349" s="1985" t="s">
        <v>168</v>
      </c>
      <c r="D349" s="1985">
        <v>11200</v>
      </c>
      <c r="E349" s="2233" t="s">
        <v>3325</v>
      </c>
      <c r="F349" s="1759" t="s">
        <v>780</v>
      </c>
      <c r="G349" s="1985" t="s">
        <v>2990</v>
      </c>
      <c r="H349" s="1762">
        <v>11245</v>
      </c>
      <c r="I349" s="2282">
        <v>1060975.9300000002</v>
      </c>
      <c r="J349" s="613">
        <v>0</v>
      </c>
      <c r="K349" s="2282">
        <v>655673.69999999995</v>
      </c>
      <c r="L349" s="2282">
        <v>655673.69999999995</v>
      </c>
      <c r="M349" s="1763">
        <v>41753</v>
      </c>
      <c r="N349" s="1763">
        <v>41962</v>
      </c>
      <c r="O349" s="1985" t="s">
        <v>2882</v>
      </c>
      <c r="P349" s="1985">
        <v>44905100</v>
      </c>
      <c r="Q349" s="1912"/>
    </row>
    <row r="350" spans="1:17" s="420" customFormat="1" ht="25.5" x14ac:dyDescent="0.25">
      <c r="A350" s="2021"/>
      <c r="B350" s="2021" t="s">
        <v>3324</v>
      </c>
      <c r="C350" s="2021"/>
      <c r="D350" s="2021">
        <v>11200</v>
      </c>
      <c r="E350" s="2252" t="s">
        <v>3326</v>
      </c>
      <c r="F350" s="1759" t="s">
        <v>3327</v>
      </c>
      <c r="G350" s="2021" t="s">
        <v>2990</v>
      </c>
      <c r="H350" s="1762">
        <v>1338</v>
      </c>
      <c r="I350" s="2290"/>
      <c r="J350" s="613">
        <v>141545.81</v>
      </c>
      <c r="K350" s="2290"/>
      <c r="L350" s="2290"/>
      <c r="M350" s="1763"/>
      <c r="N350" s="1763"/>
      <c r="O350" s="2021"/>
      <c r="P350" s="2021"/>
      <c r="Q350" s="1912"/>
    </row>
    <row r="351" spans="1:17" s="420" customFormat="1" ht="25.5" x14ac:dyDescent="0.25">
      <c r="A351" s="2021"/>
      <c r="B351" s="2021" t="s">
        <v>3324</v>
      </c>
      <c r="C351" s="2021"/>
      <c r="D351" s="2021">
        <v>11200</v>
      </c>
      <c r="E351" s="2252" t="s">
        <v>3326</v>
      </c>
      <c r="F351" s="1759" t="s">
        <v>3328</v>
      </c>
      <c r="G351" s="2021" t="s">
        <v>2990</v>
      </c>
      <c r="H351" s="1762">
        <v>11399</v>
      </c>
      <c r="I351" s="2290"/>
      <c r="J351" s="613"/>
      <c r="K351" s="2290"/>
      <c r="L351" s="2290"/>
      <c r="M351" s="1763">
        <v>41963</v>
      </c>
      <c r="N351" s="1763">
        <v>42052</v>
      </c>
      <c r="O351" s="2021"/>
      <c r="P351" s="2021"/>
      <c r="Q351" s="1912"/>
    </row>
    <row r="352" spans="1:17" s="420" customFormat="1" ht="25.5" x14ac:dyDescent="0.25">
      <c r="A352" s="1986"/>
      <c r="B352" s="1986" t="s">
        <v>3324</v>
      </c>
      <c r="C352" s="1986"/>
      <c r="D352" s="1986">
        <v>11200</v>
      </c>
      <c r="E352" s="2234" t="s">
        <v>3326</v>
      </c>
      <c r="F352" s="1759" t="s">
        <v>3329</v>
      </c>
      <c r="G352" s="1986" t="s">
        <v>2990</v>
      </c>
      <c r="H352" s="1762">
        <v>11401</v>
      </c>
      <c r="I352" s="2283"/>
      <c r="J352" s="613">
        <v>-14337.13</v>
      </c>
      <c r="K352" s="2283"/>
      <c r="L352" s="2283"/>
      <c r="M352" s="1763"/>
      <c r="N352" s="1763"/>
      <c r="O352" s="1986"/>
      <c r="P352" s="1986"/>
      <c r="Q352" s="1912"/>
    </row>
    <row r="353" spans="1:17" s="420" customFormat="1" x14ac:dyDescent="0.25">
      <c r="A353" s="1985" t="s">
        <v>3330</v>
      </c>
      <c r="B353" s="1985" t="s">
        <v>3331</v>
      </c>
      <c r="C353" s="1985" t="s">
        <v>168</v>
      </c>
      <c r="D353" s="1985">
        <v>11221</v>
      </c>
      <c r="E353" s="2233" t="s">
        <v>3332</v>
      </c>
      <c r="F353" s="1759" t="s">
        <v>1804</v>
      </c>
      <c r="G353" s="1985" t="s">
        <v>3333</v>
      </c>
      <c r="H353" s="1762">
        <v>11303</v>
      </c>
      <c r="I353" s="2282">
        <v>1885430.24</v>
      </c>
      <c r="J353" s="613">
        <v>0</v>
      </c>
      <c r="K353" s="2282">
        <v>800000</v>
      </c>
      <c r="L353" s="2282">
        <v>800000</v>
      </c>
      <c r="M353" s="1763">
        <v>41772</v>
      </c>
      <c r="N353" s="1763">
        <v>41831</v>
      </c>
      <c r="O353" s="1985">
        <v>1</v>
      </c>
      <c r="P353" s="1985">
        <v>44905100</v>
      </c>
      <c r="Q353" s="1912"/>
    </row>
    <row r="354" spans="1:17" s="420" customFormat="1" ht="25.5" x14ac:dyDescent="0.25">
      <c r="A354" s="2021"/>
      <c r="B354" s="2021" t="s">
        <v>3331</v>
      </c>
      <c r="C354" s="2021"/>
      <c r="D354" s="2021">
        <v>11221</v>
      </c>
      <c r="E354" s="2252" t="s">
        <v>3332</v>
      </c>
      <c r="F354" s="1759" t="s">
        <v>3334</v>
      </c>
      <c r="G354" s="2021" t="s">
        <v>3333</v>
      </c>
      <c r="H354" s="1762">
        <v>11354</v>
      </c>
      <c r="I354" s="2290"/>
      <c r="J354" s="613"/>
      <c r="K354" s="2290"/>
      <c r="L354" s="2290"/>
      <c r="M354" s="1763">
        <v>41832</v>
      </c>
      <c r="N354" s="1763">
        <v>41891</v>
      </c>
      <c r="O354" s="2021"/>
      <c r="P354" s="2021"/>
      <c r="Q354" s="1912"/>
    </row>
    <row r="355" spans="1:17" s="420" customFormat="1" ht="25.5" x14ac:dyDescent="0.25">
      <c r="A355" s="2021"/>
      <c r="B355" s="2021" t="s">
        <v>3331</v>
      </c>
      <c r="C355" s="2021"/>
      <c r="D355" s="2021">
        <v>11221</v>
      </c>
      <c r="E355" s="2252" t="s">
        <v>3332</v>
      </c>
      <c r="F355" s="1759" t="s">
        <v>3335</v>
      </c>
      <c r="G355" s="2021" t="s">
        <v>3333</v>
      </c>
      <c r="H355" s="1762">
        <v>11408</v>
      </c>
      <c r="I355" s="2290"/>
      <c r="J355" s="613"/>
      <c r="K355" s="2290"/>
      <c r="L355" s="2290"/>
      <c r="M355" s="1763">
        <v>41892</v>
      </c>
      <c r="N355" s="1763">
        <v>41951</v>
      </c>
      <c r="O355" s="2021"/>
      <c r="P355" s="2021"/>
      <c r="Q355" s="1912"/>
    </row>
    <row r="356" spans="1:17" s="420" customFormat="1" ht="25.5" x14ac:dyDescent="0.25">
      <c r="A356" s="1986"/>
      <c r="B356" s="1986" t="s">
        <v>3336</v>
      </c>
      <c r="C356" s="1986"/>
      <c r="D356" s="1986">
        <v>11221</v>
      </c>
      <c r="E356" s="2234" t="s">
        <v>3337</v>
      </c>
      <c r="F356" s="1759" t="s">
        <v>3338</v>
      </c>
      <c r="G356" s="1986" t="s">
        <v>3333</v>
      </c>
      <c r="H356" s="1762">
        <v>11450</v>
      </c>
      <c r="I356" s="2283"/>
      <c r="J356" s="613"/>
      <c r="K356" s="2283"/>
      <c r="L356" s="2283"/>
      <c r="M356" s="1763">
        <v>41952</v>
      </c>
      <c r="N356" s="1763">
        <v>42011</v>
      </c>
      <c r="O356" s="1986"/>
      <c r="P356" s="1986"/>
      <c r="Q356" s="1912"/>
    </row>
    <row r="357" spans="1:17" s="420" customFormat="1" x14ac:dyDescent="0.25">
      <c r="A357" s="1985" t="s">
        <v>2308</v>
      </c>
      <c r="B357" s="1985" t="s">
        <v>3339</v>
      </c>
      <c r="C357" s="1985" t="s">
        <v>168</v>
      </c>
      <c r="D357" s="1985">
        <v>11302</v>
      </c>
      <c r="E357" s="2233" t="s">
        <v>3340</v>
      </c>
      <c r="F357" s="1759" t="s">
        <v>1953</v>
      </c>
      <c r="G357" s="1985" t="s">
        <v>3341</v>
      </c>
      <c r="H357" s="1762">
        <v>11341</v>
      </c>
      <c r="I357" s="2282">
        <v>2530356.2999999998</v>
      </c>
      <c r="J357" s="613"/>
      <c r="K357" s="2282">
        <v>1693201.35</v>
      </c>
      <c r="L357" s="2282">
        <v>1693201.35</v>
      </c>
      <c r="M357" s="1763">
        <v>41823</v>
      </c>
      <c r="N357" s="1763">
        <v>41972</v>
      </c>
      <c r="O357" s="1985" t="s">
        <v>2882</v>
      </c>
      <c r="P357" s="1985">
        <v>44905100</v>
      </c>
      <c r="Q357" s="1912"/>
    </row>
    <row r="358" spans="1:17" s="420" customFormat="1" ht="25.5" x14ac:dyDescent="0.25">
      <c r="A358" s="2021"/>
      <c r="B358" s="2021" t="s">
        <v>3339</v>
      </c>
      <c r="C358" s="2021"/>
      <c r="D358" s="2021">
        <v>11302</v>
      </c>
      <c r="E358" s="2252" t="s">
        <v>3340</v>
      </c>
      <c r="F358" s="1759" t="s">
        <v>3342</v>
      </c>
      <c r="G358" s="2021" t="s">
        <v>3341</v>
      </c>
      <c r="H358" s="1762">
        <v>11345</v>
      </c>
      <c r="I358" s="2290"/>
      <c r="J358" s="613">
        <v>39569.82</v>
      </c>
      <c r="K358" s="2290"/>
      <c r="L358" s="2290"/>
      <c r="M358" s="1763"/>
      <c r="N358" s="1763"/>
      <c r="O358" s="2021"/>
      <c r="P358" s="2021"/>
      <c r="Q358" s="1912"/>
    </row>
    <row r="359" spans="1:17" s="420" customFormat="1" ht="25.5" x14ac:dyDescent="0.25">
      <c r="A359" s="1986"/>
      <c r="B359" s="1986" t="s">
        <v>3343</v>
      </c>
      <c r="C359" s="1986"/>
      <c r="D359" s="1986">
        <v>11302</v>
      </c>
      <c r="E359" s="2234" t="s">
        <v>3344</v>
      </c>
      <c r="F359" s="1759" t="s">
        <v>3345</v>
      </c>
      <c r="G359" s="1986" t="s">
        <v>3346</v>
      </c>
      <c r="H359" s="1762">
        <v>11445</v>
      </c>
      <c r="I359" s="2283"/>
      <c r="J359" s="613"/>
      <c r="K359" s="2283"/>
      <c r="L359" s="2283"/>
      <c r="M359" s="1763">
        <v>41973</v>
      </c>
      <c r="N359" s="1763">
        <v>42062</v>
      </c>
      <c r="O359" s="1986"/>
      <c r="P359" s="1986"/>
      <c r="Q359" s="1912"/>
    </row>
    <row r="360" spans="1:17" s="420" customFormat="1" x14ac:dyDescent="0.25">
      <c r="A360" s="1985" t="s">
        <v>3347</v>
      </c>
      <c r="B360" s="1985" t="s">
        <v>3348</v>
      </c>
      <c r="C360" s="1985" t="s">
        <v>168</v>
      </c>
      <c r="D360" s="1985">
        <v>11300</v>
      </c>
      <c r="E360" s="2233" t="s">
        <v>3349</v>
      </c>
      <c r="F360" s="1759" t="s">
        <v>1957</v>
      </c>
      <c r="G360" s="1985" t="s">
        <v>3350</v>
      </c>
      <c r="H360" s="1762">
        <v>11349</v>
      </c>
      <c r="I360" s="2282">
        <v>184677.28</v>
      </c>
      <c r="J360" s="613">
        <v>0</v>
      </c>
      <c r="K360" s="2282">
        <v>78281.509999999995</v>
      </c>
      <c r="L360" s="2282">
        <v>78281.509999999995</v>
      </c>
      <c r="M360" s="1763">
        <v>41834</v>
      </c>
      <c r="N360" s="1763">
        <v>41953</v>
      </c>
      <c r="O360" s="1985">
        <v>1</v>
      </c>
      <c r="P360" s="1985">
        <v>44905100</v>
      </c>
      <c r="Q360" s="1912"/>
    </row>
    <row r="361" spans="1:17" s="420" customFormat="1" ht="25.5" x14ac:dyDescent="0.25">
      <c r="A361" s="1986"/>
      <c r="B361" s="1986" t="s">
        <v>3348</v>
      </c>
      <c r="C361" s="1986"/>
      <c r="D361" s="1986">
        <v>11300</v>
      </c>
      <c r="E361" s="2234" t="s">
        <v>3349</v>
      </c>
      <c r="F361" s="1759" t="s">
        <v>3351</v>
      </c>
      <c r="G361" s="1986" t="s">
        <v>3350</v>
      </c>
      <c r="H361" s="1762" t="s">
        <v>3352</v>
      </c>
      <c r="I361" s="2283"/>
      <c r="J361" s="613"/>
      <c r="K361" s="2283"/>
      <c r="L361" s="2283"/>
      <c r="M361" s="1763">
        <v>41954</v>
      </c>
      <c r="N361" s="1763">
        <v>42043</v>
      </c>
      <c r="O361" s="1986"/>
      <c r="P361" s="1986"/>
      <c r="Q361" s="1912"/>
    </row>
    <row r="362" spans="1:17" s="420" customFormat="1" x14ac:dyDescent="0.25">
      <c r="A362" s="1985" t="s">
        <v>3347</v>
      </c>
      <c r="B362" s="1985" t="s">
        <v>3348</v>
      </c>
      <c r="C362" s="1985" t="s">
        <v>168</v>
      </c>
      <c r="D362" s="1985">
        <v>11300</v>
      </c>
      <c r="E362" s="2233" t="s">
        <v>3353</v>
      </c>
      <c r="F362" s="1759" t="s">
        <v>1959</v>
      </c>
      <c r="G362" s="1985" t="s">
        <v>3350</v>
      </c>
      <c r="H362" s="1762">
        <v>11349</v>
      </c>
      <c r="I362" s="2282">
        <v>171236.68</v>
      </c>
      <c r="J362" s="613">
        <v>0</v>
      </c>
      <c r="K362" s="2282">
        <v>46261.369999999995</v>
      </c>
      <c r="L362" s="2282">
        <v>46261.369999999995</v>
      </c>
      <c r="M362" s="1763">
        <v>41834</v>
      </c>
      <c r="N362" s="1763">
        <v>41953</v>
      </c>
      <c r="O362" s="1985">
        <v>1</v>
      </c>
      <c r="P362" s="1985">
        <v>44905100</v>
      </c>
      <c r="Q362" s="1912"/>
    </row>
    <row r="363" spans="1:17" s="420" customFormat="1" ht="25.5" x14ac:dyDescent="0.25">
      <c r="A363" s="1986"/>
      <c r="B363" s="1986" t="s">
        <v>3348</v>
      </c>
      <c r="C363" s="1986"/>
      <c r="D363" s="1986">
        <v>11300</v>
      </c>
      <c r="E363" s="2234" t="s">
        <v>3353</v>
      </c>
      <c r="F363" s="1759" t="s">
        <v>3354</v>
      </c>
      <c r="G363" s="1986" t="s">
        <v>3350</v>
      </c>
      <c r="H363" s="1762" t="s">
        <v>3355</v>
      </c>
      <c r="I363" s="2283"/>
      <c r="J363" s="613"/>
      <c r="K363" s="2283"/>
      <c r="L363" s="2283"/>
      <c r="M363" s="1763">
        <v>41954</v>
      </c>
      <c r="N363" s="1763">
        <v>42043</v>
      </c>
      <c r="O363" s="1986"/>
      <c r="P363" s="1986"/>
      <c r="Q363" s="1912"/>
    </row>
    <row r="364" spans="1:17" s="420" customFormat="1" x14ac:dyDescent="0.25">
      <c r="A364" s="1985" t="s">
        <v>3347</v>
      </c>
      <c r="B364" s="1985" t="s">
        <v>3348</v>
      </c>
      <c r="C364" s="1985" t="s">
        <v>168</v>
      </c>
      <c r="D364" s="1985">
        <v>11300</v>
      </c>
      <c r="E364" s="2233" t="s">
        <v>3356</v>
      </c>
      <c r="F364" s="1759" t="s">
        <v>1963</v>
      </c>
      <c r="G364" s="1985" t="s">
        <v>3350</v>
      </c>
      <c r="H364" s="1762">
        <v>11349</v>
      </c>
      <c r="I364" s="2282">
        <v>197230.47</v>
      </c>
      <c r="J364" s="613">
        <v>0</v>
      </c>
      <c r="K364" s="2282">
        <v>75514.67</v>
      </c>
      <c r="L364" s="2282">
        <v>75514.67</v>
      </c>
      <c r="M364" s="1763">
        <v>41834</v>
      </c>
      <c r="N364" s="1763">
        <v>41953</v>
      </c>
      <c r="O364" s="1985">
        <v>1</v>
      </c>
      <c r="P364" s="1985">
        <v>44905100</v>
      </c>
      <c r="Q364" s="1912"/>
    </row>
    <row r="365" spans="1:17" s="420" customFormat="1" ht="25.5" x14ac:dyDescent="0.25">
      <c r="A365" s="1986"/>
      <c r="B365" s="1986" t="s">
        <v>3348</v>
      </c>
      <c r="C365" s="1986"/>
      <c r="D365" s="1986">
        <v>11300</v>
      </c>
      <c r="E365" s="2234" t="s">
        <v>3356</v>
      </c>
      <c r="F365" s="1759" t="s">
        <v>3357</v>
      </c>
      <c r="G365" s="1986" t="s">
        <v>3350</v>
      </c>
      <c r="H365" s="1762" t="s">
        <v>3358</v>
      </c>
      <c r="I365" s="2283"/>
      <c r="J365" s="613"/>
      <c r="K365" s="2283"/>
      <c r="L365" s="2283"/>
      <c r="M365" s="1763">
        <v>41954</v>
      </c>
      <c r="N365" s="1763">
        <v>42043</v>
      </c>
      <c r="O365" s="1986"/>
      <c r="P365" s="1986"/>
      <c r="Q365" s="1912"/>
    </row>
    <row r="366" spans="1:17" s="420" customFormat="1" x14ac:dyDescent="0.25">
      <c r="A366" s="1985" t="s">
        <v>3347</v>
      </c>
      <c r="B366" s="1985" t="s">
        <v>3348</v>
      </c>
      <c r="C366" s="1985" t="s">
        <v>168</v>
      </c>
      <c r="D366" s="1985">
        <v>11300</v>
      </c>
      <c r="E366" s="2233" t="s">
        <v>3359</v>
      </c>
      <c r="F366" s="1759" t="s">
        <v>1966</v>
      </c>
      <c r="G366" s="1985" t="s">
        <v>3350</v>
      </c>
      <c r="H366" s="1762">
        <v>11349</v>
      </c>
      <c r="I366" s="2282">
        <v>143048.97</v>
      </c>
      <c r="J366" s="613">
        <v>0</v>
      </c>
      <c r="K366" s="2282">
        <v>19666.77</v>
      </c>
      <c r="L366" s="2282">
        <v>19666.77</v>
      </c>
      <c r="M366" s="1763">
        <v>41834</v>
      </c>
      <c r="N366" s="1763">
        <v>41953</v>
      </c>
      <c r="O366" s="1985">
        <v>1</v>
      </c>
      <c r="P366" s="1985">
        <v>44905100</v>
      </c>
      <c r="Q366" s="1912"/>
    </row>
    <row r="367" spans="1:17" s="420" customFormat="1" ht="25.5" x14ac:dyDescent="0.25">
      <c r="A367" s="1986"/>
      <c r="B367" s="1986" t="s">
        <v>3348</v>
      </c>
      <c r="C367" s="1986"/>
      <c r="D367" s="1986">
        <v>11300</v>
      </c>
      <c r="E367" s="2234" t="s">
        <v>3359</v>
      </c>
      <c r="F367" s="1759" t="s">
        <v>3360</v>
      </c>
      <c r="G367" s="1986" t="s">
        <v>3350</v>
      </c>
      <c r="H367" s="1762" t="s">
        <v>3361</v>
      </c>
      <c r="I367" s="2283"/>
      <c r="J367" s="613"/>
      <c r="K367" s="2283"/>
      <c r="L367" s="2283"/>
      <c r="M367" s="1763">
        <v>41954</v>
      </c>
      <c r="N367" s="1763">
        <v>42043</v>
      </c>
      <c r="O367" s="1986"/>
      <c r="P367" s="1986"/>
      <c r="Q367" s="1912"/>
    </row>
    <row r="368" spans="1:17" s="420" customFormat="1" x14ac:dyDescent="0.25">
      <c r="A368" s="2207" t="s">
        <v>601</v>
      </c>
      <c r="B368" s="2207"/>
      <c r="C368" s="2207"/>
      <c r="D368" s="2207"/>
      <c r="E368" s="2207"/>
      <c r="F368" s="515"/>
      <c r="G368" s="516"/>
      <c r="H368" s="516"/>
      <c r="I368" s="1916">
        <f t="shared" ref="I368:K368" si="5">SUM(I276:I366)</f>
        <v>51719759.149999991</v>
      </c>
      <c r="J368" s="1916">
        <f t="shared" si="5"/>
        <v>2198369.35</v>
      </c>
      <c r="K368" s="1916">
        <f t="shared" si="5"/>
        <v>8373576.1900000004</v>
      </c>
      <c r="L368" s="1916">
        <f>SUM(L276:L366)</f>
        <v>19995266.580000006</v>
      </c>
      <c r="M368" s="517"/>
      <c r="N368" s="517"/>
      <c r="O368" s="516"/>
      <c r="P368" s="516"/>
      <c r="Q368" s="1918"/>
    </row>
    <row r="369" spans="1:17" s="420" customFormat="1" x14ac:dyDescent="0.25">
      <c r="G369" s="422"/>
      <c r="I369" s="1923"/>
      <c r="J369" s="428"/>
      <c r="K369" s="428"/>
      <c r="L369" s="428"/>
      <c r="M369" s="1924"/>
      <c r="N369" s="1924"/>
      <c r="P369" s="1925"/>
    </row>
    <row r="370" spans="1:17" s="420" customFormat="1" x14ac:dyDescent="0.25">
      <c r="G370" s="422"/>
      <c r="I370" s="1923"/>
      <c r="J370" s="428"/>
      <c r="K370" s="428"/>
      <c r="L370" s="428"/>
      <c r="M370" s="1924"/>
      <c r="N370" s="1924"/>
      <c r="P370" s="1925"/>
    </row>
    <row r="371" spans="1:17" s="1927" customFormat="1" ht="19.5" customHeight="1" x14ac:dyDescent="0.25">
      <c r="A371" s="2336" t="s">
        <v>3362</v>
      </c>
      <c r="B371" s="2336"/>
      <c r="C371" s="2336"/>
      <c r="D371" s="2336"/>
      <c r="E371" s="2336"/>
      <c r="F371" s="2336"/>
      <c r="G371" s="2336"/>
      <c r="H371" s="2336"/>
      <c r="I371" s="2336"/>
      <c r="J371" s="2336"/>
      <c r="K371" s="2336"/>
      <c r="L371" s="2336"/>
      <c r="M371" s="2336"/>
      <c r="N371" s="2336"/>
      <c r="O371" s="2336"/>
      <c r="P371" s="2336"/>
      <c r="Q371" s="1926"/>
    </row>
    <row r="372" spans="1:17" s="420" customFormat="1" ht="15.75" customHeight="1" x14ac:dyDescent="0.25">
      <c r="A372" s="2050" t="s">
        <v>2778</v>
      </c>
      <c r="B372" s="2050"/>
      <c r="C372" s="2050"/>
      <c r="D372" s="2050"/>
      <c r="E372" s="2050"/>
      <c r="F372" s="2207" t="s">
        <v>2779</v>
      </c>
      <c r="G372" s="2207"/>
      <c r="H372" s="2207"/>
      <c r="I372" s="2207"/>
      <c r="J372" s="2207"/>
      <c r="K372" s="2207"/>
      <c r="L372" s="2207"/>
      <c r="M372" s="2207"/>
      <c r="N372" s="2207"/>
      <c r="O372" s="2207"/>
      <c r="P372" s="2207"/>
      <c r="Q372" s="1908"/>
    </row>
    <row r="373" spans="1:17" s="420" customFormat="1" ht="15.75" customHeight="1" x14ac:dyDescent="0.25">
      <c r="A373" s="2050"/>
      <c r="B373" s="2050"/>
      <c r="C373" s="2050"/>
      <c r="D373" s="2050"/>
      <c r="E373" s="2050"/>
      <c r="F373" s="1967" t="s">
        <v>2780</v>
      </c>
      <c r="G373" s="1967"/>
      <c r="H373" s="1967"/>
      <c r="I373" s="2296" t="s">
        <v>918</v>
      </c>
      <c r="J373" s="2296"/>
      <c r="K373" s="2296"/>
      <c r="L373" s="2296"/>
      <c r="M373" s="2337" t="s">
        <v>2781</v>
      </c>
      <c r="N373" s="2337"/>
      <c r="O373" s="1967" t="s">
        <v>2782</v>
      </c>
      <c r="P373" s="1967"/>
      <c r="Q373" s="2327"/>
    </row>
    <row r="374" spans="1:17" s="420" customFormat="1" ht="25.5" x14ac:dyDescent="0.25">
      <c r="A374" s="1758" t="s">
        <v>2783</v>
      </c>
      <c r="B374" s="1758" t="s">
        <v>32</v>
      </c>
      <c r="C374" s="1758" t="s">
        <v>3363</v>
      </c>
      <c r="D374" s="1758" t="s">
        <v>2784</v>
      </c>
      <c r="E374" s="1758" t="s">
        <v>33</v>
      </c>
      <c r="F374" s="1759" t="s">
        <v>2785</v>
      </c>
      <c r="G374" s="1758" t="s">
        <v>36</v>
      </c>
      <c r="H374" s="1758" t="s">
        <v>2784</v>
      </c>
      <c r="I374" s="1779" t="s">
        <v>2786</v>
      </c>
      <c r="J374" s="1779" t="s">
        <v>2787</v>
      </c>
      <c r="K374" s="1779" t="s">
        <v>2788</v>
      </c>
      <c r="L374" s="1779" t="s">
        <v>2789</v>
      </c>
      <c r="M374" s="1763" t="s">
        <v>58</v>
      </c>
      <c r="N374" s="1763" t="s">
        <v>2790</v>
      </c>
      <c r="O374" s="1758" t="s">
        <v>43</v>
      </c>
      <c r="P374" s="1758" t="s">
        <v>47</v>
      </c>
      <c r="Q374" s="2327"/>
    </row>
    <row r="375" spans="1:17" s="420" customFormat="1" ht="35.25" customHeight="1" x14ac:dyDescent="0.25">
      <c r="A375" s="1985" t="s">
        <v>3364</v>
      </c>
      <c r="B375" s="1985" t="s">
        <v>3365</v>
      </c>
      <c r="C375" s="1985" t="s">
        <v>311</v>
      </c>
      <c r="D375" s="1985">
        <v>9969</v>
      </c>
      <c r="E375" s="1985" t="s">
        <v>3366</v>
      </c>
      <c r="F375" s="1759" t="s">
        <v>3367</v>
      </c>
      <c r="G375" s="1985" t="s">
        <v>3368</v>
      </c>
      <c r="H375" s="1758">
        <v>10020</v>
      </c>
      <c r="I375" s="2282">
        <v>99783</v>
      </c>
      <c r="J375" s="1779"/>
      <c r="K375" s="2282">
        <v>111770.98000000001</v>
      </c>
      <c r="L375" s="2282">
        <v>1192542.73</v>
      </c>
      <c r="M375" s="1763">
        <v>39903</v>
      </c>
      <c r="N375" s="1763">
        <v>40178</v>
      </c>
      <c r="O375" s="1985">
        <v>1</v>
      </c>
      <c r="P375" s="1985">
        <v>33903900</v>
      </c>
      <c r="Q375" s="1784"/>
    </row>
    <row r="376" spans="1:17" s="420" customFormat="1" ht="35.25" customHeight="1" x14ac:dyDescent="0.25">
      <c r="A376" s="2021"/>
      <c r="B376" s="2021" t="s">
        <v>3365</v>
      </c>
      <c r="C376" s="2021"/>
      <c r="D376" s="2021">
        <v>9969</v>
      </c>
      <c r="E376" s="2021" t="s">
        <v>3366</v>
      </c>
      <c r="F376" s="1759" t="s">
        <v>3369</v>
      </c>
      <c r="G376" s="2021" t="s">
        <v>3368</v>
      </c>
      <c r="H376" s="1758">
        <v>10206</v>
      </c>
      <c r="I376" s="2290"/>
      <c r="J376" s="1779"/>
      <c r="K376" s="2290"/>
      <c r="L376" s="2290"/>
      <c r="M376" s="1763">
        <v>40179</v>
      </c>
      <c r="N376" s="1763">
        <v>40451</v>
      </c>
      <c r="O376" s="2021"/>
      <c r="P376" s="2021"/>
      <c r="Q376" s="1784"/>
    </row>
    <row r="377" spans="1:17" s="420" customFormat="1" ht="35.25" customHeight="1" x14ac:dyDescent="0.25">
      <c r="A377" s="2021"/>
      <c r="B377" s="2021" t="s">
        <v>3365</v>
      </c>
      <c r="C377" s="2021"/>
      <c r="D377" s="2021">
        <v>9969</v>
      </c>
      <c r="E377" s="2021" t="s">
        <v>3366</v>
      </c>
      <c r="F377" s="1759" t="s">
        <v>3370</v>
      </c>
      <c r="G377" s="2021" t="s">
        <v>3368</v>
      </c>
      <c r="H377" s="1758">
        <v>10555</v>
      </c>
      <c r="I377" s="2290"/>
      <c r="J377" s="1779"/>
      <c r="K377" s="2290"/>
      <c r="L377" s="2290"/>
      <c r="M377" s="1763" t="s">
        <v>3371</v>
      </c>
      <c r="N377" s="1763">
        <v>40724</v>
      </c>
      <c r="O377" s="2021"/>
      <c r="P377" s="2021"/>
      <c r="Q377" s="1784"/>
    </row>
    <row r="378" spans="1:17" s="420" customFormat="1" ht="35.25" customHeight="1" x14ac:dyDescent="0.25">
      <c r="A378" s="2021"/>
      <c r="B378" s="2021" t="s">
        <v>3365</v>
      </c>
      <c r="C378" s="2021"/>
      <c r="D378" s="2021">
        <v>9969</v>
      </c>
      <c r="E378" s="2021" t="s">
        <v>3366</v>
      </c>
      <c r="F378" s="1759" t="s">
        <v>3372</v>
      </c>
      <c r="G378" s="2021" t="s">
        <v>3368</v>
      </c>
      <c r="H378" s="1758">
        <v>10775</v>
      </c>
      <c r="I378" s="2290"/>
      <c r="J378" s="1779"/>
      <c r="K378" s="2290"/>
      <c r="L378" s="2290"/>
      <c r="M378" s="1763" t="s">
        <v>3373</v>
      </c>
      <c r="N378" s="1763">
        <v>40999</v>
      </c>
      <c r="O378" s="2021"/>
      <c r="P378" s="2021"/>
      <c r="Q378" s="1784"/>
    </row>
    <row r="379" spans="1:17" s="420" customFormat="1" ht="35.25" customHeight="1" x14ac:dyDescent="0.25">
      <c r="A379" s="2021"/>
      <c r="B379" s="2021" t="s">
        <v>3365</v>
      </c>
      <c r="C379" s="2021"/>
      <c r="D379" s="2021">
        <v>9969</v>
      </c>
      <c r="E379" s="2021" t="s">
        <v>3366</v>
      </c>
      <c r="F379" s="1759" t="s">
        <v>3374</v>
      </c>
      <c r="G379" s="2021" t="s">
        <v>3368</v>
      </c>
      <c r="H379" s="1758">
        <v>11220</v>
      </c>
      <c r="I379" s="2290"/>
      <c r="J379" s="1779"/>
      <c r="K379" s="2290"/>
      <c r="L379" s="2290"/>
      <c r="M379" s="1763">
        <v>41000</v>
      </c>
      <c r="N379" s="1763">
        <v>41274</v>
      </c>
      <c r="O379" s="2021"/>
      <c r="P379" s="2021"/>
      <c r="Q379" s="1784"/>
    </row>
    <row r="380" spans="1:17" s="420" customFormat="1" ht="35.25" customHeight="1" x14ac:dyDescent="0.25">
      <c r="A380" s="2021"/>
      <c r="B380" s="2021" t="s">
        <v>3365</v>
      </c>
      <c r="C380" s="2021"/>
      <c r="D380" s="2021">
        <v>9969</v>
      </c>
      <c r="E380" s="2021" t="s">
        <v>3366</v>
      </c>
      <c r="F380" s="1759" t="s">
        <v>3375</v>
      </c>
      <c r="G380" s="2021" t="s">
        <v>3368</v>
      </c>
      <c r="H380" s="1758">
        <v>11145</v>
      </c>
      <c r="I380" s="2290"/>
      <c r="J380" s="1779"/>
      <c r="K380" s="2290"/>
      <c r="L380" s="2290"/>
      <c r="M380" s="1763">
        <v>41275</v>
      </c>
      <c r="N380" s="1763">
        <v>41547</v>
      </c>
      <c r="O380" s="2021"/>
      <c r="P380" s="2021"/>
      <c r="Q380" s="1784"/>
    </row>
    <row r="381" spans="1:17" s="420" customFormat="1" ht="35.25" customHeight="1" x14ac:dyDescent="0.25">
      <c r="A381" s="1986"/>
      <c r="B381" s="1986" t="s">
        <v>3365</v>
      </c>
      <c r="C381" s="1986"/>
      <c r="D381" s="1986">
        <v>9969</v>
      </c>
      <c r="E381" s="1986" t="s">
        <v>3366</v>
      </c>
      <c r="F381" s="1759" t="s">
        <v>3376</v>
      </c>
      <c r="G381" s="1986" t="s">
        <v>3368</v>
      </c>
      <c r="H381" s="1758">
        <v>11262</v>
      </c>
      <c r="I381" s="2283"/>
      <c r="J381" s="1779">
        <v>59171.85</v>
      </c>
      <c r="K381" s="2283"/>
      <c r="L381" s="2283"/>
      <c r="M381" s="1763" t="s">
        <v>3377</v>
      </c>
      <c r="N381" s="1763">
        <v>41767</v>
      </c>
      <c r="O381" s="1986"/>
      <c r="P381" s="1986"/>
      <c r="Q381" s="1784"/>
    </row>
    <row r="382" spans="1:17" s="420" customFormat="1" ht="35.25" customHeight="1" x14ac:dyDescent="0.25">
      <c r="A382" s="1985" t="s">
        <v>3378</v>
      </c>
      <c r="B382" s="1985" t="s">
        <v>3379</v>
      </c>
      <c r="C382" s="1985" t="s">
        <v>311</v>
      </c>
      <c r="D382" s="1985">
        <v>10245</v>
      </c>
      <c r="E382" s="1985" t="s">
        <v>3380</v>
      </c>
      <c r="F382" s="1759" t="s">
        <v>3381</v>
      </c>
      <c r="G382" s="1985" t="s">
        <v>3382</v>
      </c>
      <c r="H382" s="1758">
        <v>10263</v>
      </c>
      <c r="I382" s="2282">
        <v>14040</v>
      </c>
      <c r="J382" s="1779">
        <v>0</v>
      </c>
      <c r="K382" s="2282">
        <v>14040</v>
      </c>
      <c r="L382" s="2282">
        <v>66690</v>
      </c>
      <c r="M382" s="1763">
        <v>40258</v>
      </c>
      <c r="N382" s="1763">
        <v>40623</v>
      </c>
      <c r="O382" s="1985">
        <v>19</v>
      </c>
      <c r="P382" s="1985">
        <v>33903600</v>
      </c>
      <c r="Q382" s="1784"/>
    </row>
    <row r="383" spans="1:17" s="420" customFormat="1" ht="35.25" customHeight="1" x14ac:dyDescent="0.25">
      <c r="A383" s="2021"/>
      <c r="B383" s="2021" t="s">
        <v>3379</v>
      </c>
      <c r="C383" s="2021"/>
      <c r="D383" s="2021">
        <v>10245</v>
      </c>
      <c r="E383" s="2021" t="s">
        <v>3380</v>
      </c>
      <c r="F383" s="1759" t="s">
        <v>3383</v>
      </c>
      <c r="G383" s="2021" t="s">
        <v>3382</v>
      </c>
      <c r="H383" s="1758">
        <v>10517</v>
      </c>
      <c r="I383" s="2290"/>
      <c r="J383" s="1779"/>
      <c r="K383" s="2290"/>
      <c r="L383" s="2290"/>
      <c r="M383" s="1763">
        <f>N382+1</f>
        <v>40624</v>
      </c>
      <c r="N383" s="1763">
        <v>40988</v>
      </c>
      <c r="O383" s="2021"/>
      <c r="P383" s="2021"/>
      <c r="Q383" s="1784"/>
    </row>
    <row r="384" spans="1:17" s="420" customFormat="1" ht="35.25" customHeight="1" x14ac:dyDescent="0.25">
      <c r="A384" s="2021"/>
      <c r="B384" s="2021" t="s">
        <v>3379</v>
      </c>
      <c r="C384" s="2021"/>
      <c r="D384" s="2021">
        <v>10245</v>
      </c>
      <c r="E384" s="2021" t="s">
        <v>3380</v>
      </c>
      <c r="F384" s="1759" t="s">
        <v>3384</v>
      </c>
      <c r="G384" s="2021" t="s">
        <v>3382</v>
      </c>
      <c r="H384" s="1758">
        <v>10753</v>
      </c>
      <c r="I384" s="2290"/>
      <c r="J384" s="1779"/>
      <c r="K384" s="2290"/>
      <c r="L384" s="2290"/>
      <c r="M384" s="1763">
        <f t="shared" ref="M384:M386" si="6">N383+1</f>
        <v>40989</v>
      </c>
      <c r="N384" s="1763">
        <v>41353</v>
      </c>
      <c r="O384" s="2021"/>
      <c r="P384" s="2021"/>
      <c r="Q384" s="1784"/>
    </row>
    <row r="385" spans="1:17" s="420" customFormat="1" ht="35.25" customHeight="1" x14ac:dyDescent="0.25">
      <c r="A385" s="2021"/>
      <c r="B385" s="2021" t="s">
        <v>3379</v>
      </c>
      <c r="C385" s="2021"/>
      <c r="D385" s="2021">
        <v>10245</v>
      </c>
      <c r="E385" s="2021" t="s">
        <v>3380</v>
      </c>
      <c r="F385" s="1759" t="s">
        <v>3385</v>
      </c>
      <c r="G385" s="2021" t="s">
        <v>3382</v>
      </c>
      <c r="H385" s="1758">
        <v>11022</v>
      </c>
      <c r="I385" s="2290"/>
      <c r="J385" s="1779"/>
      <c r="K385" s="2290"/>
      <c r="L385" s="2290"/>
      <c r="M385" s="1763">
        <f t="shared" si="6"/>
        <v>41354</v>
      </c>
      <c r="N385" s="1763">
        <v>41719</v>
      </c>
      <c r="O385" s="2021"/>
      <c r="P385" s="2021"/>
      <c r="Q385" s="1784"/>
    </row>
    <row r="386" spans="1:17" s="420" customFormat="1" ht="35.25" customHeight="1" x14ac:dyDescent="0.25">
      <c r="A386" s="2021"/>
      <c r="B386" s="2021" t="s">
        <v>3379</v>
      </c>
      <c r="C386" s="2021"/>
      <c r="D386" s="2021">
        <v>10245</v>
      </c>
      <c r="E386" s="2021" t="s">
        <v>3380</v>
      </c>
      <c r="F386" s="1759" t="s">
        <v>3386</v>
      </c>
      <c r="G386" s="2021" t="s">
        <v>3382</v>
      </c>
      <c r="H386" s="1758">
        <v>11282</v>
      </c>
      <c r="I386" s="2290"/>
      <c r="J386" s="1779"/>
      <c r="K386" s="2290"/>
      <c r="L386" s="2290"/>
      <c r="M386" s="1763">
        <f t="shared" si="6"/>
        <v>41720</v>
      </c>
      <c r="N386" s="1763">
        <v>42004</v>
      </c>
      <c r="O386" s="2021"/>
      <c r="P386" s="2021"/>
      <c r="Q386" s="1784"/>
    </row>
    <row r="387" spans="1:17" s="420" customFormat="1" ht="35.25" customHeight="1" x14ac:dyDescent="0.25">
      <c r="A387" s="1986"/>
      <c r="B387" s="1986"/>
      <c r="C387" s="1986"/>
      <c r="D387" s="1986"/>
      <c r="E387" s="1986"/>
      <c r="F387" s="1759" t="s">
        <v>3387</v>
      </c>
      <c r="G387" s="1986"/>
      <c r="H387" s="1758">
        <v>11463</v>
      </c>
      <c r="I387" s="2283"/>
      <c r="J387" s="1779"/>
      <c r="K387" s="2283"/>
      <c r="L387" s="2283"/>
      <c r="M387" s="1763">
        <v>42005</v>
      </c>
      <c r="N387" s="1763">
        <v>42080</v>
      </c>
      <c r="O387" s="1986"/>
      <c r="P387" s="1986"/>
      <c r="Q387" s="1784"/>
    </row>
    <row r="388" spans="1:17" s="420" customFormat="1" ht="35.25" customHeight="1" x14ac:dyDescent="0.25">
      <c r="A388" s="1985" t="s">
        <v>3388</v>
      </c>
      <c r="B388" s="1985" t="s">
        <v>3389</v>
      </c>
      <c r="C388" s="1985" t="s">
        <v>311</v>
      </c>
      <c r="D388" s="1985">
        <v>10240</v>
      </c>
      <c r="E388" s="1985" t="s">
        <v>3390</v>
      </c>
      <c r="F388" s="1759" t="s">
        <v>904</v>
      </c>
      <c r="G388" s="1985" t="s">
        <v>3391</v>
      </c>
      <c r="H388" s="1758">
        <v>10514</v>
      </c>
      <c r="I388" s="2282">
        <v>94356</v>
      </c>
      <c r="J388" s="1779"/>
      <c r="K388" s="2282">
        <v>39695.35</v>
      </c>
      <c r="L388" s="2282">
        <v>108930.15</v>
      </c>
      <c r="M388" s="1763">
        <v>40623</v>
      </c>
      <c r="N388" s="1763">
        <v>40988</v>
      </c>
      <c r="O388" s="1985">
        <v>1</v>
      </c>
      <c r="P388" s="1985">
        <v>33903900</v>
      </c>
      <c r="Q388" s="1784"/>
    </row>
    <row r="389" spans="1:17" s="420" customFormat="1" ht="35.25" customHeight="1" x14ac:dyDescent="0.25">
      <c r="A389" s="2021"/>
      <c r="B389" s="2021" t="s">
        <v>3389</v>
      </c>
      <c r="C389" s="2021"/>
      <c r="D389" s="2021">
        <v>10240</v>
      </c>
      <c r="E389" s="2021" t="s">
        <v>3390</v>
      </c>
      <c r="F389" s="1759" t="s">
        <v>3392</v>
      </c>
      <c r="G389" s="2021" t="s">
        <v>3391</v>
      </c>
      <c r="H389" s="1758">
        <v>10884</v>
      </c>
      <c r="I389" s="2290"/>
      <c r="J389" s="1779"/>
      <c r="K389" s="2290"/>
      <c r="L389" s="2290"/>
      <c r="M389" s="1763">
        <v>40989</v>
      </c>
      <c r="N389" s="1763">
        <v>41274</v>
      </c>
      <c r="O389" s="2021"/>
      <c r="P389" s="2021"/>
      <c r="Q389" s="1784"/>
    </row>
    <row r="390" spans="1:17" s="420" customFormat="1" ht="35.25" customHeight="1" x14ac:dyDescent="0.25">
      <c r="A390" s="2021"/>
      <c r="B390" s="2021" t="s">
        <v>3389</v>
      </c>
      <c r="C390" s="2021"/>
      <c r="D390" s="2021">
        <v>10240</v>
      </c>
      <c r="E390" s="2021" t="s">
        <v>3390</v>
      </c>
      <c r="F390" s="1759" t="s">
        <v>3393</v>
      </c>
      <c r="G390" s="2021" t="s">
        <v>3391</v>
      </c>
      <c r="H390" s="1758">
        <v>10959</v>
      </c>
      <c r="I390" s="2290"/>
      <c r="J390" s="1779"/>
      <c r="K390" s="2290"/>
      <c r="L390" s="2290"/>
      <c r="M390" s="1763">
        <v>41275</v>
      </c>
      <c r="N390" s="1763">
        <v>41640</v>
      </c>
      <c r="O390" s="2021"/>
      <c r="P390" s="2021"/>
      <c r="Q390" s="1784"/>
    </row>
    <row r="391" spans="1:17" s="420" customFormat="1" ht="35.25" customHeight="1" x14ac:dyDescent="0.25">
      <c r="A391" s="2021"/>
      <c r="B391" s="2021" t="s">
        <v>3389</v>
      </c>
      <c r="C391" s="2021"/>
      <c r="D391" s="2021">
        <v>10240</v>
      </c>
      <c r="E391" s="2021" t="s">
        <v>3390</v>
      </c>
      <c r="F391" s="1759" t="s">
        <v>3394</v>
      </c>
      <c r="G391" s="2021" t="s">
        <v>3391</v>
      </c>
      <c r="H391" s="1758">
        <v>11163</v>
      </c>
      <c r="I391" s="2290"/>
      <c r="J391" s="1779"/>
      <c r="K391" s="2290"/>
      <c r="L391" s="2290"/>
      <c r="M391" s="1763">
        <v>41641</v>
      </c>
      <c r="N391" s="1763">
        <v>42004</v>
      </c>
      <c r="O391" s="2021"/>
      <c r="P391" s="2021"/>
      <c r="Q391" s="1784"/>
    </row>
    <row r="392" spans="1:17" s="420" customFormat="1" ht="35.25" customHeight="1" x14ac:dyDescent="0.25">
      <c r="A392" s="2021"/>
      <c r="B392" s="2021" t="s">
        <v>3389</v>
      </c>
      <c r="C392" s="2021"/>
      <c r="D392" s="2021">
        <v>10240</v>
      </c>
      <c r="E392" s="2021" t="s">
        <v>3390</v>
      </c>
      <c r="F392" s="1759" t="s">
        <v>3395</v>
      </c>
      <c r="G392" s="2021" t="s">
        <v>3391</v>
      </c>
      <c r="H392" s="1758">
        <v>11214</v>
      </c>
      <c r="I392" s="2290"/>
      <c r="J392" s="1779"/>
      <c r="K392" s="2290"/>
      <c r="L392" s="2290"/>
      <c r="M392" s="1763">
        <v>42005</v>
      </c>
      <c r="N392" s="1763">
        <v>42004</v>
      </c>
      <c r="O392" s="2021"/>
      <c r="P392" s="2021"/>
      <c r="Q392" s="1784"/>
    </row>
    <row r="393" spans="1:17" s="420" customFormat="1" ht="35.25" customHeight="1" x14ac:dyDescent="0.25">
      <c r="A393" s="1986"/>
      <c r="B393" s="1986"/>
      <c r="C393" s="1986"/>
      <c r="D393" s="1986"/>
      <c r="E393" s="1986"/>
      <c r="F393" s="1759" t="s">
        <v>3396</v>
      </c>
      <c r="G393" s="1986"/>
      <c r="H393" s="1758">
        <v>11458</v>
      </c>
      <c r="I393" s="2283"/>
      <c r="J393" s="1779"/>
      <c r="K393" s="2283"/>
      <c r="L393" s="2283"/>
      <c r="M393" s="1763">
        <v>42005</v>
      </c>
      <c r="N393" s="1763">
        <v>42369</v>
      </c>
      <c r="O393" s="1986"/>
      <c r="P393" s="1986"/>
      <c r="Q393" s="1784"/>
    </row>
    <row r="394" spans="1:17" s="420" customFormat="1" ht="35.25" customHeight="1" x14ac:dyDescent="0.25">
      <c r="A394" s="1985" t="s">
        <v>3397</v>
      </c>
      <c r="B394" s="1985" t="s">
        <v>3398</v>
      </c>
      <c r="C394" s="1985" t="s">
        <v>311</v>
      </c>
      <c r="D394" s="1985">
        <v>10513</v>
      </c>
      <c r="E394" s="1985" t="s">
        <v>3380</v>
      </c>
      <c r="F394" s="1759" t="s">
        <v>3399</v>
      </c>
      <c r="G394" s="1985" t="s">
        <v>3400</v>
      </c>
      <c r="H394" s="1758">
        <v>10543</v>
      </c>
      <c r="I394" s="2282">
        <v>9600</v>
      </c>
      <c r="J394" s="1779"/>
      <c r="K394" s="2282">
        <v>3600</v>
      </c>
      <c r="L394" s="2282">
        <v>41520</v>
      </c>
      <c r="M394" s="1763">
        <v>40664</v>
      </c>
      <c r="N394" s="1763">
        <v>40908</v>
      </c>
      <c r="O394" s="1985">
        <v>1</v>
      </c>
      <c r="P394" s="1985">
        <v>33903600</v>
      </c>
      <c r="Q394" s="1784"/>
    </row>
    <row r="395" spans="1:17" s="420" customFormat="1" ht="35.25" customHeight="1" x14ac:dyDescent="0.25">
      <c r="A395" s="2021"/>
      <c r="B395" s="2021" t="s">
        <v>3398</v>
      </c>
      <c r="C395" s="2021"/>
      <c r="D395" s="2021">
        <v>10513</v>
      </c>
      <c r="E395" s="2021" t="s">
        <v>3380</v>
      </c>
      <c r="F395" s="1759" t="s">
        <v>3401</v>
      </c>
      <c r="G395" s="2021" t="s">
        <v>3400</v>
      </c>
      <c r="H395" s="1758">
        <v>10683</v>
      </c>
      <c r="I395" s="2290"/>
      <c r="J395" s="1779"/>
      <c r="K395" s="2290"/>
      <c r="L395" s="2290"/>
      <c r="M395" s="1763">
        <f>N394+1</f>
        <v>40909</v>
      </c>
      <c r="N395" s="1763">
        <f>M395+243</f>
        <v>41152</v>
      </c>
      <c r="O395" s="2021"/>
      <c r="P395" s="2021"/>
      <c r="Q395" s="1784"/>
    </row>
    <row r="396" spans="1:17" s="420" customFormat="1" ht="35.25" customHeight="1" x14ac:dyDescent="0.25">
      <c r="A396" s="2021"/>
      <c r="B396" s="2021" t="s">
        <v>3398</v>
      </c>
      <c r="C396" s="2021"/>
      <c r="D396" s="2021">
        <v>10513</v>
      </c>
      <c r="E396" s="2021" t="s">
        <v>3380</v>
      </c>
      <c r="F396" s="1759" t="s">
        <v>3402</v>
      </c>
      <c r="G396" s="2021" t="s">
        <v>3400</v>
      </c>
      <c r="H396" s="1758">
        <v>10878</v>
      </c>
      <c r="I396" s="2290"/>
      <c r="J396" s="1779"/>
      <c r="K396" s="2290"/>
      <c r="L396" s="2290"/>
      <c r="M396" s="1763">
        <f t="shared" ref="M396:M399" si="7">N395+1</f>
        <v>41153</v>
      </c>
      <c r="N396" s="1763">
        <f>M396+121</f>
        <v>41274</v>
      </c>
      <c r="O396" s="2021"/>
      <c r="P396" s="2021"/>
      <c r="Q396" s="1784"/>
    </row>
    <row r="397" spans="1:17" s="420" customFormat="1" ht="35.25" customHeight="1" x14ac:dyDescent="0.25">
      <c r="A397" s="2021"/>
      <c r="B397" s="2021" t="s">
        <v>3398</v>
      </c>
      <c r="C397" s="2021"/>
      <c r="D397" s="2021">
        <v>10513</v>
      </c>
      <c r="E397" s="2021" t="s">
        <v>3380</v>
      </c>
      <c r="F397" s="1759" t="s">
        <v>3403</v>
      </c>
      <c r="G397" s="2021" t="s">
        <v>3400</v>
      </c>
      <c r="H397" s="1758">
        <v>10954</v>
      </c>
      <c r="I397" s="2290"/>
      <c r="J397" s="1779"/>
      <c r="K397" s="2290"/>
      <c r="L397" s="2290"/>
      <c r="M397" s="1763">
        <f t="shared" si="7"/>
        <v>41275</v>
      </c>
      <c r="N397" s="1763">
        <f>M397+242</f>
        <v>41517</v>
      </c>
      <c r="O397" s="2021"/>
      <c r="P397" s="2021"/>
      <c r="Q397" s="1784"/>
    </row>
    <row r="398" spans="1:17" s="420" customFormat="1" ht="35.25" customHeight="1" x14ac:dyDescent="0.25">
      <c r="A398" s="2021"/>
      <c r="B398" s="2021" t="s">
        <v>3398</v>
      </c>
      <c r="C398" s="2021"/>
      <c r="D398" s="2021">
        <v>10513</v>
      </c>
      <c r="E398" s="2021" t="s">
        <v>3380</v>
      </c>
      <c r="F398" s="1759" t="s">
        <v>3404</v>
      </c>
      <c r="G398" s="2021" t="s">
        <v>3400</v>
      </c>
      <c r="H398" s="1758">
        <v>11126</v>
      </c>
      <c r="I398" s="2290"/>
      <c r="J398" s="1779"/>
      <c r="K398" s="2290"/>
      <c r="L398" s="2290"/>
      <c r="M398" s="1763">
        <f t="shared" si="7"/>
        <v>41518</v>
      </c>
      <c r="N398" s="1763">
        <f>M398+121</f>
        <v>41639</v>
      </c>
      <c r="O398" s="2021"/>
      <c r="P398" s="2021"/>
      <c r="Q398" s="1784"/>
    </row>
    <row r="399" spans="1:17" s="420" customFormat="1" ht="35.25" customHeight="1" x14ac:dyDescent="0.25">
      <c r="A399" s="1986"/>
      <c r="B399" s="1986" t="s">
        <v>3398</v>
      </c>
      <c r="C399" s="1986"/>
      <c r="D399" s="1986">
        <v>10513</v>
      </c>
      <c r="E399" s="1986" t="s">
        <v>3380</v>
      </c>
      <c r="F399" s="1759" t="s">
        <v>3405</v>
      </c>
      <c r="G399" s="1986" t="s">
        <v>3400</v>
      </c>
      <c r="H399" s="1758">
        <v>11214</v>
      </c>
      <c r="I399" s="2283"/>
      <c r="J399" s="1779"/>
      <c r="K399" s="2283"/>
      <c r="L399" s="2283"/>
      <c r="M399" s="1763">
        <f t="shared" si="7"/>
        <v>41640</v>
      </c>
      <c r="N399" s="1763">
        <v>41729</v>
      </c>
      <c r="O399" s="1986"/>
      <c r="P399" s="1986"/>
      <c r="Q399" s="1784"/>
    </row>
    <row r="400" spans="1:17" s="420" customFormat="1" ht="35.25" customHeight="1" x14ac:dyDescent="0.25">
      <c r="A400" s="1985" t="s">
        <v>3397</v>
      </c>
      <c r="B400" s="1985" t="s">
        <v>3398</v>
      </c>
      <c r="C400" s="1985" t="s">
        <v>311</v>
      </c>
      <c r="D400" s="1985">
        <v>10513</v>
      </c>
      <c r="E400" s="1985" t="s">
        <v>3380</v>
      </c>
      <c r="F400" s="1759" t="s">
        <v>3406</v>
      </c>
      <c r="G400" s="1985" t="s">
        <v>3407</v>
      </c>
      <c r="H400" s="1762">
        <v>10543</v>
      </c>
      <c r="I400" s="2282">
        <v>10400</v>
      </c>
      <c r="J400" s="613"/>
      <c r="K400" s="2282">
        <v>3900</v>
      </c>
      <c r="L400" s="2282">
        <v>45500</v>
      </c>
      <c r="M400" s="1763">
        <v>40664</v>
      </c>
      <c r="N400" s="1763">
        <v>40908</v>
      </c>
      <c r="O400" s="1985">
        <v>1</v>
      </c>
      <c r="P400" s="1985">
        <v>33903600</v>
      </c>
      <c r="Q400" s="1912"/>
    </row>
    <row r="401" spans="1:17" s="420" customFormat="1" ht="35.25" customHeight="1" x14ac:dyDescent="0.25">
      <c r="A401" s="2021"/>
      <c r="B401" s="2021" t="s">
        <v>3398</v>
      </c>
      <c r="C401" s="2021"/>
      <c r="D401" s="2021">
        <v>10513</v>
      </c>
      <c r="E401" s="2021" t="s">
        <v>3380</v>
      </c>
      <c r="F401" s="1759" t="s">
        <v>3408</v>
      </c>
      <c r="G401" s="2021" t="s">
        <v>3407</v>
      </c>
      <c r="H401" s="1762">
        <v>10683</v>
      </c>
      <c r="I401" s="2290"/>
      <c r="J401" s="613"/>
      <c r="K401" s="2290"/>
      <c r="L401" s="2290"/>
      <c r="M401" s="1763">
        <v>40909</v>
      </c>
      <c r="N401" s="1763">
        <v>41152</v>
      </c>
      <c r="O401" s="2021"/>
      <c r="P401" s="2021"/>
      <c r="Q401" s="1912"/>
    </row>
    <row r="402" spans="1:17" s="420" customFormat="1" ht="35.25" customHeight="1" x14ac:dyDescent="0.25">
      <c r="A402" s="2021"/>
      <c r="B402" s="2021" t="s">
        <v>3398</v>
      </c>
      <c r="C402" s="2021"/>
      <c r="D402" s="2021">
        <v>10513</v>
      </c>
      <c r="E402" s="2021" t="s">
        <v>3380</v>
      </c>
      <c r="F402" s="1759" t="s">
        <v>3409</v>
      </c>
      <c r="G402" s="2021" t="s">
        <v>3407</v>
      </c>
      <c r="H402" s="1762">
        <v>10878</v>
      </c>
      <c r="I402" s="2290"/>
      <c r="J402" s="613"/>
      <c r="K402" s="2290"/>
      <c r="L402" s="2290"/>
      <c r="M402" s="1763">
        <v>41153</v>
      </c>
      <c r="N402" s="1763">
        <v>41274</v>
      </c>
      <c r="O402" s="2021"/>
      <c r="P402" s="2021"/>
      <c r="Q402" s="1912"/>
    </row>
    <row r="403" spans="1:17" s="420" customFormat="1" ht="35.25" customHeight="1" x14ac:dyDescent="0.25">
      <c r="A403" s="2021"/>
      <c r="B403" s="2021" t="s">
        <v>3398</v>
      </c>
      <c r="C403" s="2021"/>
      <c r="D403" s="2021">
        <v>10513</v>
      </c>
      <c r="E403" s="2021" t="s">
        <v>3380</v>
      </c>
      <c r="F403" s="1759" t="s">
        <v>3410</v>
      </c>
      <c r="G403" s="2021" t="s">
        <v>3407</v>
      </c>
      <c r="H403" s="1762">
        <v>10951</v>
      </c>
      <c r="I403" s="2290"/>
      <c r="J403" s="613"/>
      <c r="K403" s="2290"/>
      <c r="L403" s="2290"/>
      <c r="M403" s="1763">
        <v>41275</v>
      </c>
      <c r="N403" s="1763">
        <v>41517</v>
      </c>
      <c r="O403" s="2021"/>
      <c r="P403" s="2021"/>
      <c r="Q403" s="1912"/>
    </row>
    <row r="404" spans="1:17" s="420" customFormat="1" ht="35.25" customHeight="1" x14ac:dyDescent="0.25">
      <c r="A404" s="2021"/>
      <c r="B404" s="2021" t="s">
        <v>3398</v>
      </c>
      <c r="C404" s="2021"/>
      <c r="D404" s="2021">
        <v>10513</v>
      </c>
      <c r="E404" s="2021" t="s">
        <v>3380</v>
      </c>
      <c r="F404" s="1759" t="s">
        <v>3411</v>
      </c>
      <c r="G404" s="2021" t="s">
        <v>3407</v>
      </c>
      <c r="H404" s="1762">
        <v>11126</v>
      </c>
      <c r="I404" s="2290"/>
      <c r="J404" s="613"/>
      <c r="K404" s="2290"/>
      <c r="L404" s="2290"/>
      <c r="M404" s="1763">
        <v>41518</v>
      </c>
      <c r="N404" s="1763">
        <v>41639</v>
      </c>
      <c r="O404" s="2021"/>
      <c r="P404" s="2021"/>
      <c r="Q404" s="1912"/>
    </row>
    <row r="405" spans="1:17" s="420" customFormat="1" ht="35.25" customHeight="1" x14ac:dyDescent="0.25">
      <c r="A405" s="1986"/>
      <c r="B405" s="1986" t="s">
        <v>3398</v>
      </c>
      <c r="C405" s="1986"/>
      <c r="D405" s="1986">
        <v>10513</v>
      </c>
      <c r="E405" s="1986" t="s">
        <v>3380</v>
      </c>
      <c r="F405" s="1759" t="s">
        <v>3412</v>
      </c>
      <c r="G405" s="1986" t="s">
        <v>3407</v>
      </c>
      <c r="H405" s="1762">
        <v>11217</v>
      </c>
      <c r="I405" s="2283"/>
      <c r="J405" s="613"/>
      <c r="K405" s="2283"/>
      <c r="L405" s="2283"/>
      <c r="M405" s="1763">
        <v>41640</v>
      </c>
      <c r="N405" s="1763">
        <v>41729</v>
      </c>
      <c r="O405" s="1986"/>
      <c r="P405" s="1986"/>
      <c r="Q405" s="1912"/>
    </row>
    <row r="406" spans="1:17" s="420" customFormat="1" ht="35.25" customHeight="1" x14ac:dyDescent="0.25">
      <c r="A406" s="1985" t="s">
        <v>3397</v>
      </c>
      <c r="B406" s="1985" t="s">
        <v>3398</v>
      </c>
      <c r="C406" s="1985" t="s">
        <v>311</v>
      </c>
      <c r="D406" s="1985">
        <v>10513</v>
      </c>
      <c r="E406" s="1985" t="s">
        <v>3380</v>
      </c>
      <c r="F406" s="1759" t="s">
        <v>944</v>
      </c>
      <c r="G406" s="1985" t="s">
        <v>3413</v>
      </c>
      <c r="H406" s="1758">
        <v>10543</v>
      </c>
      <c r="I406" s="2282">
        <v>10360</v>
      </c>
      <c r="J406" s="1779"/>
      <c r="K406" s="2282">
        <v>3885</v>
      </c>
      <c r="L406" s="2282">
        <v>45325</v>
      </c>
      <c r="M406" s="1763">
        <v>40664</v>
      </c>
      <c r="N406" s="1763">
        <v>40908</v>
      </c>
      <c r="O406" s="1985">
        <v>1</v>
      </c>
      <c r="P406" s="1985">
        <v>33903600</v>
      </c>
      <c r="Q406" s="1784"/>
    </row>
    <row r="407" spans="1:17" s="420" customFormat="1" ht="35.25" customHeight="1" x14ac:dyDescent="0.25">
      <c r="A407" s="2021"/>
      <c r="B407" s="2021" t="s">
        <v>3398</v>
      </c>
      <c r="C407" s="2021"/>
      <c r="D407" s="2021">
        <v>10513</v>
      </c>
      <c r="E407" s="2021" t="s">
        <v>3380</v>
      </c>
      <c r="F407" s="1759" t="s">
        <v>3414</v>
      </c>
      <c r="G407" s="2021" t="s">
        <v>3413</v>
      </c>
      <c r="H407" s="1758">
        <v>10683</v>
      </c>
      <c r="I407" s="2290"/>
      <c r="J407" s="1779"/>
      <c r="K407" s="2290"/>
      <c r="L407" s="2290"/>
      <c r="M407" s="1763">
        <v>40909</v>
      </c>
      <c r="N407" s="1763">
        <v>41152</v>
      </c>
      <c r="O407" s="2021"/>
      <c r="P407" s="2021"/>
      <c r="Q407" s="1784"/>
    </row>
    <row r="408" spans="1:17" s="420" customFormat="1" ht="35.25" customHeight="1" x14ac:dyDescent="0.25">
      <c r="A408" s="2021"/>
      <c r="B408" s="2021" t="s">
        <v>3398</v>
      </c>
      <c r="C408" s="2021"/>
      <c r="D408" s="2021">
        <v>10513</v>
      </c>
      <c r="E408" s="2021" t="s">
        <v>3380</v>
      </c>
      <c r="F408" s="1759" t="s">
        <v>3415</v>
      </c>
      <c r="G408" s="2021" t="s">
        <v>3413</v>
      </c>
      <c r="H408" s="1758">
        <v>10878</v>
      </c>
      <c r="I408" s="2290"/>
      <c r="J408" s="1779"/>
      <c r="K408" s="2290"/>
      <c r="L408" s="2290"/>
      <c r="M408" s="1763">
        <v>41153</v>
      </c>
      <c r="N408" s="1763">
        <v>41274</v>
      </c>
      <c r="O408" s="2021"/>
      <c r="P408" s="2021"/>
      <c r="Q408" s="1784"/>
    </row>
    <row r="409" spans="1:17" s="420" customFormat="1" ht="35.25" customHeight="1" x14ac:dyDescent="0.25">
      <c r="A409" s="2021"/>
      <c r="B409" s="2021" t="s">
        <v>3398</v>
      </c>
      <c r="C409" s="2021"/>
      <c r="D409" s="2021">
        <v>10513</v>
      </c>
      <c r="E409" s="2021" t="s">
        <v>3380</v>
      </c>
      <c r="F409" s="1759" t="s">
        <v>3416</v>
      </c>
      <c r="G409" s="2021" t="s">
        <v>3413</v>
      </c>
      <c r="H409" s="1758">
        <v>10951</v>
      </c>
      <c r="I409" s="2290"/>
      <c r="J409" s="1779"/>
      <c r="K409" s="2290"/>
      <c r="L409" s="2290"/>
      <c r="M409" s="1763">
        <v>41275</v>
      </c>
      <c r="N409" s="1763">
        <v>41517</v>
      </c>
      <c r="O409" s="2021"/>
      <c r="P409" s="2021"/>
      <c r="Q409" s="1784"/>
    </row>
    <row r="410" spans="1:17" s="420" customFormat="1" ht="35.25" customHeight="1" x14ac:dyDescent="0.25">
      <c r="A410" s="2021"/>
      <c r="B410" s="2021" t="s">
        <v>3398</v>
      </c>
      <c r="C410" s="2021"/>
      <c r="D410" s="2021">
        <v>10513</v>
      </c>
      <c r="E410" s="2021" t="s">
        <v>3380</v>
      </c>
      <c r="F410" s="1759" t="s">
        <v>3417</v>
      </c>
      <c r="G410" s="2021" t="s">
        <v>3413</v>
      </c>
      <c r="H410" s="1758">
        <v>11126</v>
      </c>
      <c r="I410" s="2290"/>
      <c r="J410" s="1779"/>
      <c r="K410" s="2290"/>
      <c r="L410" s="2290"/>
      <c r="M410" s="1763">
        <v>41518</v>
      </c>
      <c r="N410" s="1763">
        <v>41639</v>
      </c>
      <c r="O410" s="2021"/>
      <c r="P410" s="2021"/>
      <c r="Q410" s="1784"/>
    </row>
    <row r="411" spans="1:17" s="420" customFormat="1" ht="35.25" customHeight="1" x14ac:dyDescent="0.25">
      <c r="A411" s="1986"/>
      <c r="B411" s="1986" t="s">
        <v>3398</v>
      </c>
      <c r="C411" s="1986"/>
      <c r="D411" s="1986">
        <v>10513</v>
      </c>
      <c r="E411" s="1986" t="s">
        <v>3380</v>
      </c>
      <c r="F411" s="1759" t="s">
        <v>3418</v>
      </c>
      <c r="G411" s="1986" t="s">
        <v>3413</v>
      </c>
      <c r="H411" s="1758">
        <v>11217</v>
      </c>
      <c r="I411" s="2283"/>
      <c r="J411" s="1779"/>
      <c r="K411" s="2283"/>
      <c r="L411" s="2283"/>
      <c r="M411" s="1763">
        <v>41640</v>
      </c>
      <c r="N411" s="1763">
        <v>41729</v>
      </c>
      <c r="O411" s="1986"/>
      <c r="P411" s="1986"/>
      <c r="Q411" s="1784"/>
    </row>
    <row r="412" spans="1:17" s="420" customFormat="1" ht="35.25" customHeight="1" x14ac:dyDescent="0.25">
      <c r="A412" s="1985" t="s">
        <v>3397</v>
      </c>
      <c r="B412" s="1985" t="s">
        <v>3398</v>
      </c>
      <c r="C412" s="1985" t="s">
        <v>311</v>
      </c>
      <c r="D412" s="1985">
        <v>10513</v>
      </c>
      <c r="E412" s="1985" t="s">
        <v>3380</v>
      </c>
      <c r="F412" s="1759" t="s">
        <v>3419</v>
      </c>
      <c r="G412" s="1985" t="s">
        <v>3420</v>
      </c>
      <c r="H412" s="1762">
        <v>10543</v>
      </c>
      <c r="I412" s="2282">
        <v>10400</v>
      </c>
      <c r="J412" s="613">
        <v>35100</v>
      </c>
      <c r="K412" s="2282">
        <v>3900</v>
      </c>
      <c r="L412" s="2282">
        <v>45500</v>
      </c>
      <c r="M412" s="1763">
        <v>40664</v>
      </c>
      <c r="N412" s="1763">
        <v>40908</v>
      </c>
      <c r="O412" s="1985">
        <v>1</v>
      </c>
      <c r="P412" s="1985">
        <v>33903600</v>
      </c>
      <c r="Q412" s="1912"/>
    </row>
    <row r="413" spans="1:17" s="420" customFormat="1" ht="35.25" customHeight="1" x14ac:dyDescent="0.25">
      <c r="A413" s="2021"/>
      <c r="B413" s="2021" t="s">
        <v>3398</v>
      </c>
      <c r="C413" s="2021"/>
      <c r="D413" s="2021">
        <v>10513</v>
      </c>
      <c r="E413" s="2021" t="s">
        <v>3380</v>
      </c>
      <c r="F413" s="1759" t="s">
        <v>3421</v>
      </c>
      <c r="G413" s="2021" t="s">
        <v>3420</v>
      </c>
      <c r="H413" s="1762">
        <v>10683</v>
      </c>
      <c r="I413" s="2290"/>
      <c r="J413" s="613"/>
      <c r="K413" s="2290"/>
      <c r="L413" s="2290"/>
      <c r="M413" s="1763">
        <v>40909</v>
      </c>
      <c r="N413" s="1763">
        <v>41152</v>
      </c>
      <c r="O413" s="2021"/>
      <c r="P413" s="2021"/>
      <c r="Q413" s="1912"/>
    </row>
    <row r="414" spans="1:17" s="420" customFormat="1" ht="35.25" customHeight="1" x14ac:dyDescent="0.25">
      <c r="A414" s="2021"/>
      <c r="B414" s="2021" t="s">
        <v>3398</v>
      </c>
      <c r="C414" s="2021"/>
      <c r="D414" s="2021">
        <v>10513</v>
      </c>
      <c r="E414" s="2021" t="s">
        <v>3380</v>
      </c>
      <c r="F414" s="1759" t="s">
        <v>3422</v>
      </c>
      <c r="G414" s="2021" t="s">
        <v>3420</v>
      </c>
      <c r="H414" s="1762">
        <v>10878</v>
      </c>
      <c r="I414" s="2290"/>
      <c r="J414" s="613"/>
      <c r="K414" s="2290"/>
      <c r="L414" s="2290"/>
      <c r="M414" s="1763">
        <v>41153</v>
      </c>
      <c r="N414" s="1763">
        <v>41274</v>
      </c>
      <c r="O414" s="2021"/>
      <c r="P414" s="2021"/>
      <c r="Q414" s="1912"/>
    </row>
    <row r="415" spans="1:17" s="420" customFormat="1" ht="35.25" customHeight="1" x14ac:dyDescent="0.25">
      <c r="A415" s="2021"/>
      <c r="B415" s="2021" t="s">
        <v>3398</v>
      </c>
      <c r="C415" s="2021"/>
      <c r="D415" s="2021">
        <v>10513</v>
      </c>
      <c r="E415" s="2021" t="s">
        <v>3380</v>
      </c>
      <c r="F415" s="1759" t="s">
        <v>3423</v>
      </c>
      <c r="G415" s="2021" t="s">
        <v>3420</v>
      </c>
      <c r="H415" s="1762">
        <v>10951</v>
      </c>
      <c r="I415" s="2290"/>
      <c r="J415" s="613"/>
      <c r="K415" s="2290"/>
      <c r="L415" s="2290"/>
      <c r="M415" s="1763">
        <v>41275</v>
      </c>
      <c r="N415" s="1763">
        <v>41517</v>
      </c>
      <c r="O415" s="2021"/>
      <c r="P415" s="2021"/>
      <c r="Q415" s="1912"/>
    </row>
    <row r="416" spans="1:17" s="420" customFormat="1" ht="35.25" customHeight="1" x14ac:dyDescent="0.25">
      <c r="A416" s="2021"/>
      <c r="B416" s="2021" t="s">
        <v>3398</v>
      </c>
      <c r="C416" s="2021"/>
      <c r="D416" s="2021">
        <v>10513</v>
      </c>
      <c r="E416" s="2021" t="s">
        <v>3380</v>
      </c>
      <c r="F416" s="1759" t="s">
        <v>3424</v>
      </c>
      <c r="G416" s="2021" t="s">
        <v>3420</v>
      </c>
      <c r="H416" s="1762">
        <v>11126</v>
      </c>
      <c r="I416" s="2290"/>
      <c r="J416" s="613"/>
      <c r="K416" s="2290"/>
      <c r="L416" s="2290"/>
      <c r="M416" s="1763">
        <v>41518</v>
      </c>
      <c r="N416" s="1763">
        <v>41639</v>
      </c>
      <c r="O416" s="2021"/>
      <c r="P416" s="2021"/>
      <c r="Q416" s="1912"/>
    </row>
    <row r="417" spans="1:17" s="420" customFormat="1" ht="35.25" customHeight="1" x14ac:dyDescent="0.25">
      <c r="A417" s="1986"/>
      <c r="B417" s="1986" t="s">
        <v>3398</v>
      </c>
      <c r="C417" s="1986"/>
      <c r="D417" s="1986">
        <v>10513</v>
      </c>
      <c r="E417" s="1986" t="s">
        <v>3380</v>
      </c>
      <c r="F417" s="1759" t="s">
        <v>3425</v>
      </c>
      <c r="G417" s="1986" t="s">
        <v>3420</v>
      </c>
      <c r="H417" s="1762">
        <v>11214</v>
      </c>
      <c r="I417" s="2283"/>
      <c r="J417" s="613"/>
      <c r="K417" s="2283"/>
      <c r="L417" s="2283"/>
      <c r="M417" s="1763">
        <v>41640</v>
      </c>
      <c r="N417" s="1763">
        <v>41729</v>
      </c>
      <c r="O417" s="1986"/>
      <c r="P417" s="1986"/>
      <c r="Q417" s="1912"/>
    </row>
    <row r="418" spans="1:17" s="420" customFormat="1" ht="35.25" customHeight="1" x14ac:dyDescent="0.25">
      <c r="A418" s="1985" t="s">
        <v>3397</v>
      </c>
      <c r="B418" s="1985" t="s">
        <v>3398</v>
      </c>
      <c r="C418" s="1985" t="s">
        <v>311</v>
      </c>
      <c r="D418" s="1985">
        <v>10513</v>
      </c>
      <c r="E418" s="1985" t="s">
        <v>3380</v>
      </c>
      <c r="F418" s="1759" t="s">
        <v>3426</v>
      </c>
      <c r="G418" s="1985" t="s">
        <v>3427</v>
      </c>
      <c r="H418" s="1758">
        <v>10543</v>
      </c>
      <c r="I418" s="2282">
        <v>6392</v>
      </c>
      <c r="J418" s="1779">
        <v>0</v>
      </c>
      <c r="K418" s="2282">
        <v>9588</v>
      </c>
      <c r="L418" s="2282">
        <v>35156</v>
      </c>
      <c r="M418" s="1763">
        <v>40664</v>
      </c>
      <c r="N418" s="1763">
        <v>40908</v>
      </c>
      <c r="O418" s="1985">
        <v>1</v>
      </c>
      <c r="P418" s="1985">
        <v>33903600</v>
      </c>
      <c r="Q418" s="1784"/>
    </row>
    <row r="419" spans="1:17" s="420" customFormat="1" ht="35.25" customHeight="1" x14ac:dyDescent="0.25">
      <c r="A419" s="2021"/>
      <c r="B419" s="2021" t="s">
        <v>3398</v>
      </c>
      <c r="C419" s="2021"/>
      <c r="D419" s="2021">
        <v>10513</v>
      </c>
      <c r="E419" s="2021" t="s">
        <v>3380</v>
      </c>
      <c r="F419" s="1759" t="s">
        <v>3428</v>
      </c>
      <c r="G419" s="2021" t="s">
        <v>3427</v>
      </c>
      <c r="H419" s="1758">
        <v>10683</v>
      </c>
      <c r="I419" s="2290"/>
      <c r="J419" s="1779"/>
      <c r="K419" s="2290"/>
      <c r="L419" s="2290"/>
      <c r="M419" s="1763">
        <v>40909</v>
      </c>
      <c r="N419" s="1763">
        <v>41152</v>
      </c>
      <c r="O419" s="2021"/>
      <c r="P419" s="2021"/>
      <c r="Q419" s="1784"/>
    </row>
    <row r="420" spans="1:17" s="420" customFormat="1" ht="35.25" customHeight="1" x14ac:dyDescent="0.25">
      <c r="A420" s="2021"/>
      <c r="B420" s="2021" t="s">
        <v>3398</v>
      </c>
      <c r="C420" s="2021"/>
      <c r="D420" s="2021">
        <v>10513</v>
      </c>
      <c r="E420" s="2021" t="s">
        <v>3380</v>
      </c>
      <c r="F420" s="1759" t="s">
        <v>3429</v>
      </c>
      <c r="G420" s="2021" t="s">
        <v>3427</v>
      </c>
      <c r="H420" s="1758">
        <v>10878</v>
      </c>
      <c r="I420" s="2290"/>
      <c r="J420" s="1779"/>
      <c r="K420" s="2290"/>
      <c r="L420" s="2290"/>
      <c r="M420" s="1763">
        <v>41153</v>
      </c>
      <c r="N420" s="1763">
        <v>41274</v>
      </c>
      <c r="O420" s="2021"/>
      <c r="P420" s="2021"/>
      <c r="Q420" s="1784"/>
    </row>
    <row r="421" spans="1:17" s="420" customFormat="1" ht="35.25" customHeight="1" x14ac:dyDescent="0.25">
      <c r="A421" s="2021"/>
      <c r="B421" s="2021" t="s">
        <v>3398</v>
      </c>
      <c r="C421" s="2021"/>
      <c r="D421" s="2021">
        <v>10513</v>
      </c>
      <c r="E421" s="2021" t="s">
        <v>3380</v>
      </c>
      <c r="F421" s="1759" t="s">
        <v>3430</v>
      </c>
      <c r="G421" s="2021" t="s">
        <v>3427</v>
      </c>
      <c r="H421" s="1758">
        <v>10951</v>
      </c>
      <c r="I421" s="2290"/>
      <c r="J421" s="1779"/>
      <c r="K421" s="2290"/>
      <c r="L421" s="2290"/>
      <c r="M421" s="1763">
        <v>41275</v>
      </c>
      <c r="N421" s="1763">
        <v>41517</v>
      </c>
      <c r="O421" s="2021"/>
      <c r="P421" s="2021"/>
      <c r="Q421" s="1784"/>
    </row>
    <row r="422" spans="1:17" s="420" customFormat="1" ht="35.25" customHeight="1" x14ac:dyDescent="0.25">
      <c r="A422" s="2021"/>
      <c r="B422" s="2021" t="s">
        <v>3398</v>
      </c>
      <c r="C422" s="2021"/>
      <c r="D422" s="2021">
        <v>10513</v>
      </c>
      <c r="E422" s="2021" t="s">
        <v>3380</v>
      </c>
      <c r="F422" s="1759" t="s">
        <v>3431</v>
      </c>
      <c r="G422" s="2021" t="s">
        <v>3427</v>
      </c>
      <c r="H422" s="1758">
        <v>11126</v>
      </c>
      <c r="I422" s="2290"/>
      <c r="J422" s="1779"/>
      <c r="K422" s="2290"/>
      <c r="L422" s="2290"/>
      <c r="M422" s="1763">
        <v>41518</v>
      </c>
      <c r="N422" s="1763">
        <v>41639</v>
      </c>
      <c r="O422" s="2021"/>
      <c r="P422" s="2021"/>
      <c r="Q422" s="1784"/>
    </row>
    <row r="423" spans="1:17" s="420" customFormat="1" ht="35.25" customHeight="1" x14ac:dyDescent="0.25">
      <c r="A423" s="2021"/>
      <c r="B423" s="2021" t="s">
        <v>3398</v>
      </c>
      <c r="C423" s="2021"/>
      <c r="D423" s="2021">
        <v>10513</v>
      </c>
      <c r="E423" s="2021" t="s">
        <v>3380</v>
      </c>
      <c r="F423" s="1759" t="s">
        <v>3432</v>
      </c>
      <c r="G423" s="2021" t="s">
        <v>3427</v>
      </c>
      <c r="H423" s="1758">
        <v>11214</v>
      </c>
      <c r="I423" s="2290"/>
      <c r="J423" s="1779"/>
      <c r="K423" s="2290"/>
      <c r="L423" s="2290"/>
      <c r="M423" s="1763">
        <v>41640</v>
      </c>
      <c r="N423" s="1763">
        <v>41729</v>
      </c>
      <c r="O423" s="2021"/>
      <c r="P423" s="2021"/>
      <c r="Q423" s="1784"/>
    </row>
    <row r="424" spans="1:17" s="420" customFormat="1" ht="35.25" customHeight="1" x14ac:dyDescent="0.25">
      <c r="A424" s="2021"/>
      <c r="B424" s="2021" t="s">
        <v>3398</v>
      </c>
      <c r="C424" s="2021"/>
      <c r="D424" s="2021">
        <v>10513</v>
      </c>
      <c r="E424" s="2021" t="s">
        <v>3380</v>
      </c>
      <c r="F424" s="1759" t="s">
        <v>3433</v>
      </c>
      <c r="G424" s="2021" t="s">
        <v>3427</v>
      </c>
      <c r="H424" s="1758">
        <v>11296</v>
      </c>
      <c r="I424" s="2290"/>
      <c r="J424" s="1779"/>
      <c r="K424" s="2290"/>
      <c r="L424" s="2290"/>
      <c r="M424" s="1763">
        <f>N423+1</f>
        <v>41730</v>
      </c>
      <c r="N424" s="1763">
        <f>M424+182</f>
        <v>41912</v>
      </c>
      <c r="O424" s="2021"/>
      <c r="P424" s="2021"/>
      <c r="Q424" s="1784"/>
    </row>
    <row r="425" spans="1:17" s="420" customFormat="1" ht="35.25" customHeight="1" x14ac:dyDescent="0.25">
      <c r="A425" s="1986"/>
      <c r="B425" s="1986"/>
      <c r="C425" s="1986"/>
      <c r="D425" s="1986"/>
      <c r="E425" s="1986"/>
      <c r="F425" s="1759" t="s">
        <v>3434</v>
      </c>
      <c r="G425" s="1986" t="s">
        <v>3427</v>
      </c>
      <c r="H425" s="1758">
        <v>11409</v>
      </c>
      <c r="I425" s="2283"/>
      <c r="J425" s="1779"/>
      <c r="K425" s="2283"/>
      <c r="L425" s="2283"/>
      <c r="M425" s="1763">
        <v>41913</v>
      </c>
      <c r="N425" s="1763">
        <v>42092</v>
      </c>
      <c r="O425" s="1986"/>
      <c r="P425" s="1986"/>
      <c r="Q425" s="1784"/>
    </row>
    <row r="426" spans="1:17" s="420" customFormat="1" ht="35.25" customHeight="1" x14ac:dyDescent="0.25">
      <c r="A426" s="1985" t="s">
        <v>3397</v>
      </c>
      <c r="B426" s="1985" t="s">
        <v>3398</v>
      </c>
      <c r="C426" s="1985" t="s">
        <v>311</v>
      </c>
      <c r="D426" s="1985">
        <v>10513</v>
      </c>
      <c r="E426" s="1985" t="s">
        <v>3380</v>
      </c>
      <c r="F426" s="1759" t="s">
        <v>3435</v>
      </c>
      <c r="G426" s="1985" t="s">
        <v>3436</v>
      </c>
      <c r="H426" s="1762">
        <v>10543</v>
      </c>
      <c r="I426" s="2282">
        <v>9800</v>
      </c>
      <c r="J426" s="613"/>
      <c r="K426" s="2282">
        <v>4200</v>
      </c>
      <c r="L426" s="2282">
        <v>47459.99</v>
      </c>
      <c r="M426" s="1763">
        <v>40685</v>
      </c>
      <c r="N426" s="1763">
        <v>40898</v>
      </c>
      <c r="O426" s="1985">
        <v>1</v>
      </c>
      <c r="P426" s="1985">
        <v>33903600</v>
      </c>
      <c r="Q426" s="1912"/>
    </row>
    <row r="427" spans="1:17" s="420" customFormat="1" ht="35.25" customHeight="1" x14ac:dyDescent="0.25">
      <c r="A427" s="2021"/>
      <c r="B427" s="2021" t="s">
        <v>3398</v>
      </c>
      <c r="C427" s="2021"/>
      <c r="D427" s="2021">
        <v>10513</v>
      </c>
      <c r="E427" s="2021" t="s">
        <v>3380</v>
      </c>
      <c r="F427" s="1759" t="s">
        <v>3437</v>
      </c>
      <c r="G427" s="2021" t="s">
        <v>3436</v>
      </c>
      <c r="H427" s="1762">
        <v>10683</v>
      </c>
      <c r="I427" s="2290"/>
      <c r="J427" s="613"/>
      <c r="K427" s="2290"/>
      <c r="L427" s="2290"/>
      <c r="M427" s="1763">
        <f>N426+1</f>
        <v>40899</v>
      </c>
      <c r="N427" s="1763">
        <f>M427+213</f>
        <v>41112</v>
      </c>
      <c r="O427" s="2021"/>
      <c r="P427" s="2021"/>
      <c r="Q427" s="1912"/>
    </row>
    <row r="428" spans="1:17" s="420" customFormat="1" ht="35.25" customHeight="1" x14ac:dyDescent="0.25">
      <c r="A428" s="2021"/>
      <c r="B428" s="2021" t="s">
        <v>3398</v>
      </c>
      <c r="C428" s="2021"/>
      <c r="D428" s="2021">
        <v>10513</v>
      </c>
      <c r="E428" s="2021" t="s">
        <v>3380</v>
      </c>
      <c r="F428" s="1759" t="s">
        <v>3438</v>
      </c>
      <c r="G428" s="2021" t="s">
        <v>3436</v>
      </c>
      <c r="H428" s="1762">
        <v>10848</v>
      </c>
      <c r="I428" s="2290"/>
      <c r="J428" s="613"/>
      <c r="K428" s="2290"/>
      <c r="L428" s="2290"/>
      <c r="M428" s="1763">
        <f t="shared" ref="M428:M431" si="8">N427+1</f>
        <v>41113</v>
      </c>
      <c r="N428" s="1763">
        <f>M428+152</f>
        <v>41265</v>
      </c>
      <c r="O428" s="2021"/>
      <c r="P428" s="2021"/>
      <c r="Q428" s="1912"/>
    </row>
    <row r="429" spans="1:17" s="420" customFormat="1" ht="35.25" customHeight="1" x14ac:dyDescent="0.25">
      <c r="A429" s="2021"/>
      <c r="B429" s="2021" t="s">
        <v>3398</v>
      </c>
      <c r="C429" s="2021"/>
      <c r="D429" s="2021">
        <v>10513</v>
      </c>
      <c r="E429" s="2021" t="s">
        <v>3380</v>
      </c>
      <c r="F429" s="1759" t="s">
        <v>3439</v>
      </c>
      <c r="G429" s="2021" t="s">
        <v>3436</v>
      </c>
      <c r="H429" s="1762">
        <v>10951</v>
      </c>
      <c r="I429" s="2290"/>
      <c r="J429" s="613"/>
      <c r="K429" s="2290"/>
      <c r="L429" s="2290"/>
      <c r="M429" s="1763">
        <f t="shared" si="8"/>
        <v>41266</v>
      </c>
      <c r="N429" s="1763">
        <f>M429+251</f>
        <v>41517</v>
      </c>
      <c r="O429" s="2021"/>
      <c r="P429" s="2021"/>
      <c r="Q429" s="1912"/>
    </row>
    <row r="430" spans="1:17" s="420" customFormat="1" ht="35.25" customHeight="1" x14ac:dyDescent="0.25">
      <c r="A430" s="2021"/>
      <c r="B430" s="2021" t="s">
        <v>3398</v>
      </c>
      <c r="C430" s="2021"/>
      <c r="D430" s="2021">
        <v>10513</v>
      </c>
      <c r="E430" s="2021" t="s">
        <v>3380</v>
      </c>
      <c r="F430" s="1759" t="s">
        <v>3440</v>
      </c>
      <c r="G430" s="2021" t="s">
        <v>3436</v>
      </c>
      <c r="H430" s="1762">
        <v>11126</v>
      </c>
      <c r="I430" s="2290"/>
      <c r="J430" s="613"/>
      <c r="K430" s="2290"/>
      <c r="L430" s="2290"/>
      <c r="M430" s="1763">
        <f t="shared" si="8"/>
        <v>41518</v>
      </c>
      <c r="N430" s="1763">
        <f>M430+121</f>
        <v>41639</v>
      </c>
      <c r="O430" s="2021"/>
      <c r="P430" s="2021"/>
      <c r="Q430" s="1912"/>
    </row>
    <row r="431" spans="1:17" s="420" customFormat="1" ht="35.25" customHeight="1" x14ac:dyDescent="0.25">
      <c r="A431" s="1986"/>
      <c r="B431" s="1986" t="s">
        <v>3398</v>
      </c>
      <c r="C431" s="1986"/>
      <c r="D431" s="1986">
        <v>10513</v>
      </c>
      <c r="E431" s="1986" t="s">
        <v>3380</v>
      </c>
      <c r="F431" s="1759" t="s">
        <v>3441</v>
      </c>
      <c r="G431" s="1986" t="s">
        <v>3436</v>
      </c>
      <c r="H431" s="1762">
        <v>11221</v>
      </c>
      <c r="I431" s="2283"/>
      <c r="J431" s="613"/>
      <c r="K431" s="2283"/>
      <c r="L431" s="2283"/>
      <c r="M431" s="1763">
        <f t="shared" si="8"/>
        <v>41640</v>
      </c>
      <c r="N431" s="1763">
        <f>M431+89</f>
        <v>41729</v>
      </c>
      <c r="O431" s="1986"/>
      <c r="P431" s="1986"/>
      <c r="Q431" s="1912"/>
    </row>
    <row r="432" spans="1:17" s="420" customFormat="1" ht="35.25" customHeight="1" x14ac:dyDescent="0.25">
      <c r="A432" s="1985" t="s">
        <v>3397</v>
      </c>
      <c r="B432" s="1985" t="s">
        <v>3398</v>
      </c>
      <c r="C432" s="1985" t="s">
        <v>311</v>
      </c>
      <c r="D432" s="1985">
        <v>10513</v>
      </c>
      <c r="E432" s="1985" t="s">
        <v>3380</v>
      </c>
      <c r="F432" s="1759" t="s">
        <v>3442</v>
      </c>
      <c r="G432" s="1985" t="s">
        <v>3443</v>
      </c>
      <c r="H432" s="1758">
        <v>10557</v>
      </c>
      <c r="I432" s="2282">
        <v>9800</v>
      </c>
      <c r="J432" s="1779"/>
      <c r="K432" s="2282">
        <v>4200</v>
      </c>
      <c r="L432" s="2282">
        <v>47600</v>
      </c>
      <c r="M432" s="1763">
        <v>40685</v>
      </c>
      <c r="N432" s="1763">
        <v>40898</v>
      </c>
      <c r="O432" s="1985">
        <v>1</v>
      </c>
      <c r="P432" s="1985">
        <v>33903600</v>
      </c>
      <c r="Q432" s="1784"/>
    </row>
    <row r="433" spans="1:17" s="420" customFormat="1" ht="35.25" customHeight="1" x14ac:dyDescent="0.25">
      <c r="A433" s="2021"/>
      <c r="B433" s="2021" t="s">
        <v>3398</v>
      </c>
      <c r="C433" s="2021"/>
      <c r="D433" s="2021">
        <v>10513</v>
      </c>
      <c r="E433" s="2021" t="s">
        <v>3380</v>
      </c>
      <c r="F433" s="1759" t="s">
        <v>3444</v>
      </c>
      <c r="G433" s="2021" t="s">
        <v>3443</v>
      </c>
      <c r="H433" s="1758">
        <v>10683</v>
      </c>
      <c r="I433" s="2290"/>
      <c r="J433" s="1779"/>
      <c r="K433" s="2290"/>
      <c r="L433" s="2290"/>
      <c r="M433" s="1763">
        <v>40899</v>
      </c>
      <c r="N433" s="1763">
        <v>41112</v>
      </c>
      <c r="O433" s="2021"/>
      <c r="P433" s="2021"/>
      <c r="Q433" s="1784"/>
    </row>
    <row r="434" spans="1:17" s="420" customFormat="1" ht="35.25" customHeight="1" x14ac:dyDescent="0.25">
      <c r="A434" s="2021"/>
      <c r="B434" s="2021" t="s">
        <v>3398</v>
      </c>
      <c r="C434" s="2021"/>
      <c r="D434" s="2021">
        <v>10513</v>
      </c>
      <c r="E434" s="2021" t="s">
        <v>3380</v>
      </c>
      <c r="F434" s="1759" t="s">
        <v>3445</v>
      </c>
      <c r="G434" s="2021" t="s">
        <v>3443</v>
      </c>
      <c r="H434" s="1758">
        <v>10848</v>
      </c>
      <c r="I434" s="2290"/>
      <c r="J434" s="1779"/>
      <c r="K434" s="2290"/>
      <c r="L434" s="2290"/>
      <c r="M434" s="1763">
        <v>41113</v>
      </c>
      <c r="N434" s="1763">
        <v>41265</v>
      </c>
      <c r="O434" s="2021"/>
      <c r="P434" s="2021"/>
      <c r="Q434" s="1784"/>
    </row>
    <row r="435" spans="1:17" s="420" customFormat="1" ht="35.25" customHeight="1" x14ac:dyDescent="0.25">
      <c r="A435" s="2021"/>
      <c r="B435" s="2021" t="s">
        <v>3398</v>
      </c>
      <c r="C435" s="2021"/>
      <c r="D435" s="2021">
        <v>10513</v>
      </c>
      <c r="E435" s="2021" t="s">
        <v>3380</v>
      </c>
      <c r="F435" s="1759" t="s">
        <v>3446</v>
      </c>
      <c r="G435" s="2021" t="s">
        <v>3443</v>
      </c>
      <c r="H435" s="1758">
        <v>10951</v>
      </c>
      <c r="I435" s="2290"/>
      <c r="J435" s="1779"/>
      <c r="K435" s="2290"/>
      <c r="L435" s="2290"/>
      <c r="M435" s="1763">
        <v>41266</v>
      </c>
      <c r="N435" s="1763">
        <v>41517</v>
      </c>
      <c r="O435" s="2021"/>
      <c r="P435" s="2021"/>
      <c r="Q435" s="1784"/>
    </row>
    <row r="436" spans="1:17" s="420" customFormat="1" ht="35.25" customHeight="1" x14ac:dyDescent="0.25">
      <c r="A436" s="2021"/>
      <c r="B436" s="2021" t="s">
        <v>3398</v>
      </c>
      <c r="C436" s="2021"/>
      <c r="D436" s="2021">
        <v>10513</v>
      </c>
      <c r="E436" s="2021" t="s">
        <v>3380</v>
      </c>
      <c r="F436" s="1759" t="s">
        <v>3447</v>
      </c>
      <c r="G436" s="2021" t="s">
        <v>3443</v>
      </c>
      <c r="H436" s="1758">
        <v>11126</v>
      </c>
      <c r="I436" s="2290"/>
      <c r="J436" s="1779"/>
      <c r="K436" s="2290"/>
      <c r="L436" s="2290"/>
      <c r="M436" s="1763">
        <v>41518</v>
      </c>
      <c r="N436" s="1763">
        <v>41639</v>
      </c>
      <c r="O436" s="2021"/>
      <c r="P436" s="2021"/>
      <c r="Q436" s="1784"/>
    </row>
    <row r="437" spans="1:17" s="420" customFormat="1" ht="35.25" customHeight="1" x14ac:dyDescent="0.25">
      <c r="A437" s="1986"/>
      <c r="B437" s="1986" t="s">
        <v>3398</v>
      </c>
      <c r="C437" s="1986"/>
      <c r="D437" s="1986">
        <v>10513</v>
      </c>
      <c r="E437" s="1986" t="s">
        <v>3380</v>
      </c>
      <c r="F437" s="1759" t="s">
        <v>3448</v>
      </c>
      <c r="G437" s="1986" t="s">
        <v>3443</v>
      </c>
      <c r="H437" s="1758">
        <v>11217</v>
      </c>
      <c r="I437" s="2283"/>
      <c r="J437" s="1779"/>
      <c r="K437" s="2283"/>
      <c r="L437" s="2283"/>
      <c r="M437" s="1763">
        <v>41640</v>
      </c>
      <c r="N437" s="1763">
        <v>41729</v>
      </c>
      <c r="O437" s="1986"/>
      <c r="P437" s="1986"/>
      <c r="Q437" s="1784"/>
    </row>
    <row r="438" spans="1:17" s="420" customFormat="1" ht="35.25" customHeight="1" x14ac:dyDescent="0.25">
      <c r="A438" s="1985" t="s">
        <v>3397</v>
      </c>
      <c r="B438" s="1985" t="s">
        <v>3398</v>
      </c>
      <c r="C438" s="1985" t="s">
        <v>311</v>
      </c>
      <c r="D438" s="1985">
        <v>10513</v>
      </c>
      <c r="E438" s="1985" t="s">
        <v>3380</v>
      </c>
      <c r="F438" s="1759" t="s">
        <v>3449</v>
      </c>
      <c r="G438" s="1985" t="s">
        <v>3450</v>
      </c>
      <c r="H438" s="1762">
        <v>10563</v>
      </c>
      <c r="I438" s="2282">
        <v>5600</v>
      </c>
      <c r="J438" s="613"/>
      <c r="K438" s="2282">
        <v>2400</v>
      </c>
      <c r="L438" s="2282">
        <v>21600</v>
      </c>
      <c r="M438" s="1763">
        <v>40685</v>
      </c>
      <c r="N438" s="1763">
        <v>40898</v>
      </c>
      <c r="O438" s="1985">
        <v>1</v>
      </c>
      <c r="P438" s="1985">
        <v>33903600</v>
      </c>
      <c r="Q438" s="1912"/>
    </row>
    <row r="439" spans="1:17" s="420" customFormat="1" ht="35.25" customHeight="1" x14ac:dyDescent="0.25">
      <c r="A439" s="2021" t="s">
        <v>3397</v>
      </c>
      <c r="B439" s="2021" t="s">
        <v>3398</v>
      </c>
      <c r="C439" s="2021"/>
      <c r="D439" s="2021">
        <v>10513</v>
      </c>
      <c r="E439" s="2021"/>
      <c r="F439" s="1759" t="s">
        <v>3451</v>
      </c>
      <c r="G439" s="2021" t="s">
        <v>3450</v>
      </c>
      <c r="H439" s="1762">
        <v>10683</v>
      </c>
      <c r="I439" s="2290"/>
      <c r="J439" s="613"/>
      <c r="K439" s="2290"/>
      <c r="L439" s="2290"/>
      <c r="M439" s="1763">
        <v>40899</v>
      </c>
      <c r="N439" s="1763">
        <v>41112</v>
      </c>
      <c r="O439" s="2021"/>
      <c r="P439" s="2021"/>
      <c r="Q439" s="1912"/>
    </row>
    <row r="440" spans="1:17" s="420" customFormat="1" ht="35.25" customHeight="1" x14ac:dyDescent="0.25">
      <c r="A440" s="2021" t="s">
        <v>3397</v>
      </c>
      <c r="B440" s="2021" t="s">
        <v>3398</v>
      </c>
      <c r="C440" s="2021"/>
      <c r="D440" s="2021">
        <v>10513</v>
      </c>
      <c r="E440" s="2021"/>
      <c r="F440" s="1759" t="s">
        <v>3452</v>
      </c>
      <c r="G440" s="2021" t="s">
        <v>3450</v>
      </c>
      <c r="H440" s="1762">
        <v>10848</v>
      </c>
      <c r="I440" s="2290"/>
      <c r="J440" s="613"/>
      <c r="K440" s="2290"/>
      <c r="L440" s="2290"/>
      <c r="M440" s="1763">
        <v>41113</v>
      </c>
      <c r="N440" s="1763">
        <v>41265</v>
      </c>
      <c r="O440" s="2021"/>
      <c r="P440" s="2021"/>
      <c r="Q440" s="1912"/>
    </row>
    <row r="441" spans="1:17" s="420" customFormat="1" ht="35.25" customHeight="1" x14ac:dyDescent="0.25">
      <c r="A441" s="2021" t="s">
        <v>3397</v>
      </c>
      <c r="B441" s="2021" t="s">
        <v>3398</v>
      </c>
      <c r="C441" s="2021"/>
      <c r="D441" s="2021">
        <v>10513</v>
      </c>
      <c r="E441" s="2021"/>
      <c r="F441" s="1759" t="s">
        <v>3453</v>
      </c>
      <c r="G441" s="2021" t="s">
        <v>3450</v>
      </c>
      <c r="H441" s="1762">
        <v>10953</v>
      </c>
      <c r="I441" s="2290"/>
      <c r="J441" s="613"/>
      <c r="K441" s="2290"/>
      <c r="L441" s="2290"/>
      <c r="M441" s="1763">
        <v>41266</v>
      </c>
      <c r="N441" s="1763">
        <v>41517</v>
      </c>
      <c r="O441" s="2021"/>
      <c r="P441" s="2021"/>
      <c r="Q441" s="1912"/>
    </row>
    <row r="442" spans="1:17" s="420" customFormat="1" ht="35.25" customHeight="1" x14ac:dyDescent="0.25">
      <c r="A442" s="2021" t="s">
        <v>3397</v>
      </c>
      <c r="B442" s="2021" t="s">
        <v>3398</v>
      </c>
      <c r="C442" s="2021"/>
      <c r="D442" s="2021">
        <v>10513</v>
      </c>
      <c r="E442" s="2021"/>
      <c r="F442" s="1759" t="s">
        <v>3454</v>
      </c>
      <c r="G442" s="2021" t="s">
        <v>3450</v>
      </c>
      <c r="H442" s="1762">
        <v>11127</v>
      </c>
      <c r="I442" s="2290"/>
      <c r="J442" s="613"/>
      <c r="K442" s="2290"/>
      <c r="L442" s="2290"/>
      <c r="M442" s="1763">
        <v>41518</v>
      </c>
      <c r="N442" s="1763">
        <v>41639</v>
      </c>
      <c r="O442" s="2021"/>
      <c r="P442" s="2021"/>
      <c r="Q442" s="1912"/>
    </row>
    <row r="443" spans="1:17" s="420" customFormat="1" ht="35.25" customHeight="1" x14ac:dyDescent="0.25">
      <c r="A443" s="1986" t="s">
        <v>3397</v>
      </c>
      <c r="B443" s="1986" t="s">
        <v>3398</v>
      </c>
      <c r="C443" s="1986"/>
      <c r="D443" s="1986">
        <v>10513</v>
      </c>
      <c r="E443" s="1986"/>
      <c r="F443" s="1759" t="s">
        <v>3455</v>
      </c>
      <c r="G443" s="1986" t="s">
        <v>3450</v>
      </c>
      <c r="H443" s="1762">
        <v>11214</v>
      </c>
      <c r="I443" s="2283"/>
      <c r="J443" s="613"/>
      <c r="K443" s="2283"/>
      <c r="L443" s="2283"/>
      <c r="M443" s="1763">
        <v>41640</v>
      </c>
      <c r="N443" s="1763">
        <v>41729</v>
      </c>
      <c r="O443" s="1986"/>
      <c r="P443" s="1986"/>
      <c r="Q443" s="1912"/>
    </row>
    <row r="444" spans="1:17" s="420" customFormat="1" ht="35.25" customHeight="1" x14ac:dyDescent="0.25">
      <c r="A444" s="1985" t="s">
        <v>3456</v>
      </c>
      <c r="B444" s="1985" t="s">
        <v>3457</v>
      </c>
      <c r="C444" s="1985" t="s">
        <v>311</v>
      </c>
      <c r="D444" s="1985">
        <v>10781</v>
      </c>
      <c r="E444" s="1985" t="s">
        <v>3380</v>
      </c>
      <c r="F444" s="1759" t="s">
        <v>2692</v>
      </c>
      <c r="G444" s="1985" t="s">
        <v>3458</v>
      </c>
      <c r="H444" s="1758">
        <v>10809</v>
      </c>
      <c r="I444" s="2282">
        <v>10080</v>
      </c>
      <c r="J444" s="1779">
        <v>18564</v>
      </c>
      <c r="K444" s="2282">
        <v>3780</v>
      </c>
      <c r="L444" s="2282">
        <v>28644</v>
      </c>
      <c r="M444" s="1763">
        <v>40685</v>
      </c>
      <c r="N444" s="1763">
        <v>40898</v>
      </c>
      <c r="O444" s="1985">
        <v>1</v>
      </c>
      <c r="P444" s="1985">
        <v>33903600</v>
      </c>
      <c r="Q444" s="1784"/>
    </row>
    <row r="445" spans="1:17" s="420" customFormat="1" ht="35.25" customHeight="1" x14ac:dyDescent="0.25">
      <c r="A445" s="2021" t="s">
        <v>3456</v>
      </c>
      <c r="B445" s="2021" t="s">
        <v>3457</v>
      </c>
      <c r="C445" s="2021"/>
      <c r="D445" s="2021">
        <v>10781</v>
      </c>
      <c r="E445" s="2021"/>
      <c r="F445" s="1759" t="s">
        <v>3459</v>
      </c>
      <c r="G445" s="2021" t="s">
        <v>3458</v>
      </c>
      <c r="H445" s="1758">
        <v>10985</v>
      </c>
      <c r="I445" s="2290"/>
      <c r="J445" s="1779"/>
      <c r="K445" s="2290"/>
      <c r="L445" s="2290"/>
      <c r="M445" s="1763">
        <v>41285</v>
      </c>
      <c r="N445" s="1763">
        <v>41528</v>
      </c>
      <c r="O445" s="2021"/>
      <c r="P445" s="2021"/>
      <c r="Q445" s="1784"/>
    </row>
    <row r="446" spans="1:17" s="420" customFormat="1" ht="35.25" customHeight="1" x14ac:dyDescent="0.25">
      <c r="A446" s="2021" t="s">
        <v>3456</v>
      </c>
      <c r="B446" s="2021" t="s">
        <v>3457</v>
      </c>
      <c r="C446" s="2021"/>
      <c r="D446" s="2021">
        <v>10781</v>
      </c>
      <c r="E446" s="2021"/>
      <c r="F446" s="1759" t="s">
        <v>3460</v>
      </c>
      <c r="G446" s="2021" t="s">
        <v>3458</v>
      </c>
      <c r="H446" s="1758">
        <v>11130</v>
      </c>
      <c r="I446" s="2290"/>
      <c r="J446" s="1779"/>
      <c r="K446" s="2290"/>
      <c r="L446" s="2290"/>
      <c r="M446" s="1763">
        <v>41894</v>
      </c>
      <c r="N446" s="1763">
        <v>41639</v>
      </c>
      <c r="O446" s="2021"/>
      <c r="P446" s="2021"/>
      <c r="Q446" s="1784"/>
    </row>
    <row r="447" spans="1:17" s="420" customFormat="1" ht="35.25" customHeight="1" x14ac:dyDescent="0.25">
      <c r="A447" s="1986" t="s">
        <v>3456</v>
      </c>
      <c r="B447" s="1986" t="s">
        <v>3457</v>
      </c>
      <c r="C447" s="1986"/>
      <c r="D447" s="1986">
        <v>10781</v>
      </c>
      <c r="E447" s="1986"/>
      <c r="F447" s="1759" t="s">
        <v>3461</v>
      </c>
      <c r="G447" s="1986" t="s">
        <v>3458</v>
      </c>
      <c r="H447" s="1758">
        <v>11217</v>
      </c>
      <c r="I447" s="2283"/>
      <c r="J447" s="1779"/>
      <c r="K447" s="2283"/>
      <c r="L447" s="2283"/>
      <c r="M447" s="1763">
        <v>41640</v>
      </c>
      <c r="N447" s="1763">
        <v>41729</v>
      </c>
      <c r="O447" s="1986"/>
      <c r="P447" s="1986"/>
      <c r="Q447" s="1784"/>
    </row>
    <row r="448" spans="1:17" s="420" customFormat="1" ht="35.25" customHeight="1" x14ac:dyDescent="0.25">
      <c r="A448" s="1985" t="s">
        <v>3456</v>
      </c>
      <c r="B448" s="1985" t="s">
        <v>3457</v>
      </c>
      <c r="C448" s="1985" t="s">
        <v>311</v>
      </c>
      <c r="D448" s="1985">
        <v>10781</v>
      </c>
      <c r="E448" s="1985" t="s">
        <v>3380</v>
      </c>
      <c r="F448" s="1759" t="s">
        <v>3462</v>
      </c>
      <c r="G448" s="1985" t="s">
        <v>3463</v>
      </c>
      <c r="H448" s="1762">
        <v>10809</v>
      </c>
      <c r="I448" s="2282">
        <v>10080</v>
      </c>
      <c r="J448" s="613">
        <v>18522</v>
      </c>
      <c r="K448" s="2282">
        <v>3780</v>
      </c>
      <c r="L448" s="2282">
        <v>28602</v>
      </c>
      <c r="M448" s="1763">
        <v>41039</v>
      </c>
      <c r="N448" s="1763">
        <v>41284</v>
      </c>
      <c r="O448" s="1985">
        <v>1</v>
      </c>
      <c r="P448" s="1985">
        <v>33903600</v>
      </c>
      <c r="Q448" s="1912"/>
    </row>
    <row r="449" spans="1:17" s="420" customFormat="1" ht="35.25" customHeight="1" x14ac:dyDescent="0.25">
      <c r="A449" s="2021" t="s">
        <v>3456</v>
      </c>
      <c r="B449" s="2021" t="s">
        <v>3457</v>
      </c>
      <c r="C449" s="2021"/>
      <c r="D449" s="2021">
        <v>10781</v>
      </c>
      <c r="E449" s="2021"/>
      <c r="F449" s="1759" t="s">
        <v>3464</v>
      </c>
      <c r="G449" s="2021" t="s">
        <v>3463</v>
      </c>
      <c r="H449" s="1762">
        <v>10985</v>
      </c>
      <c r="I449" s="2290"/>
      <c r="J449" s="613"/>
      <c r="K449" s="2290"/>
      <c r="L449" s="2290"/>
      <c r="M449" s="1763">
        <f>N448+1</f>
        <v>41285</v>
      </c>
      <c r="N449" s="1763">
        <f>M449+243</f>
        <v>41528</v>
      </c>
      <c r="O449" s="2021"/>
      <c r="P449" s="2021"/>
      <c r="Q449" s="1912"/>
    </row>
    <row r="450" spans="1:17" s="420" customFormat="1" ht="35.25" customHeight="1" x14ac:dyDescent="0.25">
      <c r="A450" s="2021" t="s">
        <v>3456</v>
      </c>
      <c r="B450" s="2021" t="s">
        <v>3457</v>
      </c>
      <c r="C450" s="2021"/>
      <c r="D450" s="2021">
        <v>10781</v>
      </c>
      <c r="E450" s="2021"/>
      <c r="F450" s="1759" t="s">
        <v>3465</v>
      </c>
      <c r="G450" s="2021" t="s">
        <v>3463</v>
      </c>
      <c r="H450" s="1762">
        <v>11130</v>
      </c>
      <c r="I450" s="2290"/>
      <c r="J450" s="613"/>
      <c r="K450" s="2290"/>
      <c r="L450" s="2290"/>
      <c r="M450" s="1763">
        <f t="shared" ref="M450:M451" si="9">N449+1</f>
        <v>41529</v>
      </c>
      <c r="N450" s="1763">
        <f>M450+110</f>
        <v>41639</v>
      </c>
      <c r="O450" s="2021"/>
      <c r="P450" s="2021"/>
      <c r="Q450" s="1912"/>
    </row>
    <row r="451" spans="1:17" s="420" customFormat="1" ht="35.25" customHeight="1" x14ac:dyDescent="0.25">
      <c r="A451" s="1986" t="s">
        <v>3456</v>
      </c>
      <c r="B451" s="1986" t="s">
        <v>3457</v>
      </c>
      <c r="C451" s="1986"/>
      <c r="D451" s="1986">
        <v>10781</v>
      </c>
      <c r="E451" s="1986"/>
      <c r="F451" s="1759" t="s">
        <v>3466</v>
      </c>
      <c r="G451" s="1986" t="s">
        <v>3463</v>
      </c>
      <c r="H451" s="1762">
        <v>11214</v>
      </c>
      <c r="I451" s="2283"/>
      <c r="J451" s="613"/>
      <c r="K451" s="2283"/>
      <c r="L451" s="2283"/>
      <c r="M451" s="1763">
        <f t="shared" si="9"/>
        <v>41640</v>
      </c>
      <c r="N451" s="1763">
        <v>41729</v>
      </c>
      <c r="O451" s="1986"/>
      <c r="P451" s="1986"/>
      <c r="Q451" s="1912"/>
    </row>
    <row r="452" spans="1:17" s="420" customFormat="1" ht="35.25" customHeight="1" x14ac:dyDescent="0.25">
      <c r="A452" s="1985" t="s">
        <v>3456</v>
      </c>
      <c r="B452" s="1985" t="s">
        <v>3457</v>
      </c>
      <c r="C452" s="1985" t="s">
        <v>311</v>
      </c>
      <c r="D452" s="1985">
        <v>10781</v>
      </c>
      <c r="E452" s="1985" t="s">
        <v>3380</v>
      </c>
      <c r="F452" s="1759" t="s">
        <v>3467</v>
      </c>
      <c r="G452" s="1985" t="s">
        <v>3468</v>
      </c>
      <c r="H452" s="1758">
        <v>10809</v>
      </c>
      <c r="I452" s="2282">
        <v>9880</v>
      </c>
      <c r="J452" s="1779"/>
      <c r="K452" s="2282">
        <v>2470</v>
      </c>
      <c r="L452" s="2282">
        <v>26799.870000000003</v>
      </c>
      <c r="M452" s="1763">
        <v>41039</v>
      </c>
      <c r="N452" s="1763">
        <v>41284</v>
      </c>
      <c r="O452" s="1985">
        <v>1</v>
      </c>
      <c r="P452" s="1985">
        <v>33903600</v>
      </c>
      <c r="Q452" s="1784"/>
    </row>
    <row r="453" spans="1:17" s="420" customFormat="1" ht="35.25" customHeight="1" x14ac:dyDescent="0.25">
      <c r="A453" s="2021" t="s">
        <v>3456</v>
      </c>
      <c r="B453" s="2021" t="s">
        <v>3457</v>
      </c>
      <c r="C453" s="2021"/>
      <c r="D453" s="2021">
        <v>10781</v>
      </c>
      <c r="E453" s="2021"/>
      <c r="F453" s="1759" t="s">
        <v>3469</v>
      </c>
      <c r="G453" s="2021" t="s">
        <v>3468</v>
      </c>
      <c r="H453" s="1758">
        <v>10958</v>
      </c>
      <c r="I453" s="2290"/>
      <c r="J453" s="1779">
        <v>16919.87</v>
      </c>
      <c r="K453" s="2290"/>
      <c r="L453" s="2290"/>
      <c r="M453" s="1763">
        <v>41285</v>
      </c>
      <c r="N453" s="1763">
        <v>41528</v>
      </c>
      <c r="O453" s="2021"/>
      <c r="P453" s="2021"/>
      <c r="Q453" s="1784"/>
    </row>
    <row r="454" spans="1:17" s="420" customFormat="1" ht="35.25" customHeight="1" x14ac:dyDescent="0.25">
      <c r="A454" s="2021" t="s">
        <v>3456</v>
      </c>
      <c r="B454" s="2021" t="s">
        <v>3457</v>
      </c>
      <c r="C454" s="2021"/>
      <c r="D454" s="2021">
        <v>10781</v>
      </c>
      <c r="E454" s="2021"/>
      <c r="F454" s="1759" t="s">
        <v>3470</v>
      </c>
      <c r="G454" s="2021" t="s">
        <v>3468</v>
      </c>
      <c r="H454" s="1758">
        <v>11130</v>
      </c>
      <c r="I454" s="2290"/>
      <c r="J454" s="1779"/>
      <c r="K454" s="2290"/>
      <c r="L454" s="2290"/>
      <c r="M454" s="1763">
        <v>41529</v>
      </c>
      <c r="N454" s="1763">
        <v>41639</v>
      </c>
      <c r="O454" s="2021"/>
      <c r="P454" s="2021"/>
      <c r="Q454" s="1784"/>
    </row>
    <row r="455" spans="1:17" s="420" customFormat="1" ht="35.25" customHeight="1" x14ac:dyDescent="0.25">
      <c r="A455" s="1986" t="s">
        <v>3456</v>
      </c>
      <c r="B455" s="1986" t="s">
        <v>3457</v>
      </c>
      <c r="C455" s="1986"/>
      <c r="D455" s="1986">
        <v>10781</v>
      </c>
      <c r="E455" s="1986"/>
      <c r="F455" s="1759" t="s">
        <v>3471</v>
      </c>
      <c r="G455" s="1986" t="s">
        <v>3468</v>
      </c>
      <c r="H455" s="1758">
        <v>11214</v>
      </c>
      <c r="I455" s="2283"/>
      <c r="J455" s="1779"/>
      <c r="K455" s="2283"/>
      <c r="L455" s="2283"/>
      <c r="M455" s="1763">
        <v>41640</v>
      </c>
      <c r="N455" s="1763">
        <v>41729</v>
      </c>
      <c r="O455" s="1986"/>
      <c r="P455" s="1986"/>
      <c r="Q455" s="1784"/>
    </row>
    <row r="456" spans="1:17" s="420" customFormat="1" ht="35.25" customHeight="1" x14ac:dyDescent="0.25">
      <c r="A456" s="1758" t="s">
        <v>3472</v>
      </c>
      <c r="B456" s="1758" t="s">
        <v>3473</v>
      </c>
      <c r="C456" s="1758" t="s">
        <v>311</v>
      </c>
      <c r="D456" s="1762"/>
      <c r="E456" s="1758" t="s">
        <v>3474</v>
      </c>
      <c r="F456" s="1759" t="s">
        <v>683</v>
      </c>
      <c r="G456" s="1767" t="s">
        <v>3475</v>
      </c>
      <c r="H456" s="1762">
        <v>11220</v>
      </c>
      <c r="I456" s="613">
        <v>15970</v>
      </c>
      <c r="J456" s="613">
        <v>0</v>
      </c>
      <c r="K456" s="613">
        <v>15970</v>
      </c>
      <c r="L456" s="613">
        <v>15970</v>
      </c>
      <c r="M456" s="1763">
        <v>41648</v>
      </c>
      <c r="N456" s="1763">
        <v>41737</v>
      </c>
      <c r="O456" s="1758">
        <v>1</v>
      </c>
      <c r="P456" s="1758">
        <v>44905200</v>
      </c>
      <c r="Q456" s="1912"/>
    </row>
    <row r="457" spans="1:17" s="420" customFormat="1" ht="35.25" customHeight="1" x14ac:dyDescent="0.25">
      <c r="A457" s="1985"/>
      <c r="B457" s="1985" t="s">
        <v>3476</v>
      </c>
      <c r="C457" s="1985" t="s">
        <v>311</v>
      </c>
      <c r="D457" s="1985">
        <v>11211</v>
      </c>
      <c r="E457" s="1985" t="s">
        <v>3477</v>
      </c>
      <c r="F457" s="1759" t="s">
        <v>787</v>
      </c>
      <c r="G457" s="1985" t="s">
        <v>2113</v>
      </c>
      <c r="H457" s="1758">
        <v>11253</v>
      </c>
      <c r="I457" s="2282">
        <v>66151</v>
      </c>
      <c r="J457" s="1779">
        <v>0</v>
      </c>
      <c r="K457" s="2282">
        <v>66151</v>
      </c>
      <c r="L457" s="2282">
        <v>66151</v>
      </c>
      <c r="M457" s="1763">
        <v>41697</v>
      </c>
      <c r="N457" s="1763">
        <v>41756</v>
      </c>
      <c r="O457" s="1985" t="s">
        <v>2882</v>
      </c>
      <c r="P457" s="1985">
        <v>44905100</v>
      </c>
      <c r="Q457" s="1784"/>
    </row>
    <row r="458" spans="1:17" s="420" customFormat="1" ht="35.25" customHeight="1" x14ac:dyDescent="0.25">
      <c r="A458" s="2021"/>
      <c r="B458" s="2021" t="s">
        <v>3476</v>
      </c>
      <c r="C458" s="2021"/>
      <c r="D458" s="2021">
        <v>11211</v>
      </c>
      <c r="E458" s="2021"/>
      <c r="F458" s="1759" t="s">
        <v>3478</v>
      </c>
      <c r="G458" s="2021" t="s">
        <v>3479</v>
      </c>
      <c r="H458" s="1758">
        <v>11351</v>
      </c>
      <c r="I458" s="2290"/>
      <c r="J458" s="1779"/>
      <c r="K458" s="2290"/>
      <c r="L458" s="2290"/>
      <c r="M458" s="1763">
        <f>N457+1</f>
        <v>41757</v>
      </c>
      <c r="N458" s="1763">
        <v>41816</v>
      </c>
      <c r="O458" s="2021"/>
      <c r="P458" s="2021"/>
      <c r="Q458" s="1784"/>
    </row>
    <row r="459" spans="1:17" s="420" customFormat="1" ht="35.25" customHeight="1" x14ac:dyDescent="0.25">
      <c r="A459" s="2021"/>
      <c r="B459" s="2021" t="s">
        <v>3476</v>
      </c>
      <c r="C459" s="2021"/>
      <c r="D459" s="2021">
        <v>11211</v>
      </c>
      <c r="E459" s="2021"/>
      <c r="F459" s="1759" t="s">
        <v>3480</v>
      </c>
      <c r="G459" s="2021" t="s">
        <v>3481</v>
      </c>
      <c r="H459" s="1758">
        <v>11367</v>
      </c>
      <c r="I459" s="2290"/>
      <c r="J459" s="1779"/>
      <c r="K459" s="2290"/>
      <c r="L459" s="2290"/>
      <c r="M459" s="1763">
        <v>41817</v>
      </c>
      <c r="N459" s="1763">
        <v>41876</v>
      </c>
      <c r="O459" s="2021"/>
      <c r="P459" s="2021"/>
      <c r="Q459" s="1784"/>
    </row>
    <row r="460" spans="1:17" s="420" customFormat="1" ht="35.25" customHeight="1" x14ac:dyDescent="0.25">
      <c r="A460" s="1986"/>
      <c r="B460" s="1986" t="s">
        <v>3476</v>
      </c>
      <c r="C460" s="1986"/>
      <c r="D460" s="1986">
        <v>11211</v>
      </c>
      <c r="E460" s="1986"/>
      <c r="F460" s="1759" t="s">
        <v>3480</v>
      </c>
      <c r="G460" s="1986" t="s">
        <v>3481</v>
      </c>
      <c r="H460" s="1758">
        <v>11412</v>
      </c>
      <c r="I460" s="2283"/>
      <c r="J460" s="1779"/>
      <c r="K460" s="2283"/>
      <c r="L460" s="2283"/>
      <c r="M460" s="1763">
        <v>41877</v>
      </c>
      <c r="N460" s="1763">
        <v>41933</v>
      </c>
      <c r="O460" s="1986"/>
      <c r="P460" s="1986"/>
      <c r="Q460" s="1784"/>
    </row>
    <row r="461" spans="1:17" s="420" customFormat="1" ht="35.25" customHeight="1" x14ac:dyDescent="0.25">
      <c r="A461" s="1985" t="s">
        <v>3482</v>
      </c>
      <c r="B461" s="1985" t="s">
        <v>3476</v>
      </c>
      <c r="C461" s="1985" t="s">
        <v>311</v>
      </c>
      <c r="D461" s="1985">
        <v>11211</v>
      </c>
      <c r="E461" s="1985" t="s">
        <v>3477</v>
      </c>
      <c r="F461" s="1759" t="s">
        <v>792</v>
      </c>
      <c r="G461" s="1985" t="s">
        <v>3483</v>
      </c>
      <c r="H461" s="1758">
        <v>11254</v>
      </c>
      <c r="I461" s="2282">
        <v>11880</v>
      </c>
      <c r="J461" s="1779">
        <v>0</v>
      </c>
      <c r="K461" s="2282">
        <v>11880</v>
      </c>
      <c r="L461" s="2282">
        <v>11880</v>
      </c>
      <c r="M461" s="1763">
        <v>41698</v>
      </c>
      <c r="N461" s="1763">
        <v>41817</v>
      </c>
      <c r="O461" s="1985" t="s">
        <v>2882</v>
      </c>
      <c r="P461" s="1985">
        <v>44905100</v>
      </c>
      <c r="Q461" s="1784"/>
    </row>
    <row r="462" spans="1:17" s="420" customFormat="1" ht="35.25" customHeight="1" x14ac:dyDescent="0.25">
      <c r="A462" s="2021" t="s">
        <v>3482</v>
      </c>
      <c r="B462" s="2021" t="s">
        <v>3476</v>
      </c>
      <c r="C462" s="2021"/>
      <c r="D462" s="2021">
        <v>11211</v>
      </c>
      <c r="E462" s="2021"/>
      <c r="F462" s="1759" t="s">
        <v>3484</v>
      </c>
      <c r="G462" s="2021" t="s">
        <v>3483</v>
      </c>
      <c r="H462" s="1762">
        <v>11254</v>
      </c>
      <c r="I462" s="2290"/>
      <c r="J462" s="613"/>
      <c r="K462" s="2290"/>
      <c r="L462" s="2290"/>
      <c r="M462" s="1763">
        <v>41698</v>
      </c>
      <c r="N462" s="1763">
        <v>41817</v>
      </c>
      <c r="O462" s="2021"/>
      <c r="P462" s="2021"/>
      <c r="Q462" s="1912"/>
    </row>
    <row r="463" spans="1:17" s="420" customFormat="1" ht="35.25" customHeight="1" x14ac:dyDescent="0.25">
      <c r="A463" s="1986" t="s">
        <v>3482</v>
      </c>
      <c r="B463" s="1986" t="s">
        <v>3476</v>
      </c>
      <c r="C463" s="1986"/>
      <c r="D463" s="1986">
        <v>11211</v>
      </c>
      <c r="E463" s="1986"/>
      <c r="F463" s="1759" t="s">
        <v>3485</v>
      </c>
      <c r="G463" s="1986" t="s">
        <v>3483</v>
      </c>
      <c r="H463" s="1762">
        <v>11365</v>
      </c>
      <c r="I463" s="2283"/>
      <c r="J463" s="613"/>
      <c r="K463" s="2283"/>
      <c r="L463" s="2283"/>
      <c r="M463" s="1763">
        <v>41818</v>
      </c>
      <c r="N463" s="1763">
        <v>41877</v>
      </c>
      <c r="O463" s="1986"/>
      <c r="P463" s="1986"/>
      <c r="Q463" s="1912"/>
    </row>
    <row r="464" spans="1:17" s="420" customFormat="1" ht="35.25" customHeight="1" x14ac:dyDescent="0.25">
      <c r="A464" s="1985" t="s">
        <v>3482</v>
      </c>
      <c r="B464" s="1985" t="s">
        <v>3476</v>
      </c>
      <c r="C464" s="1985" t="s">
        <v>311</v>
      </c>
      <c r="D464" s="1985">
        <v>11211</v>
      </c>
      <c r="E464" s="1985" t="s">
        <v>3477</v>
      </c>
      <c r="F464" s="1759" t="s">
        <v>795</v>
      </c>
      <c r="G464" s="1985" t="s">
        <v>2110</v>
      </c>
      <c r="H464" s="1758">
        <v>11254</v>
      </c>
      <c r="I464" s="2282">
        <v>3600</v>
      </c>
      <c r="J464" s="1779">
        <v>0</v>
      </c>
      <c r="K464" s="2282">
        <v>3600</v>
      </c>
      <c r="L464" s="2282">
        <v>3600</v>
      </c>
      <c r="M464" s="1763">
        <v>41698</v>
      </c>
      <c r="N464" s="1763">
        <v>41817</v>
      </c>
      <c r="O464" s="1985" t="s">
        <v>2882</v>
      </c>
      <c r="P464" s="1985">
        <v>44905100</v>
      </c>
      <c r="Q464" s="1784"/>
    </row>
    <row r="465" spans="1:17" s="420" customFormat="1" ht="35.25" customHeight="1" x14ac:dyDescent="0.25">
      <c r="A465" s="2021" t="s">
        <v>3482</v>
      </c>
      <c r="B465" s="2021" t="s">
        <v>3476</v>
      </c>
      <c r="C465" s="2021"/>
      <c r="D465" s="2021">
        <v>11211</v>
      </c>
      <c r="E465" s="2021"/>
      <c r="F465" s="1759" t="s">
        <v>3486</v>
      </c>
      <c r="G465" s="2021" t="s">
        <v>2110</v>
      </c>
      <c r="H465" s="1758">
        <v>11254</v>
      </c>
      <c r="I465" s="2290">
        <v>0</v>
      </c>
      <c r="J465" s="1779">
        <v>0</v>
      </c>
      <c r="K465" s="2290">
        <v>0</v>
      </c>
      <c r="L465" s="2290">
        <v>0</v>
      </c>
      <c r="M465" s="1763">
        <v>41698</v>
      </c>
      <c r="N465" s="1763">
        <v>41817</v>
      </c>
      <c r="O465" s="2021"/>
      <c r="P465" s="2021"/>
      <c r="Q465" s="1784"/>
    </row>
    <row r="466" spans="1:17" s="420" customFormat="1" ht="35.25" customHeight="1" x14ac:dyDescent="0.25">
      <c r="A466" s="1986" t="s">
        <v>3482</v>
      </c>
      <c r="B466" s="1986" t="s">
        <v>3476</v>
      </c>
      <c r="C466" s="1986"/>
      <c r="D466" s="1986">
        <v>11211</v>
      </c>
      <c r="E466" s="1986"/>
      <c r="F466" s="1759" t="s">
        <v>3487</v>
      </c>
      <c r="G466" s="1986" t="s">
        <v>2110</v>
      </c>
      <c r="H466" s="1758">
        <v>11357</v>
      </c>
      <c r="I466" s="2283"/>
      <c r="J466" s="1779"/>
      <c r="K466" s="2283"/>
      <c r="L466" s="2283"/>
      <c r="M466" s="1763">
        <v>41818</v>
      </c>
      <c r="N466" s="1763">
        <v>41847</v>
      </c>
      <c r="O466" s="1986"/>
      <c r="P466" s="1986"/>
      <c r="Q466" s="1784"/>
    </row>
    <row r="467" spans="1:17" s="420" customFormat="1" ht="35.25" customHeight="1" x14ac:dyDescent="0.25">
      <c r="A467" s="1985" t="s">
        <v>3482</v>
      </c>
      <c r="B467" s="1985" t="s">
        <v>3476</v>
      </c>
      <c r="C467" s="1985" t="s">
        <v>311</v>
      </c>
      <c r="D467" s="1985">
        <v>11211</v>
      </c>
      <c r="E467" s="1985" t="s">
        <v>3477</v>
      </c>
      <c r="F467" s="1759" t="s">
        <v>798</v>
      </c>
      <c r="G467" s="1985" t="s">
        <v>3488</v>
      </c>
      <c r="H467" s="1758">
        <v>11254</v>
      </c>
      <c r="I467" s="2282">
        <v>70988.100000000006</v>
      </c>
      <c r="J467" s="1779">
        <v>0</v>
      </c>
      <c r="K467" s="2282">
        <v>70988.100000000006</v>
      </c>
      <c r="L467" s="2282">
        <v>70988.100000000006</v>
      </c>
      <c r="M467" s="1763">
        <v>41697</v>
      </c>
      <c r="N467" s="1763">
        <v>41756</v>
      </c>
      <c r="O467" s="1985" t="s">
        <v>2882</v>
      </c>
      <c r="P467" s="1985">
        <v>44905100</v>
      </c>
      <c r="Q467" s="1784"/>
    </row>
    <row r="468" spans="1:17" s="420" customFormat="1" ht="35.25" customHeight="1" x14ac:dyDescent="0.25">
      <c r="A468" s="2021" t="s">
        <v>3482</v>
      </c>
      <c r="B468" s="2021" t="s">
        <v>3476</v>
      </c>
      <c r="C468" s="2021"/>
      <c r="D468" s="2021">
        <v>11211</v>
      </c>
      <c r="E468" s="2021"/>
      <c r="F468" s="1759" t="s">
        <v>3489</v>
      </c>
      <c r="G468" s="2021" t="s">
        <v>3488</v>
      </c>
      <c r="H468" s="1762">
        <v>11352</v>
      </c>
      <c r="I468" s="2290"/>
      <c r="J468" s="613"/>
      <c r="K468" s="2290"/>
      <c r="L468" s="2290"/>
      <c r="M468" s="1763">
        <f>N467+1</f>
        <v>41757</v>
      </c>
      <c r="N468" s="1763">
        <v>41816</v>
      </c>
      <c r="O468" s="2021"/>
      <c r="P468" s="2021"/>
      <c r="Q468" s="1912"/>
    </row>
    <row r="469" spans="1:17" s="420" customFormat="1" ht="35.25" customHeight="1" x14ac:dyDescent="0.25">
      <c r="A469" s="2021" t="s">
        <v>3482</v>
      </c>
      <c r="B469" s="2021" t="s">
        <v>3476</v>
      </c>
      <c r="C469" s="2021"/>
      <c r="D469" s="2021">
        <v>11211</v>
      </c>
      <c r="E469" s="2021"/>
      <c r="F469" s="1759" t="s">
        <v>3490</v>
      </c>
      <c r="G469" s="2021" t="s">
        <v>3488</v>
      </c>
      <c r="H469" s="1762">
        <v>11365</v>
      </c>
      <c r="I469" s="2290"/>
      <c r="J469" s="613"/>
      <c r="K469" s="2290"/>
      <c r="L469" s="2290"/>
      <c r="M469" s="1763">
        <v>41817</v>
      </c>
      <c r="N469" s="1763">
        <v>41876</v>
      </c>
      <c r="O469" s="2021"/>
      <c r="P469" s="2021"/>
      <c r="Q469" s="1912"/>
    </row>
    <row r="470" spans="1:17" s="420" customFormat="1" ht="35.25" customHeight="1" x14ac:dyDescent="0.25">
      <c r="A470" s="1986" t="s">
        <v>3482</v>
      </c>
      <c r="B470" s="1986" t="s">
        <v>3476</v>
      </c>
      <c r="C470" s="1986"/>
      <c r="D470" s="1986">
        <v>11211</v>
      </c>
      <c r="E470" s="1986"/>
      <c r="F470" s="1759" t="s">
        <v>3491</v>
      </c>
      <c r="G470" s="1986" t="s">
        <v>3488</v>
      </c>
      <c r="H470" s="1762">
        <v>11413</v>
      </c>
      <c r="I470" s="2283"/>
      <c r="J470" s="613"/>
      <c r="K470" s="2283"/>
      <c r="L470" s="2283"/>
      <c r="M470" s="1763">
        <v>41877</v>
      </c>
      <c r="N470" s="1763">
        <v>41936</v>
      </c>
      <c r="O470" s="1986"/>
      <c r="P470" s="1986"/>
      <c r="Q470" s="1912"/>
    </row>
    <row r="471" spans="1:17" s="420" customFormat="1" ht="35.25" customHeight="1" x14ac:dyDescent="0.25">
      <c r="A471" s="1985" t="s">
        <v>3482</v>
      </c>
      <c r="B471" s="1985" t="s">
        <v>3476</v>
      </c>
      <c r="C471" s="1985" t="s">
        <v>311</v>
      </c>
      <c r="D471" s="1985">
        <v>11211</v>
      </c>
      <c r="E471" s="1985" t="s">
        <v>3477</v>
      </c>
      <c r="F471" s="1759" t="s">
        <v>804</v>
      </c>
      <c r="G471" s="1985" t="s">
        <v>1566</v>
      </c>
      <c r="H471" s="1758">
        <v>11254</v>
      </c>
      <c r="I471" s="2282">
        <v>29040</v>
      </c>
      <c r="J471" s="1779">
        <v>0</v>
      </c>
      <c r="K471" s="2282">
        <v>29040</v>
      </c>
      <c r="L471" s="2282">
        <v>29040</v>
      </c>
      <c r="M471" s="1763">
        <v>41697</v>
      </c>
      <c r="N471" s="1763">
        <v>41756</v>
      </c>
      <c r="O471" s="1985" t="s">
        <v>2882</v>
      </c>
      <c r="P471" s="1985">
        <v>44905100</v>
      </c>
      <c r="Q471" s="1784"/>
    </row>
    <row r="472" spans="1:17" s="420" customFormat="1" ht="35.25" customHeight="1" x14ac:dyDescent="0.25">
      <c r="A472" s="2021" t="s">
        <v>3482</v>
      </c>
      <c r="B472" s="2021" t="s">
        <v>3476</v>
      </c>
      <c r="C472" s="2021"/>
      <c r="D472" s="2021">
        <v>11211</v>
      </c>
      <c r="E472" s="2021"/>
      <c r="F472" s="1759" t="s">
        <v>3492</v>
      </c>
      <c r="G472" s="2021" t="s">
        <v>1566</v>
      </c>
      <c r="H472" s="1758">
        <v>11352</v>
      </c>
      <c r="I472" s="2290"/>
      <c r="J472" s="1779"/>
      <c r="K472" s="2290"/>
      <c r="L472" s="2290"/>
      <c r="M472" s="1763">
        <v>41757</v>
      </c>
      <c r="N472" s="1763">
        <v>41816</v>
      </c>
      <c r="O472" s="2021"/>
      <c r="P472" s="2021"/>
      <c r="Q472" s="1784"/>
    </row>
    <row r="473" spans="1:17" s="420" customFormat="1" ht="35.25" customHeight="1" x14ac:dyDescent="0.25">
      <c r="A473" s="1986" t="s">
        <v>3482</v>
      </c>
      <c r="B473" s="1986" t="s">
        <v>3476</v>
      </c>
      <c r="C473" s="1986"/>
      <c r="D473" s="1986">
        <v>11211</v>
      </c>
      <c r="E473" s="1986"/>
      <c r="F473" s="1759" t="s">
        <v>3493</v>
      </c>
      <c r="G473" s="1986" t="s">
        <v>1566</v>
      </c>
      <c r="H473" s="1758">
        <v>11357</v>
      </c>
      <c r="I473" s="2283"/>
      <c r="J473" s="1779"/>
      <c r="K473" s="2283"/>
      <c r="L473" s="2283"/>
      <c r="M473" s="1763">
        <v>41817</v>
      </c>
      <c r="N473" s="1763">
        <v>41846</v>
      </c>
      <c r="O473" s="1986"/>
      <c r="P473" s="1986"/>
      <c r="Q473" s="1784"/>
    </row>
    <row r="474" spans="1:17" s="420" customFormat="1" ht="35.25" customHeight="1" x14ac:dyDescent="0.25">
      <c r="A474" s="1985" t="s">
        <v>539</v>
      </c>
      <c r="B474" s="1985" t="s">
        <v>3494</v>
      </c>
      <c r="C474" s="1985" t="s">
        <v>311</v>
      </c>
      <c r="D474" s="1985">
        <v>11250</v>
      </c>
      <c r="E474" s="1985" t="s">
        <v>3495</v>
      </c>
      <c r="F474" s="1759" t="s">
        <v>831</v>
      </c>
      <c r="G474" s="1985" t="s">
        <v>2106</v>
      </c>
      <c r="H474" s="1758">
        <v>11355</v>
      </c>
      <c r="I474" s="2282">
        <v>20610</v>
      </c>
      <c r="J474" s="1779">
        <v>0</v>
      </c>
      <c r="K474" s="2282">
        <v>0</v>
      </c>
      <c r="L474" s="2282">
        <v>0</v>
      </c>
      <c r="M474" s="1763">
        <v>41719</v>
      </c>
      <c r="N474" s="1763">
        <v>41778</v>
      </c>
      <c r="O474" s="1985" t="s">
        <v>2882</v>
      </c>
      <c r="P474" s="1985">
        <v>44905200</v>
      </c>
      <c r="Q474" s="1784"/>
    </row>
    <row r="475" spans="1:17" s="420" customFormat="1" ht="35.25" customHeight="1" x14ac:dyDescent="0.25">
      <c r="A475" s="2021" t="s">
        <v>539</v>
      </c>
      <c r="B475" s="2021" t="s">
        <v>3494</v>
      </c>
      <c r="C475" s="2021"/>
      <c r="D475" s="2021">
        <v>11250</v>
      </c>
      <c r="E475" s="2021"/>
      <c r="F475" s="1759" t="s">
        <v>3496</v>
      </c>
      <c r="G475" s="2021" t="s">
        <v>2106</v>
      </c>
      <c r="H475" s="1762">
        <v>11354</v>
      </c>
      <c r="I475" s="2290"/>
      <c r="J475" s="613"/>
      <c r="K475" s="2290"/>
      <c r="L475" s="2290"/>
      <c r="M475" s="1763">
        <f>N474+1</f>
        <v>41779</v>
      </c>
      <c r="N475" s="1763">
        <v>41838</v>
      </c>
      <c r="O475" s="2021"/>
      <c r="P475" s="2021"/>
      <c r="Q475" s="1912"/>
    </row>
    <row r="476" spans="1:17" s="420" customFormat="1" ht="35.25" customHeight="1" x14ac:dyDescent="0.25">
      <c r="A476" s="2021" t="s">
        <v>539</v>
      </c>
      <c r="B476" s="2021" t="s">
        <v>3494</v>
      </c>
      <c r="C476" s="2021"/>
      <c r="D476" s="2021">
        <v>11250</v>
      </c>
      <c r="E476" s="2021"/>
      <c r="F476" s="1759" t="s">
        <v>3497</v>
      </c>
      <c r="G476" s="2021" t="s">
        <v>2106</v>
      </c>
      <c r="H476" s="1762">
        <v>11365</v>
      </c>
      <c r="I476" s="2290"/>
      <c r="J476" s="613"/>
      <c r="K476" s="2290"/>
      <c r="L476" s="2290"/>
      <c r="M476" s="1763">
        <v>41839</v>
      </c>
      <c r="N476" s="1763">
        <v>41898</v>
      </c>
      <c r="O476" s="2021"/>
      <c r="P476" s="2021"/>
      <c r="Q476" s="1912"/>
    </row>
    <row r="477" spans="1:17" s="420" customFormat="1" ht="35.25" customHeight="1" x14ac:dyDescent="0.25">
      <c r="A477" s="1986" t="s">
        <v>539</v>
      </c>
      <c r="B477" s="1986" t="s">
        <v>3494</v>
      </c>
      <c r="C477" s="1986"/>
      <c r="D477" s="1986">
        <v>11250</v>
      </c>
      <c r="E477" s="1986"/>
      <c r="F477" s="1759" t="s">
        <v>3498</v>
      </c>
      <c r="G477" s="1986" t="s">
        <v>2106</v>
      </c>
      <c r="H477" s="1762">
        <v>11413</v>
      </c>
      <c r="I477" s="2283"/>
      <c r="J477" s="613"/>
      <c r="K477" s="2283"/>
      <c r="L477" s="2283"/>
      <c r="M477" s="1763">
        <v>41899</v>
      </c>
      <c r="N477" s="1763">
        <v>41958</v>
      </c>
      <c r="O477" s="1986"/>
      <c r="P477" s="1986"/>
      <c r="Q477" s="1912"/>
    </row>
    <row r="478" spans="1:17" s="420" customFormat="1" ht="35.25" customHeight="1" x14ac:dyDescent="0.25">
      <c r="A478" s="1985" t="s">
        <v>3499</v>
      </c>
      <c r="B478" s="1985" t="s">
        <v>3500</v>
      </c>
      <c r="C478" s="1985" t="s">
        <v>311</v>
      </c>
      <c r="D478" s="1985">
        <v>11254</v>
      </c>
      <c r="E478" s="1985" t="s">
        <v>3501</v>
      </c>
      <c r="F478" s="1759" t="s">
        <v>841</v>
      </c>
      <c r="G478" s="1985" t="s">
        <v>3502</v>
      </c>
      <c r="H478" s="1758">
        <v>11283</v>
      </c>
      <c r="I478" s="2282">
        <v>13230</v>
      </c>
      <c r="J478" s="1779">
        <v>0</v>
      </c>
      <c r="K478" s="2282">
        <v>13230</v>
      </c>
      <c r="L478" s="2282">
        <v>13230</v>
      </c>
      <c r="M478" s="1763">
        <v>41730</v>
      </c>
      <c r="N478" s="1763">
        <v>42004</v>
      </c>
      <c r="O478" s="1985">
        <v>1</v>
      </c>
      <c r="P478" s="1985">
        <v>33903600</v>
      </c>
      <c r="Q478" s="1784"/>
    </row>
    <row r="479" spans="1:17" s="420" customFormat="1" ht="35.25" customHeight="1" x14ac:dyDescent="0.25">
      <c r="A479" s="1986"/>
      <c r="B479" s="1986"/>
      <c r="C479" s="1986"/>
      <c r="D479" s="1986"/>
      <c r="E479" s="1986"/>
      <c r="F479" s="1759" t="s">
        <v>3503</v>
      </c>
      <c r="G479" s="1986" t="s">
        <v>3502</v>
      </c>
      <c r="H479" s="1758">
        <v>11463</v>
      </c>
      <c r="I479" s="2283"/>
      <c r="J479" s="1779"/>
      <c r="K479" s="2283"/>
      <c r="L479" s="2283"/>
      <c r="M479" s="1763">
        <v>42005</v>
      </c>
      <c r="N479" s="1763">
        <v>42369</v>
      </c>
      <c r="O479" s="1986"/>
      <c r="P479" s="1986"/>
      <c r="Q479" s="1784"/>
    </row>
    <row r="480" spans="1:17" s="420" customFormat="1" ht="35.25" customHeight="1" x14ac:dyDescent="0.25">
      <c r="A480" s="1985" t="s">
        <v>3499</v>
      </c>
      <c r="B480" s="1985" t="s">
        <v>3500</v>
      </c>
      <c r="C480" s="1985" t="s">
        <v>311</v>
      </c>
      <c r="D480" s="1985">
        <v>11254</v>
      </c>
      <c r="E480" s="1985" t="s">
        <v>3501</v>
      </c>
      <c r="F480" s="1759" t="s">
        <v>1677</v>
      </c>
      <c r="G480" s="1985" t="s">
        <v>3504</v>
      </c>
      <c r="H480" s="1758">
        <v>11283</v>
      </c>
      <c r="I480" s="2282">
        <v>13140</v>
      </c>
      <c r="J480" s="1779">
        <v>0</v>
      </c>
      <c r="K480" s="2282">
        <v>13140</v>
      </c>
      <c r="L480" s="2282">
        <v>13140</v>
      </c>
      <c r="M480" s="1763">
        <v>41730</v>
      </c>
      <c r="N480" s="1763">
        <v>42004</v>
      </c>
      <c r="O480" s="1985">
        <v>1</v>
      </c>
      <c r="P480" s="1985">
        <v>33903600</v>
      </c>
      <c r="Q480" s="1784"/>
    </row>
    <row r="481" spans="1:17" s="420" customFormat="1" ht="35.25" customHeight="1" x14ac:dyDescent="0.25">
      <c r="A481" s="1986"/>
      <c r="B481" s="1986"/>
      <c r="C481" s="1986"/>
      <c r="D481" s="1986"/>
      <c r="E481" s="1986"/>
      <c r="F481" s="1759" t="s">
        <v>3505</v>
      </c>
      <c r="G481" s="1986" t="s">
        <v>3504</v>
      </c>
      <c r="H481" s="1758">
        <v>11463</v>
      </c>
      <c r="I481" s="2283"/>
      <c r="J481" s="1779"/>
      <c r="K481" s="2283"/>
      <c r="L481" s="2283"/>
      <c r="M481" s="1763">
        <v>42005</v>
      </c>
      <c r="N481" s="1763">
        <v>42369</v>
      </c>
      <c r="O481" s="1986"/>
      <c r="P481" s="1986"/>
      <c r="Q481" s="1784"/>
    </row>
    <row r="482" spans="1:17" s="420" customFormat="1" ht="35.25" customHeight="1" x14ac:dyDescent="0.25">
      <c r="A482" s="1985" t="s">
        <v>3499</v>
      </c>
      <c r="B482" s="1985" t="s">
        <v>3500</v>
      </c>
      <c r="C482" s="1985" t="s">
        <v>311</v>
      </c>
      <c r="D482" s="1985">
        <v>11254</v>
      </c>
      <c r="E482" s="1985" t="s">
        <v>3501</v>
      </c>
      <c r="F482" s="1759" t="s">
        <v>1679</v>
      </c>
      <c r="G482" s="1985" t="s">
        <v>3506</v>
      </c>
      <c r="H482" s="1758">
        <v>11283</v>
      </c>
      <c r="I482" s="2282">
        <v>12600</v>
      </c>
      <c r="J482" s="1779">
        <v>0</v>
      </c>
      <c r="K482" s="2282">
        <v>12600</v>
      </c>
      <c r="L482" s="2282">
        <v>12600</v>
      </c>
      <c r="M482" s="1763">
        <v>41730</v>
      </c>
      <c r="N482" s="1763">
        <v>42004</v>
      </c>
      <c r="O482" s="1985">
        <v>1</v>
      </c>
      <c r="P482" s="1985">
        <v>33903600</v>
      </c>
      <c r="Q482" s="1784"/>
    </row>
    <row r="483" spans="1:17" s="420" customFormat="1" ht="35.25" customHeight="1" x14ac:dyDescent="0.25">
      <c r="A483" s="1986"/>
      <c r="B483" s="1986"/>
      <c r="C483" s="1986"/>
      <c r="D483" s="1986"/>
      <c r="E483" s="1986"/>
      <c r="F483" s="1759" t="s">
        <v>3507</v>
      </c>
      <c r="G483" s="1986" t="s">
        <v>3506</v>
      </c>
      <c r="H483" s="1758">
        <v>11463</v>
      </c>
      <c r="I483" s="2283"/>
      <c r="J483" s="1779"/>
      <c r="K483" s="2283"/>
      <c r="L483" s="2283"/>
      <c r="M483" s="1763">
        <v>42005</v>
      </c>
      <c r="N483" s="1763">
        <v>42369</v>
      </c>
      <c r="O483" s="1986"/>
      <c r="P483" s="1986"/>
      <c r="Q483" s="1784"/>
    </row>
    <row r="484" spans="1:17" s="420" customFormat="1" ht="35.25" customHeight="1" x14ac:dyDescent="0.25">
      <c r="A484" s="1985" t="s">
        <v>3499</v>
      </c>
      <c r="B484" s="1985" t="s">
        <v>3500</v>
      </c>
      <c r="C484" s="1985" t="s">
        <v>311</v>
      </c>
      <c r="D484" s="1985">
        <v>11254</v>
      </c>
      <c r="E484" s="1985" t="s">
        <v>3501</v>
      </c>
      <c r="F484" s="1759" t="s">
        <v>1210</v>
      </c>
      <c r="G484" s="1985" t="s">
        <v>3508</v>
      </c>
      <c r="H484" s="1758">
        <v>11283</v>
      </c>
      <c r="I484" s="2282">
        <v>12600</v>
      </c>
      <c r="J484" s="1779">
        <v>0</v>
      </c>
      <c r="K484" s="2282">
        <v>12600</v>
      </c>
      <c r="L484" s="2282">
        <v>12600</v>
      </c>
      <c r="M484" s="1763">
        <v>41730</v>
      </c>
      <c r="N484" s="1763">
        <v>42004</v>
      </c>
      <c r="O484" s="1985">
        <v>1</v>
      </c>
      <c r="P484" s="1985">
        <v>33903600</v>
      </c>
      <c r="Q484" s="1784"/>
    </row>
    <row r="485" spans="1:17" s="420" customFormat="1" ht="35.25" customHeight="1" x14ac:dyDescent="0.25">
      <c r="A485" s="1986"/>
      <c r="B485" s="1986"/>
      <c r="C485" s="1986"/>
      <c r="D485" s="1986"/>
      <c r="E485" s="1986"/>
      <c r="F485" s="1759" t="s">
        <v>3509</v>
      </c>
      <c r="G485" s="1986" t="s">
        <v>3508</v>
      </c>
      <c r="H485" s="1758">
        <v>11463</v>
      </c>
      <c r="I485" s="2283"/>
      <c r="J485" s="1779"/>
      <c r="K485" s="2283"/>
      <c r="L485" s="2283"/>
      <c r="M485" s="1763">
        <v>42005</v>
      </c>
      <c r="N485" s="1763">
        <v>42369</v>
      </c>
      <c r="O485" s="1986"/>
      <c r="P485" s="1986"/>
      <c r="Q485" s="1784"/>
    </row>
    <row r="486" spans="1:17" s="420" customFormat="1" ht="35.25" customHeight="1" x14ac:dyDescent="0.25">
      <c r="A486" s="1985" t="s">
        <v>3499</v>
      </c>
      <c r="B486" s="1985" t="s">
        <v>3500</v>
      </c>
      <c r="C486" s="1985" t="s">
        <v>311</v>
      </c>
      <c r="D486" s="1985">
        <v>11254</v>
      </c>
      <c r="E486" s="1985" t="s">
        <v>3501</v>
      </c>
      <c r="F486" s="1759" t="s">
        <v>1690</v>
      </c>
      <c r="G486" s="1985" t="s">
        <v>3420</v>
      </c>
      <c r="H486" s="1758">
        <v>11283</v>
      </c>
      <c r="I486" s="2282">
        <v>12780</v>
      </c>
      <c r="J486" s="1779">
        <v>0</v>
      </c>
      <c r="K486" s="2282">
        <v>12780</v>
      </c>
      <c r="L486" s="2282">
        <v>12780</v>
      </c>
      <c r="M486" s="1763">
        <v>41730</v>
      </c>
      <c r="N486" s="1763">
        <v>42004</v>
      </c>
      <c r="O486" s="1985">
        <v>1</v>
      </c>
      <c r="P486" s="1985">
        <v>33903600</v>
      </c>
      <c r="Q486" s="1784"/>
    </row>
    <row r="487" spans="1:17" s="420" customFormat="1" ht="35.25" customHeight="1" x14ac:dyDescent="0.25">
      <c r="A487" s="1986"/>
      <c r="B487" s="1986"/>
      <c r="C487" s="1986"/>
      <c r="D487" s="1986"/>
      <c r="E487" s="1986"/>
      <c r="F487" s="1759" t="s">
        <v>3510</v>
      </c>
      <c r="G487" s="1986" t="s">
        <v>3420</v>
      </c>
      <c r="H487" s="1758">
        <v>11463</v>
      </c>
      <c r="I487" s="2283"/>
      <c r="J487" s="1779"/>
      <c r="K487" s="2283"/>
      <c r="L487" s="2283"/>
      <c r="M487" s="1763">
        <v>42005</v>
      </c>
      <c r="N487" s="1763">
        <v>42369</v>
      </c>
      <c r="O487" s="1986"/>
      <c r="P487" s="1986"/>
      <c r="Q487" s="1784"/>
    </row>
    <row r="488" spans="1:17" s="420" customFormat="1" ht="35.25" customHeight="1" x14ac:dyDescent="0.25">
      <c r="A488" s="1985" t="s">
        <v>3499</v>
      </c>
      <c r="B488" s="1985" t="s">
        <v>3500</v>
      </c>
      <c r="C488" s="1985" t="s">
        <v>311</v>
      </c>
      <c r="D488" s="1985">
        <v>11254</v>
      </c>
      <c r="E488" s="1985" t="s">
        <v>3501</v>
      </c>
      <c r="F488" s="1759" t="s">
        <v>1699</v>
      </c>
      <c r="G488" s="1985" t="s">
        <v>3443</v>
      </c>
      <c r="H488" s="1758">
        <v>11284</v>
      </c>
      <c r="I488" s="2282">
        <v>14400</v>
      </c>
      <c r="J488" s="1779">
        <v>0</v>
      </c>
      <c r="K488" s="2282">
        <v>14400</v>
      </c>
      <c r="L488" s="2282">
        <v>14400</v>
      </c>
      <c r="M488" s="1763">
        <v>41730</v>
      </c>
      <c r="N488" s="1763">
        <v>42004</v>
      </c>
      <c r="O488" s="1985">
        <v>1</v>
      </c>
      <c r="P488" s="1985">
        <v>33903600</v>
      </c>
      <c r="Q488" s="1784"/>
    </row>
    <row r="489" spans="1:17" s="420" customFormat="1" ht="35.25" customHeight="1" x14ac:dyDescent="0.25">
      <c r="A489" s="1986"/>
      <c r="B489" s="1986"/>
      <c r="C489" s="1986"/>
      <c r="D489" s="1986"/>
      <c r="E489" s="1986"/>
      <c r="F489" s="1759" t="s">
        <v>3511</v>
      </c>
      <c r="G489" s="1986" t="s">
        <v>3443</v>
      </c>
      <c r="H489" s="1758">
        <v>11463</v>
      </c>
      <c r="I489" s="2283"/>
      <c r="J489" s="1779"/>
      <c r="K489" s="2283"/>
      <c r="L489" s="2283"/>
      <c r="M489" s="1763">
        <v>42005</v>
      </c>
      <c r="N489" s="1763">
        <v>42369</v>
      </c>
      <c r="O489" s="1986"/>
      <c r="P489" s="1986"/>
      <c r="Q489" s="1784"/>
    </row>
    <row r="490" spans="1:17" s="420" customFormat="1" ht="35.25" customHeight="1" x14ac:dyDescent="0.25">
      <c r="A490" s="1985" t="s">
        <v>3499</v>
      </c>
      <c r="B490" s="1985" t="s">
        <v>3500</v>
      </c>
      <c r="C490" s="1985" t="s">
        <v>311</v>
      </c>
      <c r="D490" s="1985">
        <v>11254</v>
      </c>
      <c r="E490" s="1985" t="s">
        <v>3501</v>
      </c>
      <c r="F490" s="1759" t="s">
        <v>1705</v>
      </c>
      <c r="G490" s="1985" t="s">
        <v>3512</v>
      </c>
      <c r="H490" s="1758">
        <v>11284</v>
      </c>
      <c r="I490" s="2282">
        <v>13491</v>
      </c>
      <c r="J490" s="1779">
        <v>0</v>
      </c>
      <c r="K490" s="2282">
        <v>13491</v>
      </c>
      <c r="L490" s="2282">
        <v>13491</v>
      </c>
      <c r="M490" s="1763">
        <v>41730</v>
      </c>
      <c r="N490" s="1763">
        <v>42004</v>
      </c>
      <c r="O490" s="1985">
        <v>1</v>
      </c>
      <c r="P490" s="1985">
        <v>33903600</v>
      </c>
      <c r="Q490" s="1784"/>
    </row>
    <row r="491" spans="1:17" s="420" customFormat="1" ht="35.25" customHeight="1" x14ac:dyDescent="0.25">
      <c r="A491" s="1986"/>
      <c r="B491" s="1986"/>
      <c r="C491" s="1986"/>
      <c r="D491" s="1986"/>
      <c r="E491" s="1986"/>
      <c r="F491" s="1759" t="s">
        <v>3513</v>
      </c>
      <c r="G491" s="1986" t="s">
        <v>3512</v>
      </c>
      <c r="H491" s="1758">
        <v>11463</v>
      </c>
      <c r="I491" s="2283"/>
      <c r="J491" s="1779"/>
      <c r="K491" s="2283"/>
      <c r="L491" s="2283"/>
      <c r="M491" s="1763">
        <v>42005</v>
      </c>
      <c r="N491" s="1763">
        <v>42369</v>
      </c>
      <c r="O491" s="1986"/>
      <c r="P491" s="1986"/>
      <c r="Q491" s="1784"/>
    </row>
    <row r="492" spans="1:17" s="420" customFormat="1" ht="35.25" customHeight="1" x14ac:dyDescent="0.25">
      <c r="A492" s="1985" t="s">
        <v>3499</v>
      </c>
      <c r="B492" s="1985" t="s">
        <v>3500</v>
      </c>
      <c r="C492" s="1985" t="s">
        <v>311</v>
      </c>
      <c r="D492" s="1985">
        <v>11254</v>
      </c>
      <c r="E492" s="1985" t="s">
        <v>3501</v>
      </c>
      <c r="F492" s="1759" t="s">
        <v>1712</v>
      </c>
      <c r="G492" s="1985" t="s">
        <v>3514</v>
      </c>
      <c r="H492" s="1758">
        <v>11284</v>
      </c>
      <c r="I492" s="2282">
        <v>13491</v>
      </c>
      <c r="J492" s="1779">
        <v>0</v>
      </c>
      <c r="K492" s="2282">
        <v>13491</v>
      </c>
      <c r="L492" s="2282">
        <v>13491</v>
      </c>
      <c r="M492" s="1763">
        <v>41730</v>
      </c>
      <c r="N492" s="1763">
        <v>42004</v>
      </c>
      <c r="O492" s="1985">
        <v>1</v>
      </c>
      <c r="P492" s="1985">
        <v>33903600</v>
      </c>
      <c r="Q492" s="1784"/>
    </row>
    <row r="493" spans="1:17" s="420" customFormat="1" ht="35.25" customHeight="1" x14ac:dyDescent="0.25">
      <c r="A493" s="1986"/>
      <c r="B493" s="1986"/>
      <c r="C493" s="1986"/>
      <c r="D493" s="1986"/>
      <c r="E493" s="1986"/>
      <c r="F493" s="1759" t="s">
        <v>3515</v>
      </c>
      <c r="G493" s="1986" t="s">
        <v>3514</v>
      </c>
      <c r="H493" s="1758">
        <v>11463</v>
      </c>
      <c r="I493" s="2283"/>
      <c r="J493" s="1779"/>
      <c r="K493" s="2283"/>
      <c r="L493" s="2283"/>
      <c r="M493" s="1763">
        <v>42005</v>
      </c>
      <c r="N493" s="1763">
        <v>42369</v>
      </c>
      <c r="O493" s="1986"/>
      <c r="P493" s="1986"/>
      <c r="Q493" s="1784"/>
    </row>
    <row r="494" spans="1:17" s="420" customFormat="1" ht="35.25" customHeight="1" x14ac:dyDescent="0.25">
      <c r="A494" s="1985" t="s">
        <v>3499</v>
      </c>
      <c r="B494" s="1985" t="s">
        <v>3500</v>
      </c>
      <c r="C494" s="1985" t="s">
        <v>311</v>
      </c>
      <c r="D494" s="1985">
        <v>11254</v>
      </c>
      <c r="E494" s="1985" t="s">
        <v>3501</v>
      </c>
      <c r="F494" s="1759" t="s">
        <v>1715</v>
      </c>
      <c r="G494" s="1985" t="s">
        <v>3516</v>
      </c>
      <c r="H494" s="1758">
        <v>11284</v>
      </c>
      <c r="I494" s="2282">
        <v>13950</v>
      </c>
      <c r="J494" s="1779">
        <v>0</v>
      </c>
      <c r="K494" s="2282">
        <v>13950</v>
      </c>
      <c r="L494" s="2282">
        <v>13950</v>
      </c>
      <c r="M494" s="1763">
        <v>41730</v>
      </c>
      <c r="N494" s="1763">
        <v>42004</v>
      </c>
      <c r="O494" s="1985">
        <v>1</v>
      </c>
      <c r="P494" s="1985">
        <v>33903600</v>
      </c>
      <c r="Q494" s="1784"/>
    </row>
    <row r="495" spans="1:17" s="420" customFormat="1" ht="35.25" customHeight="1" x14ac:dyDescent="0.25">
      <c r="A495" s="1986"/>
      <c r="B495" s="1986"/>
      <c r="C495" s="1986"/>
      <c r="D495" s="1986"/>
      <c r="E495" s="1986"/>
      <c r="F495" s="1759" t="s">
        <v>3517</v>
      </c>
      <c r="G495" s="1986" t="s">
        <v>3516</v>
      </c>
      <c r="H495" s="1758">
        <v>11463</v>
      </c>
      <c r="I495" s="2283"/>
      <c r="J495" s="1779"/>
      <c r="K495" s="2283"/>
      <c r="L495" s="2283"/>
      <c r="M495" s="1763">
        <v>42005</v>
      </c>
      <c r="N495" s="1763">
        <v>42369</v>
      </c>
      <c r="O495" s="1986"/>
      <c r="P495" s="1986"/>
      <c r="Q495" s="1784"/>
    </row>
    <row r="496" spans="1:17" s="420" customFormat="1" ht="35.25" customHeight="1" x14ac:dyDescent="0.25">
      <c r="A496" s="1985" t="s">
        <v>3499</v>
      </c>
      <c r="B496" s="1985" t="s">
        <v>3500</v>
      </c>
      <c r="C496" s="1985" t="s">
        <v>311</v>
      </c>
      <c r="D496" s="1985">
        <v>11254</v>
      </c>
      <c r="E496" s="1985" t="s">
        <v>3501</v>
      </c>
      <c r="F496" s="1759" t="s">
        <v>1719</v>
      </c>
      <c r="G496" s="1985" t="s">
        <v>3518</v>
      </c>
      <c r="H496" s="1758">
        <v>11284</v>
      </c>
      <c r="I496" s="2282">
        <v>14400</v>
      </c>
      <c r="J496" s="1779">
        <v>0</v>
      </c>
      <c r="K496" s="2282">
        <v>14400</v>
      </c>
      <c r="L496" s="2282">
        <v>14400</v>
      </c>
      <c r="M496" s="1763">
        <v>41730</v>
      </c>
      <c r="N496" s="1763">
        <v>42004</v>
      </c>
      <c r="O496" s="1985">
        <v>1</v>
      </c>
      <c r="P496" s="1985">
        <v>33903600</v>
      </c>
      <c r="Q496" s="1784"/>
    </row>
    <row r="497" spans="1:17" s="420" customFormat="1" ht="35.25" customHeight="1" x14ac:dyDescent="0.25">
      <c r="A497" s="1986"/>
      <c r="B497" s="1986"/>
      <c r="C497" s="1986"/>
      <c r="D497" s="1986"/>
      <c r="E497" s="1986"/>
      <c r="F497" s="1759" t="s">
        <v>3519</v>
      </c>
      <c r="G497" s="1986" t="s">
        <v>3518</v>
      </c>
      <c r="H497" s="1758">
        <v>11463</v>
      </c>
      <c r="I497" s="2283"/>
      <c r="J497" s="1779"/>
      <c r="K497" s="2283"/>
      <c r="L497" s="2283"/>
      <c r="M497" s="1763">
        <v>42005</v>
      </c>
      <c r="N497" s="1763">
        <v>42369</v>
      </c>
      <c r="O497" s="1986"/>
      <c r="P497" s="1986"/>
      <c r="Q497" s="1784"/>
    </row>
    <row r="498" spans="1:17" s="420" customFormat="1" ht="35.25" customHeight="1" x14ac:dyDescent="0.25">
      <c r="A498" s="1758" t="s">
        <v>3499</v>
      </c>
      <c r="B498" s="1758" t="s">
        <v>3500</v>
      </c>
      <c r="C498" s="1758" t="s">
        <v>311</v>
      </c>
      <c r="D498" s="1758">
        <v>11254</v>
      </c>
      <c r="E498" s="1758" t="s">
        <v>3501</v>
      </c>
      <c r="F498" s="1759" t="s">
        <v>1728</v>
      </c>
      <c r="G498" s="1758" t="s">
        <v>3520</v>
      </c>
      <c r="H498" s="1758">
        <v>11284</v>
      </c>
      <c r="I498" s="1779">
        <v>8100</v>
      </c>
      <c r="J498" s="1779">
        <v>0</v>
      </c>
      <c r="K498" s="1779">
        <v>8040</v>
      </c>
      <c r="L498" s="1779">
        <v>8040</v>
      </c>
      <c r="M498" s="1763">
        <v>41730</v>
      </c>
      <c r="N498" s="1763">
        <v>42004</v>
      </c>
      <c r="O498" s="1758">
        <v>1</v>
      </c>
      <c r="P498" s="1758">
        <v>33903600</v>
      </c>
      <c r="Q498" s="1784"/>
    </row>
    <row r="499" spans="1:17" s="420" customFormat="1" ht="35.25" customHeight="1" x14ac:dyDescent="0.25">
      <c r="A499" s="1758" t="s">
        <v>3499</v>
      </c>
      <c r="B499" s="1758" t="s">
        <v>3500</v>
      </c>
      <c r="C499" s="1758" t="s">
        <v>311</v>
      </c>
      <c r="D499" s="1758">
        <v>11254</v>
      </c>
      <c r="E499" s="1758" t="s">
        <v>3501</v>
      </c>
      <c r="F499" s="1759" t="s">
        <v>1731</v>
      </c>
      <c r="G499" s="1758" t="s">
        <v>3521</v>
      </c>
      <c r="H499" s="1758">
        <v>11284</v>
      </c>
      <c r="I499" s="1779">
        <v>8460</v>
      </c>
      <c r="J499" s="1779">
        <v>0</v>
      </c>
      <c r="K499" s="1779">
        <v>8397.24</v>
      </c>
      <c r="L499" s="1779">
        <v>8397.24</v>
      </c>
      <c r="M499" s="1763">
        <v>41730</v>
      </c>
      <c r="N499" s="1763">
        <v>42004</v>
      </c>
      <c r="O499" s="1758">
        <v>1</v>
      </c>
      <c r="P499" s="1758">
        <v>33903600</v>
      </c>
      <c r="Q499" s="1784"/>
    </row>
    <row r="500" spans="1:17" s="420" customFormat="1" ht="35.25" customHeight="1" x14ac:dyDescent="0.25">
      <c r="A500" s="1985" t="s">
        <v>3499</v>
      </c>
      <c r="B500" s="1985" t="s">
        <v>3500</v>
      </c>
      <c r="C500" s="1985" t="s">
        <v>311</v>
      </c>
      <c r="D500" s="1985">
        <v>11254</v>
      </c>
      <c r="E500" s="1985" t="s">
        <v>3501</v>
      </c>
      <c r="F500" s="1759" t="s">
        <v>1737</v>
      </c>
      <c r="G500" s="1985" t="s">
        <v>3463</v>
      </c>
      <c r="H500" s="1758">
        <v>11284</v>
      </c>
      <c r="I500" s="2282">
        <v>13230</v>
      </c>
      <c r="J500" s="1779">
        <v>0</v>
      </c>
      <c r="K500" s="2282">
        <v>13230</v>
      </c>
      <c r="L500" s="2282">
        <v>13230</v>
      </c>
      <c r="M500" s="1763">
        <v>41730</v>
      </c>
      <c r="N500" s="1763">
        <v>42004</v>
      </c>
      <c r="O500" s="1985">
        <v>1</v>
      </c>
      <c r="P500" s="1985">
        <v>33903600</v>
      </c>
      <c r="Q500" s="1784"/>
    </row>
    <row r="501" spans="1:17" s="420" customFormat="1" ht="35.25" customHeight="1" x14ac:dyDescent="0.25">
      <c r="A501" s="1986"/>
      <c r="B501" s="1986"/>
      <c r="C501" s="1986"/>
      <c r="D501" s="1986"/>
      <c r="E501" s="1986"/>
      <c r="F501" s="1759" t="s">
        <v>3522</v>
      </c>
      <c r="G501" s="1986" t="s">
        <v>3463</v>
      </c>
      <c r="H501" s="1758">
        <v>11463</v>
      </c>
      <c r="I501" s="2283"/>
      <c r="J501" s="1779"/>
      <c r="K501" s="2283"/>
      <c r="L501" s="2283"/>
      <c r="M501" s="1763">
        <v>42005</v>
      </c>
      <c r="N501" s="1763">
        <v>42369</v>
      </c>
      <c r="O501" s="1986"/>
      <c r="P501" s="1986"/>
      <c r="Q501" s="1784"/>
    </row>
    <row r="502" spans="1:17" s="420" customFormat="1" ht="35.25" customHeight="1" x14ac:dyDescent="0.25">
      <c r="A502" s="1985" t="s">
        <v>3499</v>
      </c>
      <c r="B502" s="1985" t="s">
        <v>3500</v>
      </c>
      <c r="C502" s="1985" t="s">
        <v>311</v>
      </c>
      <c r="D502" s="1985">
        <v>11254</v>
      </c>
      <c r="E502" s="1985" t="s">
        <v>3501</v>
      </c>
      <c r="F502" s="1759" t="s">
        <v>1738</v>
      </c>
      <c r="G502" s="1985" t="s">
        <v>3523</v>
      </c>
      <c r="H502" s="1758">
        <v>11284</v>
      </c>
      <c r="I502" s="2282">
        <v>13140</v>
      </c>
      <c r="J502" s="1779">
        <v>0</v>
      </c>
      <c r="K502" s="2282">
        <v>13140</v>
      </c>
      <c r="L502" s="2282">
        <v>13140</v>
      </c>
      <c r="M502" s="1763">
        <v>41730</v>
      </c>
      <c r="N502" s="1763">
        <v>42004</v>
      </c>
      <c r="O502" s="1985">
        <v>1</v>
      </c>
      <c r="P502" s="1985">
        <v>33903600</v>
      </c>
      <c r="Q502" s="1784"/>
    </row>
    <row r="503" spans="1:17" s="420" customFormat="1" ht="35.25" customHeight="1" x14ac:dyDescent="0.25">
      <c r="A503" s="1986"/>
      <c r="B503" s="1986"/>
      <c r="C503" s="1986"/>
      <c r="D503" s="1986"/>
      <c r="E503" s="1986"/>
      <c r="F503" s="1759" t="s">
        <v>3524</v>
      </c>
      <c r="G503" s="1986" t="s">
        <v>3523</v>
      </c>
      <c r="H503" s="1758">
        <v>11463</v>
      </c>
      <c r="I503" s="2283"/>
      <c r="J503" s="1779"/>
      <c r="K503" s="2283"/>
      <c r="L503" s="2283"/>
      <c r="M503" s="1763">
        <v>42005</v>
      </c>
      <c r="N503" s="1763">
        <v>42369</v>
      </c>
      <c r="O503" s="1986"/>
      <c r="P503" s="1986"/>
      <c r="Q503" s="1784"/>
    </row>
    <row r="504" spans="1:17" s="420" customFormat="1" ht="35.25" customHeight="1" x14ac:dyDescent="0.25">
      <c r="A504" s="1985" t="s">
        <v>3525</v>
      </c>
      <c r="B504" s="1985" t="s">
        <v>3526</v>
      </c>
      <c r="C504" s="1985" t="s">
        <v>311</v>
      </c>
      <c r="D504" s="1985">
        <v>11264</v>
      </c>
      <c r="E504" s="1985" t="s">
        <v>3527</v>
      </c>
      <c r="F504" s="1759" t="s">
        <v>1741</v>
      </c>
      <c r="G504" s="1985" t="s">
        <v>3528</v>
      </c>
      <c r="H504" s="1758">
        <v>11284</v>
      </c>
      <c r="I504" s="2282">
        <v>692691.79</v>
      </c>
      <c r="J504" s="1779">
        <v>0</v>
      </c>
      <c r="K504" s="2282">
        <v>631089.35</v>
      </c>
      <c r="L504" s="2282">
        <v>631089.35</v>
      </c>
      <c r="M504" s="1763">
        <v>41738</v>
      </c>
      <c r="N504" s="1763">
        <v>42132</v>
      </c>
      <c r="O504" s="1985">
        <v>1</v>
      </c>
      <c r="P504" s="1985">
        <v>33903900</v>
      </c>
      <c r="Q504" s="1784"/>
    </row>
    <row r="505" spans="1:17" s="420" customFormat="1" ht="35.25" customHeight="1" x14ac:dyDescent="0.25">
      <c r="A505" s="1986"/>
      <c r="B505" s="1986"/>
      <c r="C505" s="1986"/>
      <c r="D505" s="1986"/>
      <c r="E505" s="1986"/>
      <c r="F505" s="1759" t="s">
        <v>3529</v>
      </c>
      <c r="G505" s="1986" t="s">
        <v>3528</v>
      </c>
      <c r="H505" s="1758">
        <v>11459</v>
      </c>
      <c r="I505" s="2283"/>
      <c r="J505" s="1779">
        <v>173172.94</v>
      </c>
      <c r="K505" s="2283"/>
      <c r="L505" s="2283"/>
      <c r="M505" s="1763"/>
      <c r="N505" s="1763"/>
      <c r="O505" s="1986"/>
      <c r="P505" s="1986"/>
      <c r="Q505" s="1784"/>
    </row>
    <row r="506" spans="1:17" s="420" customFormat="1" ht="35.25" customHeight="1" x14ac:dyDescent="0.25">
      <c r="A506" s="1985" t="s">
        <v>3530</v>
      </c>
      <c r="B506" s="1985" t="s">
        <v>3531</v>
      </c>
      <c r="C506" s="1985" t="s">
        <v>311</v>
      </c>
      <c r="D506" s="1985">
        <v>11258</v>
      </c>
      <c r="E506" s="1985" t="s">
        <v>3532</v>
      </c>
      <c r="F506" s="1759" t="s">
        <v>1753</v>
      </c>
      <c r="G506" s="1985" t="s">
        <v>3533</v>
      </c>
      <c r="H506" s="1758"/>
      <c r="I506" s="2282">
        <v>2928</v>
      </c>
      <c r="J506" s="1779">
        <v>0</v>
      </c>
      <c r="K506" s="2282">
        <v>2928</v>
      </c>
      <c r="L506" s="2282">
        <v>2928</v>
      </c>
      <c r="M506" s="1763">
        <v>41787</v>
      </c>
      <c r="N506" s="1763">
        <v>41806</v>
      </c>
      <c r="O506" s="1985" t="s">
        <v>2882</v>
      </c>
      <c r="P506" s="1985">
        <v>44905200</v>
      </c>
      <c r="Q506" s="1784"/>
    </row>
    <row r="507" spans="1:17" s="420" customFormat="1" ht="35.25" customHeight="1" x14ac:dyDescent="0.25">
      <c r="A507" s="2021" t="s">
        <v>3530</v>
      </c>
      <c r="B507" s="2021" t="s">
        <v>3531</v>
      </c>
      <c r="C507" s="2021"/>
      <c r="D507" s="2021">
        <v>11258</v>
      </c>
      <c r="E507" s="2021"/>
      <c r="F507" s="1759" t="s">
        <v>3534</v>
      </c>
      <c r="G507" s="2021" t="s">
        <v>3533</v>
      </c>
      <c r="H507" s="1762">
        <v>11354</v>
      </c>
      <c r="I507" s="2290"/>
      <c r="J507" s="613"/>
      <c r="K507" s="2290"/>
      <c r="L507" s="2290"/>
      <c r="M507" s="1763">
        <f>N506+1</f>
        <v>41807</v>
      </c>
      <c r="N507" s="1763">
        <v>41867</v>
      </c>
      <c r="O507" s="2021"/>
      <c r="P507" s="2021"/>
      <c r="Q507" s="1912"/>
    </row>
    <row r="508" spans="1:17" s="420" customFormat="1" ht="35.25" customHeight="1" x14ac:dyDescent="0.25">
      <c r="A508" s="1986" t="s">
        <v>3530</v>
      </c>
      <c r="B508" s="1986" t="s">
        <v>3531</v>
      </c>
      <c r="C508" s="1986"/>
      <c r="D508" s="1986">
        <v>11258</v>
      </c>
      <c r="E508" s="1986"/>
      <c r="F508" s="1759" t="s">
        <v>3535</v>
      </c>
      <c r="G508" s="1986" t="s">
        <v>3533</v>
      </c>
      <c r="H508" s="1762">
        <v>11365</v>
      </c>
      <c r="I508" s="2283"/>
      <c r="J508" s="613"/>
      <c r="K508" s="2283"/>
      <c r="L508" s="2283"/>
      <c r="M508" s="1763">
        <v>41868</v>
      </c>
      <c r="N508" s="1763">
        <v>41896</v>
      </c>
      <c r="O508" s="1986"/>
      <c r="P508" s="1986"/>
      <c r="Q508" s="1912"/>
    </row>
    <row r="509" spans="1:17" s="420" customFormat="1" ht="35.25" customHeight="1" x14ac:dyDescent="0.25">
      <c r="A509" s="1985" t="s">
        <v>3530</v>
      </c>
      <c r="B509" s="1985" t="s">
        <v>3531</v>
      </c>
      <c r="C509" s="1985" t="s">
        <v>311</v>
      </c>
      <c r="D509" s="1985">
        <v>11258</v>
      </c>
      <c r="E509" s="1985" t="s">
        <v>3532</v>
      </c>
      <c r="F509" s="1759" t="s">
        <v>1756</v>
      </c>
      <c r="G509" s="1985" t="s">
        <v>3536</v>
      </c>
      <c r="H509" s="1758">
        <v>11292</v>
      </c>
      <c r="I509" s="2282">
        <v>1830</v>
      </c>
      <c r="J509" s="1779"/>
      <c r="K509" s="2282"/>
      <c r="L509" s="2282"/>
      <c r="M509" s="1763">
        <v>41771</v>
      </c>
      <c r="N509" s="1763">
        <v>41790</v>
      </c>
      <c r="O509" s="1985" t="s">
        <v>2882</v>
      </c>
      <c r="P509" s="1985">
        <v>44905200</v>
      </c>
      <c r="Q509" s="1784"/>
    </row>
    <row r="510" spans="1:17" s="420" customFormat="1" ht="35.25" customHeight="1" x14ac:dyDescent="0.25">
      <c r="A510" s="2021" t="s">
        <v>3530</v>
      </c>
      <c r="B510" s="2021" t="s">
        <v>3531</v>
      </c>
      <c r="C510" s="2021"/>
      <c r="D510" s="2021">
        <v>11258</v>
      </c>
      <c r="E510" s="2021"/>
      <c r="F510" s="1759" t="s">
        <v>3537</v>
      </c>
      <c r="G510" s="2021" t="s">
        <v>3536</v>
      </c>
      <c r="H510" s="1758">
        <v>11354</v>
      </c>
      <c r="I510" s="2290"/>
      <c r="J510" s="1779"/>
      <c r="K510" s="2290"/>
      <c r="L510" s="2290"/>
      <c r="M510" s="1763">
        <f>N509+1</f>
        <v>41791</v>
      </c>
      <c r="N510" s="1763">
        <v>41850</v>
      </c>
      <c r="O510" s="2021"/>
      <c r="P510" s="2021"/>
      <c r="Q510" s="1784"/>
    </row>
    <row r="511" spans="1:17" s="420" customFormat="1" ht="35.25" customHeight="1" x14ac:dyDescent="0.25">
      <c r="A511" s="2021" t="s">
        <v>3530</v>
      </c>
      <c r="B511" s="2021" t="s">
        <v>3531</v>
      </c>
      <c r="C511" s="2021"/>
      <c r="D511" s="2021">
        <v>11258</v>
      </c>
      <c r="E511" s="2021"/>
      <c r="F511" s="1759" t="s">
        <v>3538</v>
      </c>
      <c r="G511" s="2021" t="s">
        <v>3536</v>
      </c>
      <c r="H511" s="1758">
        <v>11365</v>
      </c>
      <c r="I511" s="2290"/>
      <c r="J511" s="1779"/>
      <c r="K511" s="2290"/>
      <c r="L511" s="2290"/>
      <c r="M511" s="1763">
        <v>41851</v>
      </c>
      <c r="N511" s="1763">
        <v>41910</v>
      </c>
      <c r="O511" s="2021"/>
      <c r="P511" s="2021"/>
      <c r="Q511" s="1784"/>
    </row>
    <row r="512" spans="1:17" s="420" customFormat="1" ht="35.25" customHeight="1" x14ac:dyDescent="0.25">
      <c r="A512" s="1986" t="s">
        <v>3530</v>
      </c>
      <c r="B512" s="1986" t="s">
        <v>3531</v>
      </c>
      <c r="C512" s="1986"/>
      <c r="D512" s="1986">
        <v>11258</v>
      </c>
      <c r="E512" s="1986"/>
      <c r="F512" s="1759" t="s">
        <v>3539</v>
      </c>
      <c r="G512" s="1986" t="s">
        <v>3536</v>
      </c>
      <c r="H512" s="1758">
        <v>11412</v>
      </c>
      <c r="I512" s="2283"/>
      <c r="J512" s="1779"/>
      <c r="K512" s="2283"/>
      <c r="L512" s="2283"/>
      <c r="M512" s="1763">
        <v>41911</v>
      </c>
      <c r="N512" s="1763">
        <v>41970</v>
      </c>
      <c r="O512" s="1986"/>
      <c r="P512" s="1986"/>
      <c r="Q512" s="1784"/>
    </row>
    <row r="513" spans="1:17" s="420" customFormat="1" ht="35.25" customHeight="1" x14ac:dyDescent="0.25">
      <c r="A513" s="1985" t="s">
        <v>3530</v>
      </c>
      <c r="B513" s="1985" t="s">
        <v>3531</v>
      </c>
      <c r="C513" s="1985" t="s">
        <v>311</v>
      </c>
      <c r="D513" s="1985">
        <v>11258</v>
      </c>
      <c r="E513" s="1985" t="s">
        <v>3532</v>
      </c>
      <c r="F513" s="1759" t="s">
        <v>1759</v>
      </c>
      <c r="G513" s="1985" t="s">
        <v>1881</v>
      </c>
      <c r="H513" s="1758">
        <v>11292</v>
      </c>
      <c r="I513" s="2282">
        <v>624</v>
      </c>
      <c r="J513" s="1779">
        <v>0</v>
      </c>
      <c r="K513" s="2282">
        <v>624</v>
      </c>
      <c r="L513" s="2282">
        <v>624</v>
      </c>
      <c r="M513" s="1763">
        <v>41771</v>
      </c>
      <c r="N513" s="1763">
        <v>41790</v>
      </c>
      <c r="O513" s="1985" t="s">
        <v>2882</v>
      </c>
      <c r="P513" s="1985">
        <v>44905200</v>
      </c>
      <c r="Q513" s="1784"/>
    </row>
    <row r="514" spans="1:17" s="420" customFormat="1" ht="35.25" customHeight="1" x14ac:dyDescent="0.25">
      <c r="A514" s="2021" t="s">
        <v>3530</v>
      </c>
      <c r="B514" s="2021" t="s">
        <v>3531</v>
      </c>
      <c r="C514" s="2021"/>
      <c r="D514" s="2021">
        <v>11258</v>
      </c>
      <c r="E514" s="2021"/>
      <c r="F514" s="1759" t="s">
        <v>3540</v>
      </c>
      <c r="G514" s="2021" t="s">
        <v>1881</v>
      </c>
      <c r="H514" s="1762">
        <v>11354</v>
      </c>
      <c r="I514" s="2290"/>
      <c r="J514" s="613"/>
      <c r="K514" s="2290"/>
      <c r="L514" s="2290"/>
      <c r="M514" s="1763">
        <v>41791</v>
      </c>
      <c r="N514" s="1763">
        <v>41850</v>
      </c>
      <c r="O514" s="2021"/>
      <c r="P514" s="2021"/>
      <c r="Q514" s="1912"/>
    </row>
    <row r="515" spans="1:17" s="420" customFormat="1" ht="35.25" customHeight="1" x14ac:dyDescent="0.25">
      <c r="A515" s="1986" t="s">
        <v>3530</v>
      </c>
      <c r="B515" s="1986" t="s">
        <v>3531</v>
      </c>
      <c r="C515" s="1986"/>
      <c r="D515" s="1986">
        <v>11258</v>
      </c>
      <c r="E515" s="1986"/>
      <c r="F515" s="1759" t="s">
        <v>3541</v>
      </c>
      <c r="G515" s="1986" t="s">
        <v>1881</v>
      </c>
      <c r="H515" s="1762">
        <v>11365</v>
      </c>
      <c r="I515" s="2283"/>
      <c r="J515" s="613"/>
      <c r="K515" s="2283"/>
      <c r="L515" s="2283"/>
      <c r="M515" s="1763">
        <v>41852</v>
      </c>
      <c r="N515" s="1763">
        <v>41908</v>
      </c>
      <c r="O515" s="1986"/>
      <c r="P515" s="1986"/>
      <c r="Q515" s="1912"/>
    </row>
    <row r="516" spans="1:17" s="420" customFormat="1" ht="35.25" customHeight="1" x14ac:dyDescent="0.25">
      <c r="A516" s="1985" t="s">
        <v>3499</v>
      </c>
      <c r="B516" s="1985" t="s">
        <v>3500</v>
      </c>
      <c r="C516" s="1985" t="s">
        <v>311</v>
      </c>
      <c r="D516" s="1985">
        <v>11254</v>
      </c>
      <c r="E516" s="1985" t="s">
        <v>3501</v>
      </c>
      <c r="F516" s="1759" t="s">
        <v>1767</v>
      </c>
      <c r="G516" s="1985" t="s">
        <v>3542</v>
      </c>
      <c r="H516" s="1758">
        <v>11294</v>
      </c>
      <c r="I516" s="2282">
        <v>14823</v>
      </c>
      <c r="J516" s="1779">
        <v>0</v>
      </c>
      <c r="K516" s="2282">
        <v>14109.3</v>
      </c>
      <c r="L516" s="2282">
        <v>14109.3</v>
      </c>
      <c r="M516" s="1763">
        <v>41730</v>
      </c>
      <c r="N516" s="1763">
        <v>42004</v>
      </c>
      <c r="O516" s="1985">
        <v>1</v>
      </c>
      <c r="P516" s="1985">
        <v>33903600</v>
      </c>
      <c r="Q516" s="1784"/>
    </row>
    <row r="517" spans="1:17" s="420" customFormat="1" ht="35.25" customHeight="1" x14ac:dyDescent="0.25">
      <c r="A517" s="1986"/>
      <c r="B517" s="1986"/>
      <c r="C517" s="1986"/>
      <c r="D517" s="1986"/>
      <c r="E517" s="1986"/>
      <c r="F517" s="1759" t="s">
        <v>3543</v>
      </c>
      <c r="G517" s="1986" t="s">
        <v>3542</v>
      </c>
      <c r="H517" s="1758">
        <v>11463</v>
      </c>
      <c r="I517" s="2283"/>
      <c r="J517" s="1779"/>
      <c r="K517" s="2283"/>
      <c r="L517" s="2283"/>
      <c r="M517" s="1763">
        <v>42005</v>
      </c>
      <c r="N517" s="1763">
        <v>42369</v>
      </c>
      <c r="O517" s="1986"/>
      <c r="P517" s="1986"/>
      <c r="Q517" s="1784"/>
    </row>
    <row r="518" spans="1:17" s="420" customFormat="1" ht="35.25" customHeight="1" x14ac:dyDescent="0.25">
      <c r="A518" s="1985" t="s">
        <v>3499</v>
      </c>
      <c r="B518" s="1985" t="s">
        <v>3500</v>
      </c>
      <c r="C518" s="1985" t="s">
        <v>311</v>
      </c>
      <c r="D518" s="1985">
        <v>11254</v>
      </c>
      <c r="E518" s="1985" t="s">
        <v>3501</v>
      </c>
      <c r="F518" s="1759" t="s">
        <v>1770</v>
      </c>
      <c r="G518" s="1985" t="s">
        <v>3544</v>
      </c>
      <c r="H518" s="1758">
        <v>11294</v>
      </c>
      <c r="I518" s="2282">
        <v>13491</v>
      </c>
      <c r="J518" s="1779">
        <v>0</v>
      </c>
      <c r="K518" s="2282">
        <v>12841.49</v>
      </c>
      <c r="L518" s="2282">
        <v>12841.49</v>
      </c>
      <c r="M518" s="1763">
        <v>41730</v>
      </c>
      <c r="N518" s="1763">
        <v>42004</v>
      </c>
      <c r="O518" s="1985">
        <v>1</v>
      </c>
      <c r="P518" s="1985">
        <v>33903600</v>
      </c>
      <c r="Q518" s="1784"/>
    </row>
    <row r="519" spans="1:17" s="420" customFormat="1" ht="35.25" customHeight="1" x14ac:dyDescent="0.25">
      <c r="A519" s="1986"/>
      <c r="B519" s="1986"/>
      <c r="C519" s="1986"/>
      <c r="D519" s="1986"/>
      <c r="E519" s="1986"/>
      <c r="F519" s="1759" t="s">
        <v>3545</v>
      </c>
      <c r="G519" s="1986" t="s">
        <v>3544</v>
      </c>
      <c r="H519" s="1758">
        <v>11463</v>
      </c>
      <c r="I519" s="2283"/>
      <c r="J519" s="1779"/>
      <c r="K519" s="2283"/>
      <c r="L519" s="2283"/>
      <c r="M519" s="1763">
        <v>42005</v>
      </c>
      <c r="N519" s="1763">
        <v>42369</v>
      </c>
      <c r="O519" s="1986"/>
      <c r="P519" s="1986"/>
      <c r="Q519" s="1784"/>
    </row>
    <row r="520" spans="1:17" s="420" customFormat="1" ht="35.25" customHeight="1" x14ac:dyDescent="0.25">
      <c r="A520" s="1985" t="s">
        <v>3546</v>
      </c>
      <c r="B520" s="1985" t="s">
        <v>3547</v>
      </c>
      <c r="C520" s="1985" t="s">
        <v>311</v>
      </c>
      <c r="D520" s="1985">
        <v>11254</v>
      </c>
      <c r="E520" s="1985" t="s">
        <v>3501</v>
      </c>
      <c r="F520" s="1759" t="s">
        <v>390</v>
      </c>
      <c r="G520" s="1985" t="s">
        <v>3548</v>
      </c>
      <c r="H520" s="1758">
        <v>11301</v>
      </c>
      <c r="I520" s="2282">
        <v>12800</v>
      </c>
      <c r="J520" s="1779">
        <v>0</v>
      </c>
      <c r="K520" s="2282">
        <v>12746.57</v>
      </c>
      <c r="L520" s="2282">
        <v>12746.57</v>
      </c>
      <c r="M520" s="1763">
        <v>41761</v>
      </c>
      <c r="N520" s="1763">
        <v>42004</v>
      </c>
      <c r="O520" s="1985">
        <v>1</v>
      </c>
      <c r="P520" s="1985">
        <v>33903600</v>
      </c>
      <c r="Q520" s="1784"/>
    </row>
    <row r="521" spans="1:17" s="420" customFormat="1" ht="35.25" customHeight="1" x14ac:dyDescent="0.25">
      <c r="A521" s="1986" t="s">
        <v>3546</v>
      </c>
      <c r="B521" s="1986" t="s">
        <v>3547</v>
      </c>
      <c r="C521" s="1986"/>
      <c r="D521" s="1986">
        <v>11254</v>
      </c>
      <c r="E521" s="1986"/>
      <c r="F521" s="1759" t="s">
        <v>3549</v>
      </c>
      <c r="G521" s="1986" t="s">
        <v>3548</v>
      </c>
      <c r="H521" s="1758">
        <v>11463</v>
      </c>
      <c r="I521" s="2283"/>
      <c r="J521" s="1779"/>
      <c r="K521" s="2283"/>
      <c r="L521" s="2283"/>
      <c r="M521" s="1763">
        <v>42005</v>
      </c>
      <c r="N521" s="1763">
        <v>42369</v>
      </c>
      <c r="O521" s="1986"/>
      <c r="P521" s="1986"/>
      <c r="Q521" s="1784"/>
    </row>
    <row r="522" spans="1:17" s="420" customFormat="1" ht="35.25" customHeight="1" x14ac:dyDescent="0.25">
      <c r="A522" s="1985" t="s">
        <v>3550</v>
      </c>
      <c r="B522" s="1985" t="s">
        <v>3551</v>
      </c>
      <c r="C522" s="1985" t="s">
        <v>311</v>
      </c>
      <c r="D522" s="1985">
        <v>11248</v>
      </c>
      <c r="E522" s="1985" t="s">
        <v>3552</v>
      </c>
      <c r="F522" s="1759" t="s">
        <v>3553</v>
      </c>
      <c r="G522" s="1985" t="s">
        <v>3554</v>
      </c>
      <c r="H522" s="1758">
        <v>11300</v>
      </c>
      <c r="I522" s="2282">
        <v>282498.24</v>
      </c>
      <c r="J522" s="1779">
        <v>0</v>
      </c>
      <c r="K522" s="2282">
        <v>165018.22</v>
      </c>
      <c r="L522" s="2282">
        <v>165018.22</v>
      </c>
      <c r="M522" s="1763">
        <v>41768</v>
      </c>
      <c r="N522" s="1763">
        <v>42004</v>
      </c>
      <c r="O522" s="1985">
        <v>1</v>
      </c>
      <c r="P522" s="1985">
        <v>33903900</v>
      </c>
      <c r="Q522" s="1784"/>
    </row>
    <row r="523" spans="1:17" s="420" customFormat="1" ht="35.25" customHeight="1" x14ac:dyDescent="0.25">
      <c r="A523" s="1986"/>
      <c r="B523" s="1986"/>
      <c r="C523" s="1986"/>
      <c r="D523" s="1986"/>
      <c r="E523" s="1986"/>
      <c r="F523" s="1759" t="s">
        <v>3555</v>
      </c>
      <c r="G523" s="1986" t="s">
        <v>3554</v>
      </c>
      <c r="H523" s="1758">
        <v>11464</v>
      </c>
      <c r="I523" s="2283"/>
      <c r="J523" s="1779"/>
      <c r="K523" s="2283"/>
      <c r="L523" s="2283"/>
      <c r="M523" s="1763">
        <v>42005</v>
      </c>
      <c r="N523" s="1763">
        <v>42369</v>
      </c>
      <c r="O523" s="1986"/>
      <c r="P523" s="1986"/>
      <c r="Q523" s="1784"/>
    </row>
    <row r="524" spans="1:17" s="420" customFormat="1" ht="35.25" customHeight="1" x14ac:dyDescent="0.25">
      <c r="A524" s="1985" t="s">
        <v>2227</v>
      </c>
      <c r="B524" s="1985" t="s">
        <v>3556</v>
      </c>
      <c r="C524" s="1985" t="s">
        <v>311</v>
      </c>
      <c r="D524" s="1985">
        <v>11282</v>
      </c>
      <c r="E524" s="1985" t="s">
        <v>3557</v>
      </c>
      <c r="F524" s="1759" t="s">
        <v>489</v>
      </c>
      <c r="G524" s="1985" t="s">
        <v>3558</v>
      </c>
      <c r="H524" s="1762">
        <v>11315</v>
      </c>
      <c r="I524" s="2282">
        <v>1207</v>
      </c>
      <c r="J524" s="613">
        <v>0</v>
      </c>
      <c r="K524" s="2282">
        <v>1207</v>
      </c>
      <c r="L524" s="2282">
        <v>1207</v>
      </c>
      <c r="M524" s="1763">
        <v>41788</v>
      </c>
      <c r="N524" s="1763">
        <v>41807</v>
      </c>
      <c r="O524" s="1985" t="s">
        <v>2882</v>
      </c>
      <c r="P524" s="1985">
        <v>44905200</v>
      </c>
      <c r="Q524" s="1912"/>
    </row>
    <row r="525" spans="1:17" s="420" customFormat="1" ht="35.25" customHeight="1" x14ac:dyDescent="0.25">
      <c r="A525" s="1986" t="s">
        <v>2227</v>
      </c>
      <c r="B525" s="1986" t="s">
        <v>3556</v>
      </c>
      <c r="C525" s="1986"/>
      <c r="D525" s="1986"/>
      <c r="E525" s="1986"/>
      <c r="F525" s="1759" t="s">
        <v>3559</v>
      </c>
      <c r="G525" s="1986" t="s">
        <v>3558</v>
      </c>
      <c r="H525" s="1762">
        <v>11354</v>
      </c>
      <c r="I525" s="2283"/>
      <c r="J525" s="613">
        <v>0</v>
      </c>
      <c r="K525" s="2283"/>
      <c r="L525" s="2283"/>
      <c r="M525" s="1763">
        <f>N524+1</f>
        <v>41808</v>
      </c>
      <c r="N525" s="1763">
        <v>41867</v>
      </c>
      <c r="O525" s="1986"/>
      <c r="P525" s="1986"/>
      <c r="Q525" s="1912"/>
    </row>
    <row r="526" spans="1:17" s="420" customFormat="1" ht="35.25" customHeight="1" x14ac:dyDescent="0.25">
      <c r="A526" s="1985" t="s">
        <v>3499</v>
      </c>
      <c r="B526" s="1985" t="s">
        <v>3500</v>
      </c>
      <c r="C526" s="1985" t="s">
        <v>311</v>
      </c>
      <c r="D526" s="1985">
        <v>11254</v>
      </c>
      <c r="E526" s="1985" t="s">
        <v>3501</v>
      </c>
      <c r="F526" s="1759" t="s">
        <v>1847</v>
      </c>
      <c r="G526" s="1985" t="s">
        <v>3560</v>
      </c>
      <c r="H526" s="1758">
        <v>11329</v>
      </c>
      <c r="I526" s="2282">
        <v>11550</v>
      </c>
      <c r="J526" s="1779">
        <v>0</v>
      </c>
      <c r="K526" s="2282">
        <v>11495</v>
      </c>
      <c r="L526" s="2282">
        <v>11495</v>
      </c>
      <c r="M526" s="1763">
        <v>41792</v>
      </c>
      <c r="N526" s="1763">
        <v>42004</v>
      </c>
      <c r="O526" s="1985">
        <v>1</v>
      </c>
      <c r="P526" s="1985">
        <v>33903600</v>
      </c>
      <c r="Q526" s="1784"/>
    </row>
    <row r="527" spans="1:17" s="420" customFormat="1" ht="35.25" customHeight="1" x14ac:dyDescent="0.25">
      <c r="A527" s="1986"/>
      <c r="B527" s="1986"/>
      <c r="C527" s="1986"/>
      <c r="D527" s="1986"/>
      <c r="E527" s="1986"/>
      <c r="F527" s="1759" t="s">
        <v>3561</v>
      </c>
      <c r="G527" s="1986" t="s">
        <v>3560</v>
      </c>
      <c r="H527" s="1758">
        <v>11463</v>
      </c>
      <c r="I527" s="2283"/>
      <c r="J527" s="1779">
        <v>0</v>
      </c>
      <c r="K527" s="2283"/>
      <c r="L527" s="2283"/>
      <c r="M527" s="1763">
        <v>42005</v>
      </c>
      <c r="N527" s="1763">
        <v>42369</v>
      </c>
      <c r="O527" s="1986"/>
      <c r="P527" s="1986"/>
      <c r="Q527" s="1784"/>
    </row>
    <row r="528" spans="1:17" s="420" customFormat="1" ht="35.25" customHeight="1" x14ac:dyDescent="0.25">
      <c r="A528" s="1985" t="s">
        <v>3499</v>
      </c>
      <c r="B528" s="1985" t="s">
        <v>3500</v>
      </c>
      <c r="C528" s="1985" t="s">
        <v>311</v>
      </c>
      <c r="D528" s="1985">
        <v>11254</v>
      </c>
      <c r="E528" s="1985" t="s">
        <v>3501</v>
      </c>
      <c r="F528" s="1759" t="s">
        <v>3562</v>
      </c>
      <c r="G528" s="1985" t="s">
        <v>3563</v>
      </c>
      <c r="H528" s="1762">
        <v>11329</v>
      </c>
      <c r="I528" s="2282">
        <v>11550</v>
      </c>
      <c r="J528" s="613">
        <v>0</v>
      </c>
      <c r="K528" s="2282">
        <v>11495</v>
      </c>
      <c r="L528" s="2282">
        <v>11495</v>
      </c>
      <c r="M528" s="1763">
        <v>41792</v>
      </c>
      <c r="N528" s="1763">
        <v>42004</v>
      </c>
      <c r="O528" s="1985">
        <v>1</v>
      </c>
      <c r="P528" s="1985">
        <v>33903600</v>
      </c>
      <c r="Q528" s="1912"/>
    </row>
    <row r="529" spans="1:17" s="420" customFormat="1" ht="35.25" customHeight="1" x14ac:dyDescent="0.25">
      <c r="A529" s="1986"/>
      <c r="B529" s="1986"/>
      <c r="C529" s="1986"/>
      <c r="D529" s="1986"/>
      <c r="E529" s="1986"/>
      <c r="F529" s="1759" t="s">
        <v>3564</v>
      </c>
      <c r="G529" s="1986" t="s">
        <v>3563</v>
      </c>
      <c r="H529" s="1762">
        <v>11463</v>
      </c>
      <c r="I529" s="2283"/>
      <c r="J529" s="613">
        <v>0</v>
      </c>
      <c r="K529" s="2283"/>
      <c r="L529" s="2283"/>
      <c r="M529" s="1763">
        <v>42005</v>
      </c>
      <c r="N529" s="1763">
        <v>42369</v>
      </c>
      <c r="O529" s="1986"/>
      <c r="P529" s="1986"/>
      <c r="Q529" s="1912"/>
    </row>
    <row r="530" spans="1:17" s="420" customFormat="1" ht="35.25" customHeight="1" x14ac:dyDescent="0.25">
      <c r="A530" s="1985" t="s">
        <v>3499</v>
      </c>
      <c r="B530" s="1985" t="s">
        <v>3500</v>
      </c>
      <c r="C530" s="1985" t="s">
        <v>311</v>
      </c>
      <c r="D530" s="1985">
        <v>11254</v>
      </c>
      <c r="E530" s="1985" t="s">
        <v>3501</v>
      </c>
      <c r="F530" s="1759" t="s">
        <v>1856</v>
      </c>
      <c r="G530" s="1985" t="s">
        <v>3565</v>
      </c>
      <c r="H530" s="1758">
        <v>11329</v>
      </c>
      <c r="I530" s="2282">
        <v>11683</v>
      </c>
      <c r="J530" s="1779">
        <v>0</v>
      </c>
      <c r="K530" s="2282">
        <v>11571.73</v>
      </c>
      <c r="L530" s="2282">
        <v>11571.73</v>
      </c>
      <c r="M530" s="1763">
        <v>41793</v>
      </c>
      <c r="N530" s="1763">
        <v>42004</v>
      </c>
      <c r="O530" s="1985">
        <v>1</v>
      </c>
      <c r="P530" s="1985">
        <v>33903600</v>
      </c>
      <c r="Q530" s="1784"/>
    </row>
    <row r="531" spans="1:17" s="420" customFormat="1" ht="35.25" customHeight="1" x14ac:dyDescent="0.25">
      <c r="A531" s="1986"/>
      <c r="B531" s="1986"/>
      <c r="C531" s="1986"/>
      <c r="D531" s="1986"/>
      <c r="E531" s="1986"/>
      <c r="F531" s="1759" t="s">
        <v>3566</v>
      </c>
      <c r="G531" s="1986" t="s">
        <v>3565</v>
      </c>
      <c r="H531" s="1758">
        <v>11463</v>
      </c>
      <c r="I531" s="2283"/>
      <c r="J531" s="1779">
        <v>0</v>
      </c>
      <c r="K531" s="2283"/>
      <c r="L531" s="2283"/>
      <c r="M531" s="1763">
        <v>42005</v>
      </c>
      <c r="N531" s="1763">
        <v>42369</v>
      </c>
      <c r="O531" s="1986"/>
      <c r="P531" s="1986"/>
      <c r="Q531" s="1784"/>
    </row>
    <row r="532" spans="1:17" s="420" customFormat="1" ht="59.25" customHeight="1" x14ac:dyDescent="0.25">
      <c r="A532" s="1758" t="s">
        <v>3499</v>
      </c>
      <c r="B532" s="1758" t="s">
        <v>3500</v>
      </c>
      <c r="C532" s="1758" t="s">
        <v>311</v>
      </c>
      <c r="D532" s="1758">
        <v>11254</v>
      </c>
      <c r="E532" s="1758" t="s">
        <v>3501</v>
      </c>
      <c r="F532" s="1759" t="s">
        <v>1859</v>
      </c>
      <c r="G532" s="1758" t="s">
        <v>3567</v>
      </c>
      <c r="H532" s="1758">
        <v>11383</v>
      </c>
      <c r="I532" s="1779">
        <v>11760</v>
      </c>
      <c r="J532" s="1779">
        <v>0</v>
      </c>
      <c r="K532" s="1779">
        <v>11648</v>
      </c>
      <c r="L532" s="1779">
        <v>11648</v>
      </c>
      <c r="M532" s="1763">
        <v>41877</v>
      </c>
      <c r="N532" s="1763">
        <v>41996</v>
      </c>
      <c r="O532" s="1758">
        <v>1</v>
      </c>
      <c r="P532" s="1758">
        <v>33903600</v>
      </c>
      <c r="Q532" s="1784"/>
    </row>
    <row r="533" spans="1:17" s="420" customFormat="1" ht="59.25" customHeight="1" x14ac:dyDescent="0.25">
      <c r="A533" s="1758" t="s">
        <v>3499</v>
      </c>
      <c r="B533" s="1758" t="s">
        <v>3500</v>
      </c>
      <c r="C533" s="1758" t="s">
        <v>311</v>
      </c>
      <c r="D533" s="1762">
        <v>11254</v>
      </c>
      <c r="E533" s="1758" t="s">
        <v>3501</v>
      </c>
      <c r="F533" s="1759" t="s">
        <v>505</v>
      </c>
      <c r="G533" s="1767" t="s">
        <v>3568</v>
      </c>
      <c r="H533" s="1762">
        <v>11329</v>
      </c>
      <c r="I533" s="613">
        <v>11830</v>
      </c>
      <c r="J533" s="613">
        <v>0</v>
      </c>
      <c r="K533" s="613">
        <v>11661</v>
      </c>
      <c r="L533" s="613">
        <v>11661</v>
      </c>
      <c r="M533" s="1763">
        <v>41794</v>
      </c>
      <c r="N533" s="1763">
        <v>42004</v>
      </c>
      <c r="O533" s="1758">
        <v>1</v>
      </c>
      <c r="P533" s="1758">
        <v>33903600</v>
      </c>
      <c r="Q533" s="1912"/>
    </row>
    <row r="534" spans="1:17" s="420" customFormat="1" ht="35.25" customHeight="1" x14ac:dyDescent="0.25">
      <c r="A534" s="1758" t="s">
        <v>3569</v>
      </c>
      <c r="B534" s="1758" t="s">
        <v>3570</v>
      </c>
      <c r="C534" s="1758" t="s">
        <v>311</v>
      </c>
      <c r="D534" s="1758">
        <v>11301</v>
      </c>
      <c r="E534" s="1758" t="s">
        <v>3571</v>
      </c>
      <c r="F534" s="1759" t="s">
        <v>443</v>
      </c>
      <c r="G534" s="1758" t="s">
        <v>3572</v>
      </c>
      <c r="H534" s="1758">
        <v>11332</v>
      </c>
      <c r="I534" s="1779">
        <v>3558.92</v>
      </c>
      <c r="J534" s="1779">
        <v>0</v>
      </c>
      <c r="K534" s="1779">
        <v>3558.92</v>
      </c>
      <c r="L534" s="1779">
        <v>3558.92</v>
      </c>
      <c r="M534" s="1763">
        <v>41814</v>
      </c>
      <c r="N534" s="1763">
        <v>41873</v>
      </c>
      <c r="O534" s="1758">
        <v>1</v>
      </c>
      <c r="P534" s="1758">
        <v>33903000</v>
      </c>
      <c r="Q534" s="1784"/>
    </row>
    <row r="535" spans="1:17" s="420" customFormat="1" ht="35.25" customHeight="1" x14ac:dyDescent="0.25">
      <c r="A535" s="1758" t="s">
        <v>3569</v>
      </c>
      <c r="B535" s="1758" t="s">
        <v>3570</v>
      </c>
      <c r="C535" s="1758" t="s">
        <v>311</v>
      </c>
      <c r="D535" s="1762">
        <v>11301</v>
      </c>
      <c r="E535" s="1758" t="s">
        <v>3571</v>
      </c>
      <c r="F535" s="1759" t="s">
        <v>3573</v>
      </c>
      <c r="G535" s="1767" t="s">
        <v>3574</v>
      </c>
      <c r="H535" s="1762">
        <v>11332</v>
      </c>
      <c r="I535" s="613">
        <v>4920.3</v>
      </c>
      <c r="J535" s="613">
        <v>0</v>
      </c>
      <c r="K535" s="613">
        <v>4920.3</v>
      </c>
      <c r="L535" s="613">
        <v>4920.3</v>
      </c>
      <c r="M535" s="1763">
        <v>41813</v>
      </c>
      <c r="N535" s="1763">
        <v>41872</v>
      </c>
      <c r="O535" s="1758">
        <v>1</v>
      </c>
      <c r="P535" s="1758">
        <v>33903000</v>
      </c>
      <c r="Q535" s="1912"/>
    </row>
    <row r="536" spans="1:17" s="420" customFormat="1" ht="35.25" customHeight="1" x14ac:dyDescent="0.25">
      <c r="A536" s="1758" t="s">
        <v>3569</v>
      </c>
      <c r="B536" s="1758" t="s">
        <v>3570</v>
      </c>
      <c r="C536" s="1758" t="s">
        <v>311</v>
      </c>
      <c r="D536" s="1758">
        <v>11301</v>
      </c>
      <c r="E536" s="1758" t="s">
        <v>3571</v>
      </c>
      <c r="F536" s="1759" t="s">
        <v>3575</v>
      </c>
      <c r="G536" s="1758" t="s">
        <v>1881</v>
      </c>
      <c r="H536" s="1758">
        <v>11332</v>
      </c>
      <c r="I536" s="1779">
        <v>24212.5</v>
      </c>
      <c r="J536" s="1779">
        <v>0</v>
      </c>
      <c r="K536" s="1779">
        <v>22237.5</v>
      </c>
      <c r="L536" s="1779">
        <v>22237.5</v>
      </c>
      <c r="M536" s="1763">
        <v>41815</v>
      </c>
      <c r="N536" s="1763">
        <v>41874</v>
      </c>
      <c r="O536" s="1758">
        <v>1</v>
      </c>
      <c r="P536" s="1758">
        <v>33903000</v>
      </c>
      <c r="Q536" s="1784"/>
    </row>
    <row r="537" spans="1:17" s="420" customFormat="1" ht="35.25" customHeight="1" x14ac:dyDescent="0.25">
      <c r="A537" s="1758" t="s">
        <v>3569</v>
      </c>
      <c r="B537" s="1758" t="s">
        <v>3570</v>
      </c>
      <c r="C537" s="1758" t="s">
        <v>311</v>
      </c>
      <c r="D537" s="1762">
        <v>11301</v>
      </c>
      <c r="E537" s="1758" t="s">
        <v>3571</v>
      </c>
      <c r="F537" s="1759" t="s">
        <v>3576</v>
      </c>
      <c r="G537" s="1767" t="s">
        <v>3577</v>
      </c>
      <c r="H537" s="1762">
        <v>11332</v>
      </c>
      <c r="I537" s="613">
        <v>2255</v>
      </c>
      <c r="J537" s="613">
        <v>0</v>
      </c>
      <c r="K537" s="613">
        <v>2255</v>
      </c>
      <c r="L537" s="613">
        <v>2255</v>
      </c>
      <c r="M537" s="1763">
        <v>41814</v>
      </c>
      <c r="N537" s="1763">
        <v>41873</v>
      </c>
      <c r="O537" s="1758">
        <v>1</v>
      </c>
      <c r="P537" s="1758">
        <v>33903000</v>
      </c>
      <c r="Q537" s="1912"/>
    </row>
    <row r="538" spans="1:17" s="420" customFormat="1" ht="35.25" customHeight="1" x14ac:dyDescent="0.25">
      <c r="A538" s="1758" t="s">
        <v>3569</v>
      </c>
      <c r="B538" s="1758" t="s">
        <v>3570</v>
      </c>
      <c r="C538" s="1758" t="s">
        <v>311</v>
      </c>
      <c r="D538" s="1758">
        <v>11301</v>
      </c>
      <c r="E538" s="1758" t="s">
        <v>3571</v>
      </c>
      <c r="F538" s="1759" t="s">
        <v>3578</v>
      </c>
      <c r="G538" s="1758" t="s">
        <v>3579</v>
      </c>
      <c r="H538" s="1758">
        <v>11332</v>
      </c>
      <c r="I538" s="1779">
        <v>5665</v>
      </c>
      <c r="J538" s="1779">
        <v>0</v>
      </c>
      <c r="K538" s="1779">
        <v>5665</v>
      </c>
      <c r="L538" s="1779">
        <v>5665</v>
      </c>
      <c r="M538" s="1763">
        <v>41810</v>
      </c>
      <c r="N538" s="1763">
        <v>41869</v>
      </c>
      <c r="O538" s="1758">
        <v>1</v>
      </c>
      <c r="P538" s="1758">
        <v>33903000</v>
      </c>
      <c r="Q538" s="1784"/>
    </row>
    <row r="539" spans="1:17" s="420" customFormat="1" ht="35.25" customHeight="1" x14ac:dyDescent="0.25">
      <c r="A539" s="1985" t="s">
        <v>3569</v>
      </c>
      <c r="B539" s="1985" t="s">
        <v>3570</v>
      </c>
      <c r="C539" s="1985" t="s">
        <v>311</v>
      </c>
      <c r="D539" s="1985">
        <v>11301</v>
      </c>
      <c r="E539" s="1985" t="s">
        <v>3571</v>
      </c>
      <c r="F539" s="1759" t="s">
        <v>3580</v>
      </c>
      <c r="G539" s="1985" t="s">
        <v>3581</v>
      </c>
      <c r="H539" s="1762">
        <v>11332</v>
      </c>
      <c r="I539" s="2282">
        <v>760</v>
      </c>
      <c r="J539" s="613">
        <v>0</v>
      </c>
      <c r="K539" s="2282">
        <v>760</v>
      </c>
      <c r="L539" s="2282">
        <v>760</v>
      </c>
      <c r="M539" s="1763">
        <v>41815</v>
      </c>
      <c r="N539" s="1763">
        <v>41874</v>
      </c>
      <c r="O539" s="1985">
        <v>1</v>
      </c>
      <c r="P539" s="1985">
        <v>33903000</v>
      </c>
      <c r="Q539" s="1912"/>
    </row>
    <row r="540" spans="1:17" s="420" customFormat="1" ht="35.25" customHeight="1" x14ac:dyDescent="0.25">
      <c r="A540" s="1986"/>
      <c r="B540" s="1986" t="s">
        <v>3570</v>
      </c>
      <c r="C540" s="1986"/>
      <c r="D540" s="1986">
        <v>11301</v>
      </c>
      <c r="E540" s="1986" t="s">
        <v>3571</v>
      </c>
      <c r="F540" s="1759" t="s">
        <v>3582</v>
      </c>
      <c r="G540" s="1986" t="s">
        <v>3581</v>
      </c>
      <c r="H540" s="1762">
        <v>11412</v>
      </c>
      <c r="I540" s="2283"/>
      <c r="J540" s="613"/>
      <c r="K540" s="2283"/>
      <c r="L540" s="2283"/>
      <c r="M540" s="1763">
        <v>41875</v>
      </c>
      <c r="N540" s="1763">
        <v>41934</v>
      </c>
      <c r="O540" s="1986"/>
      <c r="P540" s="1986"/>
      <c r="Q540" s="1912"/>
    </row>
    <row r="541" spans="1:17" s="420" customFormat="1" ht="35.25" customHeight="1" x14ac:dyDescent="0.25">
      <c r="A541" s="1985" t="s">
        <v>3583</v>
      </c>
      <c r="B541" s="1985" t="s">
        <v>3584</v>
      </c>
      <c r="C541" s="1985" t="s">
        <v>311</v>
      </c>
      <c r="D541" s="1985">
        <v>11254</v>
      </c>
      <c r="E541" s="1985" t="s">
        <v>3501</v>
      </c>
      <c r="F541" s="1759" t="s">
        <v>1948</v>
      </c>
      <c r="G541" s="1985" t="s">
        <v>3585</v>
      </c>
      <c r="H541" s="1758">
        <v>11339</v>
      </c>
      <c r="I541" s="2282">
        <v>10200</v>
      </c>
      <c r="J541" s="1779">
        <v>0</v>
      </c>
      <c r="K541" s="2282">
        <v>9576.5400000000009</v>
      </c>
      <c r="L541" s="2282">
        <v>9576.5400000000009</v>
      </c>
      <c r="M541" s="1763">
        <v>41821</v>
      </c>
      <c r="N541" s="1763">
        <v>42004</v>
      </c>
      <c r="O541" s="1985">
        <v>1</v>
      </c>
      <c r="P541" s="1985">
        <v>33903600</v>
      </c>
      <c r="Q541" s="1784"/>
    </row>
    <row r="542" spans="1:17" s="420" customFormat="1" ht="35.25" customHeight="1" x14ac:dyDescent="0.25">
      <c r="A542" s="1986"/>
      <c r="B542" s="1986"/>
      <c r="C542" s="1986"/>
      <c r="D542" s="1986"/>
      <c r="E542" s="1986"/>
      <c r="F542" s="1759" t="s">
        <v>3586</v>
      </c>
      <c r="G542" s="1986" t="s">
        <v>3585</v>
      </c>
      <c r="H542" s="1758">
        <v>11463</v>
      </c>
      <c r="I542" s="2283"/>
      <c r="J542" s="1779"/>
      <c r="K542" s="2283"/>
      <c r="L542" s="2283"/>
      <c r="M542" s="1763">
        <v>42005</v>
      </c>
      <c r="N542" s="1763">
        <v>42369</v>
      </c>
      <c r="O542" s="1986"/>
      <c r="P542" s="1986"/>
      <c r="Q542" s="1784"/>
    </row>
    <row r="543" spans="1:17" s="420" customFormat="1" ht="35.25" customHeight="1" x14ac:dyDescent="0.25">
      <c r="A543" s="1985" t="s">
        <v>3583</v>
      </c>
      <c r="B543" s="1985" t="s">
        <v>3584</v>
      </c>
      <c r="C543" s="1985" t="s">
        <v>311</v>
      </c>
      <c r="D543" s="1985">
        <v>11254</v>
      </c>
      <c r="E543" s="1985" t="s">
        <v>3501</v>
      </c>
      <c r="F543" s="1759" t="s">
        <v>1950</v>
      </c>
      <c r="G543" s="1985" t="s">
        <v>3587</v>
      </c>
      <c r="H543" s="1762">
        <v>11339</v>
      </c>
      <c r="I543" s="2282">
        <v>10440</v>
      </c>
      <c r="J543" s="613">
        <v>0</v>
      </c>
      <c r="K543" s="2282">
        <v>10440</v>
      </c>
      <c r="L543" s="2282">
        <v>10440</v>
      </c>
      <c r="M543" s="1763">
        <v>41821</v>
      </c>
      <c r="N543" s="1763">
        <v>42004</v>
      </c>
      <c r="O543" s="1985">
        <v>1</v>
      </c>
      <c r="P543" s="1985">
        <v>33903600</v>
      </c>
      <c r="Q543" s="1912"/>
    </row>
    <row r="544" spans="1:17" s="420" customFormat="1" ht="35.25" customHeight="1" x14ac:dyDescent="0.25">
      <c r="A544" s="1986"/>
      <c r="B544" s="1986"/>
      <c r="C544" s="1986"/>
      <c r="D544" s="1986"/>
      <c r="E544" s="1986"/>
      <c r="F544" s="1759" t="s">
        <v>3588</v>
      </c>
      <c r="G544" s="1986" t="s">
        <v>3587</v>
      </c>
      <c r="H544" s="1762">
        <v>11463</v>
      </c>
      <c r="I544" s="2283"/>
      <c r="J544" s="613"/>
      <c r="K544" s="2283"/>
      <c r="L544" s="2283"/>
      <c r="M544" s="1763">
        <v>42005</v>
      </c>
      <c r="N544" s="1763">
        <v>42369</v>
      </c>
      <c r="O544" s="1986"/>
      <c r="P544" s="1986"/>
      <c r="Q544" s="1912"/>
    </row>
    <row r="545" spans="1:18" s="420" customFormat="1" ht="34.5" customHeight="1" x14ac:dyDescent="0.25">
      <c r="A545" s="2207" t="s">
        <v>601</v>
      </c>
      <c r="B545" s="2207"/>
      <c r="C545" s="2207"/>
      <c r="D545" s="2207"/>
      <c r="E545" s="2207"/>
      <c r="F545" s="515"/>
      <c r="G545" s="516"/>
      <c r="H545" s="516"/>
      <c r="I545" s="1916">
        <f t="shared" ref="I545:J545" si="10">SUM(I375:I543)</f>
        <v>1849099.85</v>
      </c>
      <c r="J545" s="1916">
        <f t="shared" si="10"/>
        <v>321450.66000000003</v>
      </c>
      <c r="K545" s="1916">
        <f>SUM(K375:K543)</f>
        <v>1543575.59</v>
      </c>
      <c r="L545" s="1916">
        <f>SUM(L375:L543)</f>
        <v>3114236</v>
      </c>
      <c r="M545" s="517"/>
      <c r="N545" s="517"/>
      <c r="O545" s="516"/>
      <c r="P545" s="516"/>
      <c r="Q545" s="1918"/>
    </row>
    <row r="546" spans="1:18" s="420" customFormat="1" x14ac:dyDescent="0.25">
      <c r="G546" s="422"/>
      <c r="I546" s="1923"/>
      <c r="J546" s="428"/>
      <c r="K546" s="428"/>
      <c r="L546" s="428"/>
      <c r="M546" s="1924"/>
      <c r="N546" s="1924"/>
      <c r="P546" s="1925"/>
    </row>
    <row r="547" spans="1:18" s="420" customFormat="1" x14ac:dyDescent="0.25">
      <c r="G547" s="422"/>
      <c r="I547" s="1923"/>
      <c r="J547" s="428"/>
      <c r="K547" s="428"/>
      <c r="L547" s="428"/>
      <c r="M547" s="1924"/>
      <c r="N547" s="1924"/>
      <c r="P547" s="1925"/>
    </row>
    <row r="548" spans="1:18" s="420" customFormat="1" ht="19.5" customHeight="1" x14ac:dyDescent="0.25">
      <c r="A548" s="2341" t="s">
        <v>3589</v>
      </c>
      <c r="B548" s="2341"/>
      <c r="C548" s="2341"/>
      <c r="D548" s="2341"/>
      <c r="E548" s="2341"/>
      <c r="F548" s="2341"/>
      <c r="G548" s="2341"/>
      <c r="H548" s="2341"/>
      <c r="I548" s="2341"/>
      <c r="J548" s="2341"/>
      <c r="K548" s="2341"/>
      <c r="L548" s="2341"/>
      <c r="M548" s="2341"/>
      <c r="N548" s="2341"/>
      <c r="O548" s="2341"/>
      <c r="P548" s="2341"/>
      <c r="Q548" s="1908"/>
    </row>
    <row r="549" spans="1:18" s="420" customFormat="1" ht="15.75" customHeight="1" x14ac:dyDescent="0.25">
      <c r="A549" s="2050" t="s">
        <v>2778</v>
      </c>
      <c r="B549" s="2050"/>
      <c r="C549" s="2050"/>
      <c r="D549" s="2050"/>
      <c r="E549" s="2050"/>
      <c r="F549" s="2207" t="s">
        <v>2779</v>
      </c>
      <c r="G549" s="2207"/>
      <c r="H549" s="2207"/>
      <c r="I549" s="2207"/>
      <c r="J549" s="2207"/>
      <c r="K549" s="2207"/>
      <c r="L549" s="2207"/>
      <c r="M549" s="2207"/>
      <c r="N549" s="2207"/>
      <c r="O549" s="2207"/>
      <c r="P549" s="2207"/>
      <c r="Q549" s="1908"/>
    </row>
    <row r="550" spans="1:18" s="420" customFormat="1" ht="15.75" customHeight="1" x14ac:dyDescent="0.25">
      <c r="A550" s="2050"/>
      <c r="B550" s="2050"/>
      <c r="C550" s="2050"/>
      <c r="D550" s="2050"/>
      <c r="E550" s="2050"/>
      <c r="F550" s="1967" t="s">
        <v>2780</v>
      </c>
      <c r="G550" s="1967"/>
      <c r="H550" s="1967"/>
      <c r="I550" s="1967" t="s">
        <v>918</v>
      </c>
      <c r="J550" s="1967"/>
      <c r="K550" s="1967"/>
      <c r="L550" s="1967"/>
      <c r="M550" s="2024" t="s">
        <v>2781</v>
      </c>
      <c r="N550" s="2024"/>
      <c r="O550" s="1967" t="s">
        <v>2782</v>
      </c>
      <c r="P550" s="1967"/>
      <c r="Q550" s="2327"/>
    </row>
    <row r="551" spans="1:18" s="420" customFormat="1" ht="25.5" x14ac:dyDescent="0.25">
      <c r="A551" s="1758" t="s">
        <v>2783</v>
      </c>
      <c r="B551" s="1758" t="s">
        <v>32</v>
      </c>
      <c r="C551" s="1758" t="s">
        <v>3363</v>
      </c>
      <c r="D551" s="1758" t="s">
        <v>2784</v>
      </c>
      <c r="E551" s="1758" t="s">
        <v>33</v>
      </c>
      <c r="F551" s="1759" t="s">
        <v>2785</v>
      </c>
      <c r="G551" s="1758" t="s">
        <v>36</v>
      </c>
      <c r="H551" s="1758" t="s">
        <v>2784</v>
      </c>
      <c r="I551" s="1758" t="s">
        <v>2786</v>
      </c>
      <c r="J551" s="1758" t="s">
        <v>2787</v>
      </c>
      <c r="K551" s="1758" t="s">
        <v>2788</v>
      </c>
      <c r="L551" s="1758" t="s">
        <v>2789</v>
      </c>
      <c r="M551" s="1758" t="s">
        <v>58</v>
      </c>
      <c r="N551" s="1758" t="s">
        <v>2790</v>
      </c>
      <c r="O551" s="1758" t="s">
        <v>43</v>
      </c>
      <c r="P551" s="1758" t="s">
        <v>47</v>
      </c>
      <c r="Q551" s="2327"/>
    </row>
    <row r="552" spans="1:18" s="420" customFormat="1" ht="51" x14ac:dyDescent="0.25">
      <c r="A552" s="1758" t="s">
        <v>3590</v>
      </c>
      <c r="B552" s="1758" t="s">
        <v>935</v>
      </c>
      <c r="C552" s="1758" t="s">
        <v>168</v>
      </c>
      <c r="D552" s="1758">
        <v>11058</v>
      </c>
      <c r="E552" s="1780" t="s">
        <v>3591</v>
      </c>
      <c r="F552" s="1759" t="s">
        <v>770</v>
      </c>
      <c r="G552" s="1758" t="s">
        <v>3333</v>
      </c>
      <c r="H552" s="1758" t="s">
        <v>3592</v>
      </c>
      <c r="I552" s="1779">
        <v>3475000</v>
      </c>
      <c r="J552" s="1779">
        <v>0</v>
      </c>
      <c r="K552" s="1779">
        <v>563563.54</v>
      </c>
      <c r="L552" s="1779">
        <v>1598299.1</v>
      </c>
      <c r="M552" s="1763">
        <v>41478</v>
      </c>
      <c r="N552" s="1763">
        <v>42197</v>
      </c>
      <c r="O552" s="1758">
        <v>1</v>
      </c>
      <c r="P552" s="1758">
        <v>44905100</v>
      </c>
      <c r="Q552" s="1784"/>
    </row>
    <row r="553" spans="1:18" s="420" customFormat="1" ht="25.5" x14ac:dyDescent="0.25">
      <c r="A553" s="1758" t="s">
        <v>3593</v>
      </c>
      <c r="B553" s="1758" t="s">
        <v>935</v>
      </c>
      <c r="C553" s="1758" t="s">
        <v>168</v>
      </c>
      <c r="D553" s="1758">
        <v>11142</v>
      </c>
      <c r="E553" s="1780" t="s">
        <v>3594</v>
      </c>
      <c r="F553" s="1759" t="s">
        <v>3595</v>
      </c>
      <c r="G553" s="1758" t="s">
        <v>3333</v>
      </c>
      <c r="H553" s="1758">
        <v>11186</v>
      </c>
      <c r="I553" s="1779">
        <v>971275.63</v>
      </c>
      <c r="J553" s="1779">
        <v>0</v>
      </c>
      <c r="K553" s="1779">
        <v>0</v>
      </c>
      <c r="L553" s="1779">
        <v>0</v>
      </c>
      <c r="M553" s="1763">
        <v>41730</v>
      </c>
      <c r="N553" s="1763">
        <v>42094</v>
      </c>
      <c r="O553" s="1758">
        <v>1</v>
      </c>
      <c r="P553" s="1758">
        <v>33903900</v>
      </c>
      <c r="Q553" s="1784"/>
    </row>
    <row r="554" spans="1:18" s="420" customFormat="1" ht="25.5" x14ac:dyDescent="0.25">
      <c r="A554" s="1758" t="s">
        <v>3596</v>
      </c>
      <c r="B554" s="1758" t="s">
        <v>935</v>
      </c>
      <c r="C554" s="1758" t="s">
        <v>168</v>
      </c>
      <c r="D554" s="1758">
        <v>11186</v>
      </c>
      <c r="E554" s="1780" t="s">
        <v>3597</v>
      </c>
      <c r="F554" s="1759" t="s">
        <v>750</v>
      </c>
      <c r="G554" s="1758" t="s">
        <v>3598</v>
      </c>
      <c r="H554" s="1758">
        <v>11233</v>
      </c>
      <c r="I554" s="1779">
        <v>26331</v>
      </c>
      <c r="J554" s="1779">
        <v>0</v>
      </c>
      <c r="K554" s="1779">
        <v>26331</v>
      </c>
      <c r="L554" s="1779">
        <v>26331</v>
      </c>
      <c r="M554" s="1763">
        <v>41667</v>
      </c>
      <c r="N554" s="1763">
        <v>41698</v>
      </c>
      <c r="O554" s="1758">
        <v>1</v>
      </c>
      <c r="P554" s="1758">
        <v>44905200</v>
      </c>
      <c r="Q554" s="1784"/>
    </row>
    <row r="555" spans="1:18" s="420" customFormat="1" ht="26.25" x14ac:dyDescent="0.25">
      <c r="A555" s="1758" t="s">
        <v>3599</v>
      </c>
      <c r="B555" s="1758" t="s">
        <v>3600</v>
      </c>
      <c r="C555" s="1758" t="s">
        <v>168</v>
      </c>
      <c r="D555" s="1762">
        <v>11376</v>
      </c>
      <c r="E555" s="1928" t="s">
        <v>3601</v>
      </c>
      <c r="F555" s="1759" t="s">
        <v>2023</v>
      </c>
      <c r="G555" s="1928" t="s">
        <v>3602</v>
      </c>
      <c r="H555" s="1762">
        <v>11389</v>
      </c>
      <c r="I555" s="613">
        <v>700000</v>
      </c>
      <c r="J555" s="613"/>
      <c r="K555" s="613">
        <v>130000</v>
      </c>
      <c r="L555" s="613">
        <v>130000</v>
      </c>
      <c r="M555" s="1763">
        <v>41892</v>
      </c>
      <c r="N555" s="1763">
        <v>42131</v>
      </c>
      <c r="O555" s="1758">
        <v>1</v>
      </c>
      <c r="P555" s="1758">
        <v>33903900</v>
      </c>
      <c r="Q555" s="1784"/>
    </row>
    <row r="556" spans="1:18" s="420" customFormat="1" x14ac:dyDescent="0.25">
      <c r="A556" s="2207" t="s">
        <v>601</v>
      </c>
      <c r="B556" s="2207"/>
      <c r="C556" s="2207"/>
      <c r="D556" s="2207"/>
      <c r="E556" s="2207"/>
      <c r="F556" s="515"/>
      <c r="G556" s="516"/>
      <c r="H556" s="516"/>
      <c r="I556" s="1929">
        <f t="shared" ref="I556:J556" si="11">SUM(I552:I555)</f>
        <v>5172606.63</v>
      </c>
      <c r="J556" s="1929">
        <f t="shared" si="11"/>
        <v>0</v>
      </c>
      <c r="K556" s="1929">
        <f>SUM(K552:K555)</f>
        <v>719894.54</v>
      </c>
      <c r="L556" s="1929">
        <f>SUM(L552:L555)</f>
        <v>1754630.1</v>
      </c>
      <c r="M556" s="516"/>
      <c r="N556" s="516"/>
      <c r="O556" s="516"/>
      <c r="P556" s="516"/>
      <c r="Q556" s="1918"/>
    </row>
    <row r="557" spans="1:18" s="420" customFormat="1" x14ac:dyDescent="0.25">
      <c r="G557" s="422"/>
      <c r="I557" s="1923"/>
      <c r="J557" s="428"/>
      <c r="K557" s="428"/>
      <c r="L557" s="428"/>
      <c r="M557" s="1924"/>
      <c r="N557" s="1924"/>
      <c r="P557" s="1925"/>
    </row>
    <row r="558" spans="1:18" s="420" customFormat="1" x14ac:dyDescent="0.25">
      <c r="G558" s="422"/>
      <c r="I558" s="1923"/>
      <c r="J558" s="428"/>
      <c r="K558" s="428"/>
      <c r="L558" s="428"/>
      <c r="M558" s="1924"/>
      <c r="N558" s="1924"/>
      <c r="P558" s="1925"/>
    </row>
    <row r="559" spans="1:18" s="420" customFormat="1" ht="19.5" customHeight="1" x14ac:dyDescent="0.25">
      <c r="A559" s="2341" t="s">
        <v>3603</v>
      </c>
      <c r="B559" s="2341"/>
      <c r="C559" s="2341"/>
      <c r="D559" s="2341"/>
      <c r="E559" s="2341"/>
      <c r="F559" s="2341"/>
      <c r="G559" s="2341"/>
      <c r="H559" s="2341"/>
      <c r="I559" s="2341"/>
      <c r="J559" s="2341"/>
      <c r="K559" s="2341"/>
      <c r="L559" s="2341"/>
      <c r="M559" s="2341"/>
      <c r="N559" s="2341"/>
      <c r="O559" s="2341"/>
      <c r="P559" s="2341"/>
      <c r="Q559" s="2341"/>
      <c r="R559" s="1908"/>
    </row>
    <row r="560" spans="1:18" s="420" customFormat="1" ht="15.75" customHeight="1" x14ac:dyDescent="0.25">
      <c r="A560" s="2050" t="s">
        <v>2778</v>
      </c>
      <c r="B560" s="2050"/>
      <c r="C560" s="2050"/>
      <c r="D560" s="2050"/>
      <c r="E560" s="2050"/>
      <c r="F560" s="2050"/>
      <c r="G560" s="2207" t="s">
        <v>2779</v>
      </c>
      <c r="H560" s="2207"/>
      <c r="I560" s="2207"/>
      <c r="J560" s="2207"/>
      <c r="K560" s="2207"/>
      <c r="L560" s="2207"/>
      <c r="M560" s="2207"/>
      <c r="N560" s="2207"/>
      <c r="O560" s="2207"/>
      <c r="P560" s="2207"/>
      <c r="Q560" s="2207"/>
      <c r="R560" s="1908"/>
    </row>
    <row r="561" spans="1:18" s="420" customFormat="1" ht="15.75" customHeight="1" x14ac:dyDescent="0.25">
      <c r="A561" s="2050"/>
      <c r="B561" s="2050"/>
      <c r="C561" s="2050"/>
      <c r="D561" s="2050"/>
      <c r="E561" s="2050"/>
      <c r="F561" s="2050"/>
      <c r="G561" s="1967" t="s">
        <v>2780</v>
      </c>
      <c r="H561" s="1967"/>
      <c r="I561" s="1967"/>
      <c r="J561" s="2296" t="s">
        <v>918</v>
      </c>
      <c r="K561" s="2296"/>
      <c r="L561" s="2296"/>
      <c r="M561" s="2296"/>
      <c r="N561" s="2337" t="s">
        <v>2781</v>
      </c>
      <c r="O561" s="2337"/>
      <c r="P561" s="1967" t="s">
        <v>2782</v>
      </c>
      <c r="Q561" s="1967"/>
      <c r="R561" s="2327"/>
    </row>
    <row r="562" spans="1:18" s="420" customFormat="1" ht="38.25" x14ac:dyDescent="0.25">
      <c r="A562" s="1758" t="s">
        <v>2783</v>
      </c>
      <c r="B562" s="1758" t="s">
        <v>32</v>
      </c>
      <c r="C562" s="1758" t="s">
        <v>3363</v>
      </c>
      <c r="D562" s="1758" t="s">
        <v>3604</v>
      </c>
      <c r="E562" s="1758" t="s">
        <v>2784</v>
      </c>
      <c r="F562" s="1758" t="s">
        <v>33</v>
      </c>
      <c r="G562" s="1759" t="s">
        <v>2785</v>
      </c>
      <c r="H562" s="1758" t="s">
        <v>36</v>
      </c>
      <c r="I562" s="1758" t="s">
        <v>2784</v>
      </c>
      <c r="J562" s="1779" t="s">
        <v>2786</v>
      </c>
      <c r="K562" s="1779" t="s">
        <v>2787</v>
      </c>
      <c r="L562" s="1779" t="s">
        <v>2788</v>
      </c>
      <c r="M562" s="1779" t="s">
        <v>2789</v>
      </c>
      <c r="N562" s="1763" t="s">
        <v>58</v>
      </c>
      <c r="O562" s="1763" t="s">
        <v>2790</v>
      </c>
      <c r="P562" s="1758" t="s">
        <v>43</v>
      </c>
      <c r="Q562" s="1758" t="s">
        <v>47</v>
      </c>
      <c r="R562" s="2327"/>
    </row>
    <row r="563" spans="1:18" s="420" customFormat="1" ht="21" customHeight="1" x14ac:dyDescent="0.25">
      <c r="A563" s="1985" t="s">
        <v>1480</v>
      </c>
      <c r="B563" s="1985" t="s">
        <v>3605</v>
      </c>
      <c r="C563" s="1985" t="s">
        <v>168</v>
      </c>
      <c r="D563" s="1985" t="s">
        <v>3606</v>
      </c>
      <c r="E563" s="1985">
        <v>11033</v>
      </c>
      <c r="F563" s="1985" t="s">
        <v>3607</v>
      </c>
      <c r="G563" s="1759" t="s">
        <v>3608</v>
      </c>
      <c r="H563" s="1985" t="s">
        <v>3609</v>
      </c>
      <c r="I563" s="1762">
        <v>11068</v>
      </c>
      <c r="J563" s="2282">
        <v>6236890.9399999995</v>
      </c>
      <c r="K563" s="613">
        <v>0</v>
      </c>
      <c r="L563" s="2282">
        <v>2110809.86</v>
      </c>
      <c r="M563" s="2282">
        <v>3166299.76</v>
      </c>
      <c r="N563" s="1763">
        <v>41466</v>
      </c>
      <c r="O563" s="1763">
        <v>41856</v>
      </c>
      <c r="P563" s="1985" t="s">
        <v>1239</v>
      </c>
      <c r="Q563" s="1985">
        <v>44905100</v>
      </c>
      <c r="R563" s="1912"/>
    </row>
    <row r="564" spans="1:18" s="420" customFormat="1" ht="32.25" customHeight="1" x14ac:dyDescent="0.25">
      <c r="A564" s="2021"/>
      <c r="B564" s="2021" t="s">
        <v>3605</v>
      </c>
      <c r="C564" s="2021"/>
      <c r="D564" s="2021"/>
      <c r="E564" s="2021"/>
      <c r="F564" s="2021" t="s">
        <v>3607</v>
      </c>
      <c r="G564" s="1759" t="s">
        <v>3610</v>
      </c>
      <c r="H564" s="2021" t="s">
        <v>3609</v>
      </c>
      <c r="I564" s="1762">
        <v>11253</v>
      </c>
      <c r="J564" s="2290"/>
      <c r="K564" s="613">
        <v>138.68</v>
      </c>
      <c r="L564" s="2290"/>
      <c r="M564" s="2290"/>
      <c r="N564" s="1763"/>
      <c r="O564" s="1763"/>
      <c r="P564" s="2021"/>
      <c r="Q564" s="2021"/>
      <c r="R564" s="1912"/>
    </row>
    <row r="565" spans="1:18" s="420" customFormat="1" ht="27.75" customHeight="1" x14ac:dyDescent="0.25">
      <c r="A565" s="1986"/>
      <c r="B565" s="1986" t="s">
        <v>3605</v>
      </c>
      <c r="C565" s="1986"/>
      <c r="D565" s="1986"/>
      <c r="E565" s="1986"/>
      <c r="F565" s="1986" t="s">
        <v>3607</v>
      </c>
      <c r="G565" s="1759" t="s">
        <v>3611</v>
      </c>
      <c r="H565" s="1986" t="s">
        <v>3609</v>
      </c>
      <c r="I565" s="1762">
        <v>11381</v>
      </c>
      <c r="J565" s="2283"/>
      <c r="K565" s="613">
        <v>0</v>
      </c>
      <c r="L565" s="2283"/>
      <c r="M565" s="2283"/>
      <c r="N565" s="1763">
        <v>41857</v>
      </c>
      <c r="O565" s="1763">
        <v>42076</v>
      </c>
      <c r="P565" s="1986"/>
      <c r="Q565" s="1986"/>
      <c r="R565" s="1912"/>
    </row>
    <row r="566" spans="1:18" s="420" customFormat="1" x14ac:dyDescent="0.25">
      <c r="A566" s="1985" t="s">
        <v>3612</v>
      </c>
      <c r="B566" s="1985" t="s">
        <v>3613</v>
      </c>
      <c r="C566" s="1985" t="s">
        <v>168</v>
      </c>
      <c r="D566" s="1985" t="s">
        <v>3606</v>
      </c>
      <c r="E566" s="1985">
        <v>11043</v>
      </c>
      <c r="F566" s="1985" t="s">
        <v>3614</v>
      </c>
      <c r="G566" s="1759" t="s">
        <v>1837</v>
      </c>
      <c r="H566" s="1985" t="s">
        <v>3615</v>
      </c>
      <c r="I566" s="1762" t="s">
        <v>3616</v>
      </c>
      <c r="J566" s="2282">
        <v>8080749.9399999995</v>
      </c>
      <c r="K566" s="613">
        <v>0</v>
      </c>
      <c r="L566" s="2282">
        <v>1430344.02</v>
      </c>
      <c r="M566" s="2282">
        <v>2084276.54</v>
      </c>
      <c r="N566" s="1763">
        <v>41463</v>
      </c>
      <c r="O566" s="1763">
        <v>41883</v>
      </c>
      <c r="P566" s="1985" t="s">
        <v>2882</v>
      </c>
      <c r="Q566" s="1985">
        <v>44905100</v>
      </c>
      <c r="R566" s="1912"/>
    </row>
    <row r="567" spans="1:18" s="420" customFormat="1" ht="25.5" x14ac:dyDescent="0.25">
      <c r="A567" s="1986"/>
      <c r="B567" s="1986" t="s">
        <v>3613</v>
      </c>
      <c r="C567" s="1986"/>
      <c r="D567" s="1986"/>
      <c r="E567" s="1986">
        <v>11043</v>
      </c>
      <c r="F567" s="1986" t="s">
        <v>3614</v>
      </c>
      <c r="G567" s="1759" t="s">
        <v>3617</v>
      </c>
      <c r="H567" s="1986" t="s">
        <v>3615</v>
      </c>
      <c r="I567" s="1762">
        <v>11353</v>
      </c>
      <c r="J567" s="2283"/>
      <c r="K567" s="613">
        <v>0</v>
      </c>
      <c r="L567" s="2283"/>
      <c r="M567" s="2283"/>
      <c r="N567" s="1763">
        <f>O566+1</f>
        <v>41884</v>
      </c>
      <c r="O567" s="1763">
        <v>42243</v>
      </c>
      <c r="P567" s="1986"/>
      <c r="Q567" s="1986"/>
      <c r="R567" s="1912"/>
    </row>
    <row r="568" spans="1:18" s="420" customFormat="1" ht="29.25" customHeight="1" x14ac:dyDescent="0.25">
      <c r="A568" s="1985" t="s">
        <v>3612</v>
      </c>
      <c r="B568" s="1985" t="s">
        <v>3613</v>
      </c>
      <c r="C568" s="1985" t="s">
        <v>168</v>
      </c>
      <c r="D568" s="1985" t="s">
        <v>3606</v>
      </c>
      <c r="E568" s="1985">
        <v>11043</v>
      </c>
      <c r="F568" s="1985" t="s">
        <v>3618</v>
      </c>
      <c r="G568" s="1759" t="s">
        <v>2122</v>
      </c>
      <c r="H568" s="1985" t="s">
        <v>3619</v>
      </c>
      <c r="I568" s="1762">
        <v>11071</v>
      </c>
      <c r="J568" s="2282">
        <v>2842618.8</v>
      </c>
      <c r="K568" s="613">
        <v>0</v>
      </c>
      <c r="L568" s="2282">
        <v>452379.58</v>
      </c>
      <c r="M568" s="2282">
        <v>688194.48</v>
      </c>
      <c r="N568" s="1763">
        <v>41462</v>
      </c>
      <c r="O568" s="1763">
        <v>41852</v>
      </c>
      <c r="P568" s="1985" t="s">
        <v>2882</v>
      </c>
      <c r="Q568" s="1985">
        <v>44905100</v>
      </c>
      <c r="R568" s="1912"/>
    </row>
    <row r="569" spans="1:18" s="420" customFormat="1" ht="29.25" customHeight="1" x14ac:dyDescent="0.25">
      <c r="A569" s="2021"/>
      <c r="B569" s="2021" t="s">
        <v>3613</v>
      </c>
      <c r="C569" s="2021"/>
      <c r="D569" s="2021"/>
      <c r="E569" s="2021">
        <v>11043</v>
      </c>
      <c r="F569" s="2021" t="s">
        <v>3618</v>
      </c>
      <c r="G569" s="1759" t="s">
        <v>3620</v>
      </c>
      <c r="H569" s="2021" t="s">
        <v>3619</v>
      </c>
      <c r="I569" s="1762">
        <v>11353</v>
      </c>
      <c r="J569" s="2290"/>
      <c r="K569" s="613">
        <v>-10732.31</v>
      </c>
      <c r="L569" s="2290"/>
      <c r="M569" s="2290"/>
      <c r="N569" s="1763"/>
      <c r="O569" s="1763"/>
      <c r="P569" s="2021"/>
      <c r="Q569" s="2021"/>
      <c r="R569" s="1912"/>
    </row>
    <row r="570" spans="1:18" s="420" customFormat="1" ht="29.25" customHeight="1" x14ac:dyDescent="0.25">
      <c r="A570" s="1986"/>
      <c r="B570" s="1986" t="s">
        <v>3613</v>
      </c>
      <c r="C570" s="1986"/>
      <c r="D570" s="1986"/>
      <c r="E570" s="1986">
        <v>11043</v>
      </c>
      <c r="F570" s="1986" t="s">
        <v>3618</v>
      </c>
      <c r="G570" s="1759" t="s">
        <v>3621</v>
      </c>
      <c r="H570" s="1986" t="s">
        <v>3619</v>
      </c>
      <c r="I570" s="1762"/>
      <c r="J570" s="2283"/>
      <c r="K570" s="613">
        <v>0</v>
      </c>
      <c r="L570" s="2283"/>
      <c r="M570" s="2283"/>
      <c r="N570" s="1763">
        <v>41854</v>
      </c>
      <c r="O570" s="1763">
        <v>41878</v>
      </c>
      <c r="P570" s="1986"/>
      <c r="Q570" s="1986"/>
      <c r="R570" s="1912"/>
    </row>
    <row r="571" spans="1:18" s="420" customFormat="1" ht="26.25" customHeight="1" x14ac:dyDescent="0.25">
      <c r="A571" s="1985" t="s">
        <v>347</v>
      </c>
      <c r="B571" s="1985" t="s">
        <v>3622</v>
      </c>
      <c r="C571" s="1985" t="s">
        <v>168</v>
      </c>
      <c r="D571" s="1985" t="s">
        <v>3606</v>
      </c>
      <c r="E571" s="1985">
        <v>11058</v>
      </c>
      <c r="F571" s="1985" t="s">
        <v>3623</v>
      </c>
      <c r="G571" s="1759" t="s">
        <v>3624</v>
      </c>
      <c r="H571" s="1985" t="s">
        <v>3625</v>
      </c>
      <c r="I571" s="1758">
        <v>11091</v>
      </c>
      <c r="J571" s="2282">
        <v>1548474.98</v>
      </c>
      <c r="K571" s="1779">
        <v>0</v>
      </c>
      <c r="L571" s="2282">
        <v>113823.66</v>
      </c>
      <c r="M571" s="2282">
        <v>113823.66</v>
      </c>
      <c r="N571" s="1763">
        <v>41469</v>
      </c>
      <c r="O571" s="1763">
        <v>41859</v>
      </c>
      <c r="P571" s="1985">
        <v>6</v>
      </c>
      <c r="Q571" s="1985">
        <v>44905100</v>
      </c>
      <c r="R571" s="1784"/>
    </row>
    <row r="572" spans="1:18" s="420" customFormat="1" ht="26.25" customHeight="1" x14ac:dyDescent="0.25">
      <c r="A572" s="2021"/>
      <c r="B572" s="2021" t="s">
        <v>3622</v>
      </c>
      <c r="C572" s="2021"/>
      <c r="D572" s="2021"/>
      <c r="E572" s="2021">
        <v>11058</v>
      </c>
      <c r="F572" s="2021" t="s">
        <v>3623</v>
      </c>
      <c r="G572" s="1759" t="s">
        <v>3626</v>
      </c>
      <c r="H572" s="2021" t="s">
        <v>3625</v>
      </c>
      <c r="I572" s="1758">
        <v>11153</v>
      </c>
      <c r="J572" s="2290"/>
      <c r="K572" s="1779">
        <v>-1286.3699999999999</v>
      </c>
      <c r="L572" s="2290"/>
      <c r="M572" s="2290"/>
      <c r="N572" s="1763"/>
      <c r="O572" s="1763"/>
      <c r="P572" s="2021"/>
      <c r="Q572" s="2021"/>
      <c r="R572" s="1784"/>
    </row>
    <row r="573" spans="1:18" s="420" customFormat="1" ht="26.25" customHeight="1" x14ac:dyDescent="0.25">
      <c r="A573" s="2021"/>
      <c r="B573" s="2021" t="s">
        <v>3622</v>
      </c>
      <c r="C573" s="2021"/>
      <c r="D573" s="2021"/>
      <c r="E573" s="2021">
        <v>11058</v>
      </c>
      <c r="F573" s="2021" t="s">
        <v>3623</v>
      </c>
      <c r="G573" s="1759" t="s">
        <v>3627</v>
      </c>
      <c r="H573" s="2021" t="s">
        <v>3625</v>
      </c>
      <c r="I573" s="1758">
        <v>11192</v>
      </c>
      <c r="J573" s="2290"/>
      <c r="K573" s="1779">
        <v>-15947.89</v>
      </c>
      <c r="L573" s="2290"/>
      <c r="M573" s="2290"/>
      <c r="N573" s="1763"/>
      <c r="O573" s="1763"/>
      <c r="P573" s="2021"/>
      <c r="Q573" s="2021"/>
      <c r="R573" s="1784"/>
    </row>
    <row r="574" spans="1:18" s="420" customFormat="1" ht="26.25" customHeight="1" x14ac:dyDescent="0.25">
      <c r="A574" s="1986"/>
      <c r="B574" s="1986" t="s">
        <v>3622</v>
      </c>
      <c r="C574" s="1986"/>
      <c r="D574" s="1986"/>
      <c r="E574" s="1986">
        <v>11058</v>
      </c>
      <c r="F574" s="1986" t="s">
        <v>3623</v>
      </c>
      <c r="G574" s="1759" t="s">
        <v>3628</v>
      </c>
      <c r="H574" s="1986" t="s">
        <v>3625</v>
      </c>
      <c r="I574" s="1758">
        <v>11405</v>
      </c>
      <c r="J574" s="2283"/>
      <c r="K574" s="1779">
        <v>-126787.02</v>
      </c>
      <c r="L574" s="2283"/>
      <c r="M574" s="2283"/>
      <c r="N574" s="1763"/>
      <c r="O574" s="1763"/>
      <c r="P574" s="1986"/>
      <c r="Q574" s="1986"/>
      <c r="R574" s="1784"/>
    </row>
    <row r="575" spans="1:18" s="420" customFormat="1" x14ac:dyDescent="0.25">
      <c r="A575" s="1985" t="s">
        <v>3629</v>
      </c>
      <c r="B575" s="1985" t="s">
        <v>3630</v>
      </c>
      <c r="C575" s="1985" t="s">
        <v>168</v>
      </c>
      <c r="D575" s="1985" t="s">
        <v>3606</v>
      </c>
      <c r="E575" s="1985">
        <v>11061</v>
      </c>
      <c r="F575" s="1985" t="s">
        <v>3631</v>
      </c>
      <c r="G575" s="1759" t="s">
        <v>1744</v>
      </c>
      <c r="H575" s="1767" t="s">
        <v>2927</v>
      </c>
      <c r="I575" s="1762">
        <v>11091</v>
      </c>
      <c r="J575" s="2282">
        <v>1337974.24</v>
      </c>
      <c r="K575" s="613">
        <v>0</v>
      </c>
      <c r="L575" s="2282">
        <f>922648.2-8324-158140.47</f>
        <v>756183.73</v>
      </c>
      <c r="M575" s="2282">
        <f>999536.55-8324-158140.47</f>
        <v>833072.08000000007</v>
      </c>
      <c r="N575" s="1763">
        <v>41486</v>
      </c>
      <c r="O575" s="1763">
        <v>41876</v>
      </c>
      <c r="P575" s="1985" t="s">
        <v>1239</v>
      </c>
      <c r="Q575" s="1985">
        <v>44905100</v>
      </c>
      <c r="R575" s="1912"/>
    </row>
    <row r="576" spans="1:18" s="420" customFormat="1" ht="25.5" x14ac:dyDescent="0.25">
      <c r="A576" s="1986"/>
      <c r="B576" s="1986" t="s">
        <v>3630</v>
      </c>
      <c r="C576" s="1986"/>
      <c r="D576" s="1986"/>
      <c r="E576" s="1986">
        <v>11061</v>
      </c>
      <c r="F576" s="1986" t="s">
        <v>3631</v>
      </c>
      <c r="G576" s="1759" t="s">
        <v>3632</v>
      </c>
      <c r="H576" s="1767" t="s">
        <v>2927</v>
      </c>
      <c r="I576" s="1762">
        <v>11381</v>
      </c>
      <c r="J576" s="2283"/>
      <c r="K576" s="613">
        <v>0</v>
      </c>
      <c r="L576" s="2283"/>
      <c r="M576" s="2283"/>
      <c r="N576" s="1763">
        <v>41877</v>
      </c>
      <c r="O576" s="1763">
        <v>42076</v>
      </c>
      <c r="P576" s="1986"/>
      <c r="Q576" s="1986"/>
      <c r="R576" s="1912"/>
    </row>
    <row r="577" spans="1:18" s="420" customFormat="1" ht="26.25" customHeight="1" x14ac:dyDescent="0.25">
      <c r="A577" s="1985" t="s">
        <v>3633</v>
      </c>
      <c r="B577" s="1985" t="s">
        <v>3634</v>
      </c>
      <c r="C577" s="1985" t="s">
        <v>168</v>
      </c>
      <c r="D577" s="1985" t="s">
        <v>3606</v>
      </c>
      <c r="E577" s="1985">
        <v>11061</v>
      </c>
      <c r="F577" s="1985" t="s">
        <v>3635</v>
      </c>
      <c r="G577" s="1759" t="s">
        <v>331</v>
      </c>
      <c r="H577" s="1985" t="s">
        <v>3636</v>
      </c>
      <c r="I577" s="1758">
        <v>11095</v>
      </c>
      <c r="J577" s="2282">
        <f>2377551.64+160458</f>
        <v>2538009.64</v>
      </c>
      <c r="K577" s="1779">
        <v>0</v>
      </c>
      <c r="L577" s="2282">
        <v>239022.05</v>
      </c>
      <c r="M577" s="2282">
        <v>386379.22</v>
      </c>
      <c r="N577" s="1763">
        <v>41495</v>
      </c>
      <c r="O577" s="1763">
        <v>42185</v>
      </c>
      <c r="P577" s="1985" t="s">
        <v>2882</v>
      </c>
      <c r="Q577" s="1985">
        <v>44905100</v>
      </c>
      <c r="R577" s="1784"/>
    </row>
    <row r="578" spans="1:18" s="420" customFormat="1" ht="26.25" customHeight="1" x14ac:dyDescent="0.25">
      <c r="A578" s="2021"/>
      <c r="B578" s="2021" t="s">
        <v>3634</v>
      </c>
      <c r="C578" s="2021"/>
      <c r="D578" s="2021"/>
      <c r="E578" s="2021">
        <v>11061</v>
      </c>
      <c r="F578" s="2021" t="s">
        <v>3635</v>
      </c>
      <c r="G578" s="1759" t="s">
        <v>3637</v>
      </c>
      <c r="H578" s="2021" t="s">
        <v>3636</v>
      </c>
      <c r="I578" s="1758">
        <v>11353</v>
      </c>
      <c r="J578" s="2290"/>
      <c r="K578" s="1779">
        <v>0</v>
      </c>
      <c r="L578" s="2290"/>
      <c r="M578" s="2290"/>
      <c r="N578" s="1763">
        <v>41495</v>
      </c>
      <c r="O578" s="1763">
        <v>42185</v>
      </c>
      <c r="P578" s="2021"/>
      <c r="Q578" s="2021"/>
      <c r="R578" s="1784"/>
    </row>
    <row r="579" spans="1:18" s="420" customFormat="1" ht="25.5" customHeight="1" x14ac:dyDescent="0.25">
      <c r="A579" s="1985" t="s">
        <v>2318</v>
      </c>
      <c r="B579" s="1985" t="s">
        <v>3634</v>
      </c>
      <c r="C579" s="1985" t="s">
        <v>168</v>
      </c>
      <c r="D579" s="1985" t="s">
        <v>3606</v>
      </c>
      <c r="E579" s="1985">
        <v>11061</v>
      </c>
      <c r="F579" s="1985" t="s">
        <v>3638</v>
      </c>
      <c r="G579" s="1759" t="s">
        <v>1334</v>
      </c>
      <c r="H579" s="1985" t="s">
        <v>3639</v>
      </c>
      <c r="I579" s="1762">
        <v>11096</v>
      </c>
      <c r="J579" s="2282">
        <v>11784379.199999999</v>
      </c>
      <c r="K579" s="613">
        <v>0</v>
      </c>
      <c r="L579" s="2282">
        <v>707149.95</v>
      </c>
      <c r="M579" s="2282">
        <v>1288474.33</v>
      </c>
      <c r="N579" s="1763">
        <v>41495</v>
      </c>
      <c r="O579" s="1763">
        <v>41885</v>
      </c>
      <c r="P579" s="1985" t="s">
        <v>2882</v>
      </c>
      <c r="Q579" s="1985">
        <v>44905100</v>
      </c>
      <c r="R579" s="1912"/>
    </row>
    <row r="580" spans="1:18" s="420" customFormat="1" ht="25.5" customHeight="1" x14ac:dyDescent="0.25">
      <c r="A580" s="1986"/>
      <c r="B580" s="1986" t="s">
        <v>3634</v>
      </c>
      <c r="C580" s="1986"/>
      <c r="D580" s="1986"/>
      <c r="E580" s="1986">
        <v>11061</v>
      </c>
      <c r="F580" s="1986" t="s">
        <v>3638</v>
      </c>
      <c r="G580" s="1759" t="s">
        <v>3640</v>
      </c>
      <c r="H580" s="1986" t="s">
        <v>3639</v>
      </c>
      <c r="I580" s="1762">
        <v>11353</v>
      </c>
      <c r="J580" s="2283"/>
      <c r="K580" s="613"/>
      <c r="L580" s="2283"/>
      <c r="M580" s="2283"/>
      <c r="N580" s="1763">
        <v>41885</v>
      </c>
      <c r="O580" s="1763">
        <v>42184</v>
      </c>
      <c r="P580" s="1986"/>
      <c r="Q580" s="1986"/>
      <c r="R580" s="1784"/>
    </row>
    <row r="581" spans="1:18" s="420" customFormat="1" ht="76.5" x14ac:dyDescent="0.25">
      <c r="A581" s="1758" t="s">
        <v>2318</v>
      </c>
      <c r="B581" s="1758" t="s">
        <v>3641</v>
      </c>
      <c r="C581" s="1758" t="s">
        <v>168</v>
      </c>
      <c r="D581" s="1758" t="s">
        <v>3606</v>
      </c>
      <c r="E581" s="1762">
        <v>11230</v>
      </c>
      <c r="F581" s="1758" t="s">
        <v>3642</v>
      </c>
      <c r="G581" s="1759" t="s">
        <v>814</v>
      </c>
      <c r="H581" s="1767" t="s">
        <v>3643</v>
      </c>
      <c r="I581" s="1762">
        <v>11266</v>
      </c>
      <c r="J581" s="613">
        <v>5245043.78</v>
      </c>
      <c r="K581" s="613">
        <v>0</v>
      </c>
      <c r="L581" s="613">
        <v>1933074.08</v>
      </c>
      <c r="M581" s="613">
        <v>1933074.08</v>
      </c>
      <c r="N581" s="1763">
        <v>41752</v>
      </c>
      <c r="O581" s="1763">
        <v>42171</v>
      </c>
      <c r="P581" s="1758" t="s">
        <v>1239</v>
      </c>
      <c r="Q581" s="1758">
        <v>44905100</v>
      </c>
      <c r="R581" s="1912"/>
    </row>
    <row r="582" spans="1:18" s="420" customFormat="1" ht="38.25" x14ac:dyDescent="0.25">
      <c r="A582" s="1758"/>
      <c r="B582" s="1758" t="s">
        <v>3644</v>
      </c>
      <c r="C582" s="1758" t="s">
        <v>168</v>
      </c>
      <c r="D582" s="1758" t="s">
        <v>3606</v>
      </c>
      <c r="E582" s="1758">
        <v>11236</v>
      </c>
      <c r="F582" s="1758" t="s">
        <v>3645</v>
      </c>
      <c r="G582" s="1759" t="s">
        <v>835</v>
      </c>
      <c r="H582" s="1758" t="s">
        <v>3646</v>
      </c>
      <c r="I582" s="1758">
        <v>11270</v>
      </c>
      <c r="J582" s="1779">
        <v>7949544</v>
      </c>
      <c r="K582" s="1779">
        <v>0</v>
      </c>
      <c r="L582" s="1779">
        <v>1622049.66</v>
      </c>
      <c r="M582" s="1779">
        <v>1622049.66</v>
      </c>
      <c r="N582" s="1763">
        <v>41779</v>
      </c>
      <c r="O582" s="1763">
        <v>42318</v>
      </c>
      <c r="P582" s="1758" t="s">
        <v>1239</v>
      </c>
      <c r="Q582" s="1758">
        <v>44905100</v>
      </c>
      <c r="R582" s="1784"/>
    </row>
    <row r="583" spans="1:18" s="420" customFormat="1" ht="25.5" x14ac:dyDescent="0.25">
      <c r="A583" s="1758"/>
      <c r="B583" s="1758" t="s">
        <v>3647</v>
      </c>
      <c r="C583" s="1758" t="s">
        <v>168</v>
      </c>
      <c r="D583" s="1758" t="s">
        <v>3606</v>
      </c>
      <c r="E583" s="1762">
        <v>11232</v>
      </c>
      <c r="F583" s="1758" t="s">
        <v>3648</v>
      </c>
      <c r="G583" s="1759" t="s">
        <v>837</v>
      </c>
      <c r="H583" s="1767" t="s">
        <v>3649</v>
      </c>
      <c r="I583" s="1762"/>
      <c r="J583" s="613">
        <v>2440242.7799999998</v>
      </c>
      <c r="K583" s="613">
        <v>0</v>
      </c>
      <c r="L583" s="613">
        <v>870780.28</v>
      </c>
      <c r="M583" s="613">
        <v>870780.28</v>
      </c>
      <c r="N583" s="1763">
        <v>41753</v>
      </c>
      <c r="O583" s="1763">
        <v>42052</v>
      </c>
      <c r="P583" s="1758" t="s">
        <v>1239</v>
      </c>
      <c r="Q583" s="1758">
        <v>44905100</v>
      </c>
      <c r="R583" s="1912"/>
    </row>
    <row r="584" spans="1:18" s="420" customFormat="1" ht="25.5" x14ac:dyDescent="0.25">
      <c r="A584" s="1758"/>
      <c r="B584" s="1758" t="s">
        <v>3650</v>
      </c>
      <c r="C584" s="1758" t="s">
        <v>168</v>
      </c>
      <c r="D584" s="1758" t="s">
        <v>3606</v>
      </c>
      <c r="E584" s="1758">
        <v>11227</v>
      </c>
      <c r="F584" s="1758" t="s">
        <v>3651</v>
      </c>
      <c r="G584" s="1759" t="s">
        <v>840</v>
      </c>
      <c r="H584" s="1758" t="s">
        <v>3652</v>
      </c>
      <c r="I584" s="1758">
        <v>11276</v>
      </c>
      <c r="J584" s="1779">
        <v>7379047.2199999997</v>
      </c>
      <c r="K584" s="1779">
        <v>0</v>
      </c>
      <c r="L584" s="1779">
        <v>1788415.67</v>
      </c>
      <c r="M584" s="1779">
        <v>1788415.67</v>
      </c>
      <c r="N584" s="1763">
        <v>41753</v>
      </c>
      <c r="O584" s="1763">
        <v>42292</v>
      </c>
      <c r="P584" s="1758" t="s">
        <v>1239</v>
      </c>
      <c r="Q584" s="1758">
        <v>44905100</v>
      </c>
      <c r="R584" s="1784"/>
    </row>
    <row r="585" spans="1:18" s="420" customFormat="1" ht="38.25" x14ac:dyDescent="0.25">
      <c r="A585" s="1758" t="s">
        <v>3653</v>
      </c>
      <c r="B585" s="1758" t="s">
        <v>3654</v>
      </c>
      <c r="C585" s="1758" t="s">
        <v>168</v>
      </c>
      <c r="D585" s="1758" t="s">
        <v>3606</v>
      </c>
      <c r="E585" s="1762">
        <v>11239</v>
      </c>
      <c r="F585" s="1758" t="s">
        <v>3655</v>
      </c>
      <c r="G585" s="1759" t="s">
        <v>1777</v>
      </c>
      <c r="H585" s="1767" t="s">
        <v>3656</v>
      </c>
      <c r="I585" s="1762">
        <v>11288</v>
      </c>
      <c r="J585" s="613">
        <v>7338778.04</v>
      </c>
      <c r="K585" s="613">
        <v>0</v>
      </c>
      <c r="L585" s="613">
        <v>1071419.96</v>
      </c>
      <c r="M585" s="613">
        <v>1071419.96</v>
      </c>
      <c r="N585" s="1763">
        <v>41753</v>
      </c>
      <c r="O585" s="1763">
        <v>42292</v>
      </c>
      <c r="P585" s="1758" t="s">
        <v>1239</v>
      </c>
      <c r="Q585" s="1758">
        <v>44905100</v>
      </c>
      <c r="R585" s="1912"/>
    </row>
    <row r="586" spans="1:18" s="420" customFormat="1" ht="51" x14ac:dyDescent="0.25">
      <c r="A586" s="1758" t="s">
        <v>3657</v>
      </c>
      <c r="B586" s="1758" t="s">
        <v>3658</v>
      </c>
      <c r="C586" s="1758" t="s">
        <v>168</v>
      </c>
      <c r="D586" s="1758" t="s">
        <v>3606</v>
      </c>
      <c r="E586" s="1758">
        <v>11230</v>
      </c>
      <c r="F586" s="1758" t="s">
        <v>3659</v>
      </c>
      <c r="G586" s="1759" t="s">
        <v>1780</v>
      </c>
      <c r="H586" s="1758" t="s">
        <v>3660</v>
      </c>
      <c r="I586" s="1758">
        <v>11289</v>
      </c>
      <c r="J586" s="1779">
        <v>8477282.5800000001</v>
      </c>
      <c r="K586" s="1779">
        <v>0</v>
      </c>
      <c r="L586" s="1779">
        <v>3419786.47</v>
      </c>
      <c r="M586" s="1779">
        <v>3419786.47</v>
      </c>
      <c r="N586" s="1763">
        <v>41753</v>
      </c>
      <c r="O586" s="1763">
        <v>42292</v>
      </c>
      <c r="P586" s="1758" t="s">
        <v>1239</v>
      </c>
      <c r="Q586" s="1758">
        <v>44905100</v>
      </c>
      <c r="R586" s="1912"/>
    </row>
    <row r="587" spans="1:18" s="420" customFormat="1" ht="25.5" x14ac:dyDescent="0.25">
      <c r="A587" s="1758" t="s">
        <v>3661</v>
      </c>
      <c r="B587" s="1758" t="s">
        <v>3662</v>
      </c>
      <c r="C587" s="1758" t="s">
        <v>168</v>
      </c>
      <c r="D587" s="1758" t="s">
        <v>3606</v>
      </c>
      <c r="E587" s="1762">
        <v>11234</v>
      </c>
      <c r="F587" s="1758" t="s">
        <v>3663</v>
      </c>
      <c r="G587" s="1759" t="s">
        <v>1781</v>
      </c>
      <c r="H587" s="1767" t="s">
        <v>3664</v>
      </c>
      <c r="I587" s="1762">
        <v>11292</v>
      </c>
      <c r="J587" s="613">
        <v>3805653.92</v>
      </c>
      <c r="K587" s="613">
        <v>0</v>
      </c>
      <c r="L587" s="613">
        <v>739673.63</v>
      </c>
      <c r="M587" s="613">
        <v>739673.63</v>
      </c>
      <c r="N587" s="1763">
        <v>41754</v>
      </c>
      <c r="O587" s="1763">
        <v>42113</v>
      </c>
      <c r="P587" s="1758" t="s">
        <v>1239</v>
      </c>
      <c r="Q587" s="1758">
        <v>44905100</v>
      </c>
      <c r="R587" s="1912"/>
    </row>
    <row r="588" spans="1:18" s="420" customFormat="1" x14ac:dyDescent="0.25">
      <c r="A588" s="2207" t="s">
        <v>601</v>
      </c>
      <c r="B588" s="2207"/>
      <c r="C588" s="2207"/>
      <c r="D588" s="2207"/>
      <c r="E588" s="2207"/>
      <c r="F588" s="2207"/>
      <c r="G588" s="515"/>
      <c r="H588" s="516"/>
      <c r="I588" s="519"/>
      <c r="J588" s="639">
        <f>SUM(J563:J587)</f>
        <v>77004690.060000002</v>
      </c>
      <c r="K588" s="639">
        <f t="shared" ref="K588:M588" si="12">SUM(K563:K587)</f>
        <v>-154614.91</v>
      </c>
      <c r="L588" s="639">
        <f t="shared" si="12"/>
        <v>17254912.600000001</v>
      </c>
      <c r="M588" s="639">
        <f t="shared" si="12"/>
        <v>20005719.819999997</v>
      </c>
      <c r="N588" s="517"/>
      <c r="O588" s="517"/>
      <c r="P588" s="516"/>
      <c r="Q588" s="516"/>
      <c r="R588" s="1918"/>
    </row>
    <row r="589" spans="1:18" s="420" customFormat="1" x14ac:dyDescent="0.25">
      <c r="G589" s="422"/>
      <c r="I589" s="1923"/>
      <c r="J589" s="428"/>
      <c r="K589" s="428"/>
      <c r="L589" s="428"/>
      <c r="M589" s="1924"/>
      <c r="N589" s="1924"/>
      <c r="P589" s="1925"/>
    </row>
    <row r="590" spans="1:18" s="420" customFormat="1" x14ac:dyDescent="0.25">
      <c r="G590" s="422"/>
      <c r="I590" s="1923"/>
      <c r="J590" s="428"/>
      <c r="K590" s="428"/>
      <c r="L590" s="428"/>
      <c r="M590" s="1924"/>
      <c r="N590" s="1924"/>
      <c r="P590" s="1925"/>
    </row>
    <row r="591" spans="1:18" s="1930" customFormat="1" ht="19.5" customHeight="1" x14ac:dyDescent="0.25">
      <c r="A591" s="2341" t="s">
        <v>3665</v>
      </c>
      <c r="B591" s="2341"/>
      <c r="C591" s="2341"/>
      <c r="D591" s="2341"/>
      <c r="E591" s="2341"/>
      <c r="F591" s="2341"/>
      <c r="G591" s="2341"/>
      <c r="H591" s="2341"/>
      <c r="I591" s="2341"/>
      <c r="J591" s="2341"/>
      <c r="K591" s="2341"/>
      <c r="L591" s="2341"/>
      <c r="M591" s="2341"/>
      <c r="N591" s="2341"/>
      <c r="O591" s="2341"/>
      <c r="P591" s="2341"/>
      <c r="Q591" s="2341"/>
    </row>
    <row r="592" spans="1:18" s="1930" customFormat="1" ht="15.75" customHeight="1" x14ac:dyDescent="0.25">
      <c r="A592" s="2050" t="s">
        <v>3666</v>
      </c>
      <c r="B592" s="2050"/>
      <c r="C592" s="2050"/>
      <c r="D592" s="2050"/>
      <c r="E592" s="2050"/>
      <c r="F592" s="2050"/>
      <c r="G592" s="2050" t="s">
        <v>2786</v>
      </c>
      <c r="H592" s="2050"/>
      <c r="I592" s="2050"/>
      <c r="J592" s="2050"/>
      <c r="K592" s="2050"/>
      <c r="L592" s="2050"/>
      <c r="M592" s="2050"/>
      <c r="N592" s="2342" t="s">
        <v>2781</v>
      </c>
      <c r="O592" s="2342"/>
      <c r="P592" s="2342" t="s">
        <v>2782</v>
      </c>
      <c r="Q592" s="2342"/>
    </row>
    <row r="593" spans="1:18" s="1930" customFormat="1" ht="38.25" x14ac:dyDescent="0.25">
      <c r="A593" s="1758" t="s">
        <v>3667</v>
      </c>
      <c r="B593" s="1758" t="s">
        <v>2784</v>
      </c>
      <c r="C593" s="1758" t="s">
        <v>3668</v>
      </c>
      <c r="D593" s="1758" t="s">
        <v>33</v>
      </c>
      <c r="E593" s="1758" t="s">
        <v>918</v>
      </c>
      <c r="F593" s="1758" t="s">
        <v>3669</v>
      </c>
      <c r="G593" s="1759" t="s">
        <v>3670</v>
      </c>
      <c r="H593" s="1758" t="s">
        <v>36</v>
      </c>
      <c r="I593" s="1758" t="s">
        <v>2784</v>
      </c>
      <c r="J593" s="1758" t="s">
        <v>3671</v>
      </c>
      <c r="K593" s="1758" t="s">
        <v>3672</v>
      </c>
      <c r="L593" s="1758" t="s">
        <v>3673</v>
      </c>
      <c r="M593" s="1758" t="s">
        <v>2789</v>
      </c>
      <c r="N593" s="1758" t="s">
        <v>58</v>
      </c>
      <c r="O593" s="1758" t="s">
        <v>2790</v>
      </c>
      <c r="P593" s="1758" t="s">
        <v>43</v>
      </c>
      <c r="Q593" s="1758" t="s">
        <v>47</v>
      </c>
      <c r="R593" s="1918"/>
    </row>
    <row r="594" spans="1:18" s="1930" customFormat="1" ht="63.75" x14ac:dyDescent="0.25">
      <c r="A594" s="1780" t="s">
        <v>3674</v>
      </c>
      <c r="B594" s="1780"/>
      <c r="C594" s="1780" t="s">
        <v>3675</v>
      </c>
      <c r="D594" s="1780" t="s">
        <v>3676</v>
      </c>
      <c r="E594" s="1764">
        <v>24000</v>
      </c>
      <c r="F594" s="1780"/>
      <c r="G594" s="1759" t="s">
        <v>2479</v>
      </c>
      <c r="H594" s="1767" t="s">
        <v>3677</v>
      </c>
      <c r="I594" s="1762">
        <v>10643</v>
      </c>
      <c r="J594" s="1785">
        <v>24000</v>
      </c>
      <c r="K594" s="107">
        <v>77500</v>
      </c>
      <c r="L594" s="1785">
        <v>30000</v>
      </c>
      <c r="M594" s="1785">
        <v>95000</v>
      </c>
      <c r="N594" s="1763">
        <v>40786</v>
      </c>
      <c r="O594" s="1763">
        <v>42004</v>
      </c>
      <c r="P594" s="1758">
        <v>1</v>
      </c>
      <c r="Q594" s="1758">
        <v>33903900</v>
      </c>
      <c r="R594" s="1931"/>
    </row>
    <row r="595" spans="1:18" s="1930" customFormat="1" ht="63.75" x14ac:dyDescent="0.25">
      <c r="A595" s="1780" t="s">
        <v>3678</v>
      </c>
      <c r="B595" s="1780"/>
      <c r="C595" s="1780" t="s">
        <v>3679</v>
      </c>
      <c r="D595" s="1780" t="s">
        <v>3680</v>
      </c>
      <c r="E595" s="1764">
        <v>24000</v>
      </c>
      <c r="F595" s="1780"/>
      <c r="G595" s="1759" t="s">
        <v>1236</v>
      </c>
      <c r="H595" s="1767" t="s">
        <v>3681</v>
      </c>
      <c r="I595" s="1762">
        <v>10644</v>
      </c>
      <c r="J595" s="1785">
        <v>24000</v>
      </c>
      <c r="K595" s="107">
        <v>54000</v>
      </c>
      <c r="L595" s="1785">
        <v>22000</v>
      </c>
      <c r="M595" s="1785">
        <v>68000</v>
      </c>
      <c r="N595" s="1763">
        <v>40808</v>
      </c>
      <c r="O595" s="1763">
        <v>42004</v>
      </c>
      <c r="P595" s="1758">
        <v>1</v>
      </c>
      <c r="Q595" s="1758">
        <v>33903900</v>
      </c>
      <c r="R595" s="1931"/>
    </row>
    <row r="596" spans="1:18" s="1930" customFormat="1" ht="63.75" x14ac:dyDescent="0.25">
      <c r="A596" s="1780" t="s">
        <v>3682</v>
      </c>
      <c r="B596" s="1780"/>
      <c r="C596" s="1780" t="s">
        <v>3683</v>
      </c>
      <c r="D596" s="1780" t="s">
        <v>3684</v>
      </c>
      <c r="E596" s="1764">
        <v>41912.1</v>
      </c>
      <c r="F596" s="1780"/>
      <c r="G596" s="1759" t="s">
        <v>1006</v>
      </c>
      <c r="H596" s="1767" t="s">
        <v>3685</v>
      </c>
      <c r="I596" s="1762">
        <v>10989</v>
      </c>
      <c r="J596" s="1785">
        <v>41912.1</v>
      </c>
      <c r="K596" s="107">
        <v>0</v>
      </c>
      <c r="L596" s="1785">
        <v>117250.98000000001</v>
      </c>
      <c r="M596" s="1785">
        <v>268134.54000000004</v>
      </c>
      <c r="N596" s="1763">
        <v>41301</v>
      </c>
      <c r="O596" s="1763">
        <v>41819</v>
      </c>
      <c r="P596" s="1758">
        <v>1</v>
      </c>
      <c r="Q596" s="1758">
        <v>33903900</v>
      </c>
      <c r="R596" s="1931"/>
    </row>
    <row r="597" spans="1:18" s="1930" customFormat="1" ht="76.5" x14ac:dyDescent="0.25">
      <c r="A597" s="1780" t="s">
        <v>3686</v>
      </c>
      <c r="B597" s="1780"/>
      <c r="C597" s="1780" t="s">
        <v>3687</v>
      </c>
      <c r="D597" s="1780" t="s">
        <v>3380</v>
      </c>
      <c r="E597" s="1764">
        <v>15588</v>
      </c>
      <c r="F597" s="1780"/>
      <c r="G597" s="1759" t="s">
        <v>403</v>
      </c>
      <c r="H597" s="1767" t="s">
        <v>3688</v>
      </c>
      <c r="I597" s="1762">
        <v>11004</v>
      </c>
      <c r="J597" s="1785">
        <v>15588</v>
      </c>
      <c r="K597" s="107">
        <v>3897</v>
      </c>
      <c r="L597" s="1785">
        <v>3897</v>
      </c>
      <c r="M597" s="1785">
        <v>16887</v>
      </c>
      <c r="N597" s="1763">
        <v>41334</v>
      </c>
      <c r="O597" s="1763">
        <v>41729</v>
      </c>
      <c r="P597" s="1758">
        <v>1</v>
      </c>
      <c r="Q597" s="1758">
        <v>33903600</v>
      </c>
      <c r="R597" s="1931"/>
    </row>
    <row r="598" spans="1:18" s="1930" customFormat="1" ht="76.5" x14ac:dyDescent="0.25">
      <c r="A598" s="1780" t="s">
        <v>3686</v>
      </c>
      <c r="B598" s="1780"/>
      <c r="C598" s="1780" t="s">
        <v>3689</v>
      </c>
      <c r="D598" s="1780" t="s">
        <v>3380</v>
      </c>
      <c r="E598" s="1764">
        <v>12999.7</v>
      </c>
      <c r="F598" s="1780"/>
      <c r="G598" s="1759" t="s">
        <v>1059</v>
      </c>
      <c r="H598" s="1767" t="s">
        <v>3512</v>
      </c>
      <c r="I598" s="1762">
        <v>11004</v>
      </c>
      <c r="J598" s="1785">
        <v>12999.7</v>
      </c>
      <c r="K598" s="107">
        <v>3899.91</v>
      </c>
      <c r="L598" s="1785">
        <v>3899.91</v>
      </c>
      <c r="M598" s="1785">
        <v>16899.61</v>
      </c>
      <c r="N598" s="1763">
        <v>41334</v>
      </c>
      <c r="O598" s="1763">
        <v>41729</v>
      </c>
      <c r="P598" s="1758">
        <v>1</v>
      </c>
      <c r="Q598" s="1758">
        <v>33903600</v>
      </c>
      <c r="R598" s="1931"/>
    </row>
    <row r="599" spans="1:18" s="1930" customFormat="1" ht="63.75" x14ac:dyDescent="0.25">
      <c r="A599" s="1780" t="s">
        <v>3690</v>
      </c>
      <c r="B599" s="1780"/>
      <c r="C599" s="1780" t="s">
        <v>3691</v>
      </c>
      <c r="D599" s="1780" t="s">
        <v>3692</v>
      </c>
      <c r="E599" s="1764">
        <v>28800</v>
      </c>
      <c r="F599" s="1780"/>
      <c r="G599" s="1759" t="s">
        <v>1570</v>
      </c>
      <c r="H599" s="1767" t="s">
        <v>3693</v>
      </c>
      <c r="I599" s="1762">
        <v>11043</v>
      </c>
      <c r="J599" s="1785">
        <v>28800</v>
      </c>
      <c r="K599" s="107">
        <v>10800</v>
      </c>
      <c r="L599" s="1785">
        <v>10800</v>
      </c>
      <c r="M599" s="1785">
        <v>39600</v>
      </c>
      <c r="N599" s="1763">
        <v>41396</v>
      </c>
      <c r="O599" s="1763">
        <v>41729</v>
      </c>
      <c r="P599" s="1758">
        <v>1</v>
      </c>
      <c r="Q599" s="1758">
        <v>33903900</v>
      </c>
      <c r="R599" s="1931"/>
    </row>
    <row r="600" spans="1:18" s="1930" customFormat="1" ht="76.5" x14ac:dyDescent="0.25">
      <c r="A600" s="1780" t="s">
        <v>3694</v>
      </c>
      <c r="B600" s="1780"/>
      <c r="C600" s="1780"/>
      <c r="D600" s="1780" t="s">
        <v>3695</v>
      </c>
      <c r="E600" s="1764">
        <v>422785.31</v>
      </c>
      <c r="F600" s="1780"/>
      <c r="G600" s="1759" t="s">
        <v>3696</v>
      </c>
      <c r="H600" s="1767" t="s">
        <v>3697</v>
      </c>
      <c r="I600" s="1762"/>
      <c r="J600" s="1785">
        <v>422785.31</v>
      </c>
      <c r="K600" s="107"/>
      <c r="L600" s="1785">
        <v>377894.31</v>
      </c>
      <c r="M600" s="1785">
        <v>528338.51</v>
      </c>
      <c r="N600" s="1763">
        <v>41456</v>
      </c>
      <c r="O600" s="1763">
        <v>41822</v>
      </c>
      <c r="P600" s="1758">
        <v>1</v>
      </c>
      <c r="Q600" s="1758">
        <v>33903900</v>
      </c>
      <c r="R600" s="1931"/>
    </row>
    <row r="601" spans="1:18" s="1930" customFormat="1" ht="76.5" x14ac:dyDescent="0.25">
      <c r="A601" s="1780" t="s">
        <v>3698</v>
      </c>
      <c r="B601" s="1780"/>
      <c r="C601" s="1780" t="s">
        <v>3699</v>
      </c>
      <c r="D601" s="1780" t="s">
        <v>3700</v>
      </c>
      <c r="E601" s="1764">
        <v>109880</v>
      </c>
      <c r="F601" s="1780"/>
      <c r="G601" s="1759" t="s">
        <v>675</v>
      </c>
      <c r="H601" s="1767" t="s">
        <v>3701</v>
      </c>
      <c r="I601" s="1762">
        <v>11233</v>
      </c>
      <c r="J601" s="1785">
        <v>109880</v>
      </c>
      <c r="K601" s="107">
        <v>0</v>
      </c>
      <c r="L601" s="1785">
        <v>109880</v>
      </c>
      <c r="M601" s="1785">
        <v>109880</v>
      </c>
      <c r="N601" s="1763">
        <v>41647</v>
      </c>
      <c r="O601" s="1763">
        <v>42004</v>
      </c>
      <c r="P601" s="1758">
        <v>1</v>
      </c>
      <c r="Q601" s="1758">
        <v>44905200</v>
      </c>
      <c r="R601" s="1931"/>
    </row>
    <row r="602" spans="1:18" s="1930" customFormat="1" ht="63.75" x14ac:dyDescent="0.25">
      <c r="A602" s="1780" t="s">
        <v>3702</v>
      </c>
      <c r="B602" s="1780"/>
      <c r="C602" s="1780" t="s">
        <v>295</v>
      </c>
      <c r="D602" s="1780" t="s">
        <v>3703</v>
      </c>
      <c r="E602" s="1764">
        <v>8280</v>
      </c>
      <c r="F602" s="1780"/>
      <c r="G602" s="1759" t="s">
        <v>744</v>
      </c>
      <c r="H602" s="1767" t="s">
        <v>3704</v>
      </c>
      <c r="I602" s="1762">
        <v>11233</v>
      </c>
      <c r="J602" s="1785">
        <v>8280</v>
      </c>
      <c r="K602" s="107">
        <v>0</v>
      </c>
      <c r="L602" s="1785">
        <v>8279.2000000000007</v>
      </c>
      <c r="M602" s="1785">
        <v>8279.2000000000007</v>
      </c>
      <c r="N602" s="1763">
        <v>41662</v>
      </c>
      <c r="O602" s="1763">
        <v>42004</v>
      </c>
      <c r="P602" s="1758">
        <v>1</v>
      </c>
      <c r="Q602" s="1758">
        <v>33903900</v>
      </c>
      <c r="R602" s="1931"/>
    </row>
    <row r="603" spans="1:18" s="1930" customFormat="1" ht="63.75" x14ac:dyDescent="0.25">
      <c r="A603" s="1780" t="s">
        <v>3705</v>
      </c>
      <c r="B603" s="1780"/>
      <c r="C603" s="1780" t="s">
        <v>3706</v>
      </c>
      <c r="D603" s="1780" t="s">
        <v>3707</v>
      </c>
      <c r="E603" s="1764">
        <v>100000</v>
      </c>
      <c r="F603" s="1780"/>
      <c r="G603" s="1759" t="s">
        <v>807</v>
      </c>
      <c r="H603" s="1767" t="s">
        <v>3708</v>
      </c>
      <c r="I603" s="1762">
        <v>11260</v>
      </c>
      <c r="J603" s="1785">
        <v>100000</v>
      </c>
      <c r="K603" s="107">
        <v>0</v>
      </c>
      <c r="L603" s="1785">
        <v>24581.68</v>
      </c>
      <c r="M603" s="1785">
        <v>24581.68</v>
      </c>
      <c r="N603" s="1763">
        <v>41697</v>
      </c>
      <c r="O603" s="1763">
        <v>42061</v>
      </c>
      <c r="P603" s="1758">
        <v>1</v>
      </c>
      <c r="Q603" s="1758">
        <v>33903900</v>
      </c>
      <c r="R603" s="1931"/>
    </row>
    <row r="604" spans="1:18" s="1930" customFormat="1" ht="63.75" x14ac:dyDescent="0.25">
      <c r="A604" s="1780" t="s">
        <v>3702</v>
      </c>
      <c r="B604" s="1780"/>
      <c r="C604" s="1780" t="s">
        <v>3709</v>
      </c>
      <c r="D604" s="1780" t="s">
        <v>3710</v>
      </c>
      <c r="E604" s="1764">
        <v>12250</v>
      </c>
      <c r="F604" s="1780"/>
      <c r="G604" s="1759" t="s">
        <v>784</v>
      </c>
      <c r="H604" s="1767" t="s">
        <v>3710</v>
      </c>
      <c r="I604" s="1762">
        <v>11348</v>
      </c>
      <c r="J604" s="1785">
        <v>12250</v>
      </c>
      <c r="K604" s="107">
        <v>0</v>
      </c>
      <c r="L604" s="1785">
        <v>0</v>
      </c>
      <c r="M604" s="1785">
        <v>0</v>
      </c>
      <c r="N604" s="1763">
        <v>41765</v>
      </c>
      <c r="O604" s="1763">
        <v>42004</v>
      </c>
      <c r="P604" s="1758">
        <v>1</v>
      </c>
      <c r="Q604" s="1758">
        <v>33903900</v>
      </c>
      <c r="R604" s="1931"/>
    </row>
    <row r="605" spans="1:18" s="1930" customFormat="1" ht="63.75" x14ac:dyDescent="0.25">
      <c r="A605" s="1780" t="s">
        <v>3698</v>
      </c>
      <c r="B605" s="1780"/>
      <c r="C605" s="1780" t="s">
        <v>3711</v>
      </c>
      <c r="D605" s="1780" t="s">
        <v>3712</v>
      </c>
      <c r="E605" s="1764">
        <v>57866</v>
      </c>
      <c r="F605" s="1780"/>
      <c r="G605" s="1759" t="s">
        <v>1844</v>
      </c>
      <c r="H605" s="1767" t="s">
        <v>3713</v>
      </c>
      <c r="I605" s="1762">
        <v>11332</v>
      </c>
      <c r="J605" s="1785">
        <v>57866</v>
      </c>
      <c r="K605" s="107">
        <v>0</v>
      </c>
      <c r="L605" s="1785">
        <v>57866</v>
      </c>
      <c r="M605" s="1785">
        <v>57866</v>
      </c>
      <c r="N605" s="1763">
        <v>41789</v>
      </c>
      <c r="O605" s="1763">
        <v>41818</v>
      </c>
      <c r="P605" s="1758">
        <v>1</v>
      </c>
      <c r="Q605" s="1758">
        <v>44905200</v>
      </c>
      <c r="R605" s="1931"/>
    </row>
    <row r="606" spans="1:18" s="1930" customFormat="1" ht="63.75" x14ac:dyDescent="0.25">
      <c r="A606" s="1780" t="s">
        <v>3705</v>
      </c>
      <c r="B606" s="1780"/>
      <c r="C606" s="1780" t="s">
        <v>3714</v>
      </c>
      <c r="D606" s="1780" t="s">
        <v>3715</v>
      </c>
      <c r="E606" s="1764">
        <v>30000</v>
      </c>
      <c r="F606" s="1780"/>
      <c r="G606" s="1759" t="s">
        <v>3716</v>
      </c>
      <c r="H606" s="1767" t="s">
        <v>3717</v>
      </c>
      <c r="I606" s="1762">
        <v>11329</v>
      </c>
      <c r="J606" s="1785">
        <v>30000</v>
      </c>
      <c r="K606" s="107">
        <v>0</v>
      </c>
      <c r="L606" s="1785">
        <v>30000</v>
      </c>
      <c r="M606" s="1785">
        <v>30000</v>
      </c>
      <c r="N606" s="1763">
        <v>41794</v>
      </c>
      <c r="O606" s="1763">
        <v>42158</v>
      </c>
      <c r="P606" s="1758">
        <v>1</v>
      </c>
      <c r="Q606" s="1758">
        <v>33903900</v>
      </c>
      <c r="R606" s="1931"/>
    </row>
    <row r="607" spans="1:18" s="1930" customFormat="1" ht="63.75" x14ac:dyDescent="0.25">
      <c r="A607" s="1780" t="s">
        <v>3718</v>
      </c>
      <c r="B607" s="1780"/>
      <c r="C607" s="1780" t="s">
        <v>3706</v>
      </c>
      <c r="D607" s="1780" t="s">
        <v>3719</v>
      </c>
      <c r="E607" s="1764">
        <v>53100</v>
      </c>
      <c r="F607" s="1780"/>
      <c r="G607" s="1759" t="s">
        <v>1968</v>
      </c>
      <c r="H607" s="1767" t="s">
        <v>3720</v>
      </c>
      <c r="I607" s="1762">
        <v>11354</v>
      </c>
      <c r="J607" s="1785">
        <v>53100</v>
      </c>
      <c r="K607" s="107">
        <v>0</v>
      </c>
      <c r="L607" s="1785">
        <v>53100</v>
      </c>
      <c r="M607" s="1785">
        <v>53100</v>
      </c>
      <c r="N607" s="1763">
        <v>41837</v>
      </c>
      <c r="O607" s="1763">
        <v>41896</v>
      </c>
      <c r="P607" s="1758">
        <v>1</v>
      </c>
      <c r="Q607" s="1758">
        <v>44905200</v>
      </c>
      <c r="R607" s="1931"/>
    </row>
    <row r="608" spans="1:18" s="1930" customFormat="1" ht="51" x14ac:dyDescent="0.25">
      <c r="A608" s="1780"/>
      <c r="B608" s="1780"/>
      <c r="C608" s="1780"/>
      <c r="D608" s="1780" t="s">
        <v>3721</v>
      </c>
      <c r="E608" s="1764"/>
      <c r="F608" s="1780"/>
      <c r="G608" s="1759" t="s">
        <v>1974</v>
      </c>
      <c r="H608" s="1767" t="s">
        <v>3722</v>
      </c>
      <c r="I608" s="1762"/>
      <c r="J608" s="1785">
        <v>698000</v>
      </c>
      <c r="K608" s="107"/>
      <c r="L608" s="1785"/>
      <c r="M608" s="1785"/>
      <c r="N608" s="1763"/>
      <c r="O608" s="1763"/>
      <c r="P608" s="1758">
        <v>1</v>
      </c>
      <c r="Q608" s="1758">
        <v>33903900</v>
      </c>
      <c r="R608" s="1931"/>
    </row>
    <row r="609" spans="1:20" s="1930" customFormat="1" ht="63.75" x14ac:dyDescent="0.25">
      <c r="A609" s="1780" t="s">
        <v>3723</v>
      </c>
      <c r="B609" s="1780"/>
      <c r="C609" s="1780" t="s">
        <v>622</v>
      </c>
      <c r="D609" s="1780" t="s">
        <v>3724</v>
      </c>
      <c r="E609" s="1764">
        <v>4125</v>
      </c>
      <c r="F609" s="1780"/>
      <c r="G609" s="1759" t="s">
        <v>2001</v>
      </c>
      <c r="H609" s="1767" t="s">
        <v>3720</v>
      </c>
      <c r="I609" s="1762">
        <v>11378</v>
      </c>
      <c r="J609" s="1785">
        <v>4125</v>
      </c>
      <c r="K609" s="107">
        <v>0</v>
      </c>
      <c r="L609" s="1785">
        <v>4125</v>
      </c>
      <c r="M609" s="1785">
        <v>4125</v>
      </c>
      <c r="N609" s="1763">
        <v>41863</v>
      </c>
      <c r="O609" s="1763">
        <v>41923</v>
      </c>
      <c r="P609" s="1758">
        <v>1</v>
      </c>
      <c r="Q609" s="1758">
        <v>44905200</v>
      </c>
      <c r="R609" s="1931"/>
    </row>
    <row r="610" spans="1:20" s="1930" customFormat="1" ht="63.75" x14ac:dyDescent="0.25">
      <c r="A610" s="1780" t="s">
        <v>3725</v>
      </c>
      <c r="B610" s="1780"/>
      <c r="C610" s="1780" t="s">
        <v>3706</v>
      </c>
      <c r="D610" s="1780" t="s">
        <v>3721</v>
      </c>
      <c r="E610" s="1764">
        <v>698000</v>
      </c>
      <c r="F610" s="1780"/>
      <c r="G610" s="1759" t="s">
        <v>2007</v>
      </c>
      <c r="H610" s="1767" t="s">
        <v>3726</v>
      </c>
      <c r="I610" s="1762">
        <v>11379</v>
      </c>
      <c r="J610" s="1785">
        <v>698000</v>
      </c>
      <c r="K610" s="107">
        <v>0</v>
      </c>
      <c r="L610" s="1785">
        <v>30000</v>
      </c>
      <c r="M610" s="1785">
        <v>30000</v>
      </c>
      <c r="N610" s="1763"/>
      <c r="O610" s="1763"/>
      <c r="P610" s="1758">
        <v>1</v>
      </c>
      <c r="Q610" s="1758">
        <v>33903900</v>
      </c>
      <c r="R610" s="1931"/>
    </row>
    <row r="611" spans="1:20" s="1930" customFormat="1" x14ac:dyDescent="0.25">
      <c r="A611" s="2207" t="s">
        <v>601</v>
      </c>
      <c r="B611" s="2207"/>
      <c r="C611" s="2207"/>
      <c r="D611" s="2207"/>
      <c r="E611" s="639">
        <f>SUM(E594:E609)</f>
        <v>945586.11</v>
      </c>
      <c r="F611" s="516"/>
      <c r="G611" s="515"/>
      <c r="H611" s="516"/>
      <c r="I611" s="519"/>
      <c r="J611" s="639">
        <f>SUM(J594:J610)</f>
        <v>2341586.11</v>
      </c>
      <c r="K611" s="639">
        <f t="shared" ref="K611:M611" si="13">SUM(K594:K610)</f>
        <v>150096.91</v>
      </c>
      <c r="L611" s="639">
        <f>SUM(L594:L610)</f>
        <v>883574.08</v>
      </c>
      <c r="M611" s="639">
        <f t="shared" si="13"/>
        <v>1350691.54</v>
      </c>
      <c r="N611" s="516"/>
      <c r="O611" s="516"/>
      <c r="P611" s="516"/>
      <c r="Q611" s="516"/>
      <c r="R611" s="1918"/>
    </row>
    <row r="612" spans="1:20" s="420" customFormat="1" x14ac:dyDescent="0.25">
      <c r="G612" s="422"/>
      <c r="I612" s="1923"/>
      <c r="J612" s="428"/>
      <c r="K612" s="428"/>
      <c r="L612" s="428"/>
      <c r="M612" s="1924"/>
      <c r="N612" s="1924"/>
      <c r="P612" s="1925"/>
    </row>
    <row r="613" spans="1:20" s="420" customFormat="1" x14ac:dyDescent="0.25">
      <c r="G613" s="422"/>
      <c r="I613" s="1923"/>
      <c r="J613" s="428"/>
      <c r="K613" s="428"/>
      <c r="L613" s="428"/>
      <c r="M613" s="1924"/>
      <c r="N613" s="1924"/>
      <c r="P613" s="1925"/>
    </row>
    <row r="614" spans="1:20" s="420" customFormat="1" ht="19.5" customHeight="1" x14ac:dyDescent="0.25">
      <c r="A614" s="2341" t="s">
        <v>3727</v>
      </c>
      <c r="B614" s="2341"/>
      <c r="C614" s="2341"/>
      <c r="D614" s="2341"/>
      <c r="E614" s="2341"/>
      <c r="F614" s="2341"/>
      <c r="G614" s="2341"/>
      <c r="H614" s="2341"/>
      <c r="I614" s="2341"/>
      <c r="J614" s="2341"/>
      <c r="K614" s="2341"/>
      <c r="L614" s="2341"/>
      <c r="M614" s="2341"/>
      <c r="N614" s="2341"/>
      <c r="O614" s="2341"/>
      <c r="P614" s="2341"/>
      <c r="Q614" s="2341"/>
      <c r="R614" s="2341"/>
      <c r="S614" s="2341"/>
      <c r="T614" s="1908"/>
    </row>
    <row r="615" spans="1:20" s="420" customFormat="1" ht="15.75" customHeight="1" x14ac:dyDescent="0.25">
      <c r="A615" s="2050" t="s">
        <v>3728</v>
      </c>
      <c r="B615" s="2050"/>
      <c r="C615" s="2050"/>
      <c r="D615" s="2050"/>
      <c r="E615" s="2050"/>
      <c r="F615" s="2050"/>
      <c r="G615" s="2050"/>
      <c r="H615" s="2050"/>
      <c r="I615" s="2207" t="s">
        <v>2779</v>
      </c>
      <c r="J615" s="2207"/>
      <c r="K615" s="2207"/>
      <c r="L615" s="2207"/>
      <c r="M615" s="2207"/>
      <c r="N615" s="2207"/>
      <c r="O615" s="2207"/>
      <c r="P615" s="2207"/>
      <c r="Q615" s="2207"/>
      <c r="R615" s="2207"/>
      <c r="S615" s="2207"/>
      <c r="T615" s="1908"/>
    </row>
    <row r="616" spans="1:20" s="420" customFormat="1" ht="15.75" customHeight="1" x14ac:dyDescent="0.25">
      <c r="A616" s="2050"/>
      <c r="B616" s="2050"/>
      <c r="C616" s="2050"/>
      <c r="D616" s="2050"/>
      <c r="E616" s="2050"/>
      <c r="F616" s="2050"/>
      <c r="G616" s="2050"/>
      <c r="H616" s="2050"/>
      <c r="I616" s="1967" t="s">
        <v>2780</v>
      </c>
      <c r="J616" s="1967"/>
      <c r="K616" s="1967"/>
      <c r="L616" s="2296" t="s">
        <v>918</v>
      </c>
      <c r="M616" s="2296"/>
      <c r="N616" s="2296"/>
      <c r="O616" s="2296"/>
      <c r="P616" s="2024" t="s">
        <v>2781</v>
      </c>
      <c r="Q616" s="2024"/>
      <c r="R616" s="1967" t="s">
        <v>2782</v>
      </c>
      <c r="S616" s="1967"/>
      <c r="T616" s="2327"/>
    </row>
    <row r="617" spans="1:20" s="420" customFormat="1" ht="38.25" x14ac:dyDescent="0.25">
      <c r="A617" s="1760" t="s">
        <v>2783</v>
      </c>
      <c r="B617" s="1760" t="s">
        <v>18</v>
      </c>
      <c r="C617" s="1760" t="s">
        <v>3729</v>
      </c>
      <c r="D617" s="1760" t="s">
        <v>3730</v>
      </c>
      <c r="E617" s="1760" t="s">
        <v>3731</v>
      </c>
      <c r="F617" s="1760" t="s">
        <v>3732</v>
      </c>
      <c r="G617" s="1760" t="s">
        <v>3731</v>
      </c>
      <c r="H617" s="1760" t="s">
        <v>33</v>
      </c>
      <c r="I617" s="1769" t="s">
        <v>2785</v>
      </c>
      <c r="J617" s="1760" t="s">
        <v>36</v>
      </c>
      <c r="K617" s="1760" t="s">
        <v>3733</v>
      </c>
      <c r="L617" s="1778" t="s">
        <v>2786</v>
      </c>
      <c r="M617" s="1778" t="s">
        <v>2787</v>
      </c>
      <c r="N617" s="1778" t="s">
        <v>2788</v>
      </c>
      <c r="O617" s="1778" t="s">
        <v>2789</v>
      </c>
      <c r="P617" s="1760" t="s">
        <v>58</v>
      </c>
      <c r="Q617" s="1760" t="s">
        <v>2790</v>
      </c>
      <c r="R617" s="1760" t="s">
        <v>43</v>
      </c>
      <c r="S617" s="1760" t="s">
        <v>47</v>
      </c>
      <c r="T617" s="2327"/>
    </row>
    <row r="618" spans="1:20" s="420" customFormat="1" ht="27" customHeight="1" x14ac:dyDescent="0.25">
      <c r="A618" s="1985"/>
      <c r="B618" s="1985"/>
      <c r="C618" s="1985" t="s">
        <v>3734</v>
      </c>
      <c r="D618" s="1985"/>
      <c r="E618" s="1985"/>
      <c r="F618" s="1985"/>
      <c r="G618" s="1985"/>
      <c r="H618" s="1985" t="s">
        <v>3735</v>
      </c>
      <c r="I618" s="1759" t="s">
        <v>3736</v>
      </c>
      <c r="J618" s="1985" t="s">
        <v>3737</v>
      </c>
      <c r="K618" s="1762">
        <v>11370</v>
      </c>
      <c r="L618" s="2282">
        <v>14918884.15</v>
      </c>
      <c r="M618" s="613">
        <v>0</v>
      </c>
      <c r="N618" s="2282">
        <f>728363.5-110770.79-8529.8</f>
        <v>609062.90999999992</v>
      </c>
      <c r="O618" s="2282">
        <f>10201148.97-110770.79-8529.8</f>
        <v>10081848.380000001</v>
      </c>
      <c r="P618" s="1763">
        <v>40773</v>
      </c>
      <c r="Q618" s="1763">
        <v>41990</v>
      </c>
      <c r="R618" s="1985" t="s">
        <v>1239</v>
      </c>
      <c r="S618" s="1985">
        <v>44905100</v>
      </c>
      <c r="T618" s="1912"/>
    </row>
    <row r="619" spans="1:20" s="420" customFormat="1" ht="27" customHeight="1" x14ac:dyDescent="0.25">
      <c r="A619" s="2021"/>
      <c r="B619" s="2021"/>
      <c r="C619" s="2021" t="s">
        <v>3738</v>
      </c>
      <c r="D619" s="2021"/>
      <c r="E619" s="2021"/>
      <c r="F619" s="2021"/>
      <c r="G619" s="2021"/>
      <c r="H619" s="2021" t="s">
        <v>3735</v>
      </c>
      <c r="I619" s="1759" t="s">
        <v>3739</v>
      </c>
      <c r="J619" s="2021" t="s">
        <v>3737</v>
      </c>
      <c r="K619" s="1762">
        <v>10985</v>
      </c>
      <c r="L619" s="2290"/>
      <c r="M619" s="613"/>
      <c r="N619" s="2290"/>
      <c r="O619" s="2290"/>
      <c r="P619" s="1763">
        <v>41296</v>
      </c>
      <c r="Q619" s="1763">
        <v>41508</v>
      </c>
      <c r="R619" s="2021"/>
      <c r="S619" s="2021"/>
      <c r="T619" s="1912"/>
    </row>
    <row r="620" spans="1:20" s="420" customFormat="1" ht="27" customHeight="1" x14ac:dyDescent="0.25">
      <c r="A620" s="2021"/>
      <c r="B620" s="2021"/>
      <c r="C620" s="2021" t="s">
        <v>3738</v>
      </c>
      <c r="D620" s="2021"/>
      <c r="E620" s="2021"/>
      <c r="F620" s="2021"/>
      <c r="G620" s="2021"/>
      <c r="H620" s="2021" t="s">
        <v>3735</v>
      </c>
      <c r="I620" s="1759" t="s">
        <v>3740</v>
      </c>
      <c r="J620" s="2021" t="s">
        <v>3737</v>
      </c>
      <c r="K620" s="1762">
        <v>11119</v>
      </c>
      <c r="L620" s="2290"/>
      <c r="M620" s="613"/>
      <c r="N620" s="2290"/>
      <c r="O620" s="2290"/>
      <c r="P620" s="1763">
        <v>41509</v>
      </c>
      <c r="Q620" s="1763">
        <v>41630</v>
      </c>
      <c r="R620" s="2021"/>
      <c r="S620" s="2021"/>
      <c r="T620" s="1912"/>
    </row>
    <row r="621" spans="1:20" s="420" customFormat="1" ht="27" customHeight="1" x14ac:dyDescent="0.25">
      <c r="A621" s="2021"/>
      <c r="B621" s="2021"/>
      <c r="C621" s="2021" t="s">
        <v>3738</v>
      </c>
      <c r="D621" s="2021"/>
      <c r="E621" s="2021"/>
      <c r="F621" s="2021"/>
      <c r="G621" s="2021"/>
      <c r="H621" s="2021" t="s">
        <v>3735</v>
      </c>
      <c r="I621" s="1759" t="s">
        <v>3741</v>
      </c>
      <c r="J621" s="2021" t="s">
        <v>3737</v>
      </c>
      <c r="K621" s="1762">
        <v>11207</v>
      </c>
      <c r="L621" s="2290"/>
      <c r="M621" s="613"/>
      <c r="N621" s="2290"/>
      <c r="O621" s="2290"/>
      <c r="P621" s="1763">
        <v>41996</v>
      </c>
      <c r="Q621" s="1763">
        <v>41750</v>
      </c>
      <c r="R621" s="2021"/>
      <c r="S621" s="2021"/>
      <c r="T621" s="1912"/>
    </row>
    <row r="622" spans="1:20" s="420" customFormat="1" ht="27" customHeight="1" x14ac:dyDescent="0.25">
      <c r="A622" s="2021"/>
      <c r="B622" s="2021"/>
      <c r="C622" s="2021" t="s">
        <v>3738</v>
      </c>
      <c r="D622" s="2021"/>
      <c r="E622" s="2021"/>
      <c r="F622" s="2021"/>
      <c r="G622" s="2021"/>
      <c r="H622" s="2021" t="s">
        <v>3735</v>
      </c>
      <c r="I622" s="1759" t="s">
        <v>3742</v>
      </c>
      <c r="J622" s="2021" t="s">
        <v>3737</v>
      </c>
      <c r="K622" s="1762">
        <v>11370</v>
      </c>
      <c r="L622" s="2290"/>
      <c r="M622" s="613"/>
      <c r="N622" s="2290"/>
      <c r="O622" s="2290"/>
      <c r="P622" s="1763">
        <v>41751</v>
      </c>
      <c r="Q622" s="1763">
        <v>41990</v>
      </c>
      <c r="R622" s="2021"/>
      <c r="S622" s="2021"/>
      <c r="T622" s="1912"/>
    </row>
    <row r="623" spans="1:20" s="420" customFormat="1" ht="27" customHeight="1" x14ac:dyDescent="0.25">
      <c r="A623" s="1986"/>
      <c r="B623" s="1986"/>
      <c r="C623" s="1986" t="s">
        <v>3738</v>
      </c>
      <c r="D623" s="1986"/>
      <c r="E623" s="1986"/>
      <c r="F623" s="1986"/>
      <c r="G623" s="1986"/>
      <c r="H623" s="1986" t="s">
        <v>3735</v>
      </c>
      <c r="I623" s="1759" t="s">
        <v>3743</v>
      </c>
      <c r="J623" s="1986" t="s">
        <v>3737</v>
      </c>
      <c r="K623" s="1762">
        <v>11424</v>
      </c>
      <c r="L623" s="2283"/>
      <c r="M623" s="613">
        <v>-2.79</v>
      </c>
      <c r="N623" s="2283"/>
      <c r="O623" s="2283"/>
      <c r="P623" s="1763"/>
      <c r="Q623" s="1763"/>
      <c r="R623" s="1986"/>
      <c r="S623" s="1986"/>
      <c r="T623" s="1912"/>
    </row>
    <row r="624" spans="1:20" s="420" customFormat="1" ht="27" customHeight="1" x14ac:dyDescent="0.25">
      <c r="A624" s="1985">
        <v>1082</v>
      </c>
      <c r="B624" s="1985"/>
      <c r="C624" s="1985" t="s">
        <v>3734</v>
      </c>
      <c r="D624" s="1985"/>
      <c r="E624" s="1985"/>
      <c r="F624" s="1985"/>
      <c r="G624" s="1985"/>
      <c r="H624" s="1985" t="s">
        <v>3744</v>
      </c>
      <c r="I624" s="1759" t="s">
        <v>3745</v>
      </c>
      <c r="J624" s="1985" t="s">
        <v>3737</v>
      </c>
      <c r="K624" s="1762">
        <v>11353</v>
      </c>
      <c r="L624" s="2282">
        <v>1355333.65</v>
      </c>
      <c r="M624" s="613"/>
      <c r="N624" s="2282">
        <v>189276.41999999998</v>
      </c>
      <c r="O624" s="2282">
        <v>435131.87</v>
      </c>
      <c r="P624" s="1763">
        <v>41101</v>
      </c>
      <c r="Q624" s="1763">
        <v>41941</v>
      </c>
      <c r="R624" s="1985" t="s">
        <v>2882</v>
      </c>
      <c r="S624" s="1985">
        <v>44905100</v>
      </c>
      <c r="T624" s="1912"/>
    </row>
    <row r="625" spans="1:20" s="420" customFormat="1" ht="27" customHeight="1" x14ac:dyDescent="0.25">
      <c r="A625" s="2021"/>
      <c r="B625" s="2021"/>
      <c r="C625" s="2021" t="s">
        <v>3738</v>
      </c>
      <c r="D625" s="2021">
        <v>10839</v>
      </c>
      <c r="E625" s="2021"/>
      <c r="F625" s="2021">
        <v>10839</v>
      </c>
      <c r="G625" s="2021"/>
      <c r="H625" s="2021" t="s">
        <v>3744</v>
      </c>
      <c r="I625" s="1759" t="s">
        <v>3746</v>
      </c>
      <c r="J625" s="2021" t="s">
        <v>3737</v>
      </c>
      <c r="K625" s="1762">
        <v>10926</v>
      </c>
      <c r="L625" s="2290"/>
      <c r="M625" s="613"/>
      <c r="N625" s="2290"/>
      <c r="O625" s="2290"/>
      <c r="P625" s="1763">
        <v>41225</v>
      </c>
      <c r="Q625" s="1763">
        <v>41341</v>
      </c>
      <c r="R625" s="2021"/>
      <c r="S625" s="2021"/>
      <c r="T625" s="1912"/>
    </row>
    <row r="626" spans="1:20" s="420" customFormat="1" ht="27" customHeight="1" x14ac:dyDescent="0.25">
      <c r="A626" s="2021"/>
      <c r="B626" s="2021"/>
      <c r="C626" s="2021" t="s">
        <v>3738</v>
      </c>
      <c r="D626" s="2021">
        <v>10839</v>
      </c>
      <c r="E626" s="2021"/>
      <c r="F626" s="2021">
        <v>10839</v>
      </c>
      <c r="G626" s="2021"/>
      <c r="H626" s="2021" t="s">
        <v>3744</v>
      </c>
      <c r="I626" s="1759" t="s">
        <v>3747</v>
      </c>
      <c r="J626" s="2021" t="s">
        <v>3737</v>
      </c>
      <c r="K626" s="1762">
        <v>10945</v>
      </c>
      <c r="L626" s="2290"/>
      <c r="M626" s="613">
        <v>-114822.37</v>
      </c>
      <c r="N626" s="2290"/>
      <c r="O626" s="2290"/>
      <c r="P626" s="1763"/>
      <c r="Q626" s="1763"/>
      <c r="R626" s="2021"/>
      <c r="S626" s="2021"/>
      <c r="T626" s="1912"/>
    </row>
    <row r="627" spans="1:20" s="420" customFormat="1" ht="27" customHeight="1" x14ac:dyDescent="0.25">
      <c r="A627" s="2021"/>
      <c r="B627" s="2021"/>
      <c r="C627" s="2021" t="s">
        <v>3738</v>
      </c>
      <c r="D627" s="2021">
        <v>10839</v>
      </c>
      <c r="E627" s="2021"/>
      <c r="F627" s="2021">
        <v>10839</v>
      </c>
      <c r="G627" s="2021"/>
      <c r="H627" s="2021" t="s">
        <v>3744</v>
      </c>
      <c r="I627" s="1759" t="s">
        <v>3748</v>
      </c>
      <c r="J627" s="2021" t="s">
        <v>3737</v>
      </c>
      <c r="K627" s="1762">
        <v>10987</v>
      </c>
      <c r="L627" s="2290"/>
      <c r="M627" s="613"/>
      <c r="N627" s="2290"/>
      <c r="O627" s="2290"/>
      <c r="P627" s="1763">
        <v>41342</v>
      </c>
      <c r="Q627" s="1763">
        <v>41461</v>
      </c>
      <c r="R627" s="2021"/>
      <c r="S627" s="2021"/>
      <c r="T627" s="1912"/>
    </row>
    <row r="628" spans="1:20" s="420" customFormat="1" ht="27" customHeight="1" x14ac:dyDescent="0.25">
      <c r="A628" s="2021"/>
      <c r="B628" s="2021"/>
      <c r="C628" s="2021" t="s">
        <v>3738</v>
      </c>
      <c r="D628" s="2021">
        <v>10839</v>
      </c>
      <c r="E628" s="2021"/>
      <c r="F628" s="2021">
        <v>10839</v>
      </c>
      <c r="G628" s="2021"/>
      <c r="H628" s="2021" t="s">
        <v>3744</v>
      </c>
      <c r="I628" s="1759" t="s">
        <v>3749</v>
      </c>
      <c r="J628" s="2021" t="s">
        <v>3737</v>
      </c>
      <c r="K628" s="1762">
        <v>11084</v>
      </c>
      <c r="L628" s="2290"/>
      <c r="M628" s="613"/>
      <c r="N628" s="2290"/>
      <c r="O628" s="2290"/>
      <c r="P628" s="1763">
        <v>41462</v>
      </c>
      <c r="Q628" s="1763">
        <v>41551</v>
      </c>
      <c r="R628" s="2021"/>
      <c r="S628" s="2021"/>
      <c r="T628" s="1912"/>
    </row>
    <row r="629" spans="1:20" s="420" customFormat="1" ht="27" customHeight="1" x14ac:dyDescent="0.25">
      <c r="A629" s="2021"/>
      <c r="B629" s="2021"/>
      <c r="C629" s="2021" t="s">
        <v>3738</v>
      </c>
      <c r="D629" s="2021">
        <v>10839</v>
      </c>
      <c r="E629" s="2021"/>
      <c r="F629" s="2021">
        <v>10839</v>
      </c>
      <c r="G629" s="2021"/>
      <c r="H629" s="2021" t="s">
        <v>3744</v>
      </c>
      <c r="I629" s="1759" t="s">
        <v>3750</v>
      </c>
      <c r="J629" s="2021" t="s">
        <v>3737</v>
      </c>
      <c r="K629" s="1762">
        <v>11149</v>
      </c>
      <c r="L629" s="2290"/>
      <c r="M629" s="613"/>
      <c r="N629" s="2290"/>
      <c r="O629" s="2290"/>
      <c r="P629" s="1763">
        <v>41552</v>
      </c>
      <c r="Q629" s="1763">
        <v>41641</v>
      </c>
      <c r="R629" s="2021"/>
      <c r="S629" s="2021"/>
      <c r="T629" s="1912"/>
    </row>
    <row r="630" spans="1:20" s="420" customFormat="1" ht="27" customHeight="1" x14ac:dyDescent="0.25">
      <c r="A630" s="2021"/>
      <c r="B630" s="2021"/>
      <c r="C630" s="2021" t="s">
        <v>3738</v>
      </c>
      <c r="D630" s="2021">
        <v>10839</v>
      </c>
      <c r="E630" s="2021"/>
      <c r="F630" s="2021">
        <v>10839</v>
      </c>
      <c r="G630" s="2021"/>
      <c r="H630" s="2021" t="s">
        <v>3744</v>
      </c>
      <c r="I630" s="1759" t="s">
        <v>3751</v>
      </c>
      <c r="J630" s="2021" t="s">
        <v>3737</v>
      </c>
      <c r="K630" s="1762">
        <v>11245</v>
      </c>
      <c r="L630" s="2290"/>
      <c r="M630" s="613"/>
      <c r="N630" s="2290"/>
      <c r="O630" s="2290"/>
      <c r="P630" s="1763">
        <v>41642</v>
      </c>
      <c r="Q630" s="1763">
        <v>41731</v>
      </c>
      <c r="R630" s="2021"/>
      <c r="S630" s="2021"/>
      <c r="T630" s="1912"/>
    </row>
    <row r="631" spans="1:20" s="420" customFormat="1" ht="27" customHeight="1" x14ac:dyDescent="0.25">
      <c r="A631" s="2021"/>
      <c r="B631" s="2021"/>
      <c r="C631" s="2021" t="s">
        <v>3738</v>
      </c>
      <c r="D631" s="2021">
        <v>10839</v>
      </c>
      <c r="E631" s="2021"/>
      <c r="F631" s="2021">
        <v>10839</v>
      </c>
      <c r="G631" s="2021"/>
      <c r="H631" s="2021" t="s">
        <v>3744</v>
      </c>
      <c r="I631" s="1759" t="s">
        <v>3752</v>
      </c>
      <c r="J631" s="2021" t="s">
        <v>3737</v>
      </c>
      <c r="K631" s="1762">
        <v>11353</v>
      </c>
      <c r="L631" s="2290"/>
      <c r="M631" s="613"/>
      <c r="N631" s="2290"/>
      <c r="O631" s="2290"/>
      <c r="P631" s="1763">
        <v>41732</v>
      </c>
      <c r="Q631" s="1763">
        <v>41941</v>
      </c>
      <c r="R631" s="2021"/>
      <c r="S631" s="2021"/>
      <c r="T631" s="1912"/>
    </row>
    <row r="632" spans="1:20" s="420" customFormat="1" ht="27" customHeight="1" x14ac:dyDescent="0.25">
      <c r="A632" s="1986"/>
      <c r="B632" s="1986"/>
      <c r="C632" s="1986" t="s">
        <v>3738</v>
      </c>
      <c r="D632" s="1986">
        <v>10839</v>
      </c>
      <c r="E632" s="1986"/>
      <c r="F632" s="1986">
        <v>10839</v>
      </c>
      <c r="G632" s="1986"/>
      <c r="H632" s="1986" t="s">
        <v>3744</v>
      </c>
      <c r="I632" s="1759" t="s">
        <v>3753</v>
      </c>
      <c r="J632" s="1986" t="s">
        <v>3737</v>
      </c>
      <c r="K632" s="1762">
        <v>11408</v>
      </c>
      <c r="L632" s="2283"/>
      <c r="M632" s="613"/>
      <c r="N632" s="2283"/>
      <c r="O632" s="2283"/>
      <c r="P632" s="1763">
        <v>41942</v>
      </c>
      <c r="Q632" s="1763">
        <v>42061</v>
      </c>
      <c r="R632" s="1986"/>
      <c r="S632" s="1986"/>
      <c r="T632" s="1912"/>
    </row>
    <row r="633" spans="1:20" s="420" customFormat="1" ht="34.5" customHeight="1" x14ac:dyDescent="0.25">
      <c r="A633" s="1985"/>
      <c r="B633" s="1985"/>
      <c r="C633" s="1985" t="s">
        <v>3734</v>
      </c>
      <c r="D633" s="1985"/>
      <c r="E633" s="1985"/>
      <c r="F633" s="1985"/>
      <c r="G633" s="1985"/>
      <c r="H633" s="1985" t="s">
        <v>3754</v>
      </c>
      <c r="I633" s="1759" t="s">
        <v>1351</v>
      </c>
      <c r="J633" s="1985" t="s">
        <v>3737</v>
      </c>
      <c r="K633" s="1762"/>
      <c r="L633" s="2282">
        <v>10588462.77</v>
      </c>
      <c r="M633" s="613">
        <v>0</v>
      </c>
      <c r="N633" s="2282">
        <v>738043.52999999991</v>
      </c>
      <c r="O633" s="2282">
        <v>1061888</v>
      </c>
      <c r="P633" s="1763">
        <v>41527</v>
      </c>
      <c r="Q633" s="1763">
        <v>41917</v>
      </c>
      <c r="R633" s="1985" t="s">
        <v>2882</v>
      </c>
      <c r="S633" s="1985">
        <v>44905100</v>
      </c>
      <c r="T633" s="1912"/>
    </row>
    <row r="634" spans="1:20" s="420" customFormat="1" ht="34.5" customHeight="1" x14ac:dyDescent="0.25">
      <c r="A634" s="1986"/>
      <c r="B634" s="1986"/>
      <c r="C634" s="1986" t="s">
        <v>3738</v>
      </c>
      <c r="D634" s="1986"/>
      <c r="E634" s="1986"/>
      <c r="F634" s="1986"/>
      <c r="G634" s="1986"/>
      <c r="H634" s="1986" t="s">
        <v>3754</v>
      </c>
      <c r="I634" s="1759" t="s">
        <v>3755</v>
      </c>
      <c r="J634" s="1986" t="s">
        <v>3737</v>
      </c>
      <c r="K634" s="1762">
        <v>11413</v>
      </c>
      <c r="L634" s="2283"/>
      <c r="M634" s="613"/>
      <c r="N634" s="2283"/>
      <c r="O634" s="2283"/>
      <c r="P634" s="1763">
        <v>41918</v>
      </c>
      <c r="Q634" s="1763">
        <v>42307</v>
      </c>
      <c r="R634" s="1986"/>
      <c r="S634" s="1986"/>
      <c r="T634" s="1912"/>
    </row>
    <row r="635" spans="1:20" s="420" customFormat="1" ht="34.5" customHeight="1" x14ac:dyDescent="0.25">
      <c r="A635" s="1985" t="s">
        <v>3756</v>
      </c>
      <c r="B635" s="1985"/>
      <c r="C635" s="1985" t="s">
        <v>3734</v>
      </c>
      <c r="D635" s="1985">
        <v>11135</v>
      </c>
      <c r="E635" s="1985"/>
      <c r="F635" s="1985">
        <v>11135</v>
      </c>
      <c r="G635" s="1985"/>
      <c r="H635" s="1985" t="s">
        <v>3757</v>
      </c>
      <c r="I635" s="1759" t="s">
        <v>1360</v>
      </c>
      <c r="J635" s="1985" t="s">
        <v>3737</v>
      </c>
      <c r="K635" s="1762"/>
      <c r="L635" s="2282">
        <v>1300000</v>
      </c>
      <c r="M635" s="613">
        <v>0</v>
      </c>
      <c r="N635" s="2282">
        <v>325000</v>
      </c>
      <c r="O635" s="2282">
        <v>1300000</v>
      </c>
      <c r="P635" s="1763">
        <v>41534</v>
      </c>
      <c r="Q635" s="1763">
        <v>41774</v>
      </c>
      <c r="R635" s="1985">
        <v>7</v>
      </c>
      <c r="S635" s="1985">
        <v>44905100</v>
      </c>
      <c r="T635" s="1912"/>
    </row>
    <row r="636" spans="1:20" s="420" customFormat="1" ht="34.5" customHeight="1" x14ac:dyDescent="0.25">
      <c r="A636" s="1986"/>
      <c r="B636" s="1986"/>
      <c r="C636" s="1986" t="s">
        <v>3738</v>
      </c>
      <c r="D636" s="1986">
        <v>11135</v>
      </c>
      <c r="E636" s="1986"/>
      <c r="F636" s="1986">
        <v>11135</v>
      </c>
      <c r="G636" s="1986"/>
      <c r="H636" s="1986" t="s">
        <v>3757</v>
      </c>
      <c r="I636" s="1759" t="s">
        <v>3758</v>
      </c>
      <c r="J636" s="1986" t="s">
        <v>3737</v>
      </c>
      <c r="K636" s="1762">
        <v>11223</v>
      </c>
      <c r="L636" s="2283"/>
      <c r="M636" s="613"/>
      <c r="N636" s="2283"/>
      <c r="O636" s="2283"/>
      <c r="P636" s="1763">
        <v>41775</v>
      </c>
      <c r="Q636" s="1763">
        <v>41774</v>
      </c>
      <c r="R636" s="1986"/>
      <c r="S636" s="1986"/>
      <c r="T636" s="1912"/>
    </row>
    <row r="637" spans="1:20" s="420" customFormat="1" ht="34.5" customHeight="1" x14ac:dyDescent="0.25">
      <c r="A637" s="1758"/>
      <c r="B637" s="1758"/>
      <c r="C637" s="1758" t="s">
        <v>3734</v>
      </c>
      <c r="D637" s="1758"/>
      <c r="E637" s="1762"/>
      <c r="F637" s="1758"/>
      <c r="G637" s="1764"/>
      <c r="H637" s="1782" t="s">
        <v>3759</v>
      </c>
      <c r="I637" s="1759" t="s">
        <v>1717</v>
      </c>
      <c r="J637" s="1767" t="s">
        <v>3760</v>
      </c>
      <c r="K637" s="1762"/>
      <c r="L637" s="613">
        <v>512538.51</v>
      </c>
      <c r="M637" s="613">
        <v>0</v>
      </c>
      <c r="N637" s="1787">
        <f>417747.06-229107.45-23939.18-10282.11</f>
        <v>154418.32</v>
      </c>
      <c r="O637" s="613">
        <f>417747.06-229107.45-23939.18-10282.11</f>
        <v>154418.32</v>
      </c>
      <c r="P637" s="1763">
        <v>41546</v>
      </c>
      <c r="Q637" s="1763">
        <v>41996</v>
      </c>
      <c r="R637" s="1758" t="s">
        <v>2882</v>
      </c>
      <c r="S637" s="1758">
        <v>44905100</v>
      </c>
      <c r="T637" s="1912"/>
    </row>
    <row r="638" spans="1:20" s="420" customFormat="1" ht="34.5" customHeight="1" x14ac:dyDescent="0.25">
      <c r="A638" s="1758"/>
      <c r="B638" s="1758"/>
      <c r="C638" s="1758" t="s">
        <v>3734</v>
      </c>
      <c r="D638" s="1758"/>
      <c r="E638" s="1762"/>
      <c r="F638" s="1758"/>
      <c r="G638" s="1764"/>
      <c r="H638" s="1782" t="s">
        <v>3761</v>
      </c>
      <c r="I638" s="1759" t="s">
        <v>3762</v>
      </c>
      <c r="J638" s="1767" t="s">
        <v>3737</v>
      </c>
      <c r="K638" s="1762"/>
      <c r="L638" s="613">
        <v>110547.46</v>
      </c>
      <c r="M638" s="613">
        <v>0</v>
      </c>
      <c r="N638" s="1787">
        <v>54250.67</v>
      </c>
      <c r="O638" s="613">
        <v>54250.67</v>
      </c>
      <c r="P638" s="1763">
        <v>41569</v>
      </c>
      <c r="Q638" s="1763">
        <v>41749</v>
      </c>
      <c r="R638" s="1758">
        <v>1</v>
      </c>
      <c r="S638" s="1758">
        <v>44905100</v>
      </c>
      <c r="T638" s="1912"/>
    </row>
    <row r="639" spans="1:20" s="420" customFormat="1" ht="34.5" customHeight="1" x14ac:dyDescent="0.25">
      <c r="A639" s="1758"/>
      <c r="B639" s="1758"/>
      <c r="C639" s="1758" t="s">
        <v>3734</v>
      </c>
      <c r="D639" s="1758"/>
      <c r="E639" s="1762"/>
      <c r="F639" s="1758"/>
      <c r="G639" s="1764"/>
      <c r="H639" s="1782" t="s">
        <v>3763</v>
      </c>
      <c r="I639" s="1759" t="s">
        <v>3764</v>
      </c>
      <c r="J639" s="1767" t="s">
        <v>3737</v>
      </c>
      <c r="K639" s="1762"/>
      <c r="L639" s="613">
        <v>10664623.18</v>
      </c>
      <c r="M639" s="613">
        <v>2222176.75</v>
      </c>
      <c r="N639" s="1787">
        <v>7290962.79</v>
      </c>
      <c r="O639" s="613">
        <v>11740962.789999999</v>
      </c>
      <c r="P639" s="1763">
        <v>41589</v>
      </c>
      <c r="Q639" s="1763">
        <v>41829</v>
      </c>
      <c r="R639" s="1758">
        <v>1</v>
      </c>
      <c r="S639" s="1758">
        <v>44905100</v>
      </c>
      <c r="T639" s="1912"/>
    </row>
    <row r="640" spans="1:20" s="420" customFormat="1" ht="53.25" customHeight="1" x14ac:dyDescent="0.25">
      <c r="A640" s="1758"/>
      <c r="B640" s="1758"/>
      <c r="C640" s="1758" t="s">
        <v>3734</v>
      </c>
      <c r="D640" s="1758"/>
      <c r="E640" s="1762"/>
      <c r="F640" s="1758"/>
      <c r="G640" s="1764"/>
      <c r="H640" s="1782" t="s">
        <v>3765</v>
      </c>
      <c r="I640" s="1759" t="s">
        <v>738</v>
      </c>
      <c r="J640" s="1767" t="s">
        <v>3737</v>
      </c>
      <c r="K640" s="1762"/>
      <c r="L640" s="613">
        <v>10209108.359999999</v>
      </c>
      <c r="M640" s="613">
        <v>0</v>
      </c>
      <c r="N640" s="1787">
        <v>4076754.47</v>
      </c>
      <c r="O640" s="613">
        <v>4076754.47</v>
      </c>
      <c r="P640" s="1763">
        <v>41640</v>
      </c>
      <c r="Q640" s="1763">
        <v>42340</v>
      </c>
      <c r="R640" s="1758">
        <v>1</v>
      </c>
      <c r="S640" s="1758">
        <v>33903900</v>
      </c>
      <c r="T640" s="1912"/>
    </row>
    <row r="641" spans="1:20" s="420" customFormat="1" ht="53.25" customHeight="1" x14ac:dyDescent="0.25">
      <c r="A641" s="1932"/>
      <c r="B641" s="421"/>
      <c r="C641" s="1758" t="s">
        <v>3734</v>
      </c>
      <c r="D641" s="1758"/>
      <c r="E641" s="1762"/>
      <c r="F641" s="1758"/>
      <c r="G641" s="1771"/>
      <c r="H641" s="1782" t="s">
        <v>3766</v>
      </c>
      <c r="I641" s="1786" t="s">
        <v>686</v>
      </c>
      <c r="J641" s="1781" t="s">
        <v>3767</v>
      </c>
      <c r="K641" s="1788"/>
      <c r="L641" s="1933">
        <v>6000</v>
      </c>
      <c r="M641" s="613">
        <v>0</v>
      </c>
      <c r="N641" s="1787">
        <v>4000</v>
      </c>
      <c r="O641" s="613">
        <v>4000</v>
      </c>
      <c r="P641" s="1763">
        <v>41647</v>
      </c>
      <c r="Q641" s="1763">
        <v>42011</v>
      </c>
      <c r="R641" s="1758">
        <v>1</v>
      </c>
      <c r="S641" s="1758">
        <v>33903900</v>
      </c>
      <c r="T641" s="1912"/>
    </row>
    <row r="642" spans="1:20" s="420" customFormat="1" ht="34.5" customHeight="1" x14ac:dyDescent="0.25">
      <c r="A642" s="1985"/>
      <c r="B642" s="1985"/>
      <c r="C642" s="1985" t="s">
        <v>3734</v>
      </c>
      <c r="D642" s="1985"/>
      <c r="E642" s="1985"/>
      <c r="F642" s="1985"/>
      <c r="G642" s="1985"/>
      <c r="H642" s="1985" t="s">
        <v>3768</v>
      </c>
      <c r="I642" s="1759" t="s">
        <v>811</v>
      </c>
      <c r="J642" s="1985" t="s">
        <v>3737</v>
      </c>
      <c r="K642" s="1762"/>
      <c r="L642" s="2282">
        <v>18785337.530000001</v>
      </c>
      <c r="M642" s="613">
        <v>0</v>
      </c>
      <c r="N642" s="2282">
        <v>23481671.899999999</v>
      </c>
      <c r="O642" s="2282">
        <v>23381671.899999999</v>
      </c>
      <c r="P642" s="1763">
        <v>41715</v>
      </c>
      <c r="Q642" s="1763">
        <v>42079</v>
      </c>
      <c r="R642" s="1985">
        <v>1</v>
      </c>
      <c r="S642" s="1985">
        <v>44905100</v>
      </c>
      <c r="T642" s="1912"/>
    </row>
    <row r="643" spans="1:20" s="420" customFormat="1" ht="34.5" customHeight="1" x14ac:dyDescent="0.25">
      <c r="A643" s="1986"/>
      <c r="B643" s="1986"/>
      <c r="C643" s="1986" t="s">
        <v>3738</v>
      </c>
      <c r="D643" s="1986"/>
      <c r="E643" s="1986"/>
      <c r="F643" s="1986"/>
      <c r="G643" s="1986"/>
      <c r="H643" s="1986" t="s">
        <v>3768</v>
      </c>
      <c r="I643" s="1759" t="s">
        <v>3769</v>
      </c>
      <c r="J643" s="1986" t="s">
        <v>3737</v>
      </c>
      <c r="K643" s="1762">
        <v>11392</v>
      </c>
      <c r="L643" s="2283"/>
      <c r="M643" s="613">
        <v>4696334.37</v>
      </c>
      <c r="N643" s="2283"/>
      <c r="O643" s="2283"/>
      <c r="P643" s="1763"/>
      <c r="Q643" s="1763"/>
      <c r="R643" s="1986"/>
      <c r="S643" s="1986"/>
      <c r="T643" s="1912"/>
    </row>
    <row r="644" spans="1:20" s="420" customFormat="1" ht="34.5" customHeight="1" x14ac:dyDescent="0.25">
      <c r="A644" s="1758" t="s">
        <v>3770</v>
      </c>
      <c r="B644" s="1758"/>
      <c r="C644" s="1758" t="s">
        <v>3734</v>
      </c>
      <c r="D644" s="1758"/>
      <c r="E644" s="1762"/>
      <c r="F644" s="1758"/>
      <c r="G644" s="1764"/>
      <c r="H644" s="1782" t="s">
        <v>3771</v>
      </c>
      <c r="I644" s="1759" t="s">
        <v>3772</v>
      </c>
      <c r="J644" s="1767" t="s">
        <v>3737</v>
      </c>
      <c r="K644" s="1762"/>
      <c r="L644" s="613">
        <v>11165738.029999999</v>
      </c>
      <c r="M644" s="613">
        <v>0</v>
      </c>
      <c r="N644" s="1787">
        <v>64551.05</v>
      </c>
      <c r="O644" s="613">
        <v>64551.05</v>
      </c>
      <c r="P644" s="1763"/>
      <c r="Q644" s="1763">
        <v>749</v>
      </c>
      <c r="R644" s="1758" t="s">
        <v>1239</v>
      </c>
      <c r="S644" s="1758">
        <v>44905100</v>
      </c>
      <c r="T644" s="1912"/>
    </row>
    <row r="645" spans="1:20" s="420" customFormat="1" ht="34.5" customHeight="1" x14ac:dyDescent="0.25">
      <c r="A645" s="1758" t="s">
        <v>3773</v>
      </c>
      <c r="B645" s="1758"/>
      <c r="C645" s="1758" t="s">
        <v>3734</v>
      </c>
      <c r="D645" s="1762">
        <v>11367</v>
      </c>
      <c r="E645" s="1762"/>
      <c r="F645" s="1762">
        <v>11367</v>
      </c>
      <c r="G645" s="1764"/>
      <c r="H645" s="1407" t="s">
        <v>3774</v>
      </c>
      <c r="I645" s="1759" t="s">
        <v>1990</v>
      </c>
      <c r="J645" s="1407" t="s">
        <v>3775</v>
      </c>
      <c r="K645" s="1762">
        <v>11370</v>
      </c>
      <c r="L645" s="613">
        <v>1311143.52</v>
      </c>
      <c r="M645" s="613"/>
      <c r="N645" s="1787"/>
      <c r="O645" s="613"/>
      <c r="P645" s="1763">
        <v>41862</v>
      </c>
      <c r="Q645" s="1763">
        <v>42592</v>
      </c>
      <c r="R645" s="1758">
        <v>1</v>
      </c>
      <c r="S645" s="1758">
        <v>33903900</v>
      </c>
      <c r="T645" s="1912"/>
    </row>
    <row r="646" spans="1:20" s="420" customFormat="1" ht="51.75" customHeight="1" x14ac:dyDescent="0.25">
      <c r="A646" s="1758" t="s">
        <v>3776</v>
      </c>
      <c r="B646" s="1758"/>
      <c r="C646" s="1758" t="s">
        <v>3734</v>
      </c>
      <c r="D646" s="1758">
        <v>11367</v>
      </c>
      <c r="E646" s="1762"/>
      <c r="F646" s="1758">
        <v>11367</v>
      </c>
      <c r="G646" s="1764"/>
      <c r="H646" s="1782" t="s">
        <v>3777</v>
      </c>
      <c r="I646" s="1759" t="s">
        <v>1997</v>
      </c>
      <c r="J646" s="1767" t="s">
        <v>3778</v>
      </c>
      <c r="K646" s="1762">
        <v>11370</v>
      </c>
      <c r="L646" s="613">
        <v>518441.96</v>
      </c>
      <c r="M646" s="613"/>
      <c r="N646" s="1787">
        <v>291276.06</v>
      </c>
      <c r="O646" s="613">
        <v>291276.06</v>
      </c>
      <c r="P646" s="1763">
        <v>41862</v>
      </c>
      <c r="Q646" s="1763">
        <v>41952</v>
      </c>
      <c r="R646" s="1758" t="s">
        <v>2882</v>
      </c>
      <c r="S646" s="1758">
        <v>44905100</v>
      </c>
      <c r="T646" s="1912"/>
    </row>
    <row r="647" spans="1:20" s="420" customFormat="1" ht="44.25" customHeight="1" x14ac:dyDescent="0.25">
      <c r="A647" s="1758" t="s">
        <v>3779</v>
      </c>
      <c r="B647" s="421"/>
      <c r="C647" s="1758" t="s">
        <v>3734</v>
      </c>
      <c r="D647" s="1758">
        <v>11386</v>
      </c>
      <c r="E647" s="1762"/>
      <c r="F647" s="1758">
        <v>11386</v>
      </c>
      <c r="G647" s="1771"/>
      <c r="H647" s="1782" t="s">
        <v>3780</v>
      </c>
      <c r="I647" s="1786" t="s">
        <v>2030</v>
      </c>
      <c r="J647" s="1781" t="s">
        <v>3737</v>
      </c>
      <c r="K647" s="1788">
        <v>11392</v>
      </c>
      <c r="L647" s="1934">
        <v>299088</v>
      </c>
      <c r="M647" s="613"/>
      <c r="N647" s="1787">
        <v>277796.34000000003</v>
      </c>
      <c r="O647" s="1787">
        <v>277796.34000000003</v>
      </c>
      <c r="P647" s="1763"/>
      <c r="Q647" s="1763"/>
      <c r="R647" s="1758">
        <v>7</v>
      </c>
      <c r="S647" s="1758">
        <v>44905100</v>
      </c>
      <c r="T647" s="1912"/>
    </row>
    <row r="648" spans="1:20" s="420" customFormat="1" ht="46.5" customHeight="1" x14ac:dyDescent="0.25">
      <c r="A648" s="1758" t="s">
        <v>3781</v>
      </c>
      <c r="B648" s="1758"/>
      <c r="C648" s="1758" t="s">
        <v>3734</v>
      </c>
      <c r="D648" s="1758">
        <v>11417</v>
      </c>
      <c r="E648" s="1762"/>
      <c r="F648" s="1758">
        <v>11417</v>
      </c>
      <c r="G648" s="1764"/>
      <c r="H648" s="1782" t="s">
        <v>3782</v>
      </c>
      <c r="I648" s="1759" t="s">
        <v>2048</v>
      </c>
      <c r="J648" s="1767" t="s">
        <v>3775</v>
      </c>
      <c r="K648" s="1762">
        <v>11424</v>
      </c>
      <c r="L648" s="613">
        <v>42807.6</v>
      </c>
      <c r="M648" s="613"/>
      <c r="N648" s="1787"/>
      <c r="O648" s="613"/>
      <c r="P648" s="1763">
        <v>41933</v>
      </c>
      <c r="Q648" s="1763">
        <v>42112</v>
      </c>
      <c r="R648" s="1758">
        <v>1</v>
      </c>
      <c r="S648" s="1758">
        <v>33903900</v>
      </c>
      <c r="T648" s="1912"/>
    </row>
    <row r="649" spans="1:20" s="420" customFormat="1" ht="34.5" customHeight="1" x14ac:dyDescent="0.25">
      <c r="A649" s="1932"/>
      <c r="B649" s="421"/>
      <c r="C649" s="1758" t="s">
        <v>3734</v>
      </c>
      <c r="D649" s="1758"/>
      <c r="E649" s="1762"/>
      <c r="F649" s="1758"/>
      <c r="G649" s="1771"/>
      <c r="H649" s="1782" t="s">
        <v>3783</v>
      </c>
      <c r="I649" s="1786" t="s">
        <v>3784</v>
      </c>
      <c r="J649" s="1781" t="s">
        <v>3785</v>
      </c>
      <c r="K649" s="1788"/>
      <c r="L649" s="1933">
        <v>4993879.4099999992</v>
      </c>
      <c r="M649" s="613">
        <v>0</v>
      </c>
      <c r="N649" s="1787">
        <v>5442230.8299999991</v>
      </c>
      <c r="O649" s="613">
        <v>5442230.8299999991</v>
      </c>
      <c r="P649" s="1763"/>
      <c r="Q649" s="1763"/>
      <c r="R649" s="1758">
        <v>19</v>
      </c>
      <c r="S649" s="1758">
        <v>33903900</v>
      </c>
      <c r="T649" s="1912"/>
    </row>
    <row r="650" spans="1:20" s="420" customFormat="1" ht="45" customHeight="1" x14ac:dyDescent="0.25">
      <c r="A650" s="1932"/>
      <c r="B650" s="421"/>
      <c r="C650" s="1758"/>
      <c r="D650" s="1758"/>
      <c r="E650" s="1762"/>
      <c r="F650" s="1758"/>
      <c r="G650" s="1771"/>
      <c r="H650" s="1782"/>
      <c r="I650" s="1786"/>
      <c r="J650" s="1781"/>
      <c r="K650" s="1788"/>
      <c r="L650" s="1933"/>
      <c r="M650" s="613"/>
      <c r="N650" s="1787">
        <f>SUM(N618:N649)</f>
        <v>42999295.289999999</v>
      </c>
      <c r="O650" s="613"/>
      <c r="P650" s="1763"/>
      <c r="Q650" s="1763"/>
      <c r="R650" s="1758"/>
      <c r="S650" s="1758"/>
      <c r="T650" s="1912"/>
    </row>
    <row r="651" spans="1:20" s="420" customFormat="1" ht="30.75" customHeight="1" x14ac:dyDescent="0.25">
      <c r="A651" s="1758" t="s">
        <v>3786</v>
      </c>
      <c r="B651" s="1758"/>
      <c r="C651" s="1758" t="s">
        <v>3734</v>
      </c>
      <c r="D651" s="1758"/>
      <c r="E651" s="1758"/>
      <c r="F651" s="1758"/>
      <c r="G651" s="1758"/>
      <c r="H651" s="1782" t="s">
        <v>3787</v>
      </c>
      <c r="I651" s="1759" t="s">
        <v>3784</v>
      </c>
      <c r="J651" s="1767" t="s">
        <v>3788</v>
      </c>
      <c r="K651" s="1762"/>
      <c r="L651" s="613">
        <v>6202.12</v>
      </c>
      <c r="M651" s="613">
        <v>0</v>
      </c>
      <c r="N651" s="1787">
        <v>6202.12</v>
      </c>
      <c r="O651" s="613">
        <v>6202.12</v>
      </c>
      <c r="P651" s="1763">
        <v>41655</v>
      </c>
      <c r="Q651" s="1763">
        <v>41664</v>
      </c>
      <c r="R651" s="1758">
        <v>1</v>
      </c>
      <c r="S651" s="1758">
        <v>33903900</v>
      </c>
      <c r="T651" s="1912"/>
    </row>
    <row r="652" spans="1:20" s="420" customFormat="1" ht="31.5" customHeight="1" x14ac:dyDescent="0.25">
      <c r="A652" s="1932" t="s">
        <v>3789</v>
      </c>
      <c r="B652" s="421"/>
      <c r="C652" s="1758" t="s">
        <v>3734</v>
      </c>
      <c r="D652" s="1758"/>
      <c r="E652" s="1758"/>
      <c r="F652" s="1758"/>
      <c r="G652" s="1758"/>
      <c r="H652" s="1782" t="s">
        <v>3790</v>
      </c>
      <c r="I652" s="1786" t="s">
        <v>3784</v>
      </c>
      <c r="J652" s="1781" t="s">
        <v>3791</v>
      </c>
      <c r="K652" s="1788"/>
      <c r="L652" s="1934">
        <v>12898.32</v>
      </c>
      <c r="M652" s="613">
        <v>0</v>
      </c>
      <c r="N652" s="1787">
        <v>12898.32</v>
      </c>
      <c r="O652" s="613">
        <v>12898.32</v>
      </c>
      <c r="P652" s="1763">
        <v>41659</v>
      </c>
      <c r="Q652" s="1763">
        <v>41668</v>
      </c>
      <c r="R652" s="1758">
        <v>1</v>
      </c>
      <c r="S652" s="1758">
        <v>33903900</v>
      </c>
      <c r="T652" s="1912"/>
    </row>
    <row r="653" spans="1:20" s="420" customFormat="1" ht="30.75" customHeight="1" x14ac:dyDescent="0.25">
      <c r="A653" s="1758" t="s">
        <v>3792</v>
      </c>
      <c r="B653" s="1758"/>
      <c r="C653" s="1758" t="s">
        <v>3734</v>
      </c>
      <c r="D653" s="1758"/>
      <c r="E653" s="1758"/>
      <c r="F653" s="1758"/>
      <c r="G653" s="1758"/>
      <c r="H653" s="1782" t="s">
        <v>3793</v>
      </c>
      <c r="I653" s="1759" t="s">
        <v>3784</v>
      </c>
      <c r="J653" s="1767" t="s">
        <v>2874</v>
      </c>
      <c r="K653" s="1762"/>
      <c r="L653" s="613">
        <v>12203.16</v>
      </c>
      <c r="M653" s="613">
        <v>0</v>
      </c>
      <c r="N653" s="1787">
        <v>12203.16</v>
      </c>
      <c r="O653" s="613">
        <v>12203.16</v>
      </c>
      <c r="P653" s="1763">
        <v>41646</v>
      </c>
      <c r="Q653" s="1763">
        <v>41655</v>
      </c>
      <c r="R653" s="1758">
        <v>1</v>
      </c>
      <c r="S653" s="1758">
        <v>33903900</v>
      </c>
      <c r="T653" s="1912"/>
    </row>
    <row r="654" spans="1:20" s="420" customFormat="1" ht="31.5" customHeight="1" x14ac:dyDescent="0.25">
      <c r="A654" s="1932" t="s">
        <v>3794</v>
      </c>
      <c r="B654" s="421"/>
      <c r="C654" s="1758" t="s">
        <v>3734</v>
      </c>
      <c r="D654" s="1758"/>
      <c r="E654" s="1758"/>
      <c r="F654" s="1758"/>
      <c r="G654" s="1758"/>
      <c r="H654" s="1782" t="s">
        <v>3795</v>
      </c>
      <c r="I654" s="1786" t="s">
        <v>3784</v>
      </c>
      <c r="J654" s="1781" t="s">
        <v>2835</v>
      </c>
      <c r="K654" s="1788"/>
      <c r="L654" s="1934">
        <v>12602.62</v>
      </c>
      <c r="M654" s="613">
        <v>0</v>
      </c>
      <c r="N654" s="1787">
        <v>12602.62</v>
      </c>
      <c r="O654" s="613">
        <v>12602.62</v>
      </c>
      <c r="P654" s="1763">
        <v>41670</v>
      </c>
      <c r="Q654" s="1763">
        <v>41679</v>
      </c>
      <c r="R654" s="1758">
        <v>1</v>
      </c>
      <c r="S654" s="1758">
        <v>33903900</v>
      </c>
      <c r="T654" s="1912"/>
    </row>
    <row r="655" spans="1:20" s="420" customFormat="1" ht="30.75" customHeight="1" x14ac:dyDescent="0.25">
      <c r="A655" s="1758" t="s">
        <v>3796</v>
      </c>
      <c r="B655" s="1758"/>
      <c r="C655" s="1758" t="s">
        <v>3734</v>
      </c>
      <c r="D655" s="1758"/>
      <c r="E655" s="1758"/>
      <c r="F655" s="1758"/>
      <c r="G655" s="1758"/>
      <c r="H655" s="1782" t="s">
        <v>3797</v>
      </c>
      <c r="I655" s="1759" t="s">
        <v>3784</v>
      </c>
      <c r="J655" s="1767" t="s">
        <v>3798</v>
      </c>
      <c r="K655" s="1762"/>
      <c r="L655" s="613">
        <v>14935.09</v>
      </c>
      <c r="M655" s="613">
        <v>0</v>
      </c>
      <c r="N655" s="1787">
        <v>14935.09</v>
      </c>
      <c r="O655" s="613">
        <v>14935.09</v>
      </c>
      <c r="P655" s="1763">
        <v>4</v>
      </c>
      <c r="Q655" s="1763">
        <v>18</v>
      </c>
      <c r="R655" s="1758">
        <v>1</v>
      </c>
      <c r="S655" s="1758">
        <v>44905100</v>
      </c>
      <c r="T655" s="1912"/>
    </row>
    <row r="656" spans="1:20" s="420" customFormat="1" ht="31.5" customHeight="1" x14ac:dyDescent="0.25">
      <c r="A656" s="1932" t="s">
        <v>3799</v>
      </c>
      <c r="B656" s="421"/>
      <c r="C656" s="1758" t="s">
        <v>3734</v>
      </c>
      <c r="D656" s="1758"/>
      <c r="E656" s="1758"/>
      <c r="F656" s="1758"/>
      <c r="G656" s="1758"/>
      <c r="H656" s="1782" t="s">
        <v>3800</v>
      </c>
      <c r="I656" s="1786" t="s">
        <v>3784</v>
      </c>
      <c r="J656" s="1781" t="s">
        <v>3801</v>
      </c>
      <c r="K656" s="1788"/>
      <c r="L656" s="1934">
        <v>14571.99</v>
      </c>
      <c r="M656" s="613">
        <v>0</v>
      </c>
      <c r="N656" s="1787">
        <v>14571.99</v>
      </c>
      <c r="O656" s="613">
        <v>14571.99</v>
      </c>
      <c r="P656" s="1763">
        <v>41643</v>
      </c>
      <c r="Q656" s="1763">
        <v>41670</v>
      </c>
      <c r="R656" s="1758">
        <v>1</v>
      </c>
      <c r="S656" s="1758">
        <v>44905100</v>
      </c>
      <c r="T656" s="1912"/>
    </row>
    <row r="657" spans="1:20" s="420" customFormat="1" ht="30.75" customHeight="1" x14ac:dyDescent="0.25">
      <c r="A657" s="1758" t="s">
        <v>3802</v>
      </c>
      <c r="B657" s="1758"/>
      <c r="C657" s="1758" t="s">
        <v>3734</v>
      </c>
      <c r="D657" s="1758"/>
      <c r="E657" s="1758"/>
      <c r="F657" s="1758"/>
      <c r="G657" s="1758"/>
      <c r="H657" s="1782" t="s">
        <v>3803</v>
      </c>
      <c r="I657" s="1759" t="s">
        <v>3784</v>
      </c>
      <c r="J657" s="1767" t="s">
        <v>3804</v>
      </c>
      <c r="K657" s="1762"/>
      <c r="L657" s="613">
        <v>2145</v>
      </c>
      <c r="M657" s="613">
        <v>0</v>
      </c>
      <c r="N657" s="1787">
        <v>2145</v>
      </c>
      <c r="O657" s="613">
        <v>2145</v>
      </c>
      <c r="P657" s="613"/>
      <c r="Q657" s="613"/>
      <c r="R657" s="1758">
        <v>19</v>
      </c>
      <c r="S657" s="1758">
        <v>33903900</v>
      </c>
      <c r="T657" s="1912"/>
    </row>
    <row r="658" spans="1:20" s="420" customFormat="1" ht="31.5" customHeight="1" x14ac:dyDescent="0.25">
      <c r="A658" s="1932" t="s">
        <v>3805</v>
      </c>
      <c r="B658" s="421"/>
      <c r="C658" s="1758" t="s">
        <v>3734</v>
      </c>
      <c r="D658" s="1758"/>
      <c r="E658" s="1758"/>
      <c r="F658" s="1758"/>
      <c r="G658" s="1758"/>
      <c r="H658" s="1782" t="s">
        <v>3806</v>
      </c>
      <c r="I658" s="1786" t="s">
        <v>3784</v>
      </c>
      <c r="J658" s="1781" t="s">
        <v>3807</v>
      </c>
      <c r="K658" s="1788"/>
      <c r="L658" s="1934">
        <v>8239.14</v>
      </c>
      <c r="M658" s="613">
        <v>0</v>
      </c>
      <c r="N658" s="1787">
        <v>8239.14</v>
      </c>
      <c r="O658" s="613">
        <v>8239.14</v>
      </c>
      <c r="P658" s="1763">
        <v>41705</v>
      </c>
      <c r="Q658" s="1763">
        <v>41721</v>
      </c>
      <c r="R658" s="1758">
        <v>1</v>
      </c>
      <c r="S658" s="1758">
        <v>33903900</v>
      </c>
      <c r="T658" s="1912"/>
    </row>
    <row r="659" spans="1:20" s="420" customFormat="1" ht="30.75" customHeight="1" x14ac:dyDescent="0.25">
      <c r="A659" s="1758" t="s">
        <v>3808</v>
      </c>
      <c r="B659" s="1758"/>
      <c r="C659" s="1758" t="s">
        <v>3734</v>
      </c>
      <c r="D659" s="1758"/>
      <c r="E659" s="1758"/>
      <c r="F659" s="1758"/>
      <c r="G659" s="1758"/>
      <c r="H659" s="1782" t="s">
        <v>3809</v>
      </c>
      <c r="I659" s="1759" t="s">
        <v>3784</v>
      </c>
      <c r="J659" s="1767" t="s">
        <v>3810</v>
      </c>
      <c r="K659" s="1762"/>
      <c r="L659" s="613">
        <v>14815</v>
      </c>
      <c r="M659" s="613">
        <v>0</v>
      </c>
      <c r="N659" s="1787">
        <v>14815</v>
      </c>
      <c r="O659" s="613">
        <v>14815</v>
      </c>
      <c r="P659" s="1763">
        <v>41705</v>
      </c>
      <c r="Q659" s="1763">
        <v>41718</v>
      </c>
      <c r="R659" s="1758">
        <v>1</v>
      </c>
      <c r="S659" s="1758">
        <v>33903900</v>
      </c>
      <c r="T659" s="1912"/>
    </row>
    <row r="660" spans="1:20" s="420" customFormat="1" ht="31.5" customHeight="1" x14ac:dyDescent="0.25">
      <c r="A660" s="1932" t="s">
        <v>3811</v>
      </c>
      <c r="B660" s="421"/>
      <c r="C660" s="1758" t="s">
        <v>3734</v>
      </c>
      <c r="D660" s="1758"/>
      <c r="E660" s="1758"/>
      <c r="F660" s="1758"/>
      <c r="G660" s="1758"/>
      <c r="H660" s="1782" t="s">
        <v>3812</v>
      </c>
      <c r="I660" s="1786" t="s">
        <v>3784</v>
      </c>
      <c r="J660" s="1781" t="s">
        <v>3813</v>
      </c>
      <c r="K660" s="1788"/>
      <c r="L660" s="1934">
        <v>4951</v>
      </c>
      <c r="M660" s="613">
        <v>0</v>
      </c>
      <c r="N660" s="1787">
        <v>4951</v>
      </c>
      <c r="O660" s="613">
        <v>4951</v>
      </c>
      <c r="P660" s="1763">
        <v>41696</v>
      </c>
      <c r="Q660" s="1763">
        <v>41710</v>
      </c>
      <c r="R660" s="1758">
        <v>1</v>
      </c>
      <c r="S660" s="1758">
        <v>33903900</v>
      </c>
      <c r="T660" s="1912"/>
    </row>
    <row r="661" spans="1:20" s="420" customFormat="1" ht="30.75" customHeight="1" x14ac:dyDescent="0.25">
      <c r="A661" s="1758" t="s">
        <v>3814</v>
      </c>
      <c r="B661" s="1758"/>
      <c r="C661" s="1758" t="s">
        <v>3734</v>
      </c>
      <c r="D661" s="1758"/>
      <c r="E661" s="1758"/>
      <c r="F661" s="1758"/>
      <c r="G661" s="1758"/>
      <c r="H661" s="1782" t="s">
        <v>3815</v>
      </c>
      <c r="I661" s="1759" t="s">
        <v>3784</v>
      </c>
      <c r="J661" s="1767" t="s">
        <v>3816</v>
      </c>
      <c r="K661" s="1762"/>
      <c r="L661" s="613">
        <v>14603</v>
      </c>
      <c r="M661" s="613">
        <v>0</v>
      </c>
      <c r="N661" s="1787">
        <v>14603</v>
      </c>
      <c r="O661" s="613">
        <v>14603</v>
      </c>
      <c r="P661" s="1763">
        <v>41683</v>
      </c>
      <c r="Q661" s="1763">
        <v>41697</v>
      </c>
      <c r="R661" s="1758">
        <v>1</v>
      </c>
      <c r="S661" s="1758">
        <v>44905100</v>
      </c>
      <c r="T661" s="1912"/>
    </row>
    <row r="662" spans="1:20" s="420" customFormat="1" ht="31.5" customHeight="1" x14ac:dyDescent="0.25">
      <c r="A662" s="1932" t="s">
        <v>3817</v>
      </c>
      <c r="B662" s="421"/>
      <c r="C662" s="1758" t="s">
        <v>3734</v>
      </c>
      <c r="D662" s="1758"/>
      <c r="E662" s="1758"/>
      <c r="F662" s="1758"/>
      <c r="G662" s="1758"/>
      <c r="H662" s="1782" t="s">
        <v>3818</v>
      </c>
      <c r="I662" s="1786" t="s">
        <v>3784</v>
      </c>
      <c r="J662" s="1781" t="s">
        <v>3819</v>
      </c>
      <c r="K662" s="1788"/>
      <c r="L662" s="1934">
        <v>4300</v>
      </c>
      <c r="M662" s="613">
        <v>0</v>
      </c>
      <c r="N662" s="1787">
        <v>4300</v>
      </c>
      <c r="O662" s="613">
        <v>4300</v>
      </c>
      <c r="P662" s="1763">
        <v>41666</v>
      </c>
      <c r="Q662" s="1763">
        <v>41680</v>
      </c>
      <c r="R662" s="1758">
        <v>1</v>
      </c>
      <c r="S662" s="1758">
        <v>33903900</v>
      </c>
      <c r="T662" s="1912"/>
    </row>
    <row r="663" spans="1:20" s="420" customFormat="1" ht="30.75" customHeight="1" x14ac:dyDescent="0.25">
      <c r="A663" s="1758" t="s">
        <v>306</v>
      </c>
      <c r="B663" s="1758"/>
      <c r="C663" s="1758" t="s">
        <v>3734</v>
      </c>
      <c r="D663" s="1758"/>
      <c r="E663" s="1758"/>
      <c r="F663" s="1758"/>
      <c r="G663" s="1758"/>
      <c r="H663" s="1782" t="s">
        <v>3820</v>
      </c>
      <c r="I663" s="1759" t="s">
        <v>3784</v>
      </c>
      <c r="J663" s="1767" t="s">
        <v>3821</v>
      </c>
      <c r="K663" s="1762"/>
      <c r="L663" s="613">
        <v>14922.05</v>
      </c>
      <c r="M663" s="613">
        <v>0</v>
      </c>
      <c r="N663" s="1787">
        <v>14922.05</v>
      </c>
      <c r="O663" s="613">
        <v>14922.05</v>
      </c>
      <c r="P663" s="1763">
        <v>41684</v>
      </c>
      <c r="Q663" s="1763">
        <v>41713</v>
      </c>
      <c r="R663" s="1758">
        <v>1</v>
      </c>
      <c r="S663" s="1758">
        <v>44905100</v>
      </c>
      <c r="T663" s="1912"/>
    </row>
    <row r="664" spans="1:20" s="420" customFormat="1" ht="31.5" customHeight="1" x14ac:dyDescent="0.25">
      <c r="A664" s="1932" t="s">
        <v>3822</v>
      </c>
      <c r="B664" s="421"/>
      <c r="C664" s="1758" t="s">
        <v>3734</v>
      </c>
      <c r="D664" s="1758"/>
      <c r="E664" s="1758"/>
      <c r="F664" s="1758"/>
      <c r="G664" s="1758"/>
      <c r="H664" s="1782" t="s">
        <v>3823</v>
      </c>
      <c r="I664" s="1786" t="s">
        <v>3784</v>
      </c>
      <c r="J664" s="1781" t="s">
        <v>2863</v>
      </c>
      <c r="K664" s="1788"/>
      <c r="L664" s="1934">
        <v>14721.5</v>
      </c>
      <c r="M664" s="613">
        <v>0</v>
      </c>
      <c r="N664" s="1787">
        <v>14721.5</v>
      </c>
      <c r="O664" s="613">
        <v>14721.5</v>
      </c>
      <c r="P664" s="1763">
        <v>41723</v>
      </c>
      <c r="Q664" s="1763">
        <v>41765</v>
      </c>
      <c r="R664" s="1758">
        <v>1</v>
      </c>
      <c r="S664" s="1758">
        <v>33903900</v>
      </c>
      <c r="T664" s="1912"/>
    </row>
    <row r="665" spans="1:20" s="420" customFormat="1" ht="30.75" customHeight="1" x14ac:dyDescent="0.25">
      <c r="A665" s="1758" t="s">
        <v>724</v>
      </c>
      <c r="B665" s="1758"/>
      <c r="C665" s="1758" t="s">
        <v>3734</v>
      </c>
      <c r="D665" s="1758"/>
      <c r="E665" s="1758"/>
      <c r="F665" s="1758"/>
      <c r="G665" s="1758"/>
      <c r="H665" s="1782" t="s">
        <v>3824</v>
      </c>
      <c r="I665" s="1759" t="s">
        <v>3784</v>
      </c>
      <c r="J665" s="1767" t="s">
        <v>3825</v>
      </c>
      <c r="K665" s="1762"/>
      <c r="L665" s="613">
        <v>14894.34</v>
      </c>
      <c r="M665" s="613">
        <v>0</v>
      </c>
      <c r="N665" s="1787">
        <v>14894.34</v>
      </c>
      <c r="O665" s="613">
        <v>14894.34</v>
      </c>
      <c r="P665" s="1763">
        <v>41703</v>
      </c>
      <c r="Q665" s="1763">
        <v>41767</v>
      </c>
      <c r="R665" s="1758">
        <v>1</v>
      </c>
      <c r="S665" s="1758">
        <v>33903900</v>
      </c>
      <c r="T665" s="1912"/>
    </row>
    <row r="666" spans="1:20" s="420" customFormat="1" ht="31.5" customHeight="1" x14ac:dyDescent="0.25">
      <c r="A666" s="1932" t="s">
        <v>308</v>
      </c>
      <c r="B666" s="421"/>
      <c r="C666" s="1758" t="s">
        <v>3734</v>
      </c>
      <c r="D666" s="1758"/>
      <c r="E666" s="1758"/>
      <c r="F666" s="1758"/>
      <c r="G666" s="1758"/>
      <c r="H666" s="1782" t="s">
        <v>3826</v>
      </c>
      <c r="I666" s="1786" t="s">
        <v>3784</v>
      </c>
      <c r="J666" s="1781" t="s">
        <v>3827</v>
      </c>
      <c r="K666" s="1788"/>
      <c r="L666" s="1934">
        <v>10308.49</v>
      </c>
      <c r="M666" s="613">
        <v>0</v>
      </c>
      <c r="N666" s="1787">
        <v>10308.49</v>
      </c>
      <c r="O666" s="613">
        <v>10308.49</v>
      </c>
      <c r="P666" s="1763">
        <v>41714</v>
      </c>
      <c r="Q666" s="1763">
        <v>41768</v>
      </c>
      <c r="R666" s="1758">
        <v>1</v>
      </c>
      <c r="S666" s="1758">
        <v>33903900</v>
      </c>
      <c r="T666" s="1912"/>
    </row>
    <row r="667" spans="1:20" s="420" customFormat="1" ht="30.75" customHeight="1" x14ac:dyDescent="0.25">
      <c r="A667" s="1758" t="s">
        <v>328</v>
      </c>
      <c r="B667" s="1758"/>
      <c r="C667" s="1758" t="s">
        <v>3734</v>
      </c>
      <c r="D667" s="1758"/>
      <c r="E667" s="1758"/>
      <c r="F667" s="1758"/>
      <c r="G667" s="1758"/>
      <c r="H667" s="1782" t="s">
        <v>3828</v>
      </c>
      <c r="I667" s="1759" t="s">
        <v>3784</v>
      </c>
      <c r="J667" s="1767" t="s">
        <v>3829</v>
      </c>
      <c r="K667" s="1762"/>
      <c r="L667" s="613">
        <v>14887.42</v>
      </c>
      <c r="M667" s="613">
        <v>0</v>
      </c>
      <c r="N667" s="613">
        <v>14887.42</v>
      </c>
      <c r="O667" s="613">
        <v>14887.42</v>
      </c>
      <c r="P667" s="1763">
        <v>41739</v>
      </c>
      <c r="Q667" s="1763">
        <v>41771</v>
      </c>
      <c r="R667" s="1758">
        <v>1</v>
      </c>
      <c r="S667" s="1758">
        <v>33903900</v>
      </c>
      <c r="T667" s="1912"/>
    </row>
    <row r="668" spans="1:20" s="420" customFormat="1" ht="31.5" customHeight="1" x14ac:dyDescent="0.25">
      <c r="A668" s="1932" t="s">
        <v>313</v>
      </c>
      <c r="B668" s="421"/>
      <c r="C668" s="1758" t="s">
        <v>3734</v>
      </c>
      <c r="D668" s="1758"/>
      <c r="E668" s="1758"/>
      <c r="F668" s="1758"/>
      <c r="G668" s="1758"/>
      <c r="H668" s="1782" t="s">
        <v>3830</v>
      </c>
      <c r="I668" s="1786" t="s">
        <v>3784</v>
      </c>
      <c r="J668" s="1781" t="s">
        <v>3831</v>
      </c>
      <c r="K668" s="1788"/>
      <c r="L668" s="1934">
        <v>14649.8</v>
      </c>
      <c r="M668" s="613">
        <v>0</v>
      </c>
      <c r="N668" s="613">
        <v>14649.8</v>
      </c>
      <c r="O668" s="613">
        <v>14649.8</v>
      </c>
      <c r="P668" s="1763">
        <v>41660</v>
      </c>
      <c r="Q668" s="1763">
        <v>41773</v>
      </c>
      <c r="R668" s="1758">
        <v>1</v>
      </c>
      <c r="S668" s="1758">
        <v>33903900</v>
      </c>
      <c r="T668" s="1912"/>
    </row>
    <row r="669" spans="1:20" s="420" customFormat="1" ht="30.75" customHeight="1" x14ac:dyDescent="0.25">
      <c r="A669" s="1758" t="s">
        <v>319</v>
      </c>
      <c r="B669" s="1758"/>
      <c r="C669" s="1758" t="s">
        <v>3734</v>
      </c>
      <c r="D669" s="1758"/>
      <c r="E669" s="1758"/>
      <c r="F669" s="1758"/>
      <c r="G669" s="1758"/>
      <c r="H669" s="1782" t="s">
        <v>3832</v>
      </c>
      <c r="I669" s="1759" t="s">
        <v>3784</v>
      </c>
      <c r="J669" s="1767" t="s">
        <v>3788</v>
      </c>
      <c r="K669" s="1762"/>
      <c r="L669" s="613">
        <v>2928.13</v>
      </c>
      <c r="M669" s="613">
        <v>0</v>
      </c>
      <c r="N669" s="613">
        <v>2928.13</v>
      </c>
      <c r="O669" s="613">
        <v>2928.13</v>
      </c>
      <c r="P669" s="1763">
        <v>41747</v>
      </c>
      <c r="Q669" s="1763">
        <v>41794</v>
      </c>
      <c r="R669" s="1758">
        <v>1</v>
      </c>
      <c r="S669" s="1758">
        <v>33903900</v>
      </c>
      <c r="T669" s="1912"/>
    </row>
    <row r="670" spans="1:20" s="420" customFormat="1" ht="31.5" customHeight="1" x14ac:dyDescent="0.25">
      <c r="A670" s="1932" t="s">
        <v>3833</v>
      </c>
      <c r="B670" s="421"/>
      <c r="C670" s="1758" t="s">
        <v>3734</v>
      </c>
      <c r="D670" s="1758"/>
      <c r="E670" s="1758"/>
      <c r="F670" s="1758"/>
      <c r="G670" s="1758"/>
      <c r="H670" s="1782" t="s">
        <v>3834</v>
      </c>
      <c r="I670" s="1786" t="s">
        <v>3784</v>
      </c>
      <c r="J670" s="1781" t="s">
        <v>2812</v>
      </c>
      <c r="K670" s="1788"/>
      <c r="L670" s="1934">
        <v>14792.52</v>
      </c>
      <c r="M670" s="613">
        <v>0</v>
      </c>
      <c r="N670" s="613">
        <v>14792.52</v>
      </c>
      <c r="O670" s="613">
        <v>14792.52</v>
      </c>
      <c r="P670" s="1763">
        <v>41783</v>
      </c>
      <c r="Q670" s="1763">
        <v>41800</v>
      </c>
      <c r="R670" s="1758">
        <v>1</v>
      </c>
      <c r="S670" s="1758">
        <v>33903900</v>
      </c>
      <c r="T670" s="1912"/>
    </row>
    <row r="671" spans="1:20" s="420" customFormat="1" ht="30.75" customHeight="1" x14ac:dyDescent="0.25">
      <c r="A671" s="1758"/>
      <c r="B671" s="1758"/>
      <c r="C671" s="1758" t="s">
        <v>3734</v>
      </c>
      <c r="D671" s="1758"/>
      <c r="E671" s="1758"/>
      <c r="F671" s="1758"/>
      <c r="G671" s="1758"/>
      <c r="H671" s="1782" t="s">
        <v>3835</v>
      </c>
      <c r="I671" s="1759" t="s">
        <v>3784</v>
      </c>
      <c r="J671" s="1767" t="s">
        <v>3836</v>
      </c>
      <c r="K671" s="1762"/>
      <c r="L671" s="613">
        <v>7995</v>
      </c>
      <c r="M671" s="613">
        <v>0</v>
      </c>
      <c r="N671" s="613">
        <v>7995</v>
      </c>
      <c r="O671" s="613">
        <v>7995</v>
      </c>
      <c r="P671" s="1758"/>
      <c r="Q671" s="1758"/>
      <c r="R671" s="1758">
        <v>1</v>
      </c>
      <c r="S671" s="1758">
        <v>33903000</v>
      </c>
      <c r="T671" s="1912"/>
    </row>
    <row r="672" spans="1:20" s="420" customFormat="1" ht="31.5" customHeight="1" x14ac:dyDescent="0.25">
      <c r="A672" s="421"/>
      <c r="B672" s="421"/>
      <c r="C672" s="1758" t="s">
        <v>3734</v>
      </c>
      <c r="D672" s="1758"/>
      <c r="E672" s="1758"/>
      <c r="F672" s="1758"/>
      <c r="G672" s="1758"/>
      <c r="H672" s="1782" t="s">
        <v>3837</v>
      </c>
      <c r="I672" s="1786" t="s">
        <v>3784</v>
      </c>
      <c r="J672" s="1781" t="s">
        <v>3838</v>
      </c>
      <c r="K672" s="1788"/>
      <c r="L672" s="1934">
        <v>7414</v>
      </c>
      <c r="M672" s="613">
        <v>0</v>
      </c>
      <c r="N672" s="613">
        <v>7414</v>
      </c>
      <c r="O672" s="613">
        <v>7414</v>
      </c>
      <c r="P672" s="421"/>
      <c r="Q672" s="421"/>
      <c r="R672" s="1758">
        <v>1</v>
      </c>
      <c r="S672" s="1758">
        <v>33903900</v>
      </c>
      <c r="T672" s="1912"/>
    </row>
    <row r="673" spans="1:20" s="420" customFormat="1" ht="30.75" customHeight="1" x14ac:dyDescent="0.25">
      <c r="A673" s="1758" t="s">
        <v>372</v>
      </c>
      <c r="B673" s="1758"/>
      <c r="C673" s="1758" t="s">
        <v>3734</v>
      </c>
      <c r="D673" s="1758"/>
      <c r="E673" s="1758"/>
      <c r="F673" s="1758"/>
      <c r="G673" s="1758"/>
      <c r="H673" s="1782" t="s">
        <v>3839</v>
      </c>
      <c r="I673" s="1759" t="s">
        <v>3784</v>
      </c>
      <c r="J673" s="1767" t="s">
        <v>2874</v>
      </c>
      <c r="K673" s="1762"/>
      <c r="L673" s="613">
        <v>14769.45</v>
      </c>
      <c r="M673" s="613">
        <v>0</v>
      </c>
      <c r="N673" s="613">
        <v>14769.45</v>
      </c>
      <c r="O673" s="613">
        <v>14769.45</v>
      </c>
      <c r="P673" s="1763">
        <v>41787</v>
      </c>
      <c r="Q673" s="1763">
        <v>41830</v>
      </c>
      <c r="R673" s="1758">
        <v>1</v>
      </c>
      <c r="S673" s="1758">
        <v>33903900</v>
      </c>
      <c r="T673" s="1912"/>
    </row>
    <row r="674" spans="1:20" s="420" customFormat="1" ht="31.5" customHeight="1" x14ac:dyDescent="0.25">
      <c r="A674" s="1932"/>
      <c r="B674" s="421"/>
      <c r="C674" s="1758" t="s">
        <v>3734</v>
      </c>
      <c r="D674" s="1758"/>
      <c r="E674" s="1758"/>
      <c r="F674" s="1758"/>
      <c r="G674" s="1758"/>
      <c r="H674" s="1782" t="s">
        <v>3840</v>
      </c>
      <c r="I674" s="1786" t="s">
        <v>3784</v>
      </c>
      <c r="J674" s="1781" t="s">
        <v>1574</v>
      </c>
      <c r="K674" s="1788"/>
      <c r="L674" s="1934">
        <v>14566.63</v>
      </c>
      <c r="M674" s="613">
        <v>0</v>
      </c>
      <c r="N674" s="613">
        <v>14566.63</v>
      </c>
      <c r="O674" s="613">
        <v>14566.63</v>
      </c>
      <c r="P674" s="1763">
        <v>41813</v>
      </c>
      <c r="Q674" s="1763">
        <v>41837</v>
      </c>
      <c r="R674" s="1758">
        <v>1</v>
      </c>
      <c r="S674" s="1758">
        <v>44905100</v>
      </c>
      <c r="T674" s="1912"/>
    </row>
    <row r="675" spans="1:20" s="420" customFormat="1" ht="30.75" customHeight="1" x14ac:dyDescent="0.25">
      <c r="A675" s="1758"/>
      <c r="B675" s="1758"/>
      <c r="C675" s="1758" t="s">
        <v>3734</v>
      </c>
      <c r="D675" s="1758"/>
      <c r="E675" s="1758"/>
      <c r="F675" s="1758"/>
      <c r="G675" s="1758"/>
      <c r="H675" s="1782" t="s">
        <v>3841</v>
      </c>
      <c r="I675" s="1759" t="s">
        <v>3784</v>
      </c>
      <c r="J675" s="1767" t="s">
        <v>3842</v>
      </c>
      <c r="K675" s="1762"/>
      <c r="L675" s="613">
        <v>14854.93</v>
      </c>
      <c r="M675" s="613">
        <v>0</v>
      </c>
      <c r="N675" s="613">
        <v>14854.93</v>
      </c>
      <c r="O675" s="613">
        <v>14854.93</v>
      </c>
      <c r="P675" s="1763">
        <v>41815</v>
      </c>
      <c r="Q675" s="1763">
        <v>41837</v>
      </c>
      <c r="R675" s="1758">
        <v>1</v>
      </c>
      <c r="S675" s="1758">
        <v>44905100</v>
      </c>
      <c r="T675" s="1912"/>
    </row>
    <row r="676" spans="1:20" s="420" customFormat="1" ht="31.5" customHeight="1" x14ac:dyDescent="0.25">
      <c r="A676" s="1932"/>
      <c r="B676" s="421"/>
      <c r="C676" s="1758" t="s">
        <v>3734</v>
      </c>
      <c r="D676" s="1758"/>
      <c r="E676" s="1758"/>
      <c r="F676" s="1758"/>
      <c r="G676" s="1758"/>
      <c r="H676" s="1782" t="s">
        <v>3843</v>
      </c>
      <c r="I676" s="1786" t="s">
        <v>3784</v>
      </c>
      <c r="J676" s="1781" t="s">
        <v>3844</v>
      </c>
      <c r="K676" s="1788"/>
      <c r="L676" s="1934">
        <v>1200</v>
      </c>
      <c r="M676" s="613">
        <v>0</v>
      </c>
      <c r="N676" s="613">
        <v>1200</v>
      </c>
      <c r="O676" s="613">
        <v>1200</v>
      </c>
      <c r="P676" s="1763"/>
      <c r="Q676" s="1763"/>
      <c r="R676" s="1758">
        <v>1</v>
      </c>
      <c r="S676" s="1758">
        <v>33903900</v>
      </c>
      <c r="T676" s="1912"/>
    </row>
    <row r="677" spans="1:20" s="420" customFormat="1" ht="30.75" customHeight="1" x14ac:dyDescent="0.25">
      <c r="A677" s="1758"/>
      <c r="B677" s="1758"/>
      <c r="C677" s="1758" t="s">
        <v>3734</v>
      </c>
      <c r="D677" s="1758"/>
      <c r="E677" s="1758"/>
      <c r="F677" s="1758"/>
      <c r="G677" s="1758"/>
      <c r="H677" s="1782" t="s">
        <v>3845</v>
      </c>
      <c r="I677" s="1759" t="s">
        <v>3784</v>
      </c>
      <c r="J677" s="1767" t="s">
        <v>3710</v>
      </c>
      <c r="K677" s="1762"/>
      <c r="L677" s="613">
        <v>739</v>
      </c>
      <c r="M677" s="613"/>
      <c r="N677" s="613">
        <v>739</v>
      </c>
      <c r="O677" s="613">
        <v>739</v>
      </c>
      <c r="P677" s="1763"/>
      <c r="Q677" s="1763"/>
      <c r="R677" s="1758">
        <v>1</v>
      </c>
      <c r="S677" s="1758">
        <v>33903000</v>
      </c>
      <c r="T677" s="1912"/>
    </row>
    <row r="678" spans="1:20" s="420" customFormat="1" ht="31.5" customHeight="1" x14ac:dyDescent="0.25">
      <c r="A678" s="1932"/>
      <c r="B678" s="421"/>
      <c r="C678" s="1758" t="s">
        <v>3734</v>
      </c>
      <c r="D678" s="1758"/>
      <c r="E678" s="1758"/>
      <c r="F678" s="1758"/>
      <c r="G678" s="1758"/>
      <c r="H678" s="1782" t="s">
        <v>3846</v>
      </c>
      <c r="I678" s="1786" t="s">
        <v>3784</v>
      </c>
      <c r="J678" s="1781" t="s">
        <v>3825</v>
      </c>
      <c r="K678" s="1788"/>
      <c r="L678" s="1934">
        <v>14789.86</v>
      </c>
      <c r="M678" s="613"/>
      <c r="N678" s="613">
        <v>14789.86</v>
      </c>
      <c r="O678" s="613">
        <v>14789.86</v>
      </c>
      <c r="P678" s="1763">
        <v>41841</v>
      </c>
      <c r="Q678" s="1763">
        <v>41852</v>
      </c>
      <c r="R678" s="1758">
        <v>1</v>
      </c>
      <c r="S678" s="1758">
        <v>33903900</v>
      </c>
      <c r="T678" s="1912"/>
    </row>
    <row r="679" spans="1:20" s="420" customFormat="1" ht="30.75" customHeight="1" x14ac:dyDescent="0.25">
      <c r="A679" s="1758"/>
      <c r="B679" s="1758"/>
      <c r="C679" s="1758" t="s">
        <v>3734</v>
      </c>
      <c r="D679" s="1758"/>
      <c r="E679" s="1758"/>
      <c r="F679" s="1758"/>
      <c r="G679" s="1758"/>
      <c r="H679" s="1782" t="s">
        <v>3847</v>
      </c>
      <c r="I679" s="1759" t="s">
        <v>3784</v>
      </c>
      <c r="J679" s="1767" t="s">
        <v>2863</v>
      </c>
      <c r="K679" s="1762"/>
      <c r="L679" s="613">
        <v>14882.47</v>
      </c>
      <c r="M679" s="613"/>
      <c r="N679" s="613">
        <v>14882.47</v>
      </c>
      <c r="O679" s="613">
        <v>14882.47</v>
      </c>
      <c r="P679" s="1763">
        <v>41820</v>
      </c>
      <c r="Q679" s="1763">
        <v>41869</v>
      </c>
      <c r="R679" s="1758">
        <v>1</v>
      </c>
      <c r="S679" s="1758">
        <v>33903900</v>
      </c>
      <c r="T679" s="1912"/>
    </row>
    <row r="680" spans="1:20" s="420" customFormat="1" ht="31.5" customHeight="1" x14ac:dyDescent="0.25">
      <c r="A680" s="1932"/>
      <c r="B680" s="421"/>
      <c r="C680" s="1758" t="s">
        <v>3734</v>
      </c>
      <c r="D680" s="1758"/>
      <c r="E680" s="1758"/>
      <c r="F680" s="1758"/>
      <c r="G680" s="1758"/>
      <c r="H680" s="1782" t="s">
        <v>3848</v>
      </c>
      <c r="I680" s="1786" t="s">
        <v>3784</v>
      </c>
      <c r="J680" s="1781" t="s">
        <v>3849</v>
      </c>
      <c r="K680" s="1788"/>
      <c r="L680" s="1934">
        <v>14881.69</v>
      </c>
      <c r="M680" s="613"/>
      <c r="N680" s="613">
        <v>14881.69</v>
      </c>
      <c r="O680" s="613">
        <v>14881.69</v>
      </c>
      <c r="P680" s="1763"/>
      <c r="Q680" s="1763"/>
      <c r="R680" s="1758">
        <v>1</v>
      </c>
      <c r="S680" s="1758">
        <v>33903900</v>
      </c>
      <c r="T680" s="1912"/>
    </row>
    <row r="681" spans="1:20" s="420" customFormat="1" ht="30.75" customHeight="1" x14ac:dyDescent="0.25">
      <c r="A681" s="1758"/>
      <c r="B681" s="1758"/>
      <c r="C681" s="1758" t="s">
        <v>3734</v>
      </c>
      <c r="D681" s="1758"/>
      <c r="E681" s="1758"/>
      <c r="F681" s="1758"/>
      <c r="G681" s="1758"/>
      <c r="H681" s="1782" t="s">
        <v>3850</v>
      </c>
      <c r="I681" s="1759" t="s">
        <v>3784</v>
      </c>
      <c r="J681" s="1767" t="s">
        <v>2874</v>
      </c>
      <c r="K681" s="1762"/>
      <c r="L681" s="613">
        <v>14760.49</v>
      </c>
      <c r="M681" s="613"/>
      <c r="N681" s="613">
        <v>14760.49</v>
      </c>
      <c r="O681" s="613">
        <v>14760.49</v>
      </c>
      <c r="P681" s="1763">
        <v>41885</v>
      </c>
      <c r="Q681" s="1763">
        <v>41893</v>
      </c>
      <c r="R681" s="1758">
        <v>1</v>
      </c>
      <c r="S681" s="1758">
        <v>44905100</v>
      </c>
      <c r="T681" s="1912"/>
    </row>
    <row r="682" spans="1:20" s="420" customFormat="1" ht="31.5" customHeight="1" x14ac:dyDescent="0.25">
      <c r="A682" s="1932"/>
      <c r="B682" s="421"/>
      <c r="C682" s="1758" t="s">
        <v>3734</v>
      </c>
      <c r="D682" s="1758"/>
      <c r="E682" s="1758"/>
      <c r="F682" s="1758"/>
      <c r="G682" s="1758"/>
      <c r="H682" s="1782" t="s">
        <v>3851</v>
      </c>
      <c r="I682" s="1786" t="s">
        <v>3784</v>
      </c>
      <c r="J682" s="1781" t="s">
        <v>3852</v>
      </c>
      <c r="K682" s="1788"/>
      <c r="L682" s="1934">
        <v>4950</v>
      </c>
      <c r="M682" s="613"/>
      <c r="N682" s="613">
        <v>4950</v>
      </c>
      <c r="O682" s="613">
        <v>4950</v>
      </c>
      <c r="P682" s="1763"/>
      <c r="Q682" s="1763"/>
      <c r="R682" s="1758">
        <v>1</v>
      </c>
      <c r="S682" s="1758">
        <v>44905200</v>
      </c>
      <c r="T682" s="1912"/>
    </row>
    <row r="683" spans="1:20" s="420" customFormat="1" ht="30.75" customHeight="1" x14ac:dyDescent="0.25">
      <c r="A683" s="1758"/>
      <c r="B683" s="1758"/>
      <c r="C683" s="1758" t="s">
        <v>3734</v>
      </c>
      <c r="D683" s="1758"/>
      <c r="E683" s="1758"/>
      <c r="F683" s="1758"/>
      <c r="G683" s="1758"/>
      <c r="H683" s="1782" t="s">
        <v>3853</v>
      </c>
      <c r="I683" s="1759" t="s">
        <v>3784</v>
      </c>
      <c r="J683" s="1767" t="s">
        <v>3854</v>
      </c>
      <c r="K683" s="1762"/>
      <c r="L683" s="613">
        <v>14197.64</v>
      </c>
      <c r="M683" s="613"/>
      <c r="N683" s="613">
        <v>14197.64</v>
      </c>
      <c r="O683" s="613">
        <v>14197.64</v>
      </c>
      <c r="P683" s="1763">
        <v>41863</v>
      </c>
      <c r="Q683" s="1763">
        <v>41901</v>
      </c>
      <c r="R683" s="1758">
        <v>1</v>
      </c>
      <c r="S683" s="1758">
        <v>44905100</v>
      </c>
      <c r="T683" s="1912"/>
    </row>
    <row r="684" spans="1:20" s="420" customFormat="1" ht="31.5" customHeight="1" x14ac:dyDescent="0.25">
      <c r="A684" s="1932"/>
      <c r="B684" s="421"/>
      <c r="C684" s="1758" t="s">
        <v>3734</v>
      </c>
      <c r="D684" s="1758"/>
      <c r="E684" s="1758"/>
      <c r="F684" s="1758"/>
      <c r="G684" s="1758"/>
      <c r="H684" s="1782" t="s">
        <v>3855</v>
      </c>
      <c r="I684" s="1786" t="s">
        <v>3784</v>
      </c>
      <c r="J684" s="1781" t="s">
        <v>3856</v>
      </c>
      <c r="K684" s="1788"/>
      <c r="L684" s="1934">
        <v>14911.62</v>
      </c>
      <c r="M684" s="613"/>
      <c r="N684" s="613">
        <v>14911.62</v>
      </c>
      <c r="O684" s="613">
        <v>14911.62</v>
      </c>
      <c r="P684" s="1763"/>
      <c r="Q684" s="1763"/>
      <c r="R684" s="1758">
        <v>1</v>
      </c>
      <c r="S684" s="1758">
        <v>44905100</v>
      </c>
      <c r="T684" s="1912"/>
    </row>
    <row r="685" spans="1:20" s="420" customFormat="1" ht="30.75" customHeight="1" x14ac:dyDescent="0.25">
      <c r="A685" s="1758"/>
      <c r="B685" s="1758"/>
      <c r="C685" s="1758" t="s">
        <v>3734</v>
      </c>
      <c r="D685" s="1758"/>
      <c r="E685" s="1758"/>
      <c r="F685" s="1758"/>
      <c r="G685" s="1758"/>
      <c r="H685" s="1782" t="s">
        <v>3857</v>
      </c>
      <c r="I685" s="1759" t="s">
        <v>3784</v>
      </c>
      <c r="J685" s="1767" t="s">
        <v>3825</v>
      </c>
      <c r="K685" s="1762"/>
      <c r="L685" s="613">
        <v>5736.79</v>
      </c>
      <c r="M685" s="613"/>
      <c r="N685" s="613">
        <v>5736.79</v>
      </c>
      <c r="O685" s="613">
        <v>5736.79</v>
      </c>
      <c r="P685" s="1763"/>
      <c r="Q685" s="1763"/>
      <c r="R685" s="1758">
        <v>1</v>
      </c>
      <c r="S685" s="1758">
        <v>44905100</v>
      </c>
      <c r="T685" s="1912"/>
    </row>
    <row r="686" spans="1:20" s="420" customFormat="1" ht="30.75" customHeight="1" x14ac:dyDescent="0.25">
      <c r="A686" s="1758"/>
      <c r="B686" s="1758"/>
      <c r="C686" s="1758" t="s">
        <v>3734</v>
      </c>
      <c r="D686" s="1758"/>
      <c r="E686" s="1758"/>
      <c r="F686" s="1758"/>
      <c r="G686" s="1758"/>
      <c r="H686" s="1782" t="s">
        <v>3858</v>
      </c>
      <c r="I686" s="1759" t="s">
        <v>3784</v>
      </c>
      <c r="J686" s="1767" t="s">
        <v>3804</v>
      </c>
      <c r="K686" s="1762"/>
      <c r="L686" s="1779">
        <v>657</v>
      </c>
      <c r="M686" s="613"/>
      <c r="N686" s="613">
        <v>657</v>
      </c>
      <c r="O686" s="613">
        <v>657</v>
      </c>
      <c r="P686" s="1763"/>
      <c r="Q686" s="1763"/>
      <c r="R686" s="1758">
        <v>1</v>
      </c>
      <c r="S686" s="1758">
        <v>33903900</v>
      </c>
      <c r="T686" s="1912"/>
    </row>
    <row r="687" spans="1:20" s="420" customFormat="1" ht="30.75" customHeight="1" x14ac:dyDescent="0.25">
      <c r="A687" s="1758"/>
      <c r="B687" s="1758"/>
      <c r="C687" s="1758" t="s">
        <v>3734</v>
      </c>
      <c r="D687" s="1758"/>
      <c r="E687" s="1758"/>
      <c r="F687" s="1758"/>
      <c r="G687" s="1758"/>
      <c r="H687" s="1782" t="s">
        <v>3859</v>
      </c>
      <c r="I687" s="1759" t="s">
        <v>3784</v>
      </c>
      <c r="J687" s="1767" t="s">
        <v>3860</v>
      </c>
      <c r="K687" s="1762"/>
      <c r="L687" s="1779">
        <v>14928.84</v>
      </c>
      <c r="M687" s="613"/>
      <c r="N687" s="613">
        <v>14928.84</v>
      </c>
      <c r="O687" s="613">
        <v>14928.84</v>
      </c>
      <c r="P687" s="1763"/>
      <c r="Q687" s="1763"/>
      <c r="R687" s="1758">
        <v>1</v>
      </c>
      <c r="S687" s="1758">
        <v>33903900</v>
      </c>
      <c r="T687" s="1912"/>
    </row>
    <row r="688" spans="1:20" s="420" customFormat="1" ht="30.75" customHeight="1" x14ac:dyDescent="0.25">
      <c r="A688" s="1758"/>
      <c r="B688" s="1758"/>
      <c r="C688" s="1758" t="s">
        <v>3734</v>
      </c>
      <c r="D688" s="1758"/>
      <c r="E688" s="1758"/>
      <c r="F688" s="1758"/>
      <c r="G688" s="1758"/>
      <c r="H688" s="1782" t="s">
        <v>3861</v>
      </c>
      <c r="I688" s="1759" t="s">
        <v>3784</v>
      </c>
      <c r="J688" s="1767" t="s">
        <v>2113</v>
      </c>
      <c r="K688" s="1762"/>
      <c r="L688" s="1779">
        <v>6568</v>
      </c>
      <c r="M688" s="613"/>
      <c r="N688" s="613">
        <v>6568</v>
      </c>
      <c r="O688" s="613">
        <v>6568</v>
      </c>
      <c r="P688" s="1763"/>
      <c r="Q688" s="1763"/>
      <c r="R688" s="1758">
        <v>1</v>
      </c>
      <c r="S688" s="1758">
        <v>44905200</v>
      </c>
      <c r="T688" s="1912"/>
    </row>
    <row r="689" spans="1:20" s="420" customFormat="1" ht="30.75" customHeight="1" x14ac:dyDescent="0.25">
      <c r="A689" s="1758"/>
      <c r="B689" s="1758"/>
      <c r="C689" s="1758" t="s">
        <v>3734</v>
      </c>
      <c r="D689" s="1758"/>
      <c r="E689" s="1758"/>
      <c r="F689" s="1758"/>
      <c r="G689" s="1758"/>
      <c r="H689" s="1782" t="s">
        <v>3862</v>
      </c>
      <c r="I689" s="1759"/>
      <c r="J689" s="1767" t="s">
        <v>3863</v>
      </c>
      <c r="K689" s="1762"/>
      <c r="L689" s="1779">
        <v>1800</v>
      </c>
      <c r="M689" s="613"/>
      <c r="N689" s="613">
        <v>1800</v>
      </c>
      <c r="O689" s="613">
        <v>1800</v>
      </c>
      <c r="P689" s="1763"/>
      <c r="Q689" s="1763"/>
      <c r="R689" s="1758"/>
      <c r="S689" s="1758"/>
      <c r="T689" s="1912"/>
    </row>
    <row r="690" spans="1:20" s="420" customFormat="1" ht="30.75" customHeight="1" x14ac:dyDescent="0.25">
      <c r="A690" s="1758"/>
      <c r="B690" s="1758"/>
      <c r="C690" s="1758" t="s">
        <v>3734</v>
      </c>
      <c r="D690" s="1758"/>
      <c r="E690" s="1758"/>
      <c r="F690" s="1758"/>
      <c r="G690" s="1758"/>
      <c r="H690" s="1782" t="s">
        <v>3864</v>
      </c>
      <c r="I690" s="1759"/>
      <c r="J690" s="1767" t="s">
        <v>3865</v>
      </c>
      <c r="K690" s="1762"/>
      <c r="L690" s="1779">
        <v>1454.5</v>
      </c>
      <c r="M690" s="613"/>
      <c r="N690" s="613">
        <v>1454.5</v>
      </c>
      <c r="O690" s="613">
        <v>1454.5</v>
      </c>
      <c r="P690" s="1763"/>
      <c r="Q690" s="1763"/>
      <c r="R690" s="1758"/>
      <c r="S690" s="1758"/>
      <c r="T690" s="1912"/>
    </row>
    <row r="691" spans="1:20" s="420" customFormat="1" ht="30.75" customHeight="1" x14ac:dyDescent="0.25">
      <c r="A691" s="1758"/>
      <c r="B691" s="1758"/>
      <c r="C691" s="1758" t="s">
        <v>3734</v>
      </c>
      <c r="D691" s="1758"/>
      <c r="E691" s="1758"/>
      <c r="F691" s="1758"/>
      <c r="G691" s="1758"/>
      <c r="H691" s="1782" t="s">
        <v>3866</v>
      </c>
      <c r="I691" s="1759"/>
      <c r="J691" s="1767" t="s">
        <v>2874</v>
      </c>
      <c r="K691" s="1762"/>
      <c r="L691" s="1779">
        <v>14828.3</v>
      </c>
      <c r="M691" s="613"/>
      <c r="N691" s="613">
        <v>14828.3</v>
      </c>
      <c r="O691" s="613">
        <v>14828.3</v>
      </c>
      <c r="P691" s="1763"/>
      <c r="Q691" s="1763"/>
      <c r="R691" s="1758"/>
      <c r="S691" s="1758"/>
      <c r="T691" s="1912"/>
    </row>
    <row r="692" spans="1:20" s="420" customFormat="1" ht="30.75" customHeight="1" x14ac:dyDescent="0.25">
      <c r="A692" s="1758"/>
      <c r="B692" s="1758"/>
      <c r="C692" s="1758" t="s">
        <v>3734</v>
      </c>
      <c r="D692" s="1758"/>
      <c r="E692" s="1758"/>
      <c r="F692" s="1758"/>
      <c r="G692" s="1758"/>
      <c r="H692" s="1782" t="s">
        <v>3867</v>
      </c>
      <c r="I692" s="1759"/>
      <c r="J692" s="1767" t="s">
        <v>3868</v>
      </c>
      <c r="K692" s="1762"/>
      <c r="L692" s="1779">
        <v>7984</v>
      </c>
      <c r="M692" s="613"/>
      <c r="N692" s="613">
        <v>7984</v>
      </c>
      <c r="O692" s="613">
        <v>7984</v>
      </c>
      <c r="P692" s="1763"/>
      <c r="Q692" s="1763"/>
      <c r="R692" s="1758"/>
      <c r="S692" s="1758"/>
      <c r="T692" s="1912"/>
    </row>
    <row r="693" spans="1:20" s="420" customFormat="1" ht="30.75" customHeight="1" x14ac:dyDescent="0.25">
      <c r="A693" s="1758"/>
      <c r="B693" s="1758"/>
      <c r="C693" s="1758" t="s">
        <v>3734</v>
      </c>
      <c r="D693" s="1758"/>
      <c r="E693" s="1758"/>
      <c r="F693" s="1758"/>
      <c r="G693" s="1758"/>
      <c r="H693" s="1782" t="s">
        <v>3869</v>
      </c>
      <c r="I693" s="1759"/>
      <c r="J693" s="1767" t="s">
        <v>3870</v>
      </c>
      <c r="K693" s="1762"/>
      <c r="L693" s="1779">
        <v>9822.7900000000009</v>
      </c>
      <c r="M693" s="613"/>
      <c r="N693" s="613">
        <v>9822.7900000000009</v>
      </c>
      <c r="O693" s="613">
        <v>9822.7900000000009</v>
      </c>
      <c r="P693" s="1763"/>
      <c r="Q693" s="1763"/>
      <c r="R693" s="1758"/>
      <c r="S693" s="1758"/>
      <c r="T693" s="1912"/>
    </row>
    <row r="694" spans="1:20" s="420" customFormat="1" ht="30.75" customHeight="1" x14ac:dyDescent="0.25">
      <c r="A694" s="1758"/>
      <c r="B694" s="1758"/>
      <c r="C694" s="1758" t="s">
        <v>3734</v>
      </c>
      <c r="D694" s="1758"/>
      <c r="E694" s="1758"/>
      <c r="F694" s="1758"/>
      <c r="G694" s="1758"/>
      <c r="H694" s="1782" t="s">
        <v>3871</v>
      </c>
      <c r="I694" s="1759" t="s">
        <v>3784</v>
      </c>
      <c r="J694" s="1767" t="s">
        <v>3872</v>
      </c>
      <c r="K694" s="1762"/>
      <c r="L694" s="613">
        <v>450</v>
      </c>
      <c r="M694" s="613">
        <v>0</v>
      </c>
      <c r="N694" s="613">
        <v>450</v>
      </c>
      <c r="O694" s="613">
        <v>450</v>
      </c>
      <c r="P694" s="1763"/>
      <c r="Q694" s="1763"/>
      <c r="R694" s="1758">
        <v>1</v>
      </c>
      <c r="S694" s="1758">
        <v>33903900</v>
      </c>
      <c r="T694" s="1912"/>
    </row>
    <row r="695" spans="1:20" s="420" customFormat="1" ht="31.5" customHeight="1" x14ac:dyDescent="0.25">
      <c r="A695" s="1932"/>
      <c r="B695" s="421"/>
      <c r="C695" s="1758" t="s">
        <v>3734</v>
      </c>
      <c r="D695" s="1758"/>
      <c r="E695" s="1758"/>
      <c r="F695" s="1758"/>
      <c r="G695" s="1758"/>
      <c r="H695" s="1782" t="s">
        <v>3871</v>
      </c>
      <c r="I695" s="1786" t="s">
        <v>3784</v>
      </c>
      <c r="J695" s="1781" t="s">
        <v>3873</v>
      </c>
      <c r="K695" s="1788"/>
      <c r="L695" s="613">
        <v>450</v>
      </c>
      <c r="M695" s="613">
        <v>0</v>
      </c>
      <c r="N695" s="613">
        <v>450</v>
      </c>
      <c r="O695" s="613">
        <v>450</v>
      </c>
      <c r="P695" s="1763"/>
      <c r="Q695" s="1763"/>
      <c r="R695" s="1758">
        <v>1</v>
      </c>
      <c r="S695" s="1758">
        <v>33903900</v>
      </c>
      <c r="T695" s="1912"/>
    </row>
    <row r="696" spans="1:20" s="420" customFormat="1" ht="31.5" customHeight="1" x14ac:dyDescent="0.25">
      <c r="A696" s="1932"/>
      <c r="B696" s="421"/>
      <c r="C696" s="1758"/>
      <c r="D696" s="1758"/>
      <c r="E696" s="1762"/>
      <c r="F696" s="1758"/>
      <c r="G696" s="1771"/>
      <c r="H696" s="1782"/>
      <c r="I696" s="1786"/>
      <c r="J696" s="1781"/>
      <c r="K696" s="1788"/>
      <c r="L696" s="613"/>
      <c r="M696" s="613"/>
      <c r="N696" s="613">
        <f>SUM(N651:N695)</f>
        <v>444163.68999999989</v>
      </c>
      <c r="O696" s="613"/>
      <c r="P696" s="1763"/>
      <c r="Q696" s="1763"/>
      <c r="R696" s="1758"/>
      <c r="S696" s="1758"/>
      <c r="T696" s="1912"/>
    </row>
    <row r="697" spans="1:20" s="420" customFormat="1" ht="31.5" customHeight="1" x14ac:dyDescent="0.25">
      <c r="A697" s="1932"/>
      <c r="B697" s="421"/>
      <c r="C697" s="1758" t="s">
        <v>3734</v>
      </c>
      <c r="D697" s="1758"/>
      <c r="E697" s="1758"/>
      <c r="F697" s="1758"/>
      <c r="G697" s="1758"/>
      <c r="H697" s="1782" t="s">
        <v>3874</v>
      </c>
      <c r="I697" s="1786" t="s">
        <v>3875</v>
      </c>
      <c r="J697" s="1781" t="s">
        <v>3874</v>
      </c>
      <c r="K697" s="1788"/>
      <c r="L697" s="1934">
        <v>5017.07</v>
      </c>
      <c r="M697" s="613">
        <v>0</v>
      </c>
      <c r="N697" s="613">
        <v>5017.07</v>
      </c>
      <c r="O697" s="613">
        <v>5017.07</v>
      </c>
      <c r="P697" s="1763"/>
      <c r="Q697" s="1763"/>
      <c r="R697" s="1758">
        <v>1</v>
      </c>
      <c r="S697" s="1758">
        <v>33903900</v>
      </c>
      <c r="T697" s="1912"/>
    </row>
    <row r="698" spans="1:20" s="420" customFormat="1" ht="30.75" customHeight="1" x14ac:dyDescent="0.25">
      <c r="A698" s="1758"/>
      <c r="B698" s="1758"/>
      <c r="C698" s="1758" t="s">
        <v>3734</v>
      </c>
      <c r="D698" s="1758"/>
      <c r="E698" s="1758"/>
      <c r="F698" s="1758"/>
      <c r="G698" s="1758"/>
      <c r="H698" s="1782" t="s">
        <v>3876</v>
      </c>
      <c r="I698" s="1759" t="s">
        <v>3875</v>
      </c>
      <c r="J698" s="1767" t="s">
        <v>3876</v>
      </c>
      <c r="K698" s="1762"/>
      <c r="L698" s="613">
        <v>13267.32</v>
      </c>
      <c r="M698" s="613">
        <v>0</v>
      </c>
      <c r="N698" s="613">
        <v>13267.32</v>
      </c>
      <c r="O698" s="613">
        <v>13267.32</v>
      </c>
      <c r="P698" s="1763"/>
      <c r="Q698" s="1763"/>
      <c r="R698" s="1758">
        <v>1</v>
      </c>
      <c r="S698" s="1758">
        <v>33903900</v>
      </c>
      <c r="T698" s="1912"/>
    </row>
    <row r="699" spans="1:20" s="420" customFormat="1" ht="31.5" customHeight="1" x14ac:dyDescent="0.25">
      <c r="A699" s="1932"/>
      <c r="B699" s="421"/>
      <c r="C699" s="1758" t="s">
        <v>3734</v>
      </c>
      <c r="D699" s="1758"/>
      <c r="E699" s="1758"/>
      <c r="F699" s="1758"/>
      <c r="G699" s="1758"/>
      <c r="H699" s="1782" t="s">
        <v>3877</v>
      </c>
      <c r="I699" s="1786" t="s">
        <v>3875</v>
      </c>
      <c r="J699" s="1781" t="s">
        <v>3877</v>
      </c>
      <c r="K699" s="1788"/>
      <c r="L699" s="1934">
        <v>10200.16</v>
      </c>
      <c r="M699" s="613">
        <v>0</v>
      </c>
      <c r="N699" s="613">
        <v>10200.16</v>
      </c>
      <c r="O699" s="613">
        <v>10200.16</v>
      </c>
      <c r="P699" s="1763"/>
      <c r="Q699" s="1763"/>
      <c r="R699" s="1758">
        <v>1</v>
      </c>
      <c r="S699" s="1758">
        <v>33903900</v>
      </c>
      <c r="T699" s="1912"/>
    </row>
    <row r="700" spans="1:20" s="420" customFormat="1" ht="30.75" customHeight="1" x14ac:dyDescent="0.25">
      <c r="A700" s="1758"/>
      <c r="B700" s="1758"/>
      <c r="C700" s="1758" t="s">
        <v>3734</v>
      </c>
      <c r="D700" s="1758"/>
      <c r="E700" s="1758"/>
      <c r="F700" s="1758"/>
      <c r="G700" s="1758"/>
      <c r="H700" s="1782" t="s">
        <v>3878</v>
      </c>
      <c r="I700" s="1759" t="s">
        <v>3875</v>
      </c>
      <c r="J700" s="1767" t="s">
        <v>3879</v>
      </c>
      <c r="K700" s="1762"/>
      <c r="L700" s="613">
        <v>108785.07</v>
      </c>
      <c r="M700" s="613">
        <v>0</v>
      </c>
      <c r="N700" s="613">
        <v>108785.07</v>
      </c>
      <c r="O700" s="613">
        <v>108785.07</v>
      </c>
      <c r="P700" s="1763"/>
      <c r="Q700" s="1763"/>
      <c r="R700" s="1758">
        <v>6</v>
      </c>
      <c r="S700" s="1758">
        <v>44209300</v>
      </c>
      <c r="T700" s="1912"/>
    </row>
    <row r="701" spans="1:20" s="420" customFormat="1" ht="31.5" customHeight="1" x14ac:dyDescent="0.25">
      <c r="A701" s="1932"/>
      <c r="B701" s="421"/>
      <c r="C701" s="1758" t="s">
        <v>3734</v>
      </c>
      <c r="D701" s="1758"/>
      <c r="E701" s="1758"/>
      <c r="F701" s="1758"/>
      <c r="G701" s="1758"/>
      <c r="H701" s="1782" t="s">
        <v>3878</v>
      </c>
      <c r="I701" s="1786" t="s">
        <v>3875</v>
      </c>
      <c r="J701" s="1781" t="s">
        <v>3879</v>
      </c>
      <c r="K701" s="1788"/>
      <c r="L701" s="1934">
        <v>443620.89</v>
      </c>
      <c r="M701" s="613"/>
      <c r="N701" s="613">
        <v>443620.89</v>
      </c>
      <c r="O701" s="613">
        <v>443620.89</v>
      </c>
      <c r="P701" s="1763"/>
      <c r="Q701" s="1763"/>
      <c r="R701" s="1758">
        <v>1</v>
      </c>
      <c r="S701" s="1758">
        <v>44209300</v>
      </c>
      <c r="T701" s="1912"/>
    </row>
    <row r="702" spans="1:20" s="420" customFormat="1" ht="30.75" customHeight="1" x14ac:dyDescent="0.25">
      <c r="A702" s="1758"/>
      <c r="B702" s="1758"/>
      <c r="C702" s="1758" t="s">
        <v>3734</v>
      </c>
      <c r="D702" s="1758"/>
      <c r="E702" s="1758"/>
      <c r="F702" s="1758"/>
      <c r="G702" s="1758"/>
      <c r="H702" s="1782" t="s">
        <v>3878</v>
      </c>
      <c r="I702" s="1759" t="s">
        <v>3875</v>
      </c>
      <c r="J702" s="1767" t="s">
        <v>3879</v>
      </c>
      <c r="K702" s="1762"/>
      <c r="L702" s="613">
        <v>0</v>
      </c>
      <c r="M702" s="613"/>
      <c r="N702" s="613">
        <v>0</v>
      </c>
      <c r="O702" s="613">
        <v>0</v>
      </c>
      <c r="P702" s="1763"/>
      <c r="Q702" s="1763"/>
      <c r="R702" s="1758">
        <v>1</v>
      </c>
      <c r="S702" s="1758">
        <v>44209300</v>
      </c>
      <c r="T702" s="1912"/>
    </row>
    <row r="703" spans="1:20" s="420" customFormat="1" ht="30.75" customHeight="1" x14ac:dyDescent="0.25">
      <c r="A703" s="1758"/>
      <c r="B703" s="1758"/>
      <c r="C703" s="1758" t="s">
        <v>3734</v>
      </c>
      <c r="D703" s="1758"/>
      <c r="E703" s="1758"/>
      <c r="F703" s="1758"/>
      <c r="G703" s="1758"/>
      <c r="H703" s="1782" t="s">
        <v>3878</v>
      </c>
      <c r="I703" s="1759" t="s">
        <v>3875</v>
      </c>
      <c r="J703" s="1767" t="s">
        <v>3879</v>
      </c>
      <c r="K703" s="1762"/>
      <c r="L703" s="613">
        <v>623731.81000000006</v>
      </c>
      <c r="M703" s="613"/>
      <c r="N703" s="613">
        <v>623731.81000000006</v>
      </c>
      <c r="O703" s="613">
        <v>623731.81000000006</v>
      </c>
      <c r="P703" s="1763"/>
      <c r="Q703" s="1763"/>
      <c r="R703" s="1758">
        <v>6</v>
      </c>
      <c r="S703" s="1758">
        <v>44209300</v>
      </c>
      <c r="T703" s="1912"/>
    </row>
    <row r="704" spans="1:20" s="420" customFormat="1" ht="31.5" customHeight="1" x14ac:dyDescent="0.25">
      <c r="A704" s="1932"/>
      <c r="B704" s="421"/>
      <c r="C704" s="1758" t="s">
        <v>3734</v>
      </c>
      <c r="D704" s="1758"/>
      <c r="E704" s="1758"/>
      <c r="F704" s="1758"/>
      <c r="G704" s="1758"/>
      <c r="H704" s="1782" t="s">
        <v>3880</v>
      </c>
      <c r="I704" s="1786" t="s">
        <v>3875</v>
      </c>
      <c r="J704" s="1781" t="s">
        <v>3881</v>
      </c>
      <c r="K704" s="1788"/>
      <c r="L704" s="1934">
        <v>6792.38</v>
      </c>
      <c r="M704" s="613">
        <v>0</v>
      </c>
      <c r="N704" s="613">
        <v>6792.38</v>
      </c>
      <c r="O704" s="613">
        <v>6792.38</v>
      </c>
      <c r="P704" s="1763"/>
      <c r="Q704" s="1763"/>
      <c r="R704" s="1758">
        <v>1</v>
      </c>
      <c r="S704" s="1758">
        <v>33903900</v>
      </c>
      <c r="T704" s="1912"/>
    </row>
    <row r="705" spans="1:20" s="420" customFormat="1" ht="30.75" customHeight="1" x14ac:dyDescent="0.25">
      <c r="A705" s="1758"/>
      <c r="B705" s="1758"/>
      <c r="C705" s="1758" t="s">
        <v>3734</v>
      </c>
      <c r="D705" s="1758"/>
      <c r="E705" s="1758"/>
      <c r="F705" s="1758"/>
      <c r="G705" s="1758"/>
      <c r="H705" s="1782" t="s">
        <v>3880</v>
      </c>
      <c r="I705" s="1759" t="s">
        <v>3875</v>
      </c>
      <c r="J705" s="1767" t="s">
        <v>3881</v>
      </c>
      <c r="K705" s="1762"/>
      <c r="L705" s="613">
        <v>16967.03</v>
      </c>
      <c r="M705" s="613">
        <v>0</v>
      </c>
      <c r="N705" s="613">
        <v>16967.03</v>
      </c>
      <c r="O705" s="613">
        <v>16967.03</v>
      </c>
      <c r="P705" s="1763"/>
      <c r="Q705" s="1763"/>
      <c r="R705" s="1758">
        <v>7</v>
      </c>
      <c r="S705" s="1758">
        <v>33903900</v>
      </c>
      <c r="T705" s="1912"/>
    </row>
    <row r="706" spans="1:20" s="420" customFormat="1" ht="31.5" customHeight="1" x14ac:dyDescent="0.25">
      <c r="A706" s="1932"/>
      <c r="B706" s="421"/>
      <c r="C706" s="1758" t="s">
        <v>3734</v>
      </c>
      <c r="D706" s="1758"/>
      <c r="E706" s="1758"/>
      <c r="F706" s="1758"/>
      <c r="G706" s="1758"/>
      <c r="H706" s="1782" t="s">
        <v>3880</v>
      </c>
      <c r="I706" s="1786" t="s">
        <v>3875</v>
      </c>
      <c r="J706" s="1781" t="s">
        <v>3881</v>
      </c>
      <c r="K706" s="1788"/>
      <c r="L706" s="1934">
        <v>12879.300000000001</v>
      </c>
      <c r="M706" s="613">
        <v>0</v>
      </c>
      <c r="N706" s="613">
        <v>12879.300000000001</v>
      </c>
      <c r="O706" s="613">
        <v>12879.300000000001</v>
      </c>
      <c r="P706" s="1763"/>
      <c r="Q706" s="1763"/>
      <c r="R706" s="1758">
        <v>1</v>
      </c>
      <c r="S706" s="1758">
        <v>33903900</v>
      </c>
      <c r="T706" s="1912"/>
    </row>
    <row r="707" spans="1:20" s="420" customFormat="1" ht="30.75" customHeight="1" x14ac:dyDescent="0.25">
      <c r="A707" s="1758"/>
      <c r="B707" s="1758"/>
      <c r="C707" s="1758" t="s">
        <v>3734</v>
      </c>
      <c r="D707" s="1758"/>
      <c r="E707" s="1758"/>
      <c r="F707" s="1758"/>
      <c r="G707" s="1758"/>
      <c r="H707" s="1782" t="s">
        <v>3880</v>
      </c>
      <c r="I707" s="1759" t="s">
        <v>3875</v>
      </c>
      <c r="J707" s="1767" t="s">
        <v>3881</v>
      </c>
      <c r="K707" s="1762"/>
      <c r="L707" s="613">
        <v>10181.5</v>
      </c>
      <c r="M707" s="613"/>
      <c r="N707" s="613">
        <v>10181.5</v>
      </c>
      <c r="O707" s="613">
        <v>10181.5</v>
      </c>
      <c r="P707" s="1763"/>
      <c r="Q707" s="1763"/>
      <c r="R707" s="1758">
        <v>1</v>
      </c>
      <c r="S707" s="1758">
        <v>33903900</v>
      </c>
      <c r="T707" s="1912"/>
    </row>
    <row r="708" spans="1:20" s="420" customFormat="1" ht="31.5" customHeight="1" x14ac:dyDescent="0.25">
      <c r="A708" s="1932"/>
      <c r="B708" s="421"/>
      <c r="C708" s="1758" t="s">
        <v>3734</v>
      </c>
      <c r="D708" s="1758"/>
      <c r="E708" s="1758"/>
      <c r="F708" s="1758"/>
      <c r="G708" s="1758"/>
      <c r="H708" s="1782" t="s">
        <v>3882</v>
      </c>
      <c r="I708" s="1786" t="s">
        <v>3875</v>
      </c>
      <c r="J708" s="1781" t="s">
        <v>3883</v>
      </c>
      <c r="K708" s="1788"/>
      <c r="L708" s="1934">
        <v>16433.400000000001</v>
      </c>
      <c r="M708" s="613">
        <v>0</v>
      </c>
      <c r="N708" s="613">
        <v>16433.400000000001</v>
      </c>
      <c r="O708" s="613">
        <v>16433.400000000001</v>
      </c>
      <c r="P708" s="1763"/>
      <c r="Q708" s="1763"/>
      <c r="R708" s="1758">
        <v>1</v>
      </c>
      <c r="S708" s="1758">
        <v>33903900</v>
      </c>
      <c r="T708" s="1912"/>
    </row>
    <row r="709" spans="1:20" s="420" customFormat="1" ht="30.75" customHeight="1" x14ac:dyDescent="0.25">
      <c r="A709" s="1758"/>
      <c r="B709" s="1758"/>
      <c r="C709" s="1758" t="s">
        <v>3734</v>
      </c>
      <c r="D709" s="1758"/>
      <c r="E709" s="1758"/>
      <c r="F709" s="1758"/>
      <c r="G709" s="1758"/>
      <c r="H709" s="1782" t="s">
        <v>3882</v>
      </c>
      <c r="I709" s="1759" t="s">
        <v>3875</v>
      </c>
      <c r="J709" s="1767" t="s">
        <v>3883</v>
      </c>
      <c r="K709" s="1762"/>
      <c r="L709" s="613">
        <v>11879.05</v>
      </c>
      <c r="M709" s="613"/>
      <c r="N709" s="613">
        <v>11879.05</v>
      </c>
      <c r="O709" s="613">
        <v>11879.05</v>
      </c>
      <c r="P709" s="1763"/>
      <c r="Q709" s="1763"/>
      <c r="R709" s="1758">
        <v>1</v>
      </c>
      <c r="S709" s="1758">
        <v>33903900</v>
      </c>
      <c r="T709" s="1912"/>
    </row>
    <row r="710" spans="1:20" s="420" customFormat="1" x14ac:dyDescent="0.25">
      <c r="A710" s="2207" t="s">
        <v>601</v>
      </c>
      <c r="B710" s="2207"/>
      <c r="C710" s="2207"/>
      <c r="D710" s="2207"/>
      <c r="E710" s="2207"/>
      <c r="F710" s="2207"/>
      <c r="G710" s="516"/>
      <c r="H710" s="516"/>
      <c r="I710" s="527"/>
      <c r="J710" s="516"/>
      <c r="K710" s="516"/>
      <c r="L710" s="639">
        <f t="shared" ref="L710:M710" si="14">SUM(L618:L709)</f>
        <v>88505852.799999952</v>
      </c>
      <c r="M710" s="639">
        <f t="shared" si="14"/>
        <v>6803685.96</v>
      </c>
      <c r="N710" s="639">
        <f>SUM(N618:N709)</f>
        <v>88166672.939999968</v>
      </c>
      <c r="O710" s="639">
        <f>SUM(O618:O709)</f>
        <v>60090699.350000001</v>
      </c>
      <c r="P710" s="516"/>
      <c r="Q710" s="516"/>
      <c r="R710" s="516"/>
      <c r="S710" s="516"/>
      <c r="T710" s="1918"/>
    </row>
  </sheetData>
  <mergeCells count="1573">
    <mergeCell ref="A9:BD9"/>
    <mergeCell ref="A11:BD11"/>
    <mergeCell ref="O642:O643"/>
    <mergeCell ref="R642:R643"/>
    <mergeCell ref="S642:S643"/>
    <mergeCell ref="A710:F710"/>
    <mergeCell ref="F642:F643"/>
    <mergeCell ref="G642:G643"/>
    <mergeCell ref="H642:H643"/>
    <mergeCell ref="J642:J643"/>
    <mergeCell ref="L642:L643"/>
    <mergeCell ref="N642:N643"/>
    <mergeCell ref="L635:L636"/>
    <mergeCell ref="N635:N636"/>
    <mergeCell ref="O635:O636"/>
    <mergeCell ref="R635:R636"/>
    <mergeCell ref="S635:S636"/>
    <mergeCell ref="A642:A643"/>
    <mergeCell ref="B642:B643"/>
    <mergeCell ref="C642:C643"/>
    <mergeCell ref="D642:D643"/>
    <mergeCell ref="E642:E643"/>
    <mergeCell ref="S633:S634"/>
    <mergeCell ref="A635:A636"/>
    <mergeCell ref="B635:B636"/>
    <mergeCell ref="C635:C636"/>
    <mergeCell ref="D635:D636"/>
    <mergeCell ref="E635:E636"/>
    <mergeCell ref="F635:F636"/>
    <mergeCell ref="G635:G636"/>
    <mergeCell ref="H635:H636"/>
    <mergeCell ref="J635:J636"/>
    <mergeCell ref="H633:H634"/>
    <mergeCell ref="J633:J634"/>
    <mergeCell ref="L633:L634"/>
    <mergeCell ref="N633:N634"/>
    <mergeCell ref="O633:O634"/>
    <mergeCell ref="R633:R634"/>
    <mergeCell ref="O624:O632"/>
    <mergeCell ref="R624:R632"/>
    <mergeCell ref="S624:S632"/>
    <mergeCell ref="A633:A634"/>
    <mergeCell ref="B633:B634"/>
    <mergeCell ref="C633:C634"/>
    <mergeCell ref="D633:D634"/>
    <mergeCell ref="E633:E634"/>
    <mergeCell ref="F633:F634"/>
    <mergeCell ref="G633:G634"/>
    <mergeCell ref="F624:F632"/>
    <mergeCell ref="G624:G632"/>
    <mergeCell ref="H624:H632"/>
    <mergeCell ref="J624:J632"/>
    <mergeCell ref="L624:L632"/>
    <mergeCell ref="N624:N632"/>
    <mergeCell ref="L618:L623"/>
    <mergeCell ref="N618:N623"/>
    <mergeCell ref="O618:O623"/>
    <mergeCell ref="R618:R623"/>
    <mergeCell ref="S618:S623"/>
    <mergeCell ref="A624:A632"/>
    <mergeCell ref="B624:B632"/>
    <mergeCell ref="C624:C632"/>
    <mergeCell ref="D624:D632"/>
    <mergeCell ref="E624:E632"/>
    <mergeCell ref="T616:T617"/>
    <mergeCell ref="A618:A623"/>
    <mergeCell ref="B618:B623"/>
    <mergeCell ref="C618:C623"/>
    <mergeCell ref="D618:D623"/>
    <mergeCell ref="E618:E623"/>
    <mergeCell ref="F618:F623"/>
    <mergeCell ref="G618:G623"/>
    <mergeCell ref="H618:H623"/>
    <mergeCell ref="J618:J623"/>
    <mergeCell ref="A611:D611"/>
    <mergeCell ref="A614:S614"/>
    <mergeCell ref="A615:H616"/>
    <mergeCell ref="I615:S615"/>
    <mergeCell ref="I616:K616"/>
    <mergeCell ref="L616:O616"/>
    <mergeCell ref="P616:Q616"/>
    <mergeCell ref="R616:S616"/>
    <mergeCell ref="A588:F588"/>
    <mergeCell ref="A591:Q591"/>
    <mergeCell ref="A592:F592"/>
    <mergeCell ref="G592:M592"/>
    <mergeCell ref="N592:O592"/>
    <mergeCell ref="P592:Q592"/>
    <mergeCell ref="H579:H580"/>
    <mergeCell ref="J579:J580"/>
    <mergeCell ref="L579:L580"/>
    <mergeCell ref="M579:M580"/>
    <mergeCell ref="P579:P580"/>
    <mergeCell ref="Q579:Q580"/>
    <mergeCell ref="A579:A580"/>
    <mergeCell ref="B579:B580"/>
    <mergeCell ref="C579:C580"/>
    <mergeCell ref="D579:D580"/>
    <mergeCell ref="E579:E580"/>
    <mergeCell ref="F579:F580"/>
    <mergeCell ref="H577:H578"/>
    <mergeCell ref="J577:J578"/>
    <mergeCell ref="L577:L578"/>
    <mergeCell ref="M577:M578"/>
    <mergeCell ref="P577:P578"/>
    <mergeCell ref="Q577:Q578"/>
    <mergeCell ref="L575:L576"/>
    <mergeCell ref="M575:M576"/>
    <mergeCell ref="P575:P576"/>
    <mergeCell ref="Q575:Q576"/>
    <mergeCell ref="A577:A578"/>
    <mergeCell ref="B577:B578"/>
    <mergeCell ref="C577:C578"/>
    <mergeCell ref="D577:D578"/>
    <mergeCell ref="E577:E578"/>
    <mergeCell ref="F577:F578"/>
    <mergeCell ref="M571:M574"/>
    <mergeCell ref="P571:P574"/>
    <mergeCell ref="Q571:Q574"/>
    <mergeCell ref="A575:A576"/>
    <mergeCell ref="B575:B576"/>
    <mergeCell ref="C575:C576"/>
    <mergeCell ref="D575:D576"/>
    <mergeCell ref="E575:E576"/>
    <mergeCell ref="F575:F576"/>
    <mergeCell ref="J575:J576"/>
    <mergeCell ref="Q568:Q570"/>
    <mergeCell ref="A571:A574"/>
    <mergeCell ref="B571:B574"/>
    <mergeCell ref="C571:C574"/>
    <mergeCell ref="D571:D574"/>
    <mergeCell ref="E571:E574"/>
    <mergeCell ref="F571:F574"/>
    <mergeCell ref="H571:H574"/>
    <mergeCell ref="J571:J574"/>
    <mergeCell ref="L571:L574"/>
    <mergeCell ref="F568:F570"/>
    <mergeCell ref="H568:H570"/>
    <mergeCell ref="J568:J570"/>
    <mergeCell ref="L568:L570"/>
    <mergeCell ref="M568:M570"/>
    <mergeCell ref="P568:P570"/>
    <mergeCell ref="J566:J567"/>
    <mergeCell ref="L566:L567"/>
    <mergeCell ref="M566:M567"/>
    <mergeCell ref="P566:P567"/>
    <mergeCell ref="Q566:Q567"/>
    <mergeCell ref="A568:A570"/>
    <mergeCell ref="B568:B570"/>
    <mergeCell ref="C568:C570"/>
    <mergeCell ref="D568:D570"/>
    <mergeCell ref="E568:E570"/>
    <mergeCell ref="M563:M565"/>
    <mergeCell ref="P563:P565"/>
    <mergeCell ref="Q563:Q565"/>
    <mergeCell ref="A566:A567"/>
    <mergeCell ref="B566:B567"/>
    <mergeCell ref="C566:C567"/>
    <mergeCell ref="D566:D567"/>
    <mergeCell ref="E566:E567"/>
    <mergeCell ref="F566:F567"/>
    <mergeCell ref="H566:H567"/>
    <mergeCell ref="R561:R562"/>
    <mergeCell ref="A563:A565"/>
    <mergeCell ref="B563:B565"/>
    <mergeCell ref="C563:C565"/>
    <mergeCell ref="D563:D565"/>
    <mergeCell ref="E563:E565"/>
    <mergeCell ref="F563:F565"/>
    <mergeCell ref="H563:H565"/>
    <mergeCell ref="J563:J565"/>
    <mergeCell ref="L563:L565"/>
    <mergeCell ref="Q550:Q551"/>
    <mergeCell ref="A556:E556"/>
    <mergeCell ref="A559:Q559"/>
    <mergeCell ref="A560:F561"/>
    <mergeCell ref="G560:Q560"/>
    <mergeCell ref="G561:I561"/>
    <mergeCell ref="J561:M561"/>
    <mergeCell ref="N561:O561"/>
    <mergeCell ref="P561:Q561"/>
    <mergeCell ref="A545:E545"/>
    <mergeCell ref="A548:P548"/>
    <mergeCell ref="A549:E550"/>
    <mergeCell ref="F549:P549"/>
    <mergeCell ref="F550:H550"/>
    <mergeCell ref="I550:L550"/>
    <mergeCell ref="M550:N550"/>
    <mergeCell ref="O550:P550"/>
    <mergeCell ref="G543:G544"/>
    <mergeCell ref="I543:I544"/>
    <mergeCell ref="K543:K544"/>
    <mergeCell ref="L543:L544"/>
    <mergeCell ref="O543:O544"/>
    <mergeCell ref="P543:P544"/>
    <mergeCell ref="I541:I542"/>
    <mergeCell ref="K541:K542"/>
    <mergeCell ref="L541:L542"/>
    <mergeCell ref="O541:O542"/>
    <mergeCell ref="P541:P542"/>
    <mergeCell ref="A543:A544"/>
    <mergeCell ref="B543:B544"/>
    <mergeCell ref="C543:C544"/>
    <mergeCell ref="D543:D544"/>
    <mergeCell ref="E543:E544"/>
    <mergeCell ref="A541:A542"/>
    <mergeCell ref="B541:B542"/>
    <mergeCell ref="C541:C542"/>
    <mergeCell ref="D541:D542"/>
    <mergeCell ref="E541:E542"/>
    <mergeCell ref="G541:G542"/>
    <mergeCell ref="G539:G540"/>
    <mergeCell ref="I539:I540"/>
    <mergeCell ref="K539:K540"/>
    <mergeCell ref="L539:L540"/>
    <mergeCell ref="O539:O540"/>
    <mergeCell ref="P539:P540"/>
    <mergeCell ref="I530:I531"/>
    <mergeCell ref="K530:K531"/>
    <mergeCell ref="L530:L531"/>
    <mergeCell ref="O530:O531"/>
    <mergeCell ref="P530:P531"/>
    <mergeCell ref="A539:A540"/>
    <mergeCell ref="B539:B540"/>
    <mergeCell ref="C539:C540"/>
    <mergeCell ref="D539:D540"/>
    <mergeCell ref="E539:E540"/>
    <mergeCell ref="A530:A531"/>
    <mergeCell ref="B530:B531"/>
    <mergeCell ref="C530:C531"/>
    <mergeCell ref="D530:D531"/>
    <mergeCell ref="E530:E531"/>
    <mergeCell ref="G530:G531"/>
    <mergeCell ref="G528:G529"/>
    <mergeCell ref="I528:I529"/>
    <mergeCell ref="K528:K529"/>
    <mergeCell ref="L528:L529"/>
    <mergeCell ref="O528:O529"/>
    <mergeCell ref="P528:P529"/>
    <mergeCell ref="I526:I527"/>
    <mergeCell ref="K526:K527"/>
    <mergeCell ref="L526:L527"/>
    <mergeCell ref="O526:O527"/>
    <mergeCell ref="P526:P527"/>
    <mergeCell ref="A528:A529"/>
    <mergeCell ref="B528:B529"/>
    <mergeCell ref="C528:C529"/>
    <mergeCell ref="D528:D529"/>
    <mergeCell ref="E528:E529"/>
    <mergeCell ref="A526:A527"/>
    <mergeCell ref="B526:B527"/>
    <mergeCell ref="C526:C527"/>
    <mergeCell ref="D526:D527"/>
    <mergeCell ref="E526:E527"/>
    <mergeCell ref="G526:G527"/>
    <mergeCell ref="G524:G525"/>
    <mergeCell ref="I524:I525"/>
    <mergeCell ref="K524:K525"/>
    <mergeCell ref="L524:L525"/>
    <mergeCell ref="O524:O525"/>
    <mergeCell ref="P524:P525"/>
    <mergeCell ref="I522:I523"/>
    <mergeCell ref="K522:K523"/>
    <mergeCell ref="L522:L523"/>
    <mergeCell ref="O522:O523"/>
    <mergeCell ref="P522:P523"/>
    <mergeCell ref="A524:A525"/>
    <mergeCell ref="B524:B525"/>
    <mergeCell ref="C524:C525"/>
    <mergeCell ref="D524:D525"/>
    <mergeCell ref="E524:E525"/>
    <mergeCell ref="A522:A523"/>
    <mergeCell ref="B522:B523"/>
    <mergeCell ref="C522:C523"/>
    <mergeCell ref="D522:D523"/>
    <mergeCell ref="E522:E523"/>
    <mergeCell ref="G522:G523"/>
    <mergeCell ref="G520:G521"/>
    <mergeCell ref="I520:I521"/>
    <mergeCell ref="K520:K521"/>
    <mergeCell ref="L520:L521"/>
    <mergeCell ref="O520:O521"/>
    <mergeCell ref="P520:P521"/>
    <mergeCell ref="I518:I519"/>
    <mergeCell ref="K518:K519"/>
    <mergeCell ref="L518:L519"/>
    <mergeCell ref="O518:O519"/>
    <mergeCell ref="P518:P519"/>
    <mergeCell ref="A520:A521"/>
    <mergeCell ref="B520:B521"/>
    <mergeCell ref="C520:C521"/>
    <mergeCell ref="D520:D521"/>
    <mergeCell ref="E520:E521"/>
    <mergeCell ref="A518:A519"/>
    <mergeCell ref="B518:B519"/>
    <mergeCell ref="C518:C519"/>
    <mergeCell ref="D518:D519"/>
    <mergeCell ref="E518:E519"/>
    <mergeCell ref="G518:G519"/>
    <mergeCell ref="G516:G517"/>
    <mergeCell ref="I516:I517"/>
    <mergeCell ref="K516:K517"/>
    <mergeCell ref="L516:L517"/>
    <mergeCell ref="O516:O517"/>
    <mergeCell ref="P516:P517"/>
    <mergeCell ref="I513:I515"/>
    <mergeCell ref="K513:K515"/>
    <mergeCell ref="L513:L515"/>
    <mergeCell ref="O513:O515"/>
    <mergeCell ref="P513:P515"/>
    <mergeCell ref="A516:A517"/>
    <mergeCell ref="B516:B517"/>
    <mergeCell ref="C516:C517"/>
    <mergeCell ref="D516:D517"/>
    <mergeCell ref="E516:E517"/>
    <mergeCell ref="A513:A515"/>
    <mergeCell ref="B513:B515"/>
    <mergeCell ref="C513:C515"/>
    <mergeCell ref="D513:D515"/>
    <mergeCell ref="E513:E515"/>
    <mergeCell ref="G513:G515"/>
    <mergeCell ref="G509:G512"/>
    <mergeCell ref="I509:I512"/>
    <mergeCell ref="K509:K512"/>
    <mergeCell ref="L509:L512"/>
    <mergeCell ref="O509:O512"/>
    <mergeCell ref="P509:P512"/>
    <mergeCell ref="I506:I508"/>
    <mergeCell ref="K506:K508"/>
    <mergeCell ref="L506:L508"/>
    <mergeCell ref="O506:O508"/>
    <mergeCell ref="P506:P508"/>
    <mergeCell ref="A509:A512"/>
    <mergeCell ref="B509:B512"/>
    <mergeCell ref="C509:C512"/>
    <mergeCell ref="D509:D512"/>
    <mergeCell ref="E509:E512"/>
    <mergeCell ref="A506:A508"/>
    <mergeCell ref="B506:B508"/>
    <mergeCell ref="C506:C508"/>
    <mergeCell ref="D506:D508"/>
    <mergeCell ref="E506:E508"/>
    <mergeCell ref="G506:G508"/>
    <mergeCell ref="G504:G505"/>
    <mergeCell ref="I504:I505"/>
    <mergeCell ref="K504:K505"/>
    <mergeCell ref="L504:L505"/>
    <mergeCell ref="O504:O505"/>
    <mergeCell ref="P504:P505"/>
    <mergeCell ref="I502:I503"/>
    <mergeCell ref="K502:K503"/>
    <mergeCell ref="L502:L503"/>
    <mergeCell ref="O502:O503"/>
    <mergeCell ref="P502:P503"/>
    <mergeCell ref="A504:A505"/>
    <mergeCell ref="B504:B505"/>
    <mergeCell ref="C504:C505"/>
    <mergeCell ref="D504:D505"/>
    <mergeCell ref="E504:E505"/>
    <mergeCell ref="A502:A503"/>
    <mergeCell ref="B502:B503"/>
    <mergeCell ref="C502:C503"/>
    <mergeCell ref="D502:D503"/>
    <mergeCell ref="E502:E503"/>
    <mergeCell ref="G502:G503"/>
    <mergeCell ref="G500:G501"/>
    <mergeCell ref="I500:I501"/>
    <mergeCell ref="K500:K501"/>
    <mergeCell ref="L500:L501"/>
    <mergeCell ref="O500:O501"/>
    <mergeCell ref="P500:P501"/>
    <mergeCell ref="I496:I497"/>
    <mergeCell ref="K496:K497"/>
    <mergeCell ref="L496:L497"/>
    <mergeCell ref="O496:O497"/>
    <mergeCell ref="P496:P497"/>
    <mergeCell ref="A500:A501"/>
    <mergeCell ref="B500:B501"/>
    <mergeCell ref="C500:C501"/>
    <mergeCell ref="D500:D501"/>
    <mergeCell ref="E500:E501"/>
    <mergeCell ref="A496:A497"/>
    <mergeCell ref="B496:B497"/>
    <mergeCell ref="C496:C497"/>
    <mergeCell ref="D496:D497"/>
    <mergeCell ref="E496:E497"/>
    <mergeCell ref="G496:G497"/>
    <mergeCell ref="G494:G495"/>
    <mergeCell ref="I494:I495"/>
    <mergeCell ref="K494:K495"/>
    <mergeCell ref="L494:L495"/>
    <mergeCell ref="O494:O495"/>
    <mergeCell ref="P494:P495"/>
    <mergeCell ref="I492:I493"/>
    <mergeCell ref="K492:K493"/>
    <mergeCell ref="L492:L493"/>
    <mergeCell ref="O492:O493"/>
    <mergeCell ref="P492:P493"/>
    <mergeCell ref="A494:A495"/>
    <mergeCell ref="B494:B495"/>
    <mergeCell ref="C494:C495"/>
    <mergeCell ref="D494:D495"/>
    <mergeCell ref="E494:E495"/>
    <mergeCell ref="A492:A493"/>
    <mergeCell ref="B492:B493"/>
    <mergeCell ref="C492:C493"/>
    <mergeCell ref="D492:D493"/>
    <mergeCell ref="E492:E493"/>
    <mergeCell ref="G492:G493"/>
    <mergeCell ref="G490:G491"/>
    <mergeCell ref="I490:I491"/>
    <mergeCell ref="K490:K491"/>
    <mergeCell ref="L490:L491"/>
    <mergeCell ref="O490:O491"/>
    <mergeCell ref="P490:P491"/>
    <mergeCell ref="I488:I489"/>
    <mergeCell ref="K488:K489"/>
    <mergeCell ref="L488:L489"/>
    <mergeCell ref="O488:O489"/>
    <mergeCell ref="P488:P489"/>
    <mergeCell ref="A490:A491"/>
    <mergeCell ref="B490:B491"/>
    <mergeCell ref="C490:C491"/>
    <mergeCell ref="D490:D491"/>
    <mergeCell ref="E490:E491"/>
    <mergeCell ref="A488:A489"/>
    <mergeCell ref="B488:B489"/>
    <mergeCell ref="C488:C489"/>
    <mergeCell ref="D488:D489"/>
    <mergeCell ref="E488:E489"/>
    <mergeCell ref="G488:G489"/>
    <mergeCell ref="G486:G487"/>
    <mergeCell ref="I486:I487"/>
    <mergeCell ref="K486:K487"/>
    <mergeCell ref="L486:L487"/>
    <mergeCell ref="O486:O487"/>
    <mergeCell ref="P486:P487"/>
    <mergeCell ref="I484:I485"/>
    <mergeCell ref="K484:K485"/>
    <mergeCell ref="L484:L485"/>
    <mergeCell ref="O484:O485"/>
    <mergeCell ref="P484:P485"/>
    <mergeCell ref="A486:A487"/>
    <mergeCell ref="B486:B487"/>
    <mergeCell ref="C486:C487"/>
    <mergeCell ref="D486:D487"/>
    <mergeCell ref="E486:E487"/>
    <mergeCell ref="A484:A485"/>
    <mergeCell ref="B484:B485"/>
    <mergeCell ref="C484:C485"/>
    <mergeCell ref="D484:D485"/>
    <mergeCell ref="E484:E485"/>
    <mergeCell ref="G484:G485"/>
    <mergeCell ref="G482:G483"/>
    <mergeCell ref="I482:I483"/>
    <mergeCell ref="K482:K483"/>
    <mergeCell ref="L482:L483"/>
    <mergeCell ref="O482:O483"/>
    <mergeCell ref="P482:P483"/>
    <mergeCell ref="I480:I481"/>
    <mergeCell ref="K480:K481"/>
    <mergeCell ref="L480:L481"/>
    <mergeCell ref="O480:O481"/>
    <mergeCell ref="P480:P481"/>
    <mergeCell ref="A482:A483"/>
    <mergeCell ref="B482:B483"/>
    <mergeCell ref="C482:C483"/>
    <mergeCell ref="D482:D483"/>
    <mergeCell ref="E482:E483"/>
    <mergeCell ref="A480:A481"/>
    <mergeCell ref="B480:B481"/>
    <mergeCell ref="C480:C481"/>
    <mergeCell ref="D480:D481"/>
    <mergeCell ref="E480:E481"/>
    <mergeCell ref="G480:G481"/>
    <mergeCell ref="G478:G479"/>
    <mergeCell ref="I478:I479"/>
    <mergeCell ref="K478:K479"/>
    <mergeCell ref="L478:L479"/>
    <mergeCell ref="O478:O479"/>
    <mergeCell ref="P478:P479"/>
    <mergeCell ref="I474:I477"/>
    <mergeCell ref="K474:K477"/>
    <mergeCell ref="L474:L477"/>
    <mergeCell ref="O474:O477"/>
    <mergeCell ref="P474:P477"/>
    <mergeCell ref="A478:A479"/>
    <mergeCell ref="B478:B479"/>
    <mergeCell ref="C478:C479"/>
    <mergeCell ref="D478:D479"/>
    <mergeCell ref="E478:E479"/>
    <mergeCell ref="A474:A477"/>
    <mergeCell ref="B474:B477"/>
    <mergeCell ref="C474:C477"/>
    <mergeCell ref="D474:D477"/>
    <mergeCell ref="E474:E477"/>
    <mergeCell ref="G474:G477"/>
    <mergeCell ref="G471:G473"/>
    <mergeCell ref="I471:I473"/>
    <mergeCell ref="K471:K473"/>
    <mergeCell ref="L471:L473"/>
    <mergeCell ref="O471:O473"/>
    <mergeCell ref="P471:P473"/>
    <mergeCell ref="I467:I470"/>
    <mergeCell ref="K467:K470"/>
    <mergeCell ref="L467:L470"/>
    <mergeCell ref="O467:O470"/>
    <mergeCell ref="P467:P470"/>
    <mergeCell ref="A471:A473"/>
    <mergeCell ref="B471:B473"/>
    <mergeCell ref="C471:C473"/>
    <mergeCell ref="D471:D473"/>
    <mergeCell ref="E471:E473"/>
    <mergeCell ref="A467:A470"/>
    <mergeCell ref="B467:B470"/>
    <mergeCell ref="C467:C470"/>
    <mergeCell ref="D467:D470"/>
    <mergeCell ref="E467:E470"/>
    <mergeCell ref="G467:G470"/>
    <mergeCell ref="G464:G466"/>
    <mergeCell ref="I464:I466"/>
    <mergeCell ref="K464:K466"/>
    <mergeCell ref="L464:L466"/>
    <mergeCell ref="O464:O466"/>
    <mergeCell ref="P464:P466"/>
    <mergeCell ref="I461:I463"/>
    <mergeCell ref="K461:K463"/>
    <mergeCell ref="L461:L463"/>
    <mergeCell ref="O461:O463"/>
    <mergeCell ref="P461:P463"/>
    <mergeCell ref="A464:A466"/>
    <mergeCell ref="B464:B466"/>
    <mergeCell ref="C464:C466"/>
    <mergeCell ref="D464:D466"/>
    <mergeCell ref="E464:E466"/>
    <mergeCell ref="A461:A463"/>
    <mergeCell ref="B461:B463"/>
    <mergeCell ref="C461:C463"/>
    <mergeCell ref="D461:D463"/>
    <mergeCell ref="E461:E463"/>
    <mergeCell ref="G461:G463"/>
    <mergeCell ref="G457:G460"/>
    <mergeCell ref="I457:I460"/>
    <mergeCell ref="K457:K460"/>
    <mergeCell ref="L457:L460"/>
    <mergeCell ref="O457:O460"/>
    <mergeCell ref="P457:P460"/>
    <mergeCell ref="I452:I455"/>
    <mergeCell ref="K452:K455"/>
    <mergeCell ref="L452:L455"/>
    <mergeCell ref="O452:O455"/>
    <mergeCell ref="P452:P455"/>
    <mergeCell ref="A457:A460"/>
    <mergeCell ref="B457:B460"/>
    <mergeCell ref="C457:C460"/>
    <mergeCell ref="D457:D460"/>
    <mergeCell ref="E457:E460"/>
    <mergeCell ref="A452:A455"/>
    <mergeCell ref="B452:B455"/>
    <mergeCell ref="C452:C455"/>
    <mergeCell ref="D452:D455"/>
    <mergeCell ref="E452:E455"/>
    <mergeCell ref="G452:G455"/>
    <mergeCell ref="G448:G451"/>
    <mergeCell ref="I448:I451"/>
    <mergeCell ref="K448:K451"/>
    <mergeCell ref="L448:L451"/>
    <mergeCell ref="O448:O451"/>
    <mergeCell ref="P448:P451"/>
    <mergeCell ref="I444:I447"/>
    <mergeCell ref="K444:K447"/>
    <mergeCell ref="L444:L447"/>
    <mergeCell ref="O444:O447"/>
    <mergeCell ref="P444:P447"/>
    <mergeCell ref="A448:A451"/>
    <mergeCell ref="B448:B451"/>
    <mergeCell ref="C448:C451"/>
    <mergeCell ref="D448:D451"/>
    <mergeCell ref="E448:E451"/>
    <mergeCell ref="A444:A447"/>
    <mergeCell ref="B444:B447"/>
    <mergeCell ref="C444:C447"/>
    <mergeCell ref="D444:D447"/>
    <mergeCell ref="E444:E447"/>
    <mergeCell ref="G444:G447"/>
    <mergeCell ref="G438:G443"/>
    <mergeCell ref="I438:I443"/>
    <mergeCell ref="K438:K443"/>
    <mergeCell ref="L438:L443"/>
    <mergeCell ref="O438:O443"/>
    <mergeCell ref="P438:P443"/>
    <mergeCell ref="I432:I437"/>
    <mergeCell ref="K432:K437"/>
    <mergeCell ref="L432:L437"/>
    <mergeCell ref="O432:O437"/>
    <mergeCell ref="P432:P437"/>
    <mergeCell ref="A438:A443"/>
    <mergeCell ref="B438:B443"/>
    <mergeCell ref="C438:C443"/>
    <mergeCell ref="D438:D443"/>
    <mergeCell ref="E438:E443"/>
    <mergeCell ref="A432:A437"/>
    <mergeCell ref="B432:B437"/>
    <mergeCell ref="C432:C437"/>
    <mergeCell ref="D432:D437"/>
    <mergeCell ref="E432:E437"/>
    <mergeCell ref="G432:G437"/>
    <mergeCell ref="G426:G431"/>
    <mergeCell ref="I426:I431"/>
    <mergeCell ref="K426:K431"/>
    <mergeCell ref="L426:L431"/>
    <mergeCell ref="O426:O431"/>
    <mergeCell ref="P426:P431"/>
    <mergeCell ref="I418:I425"/>
    <mergeCell ref="K418:K425"/>
    <mergeCell ref="L418:L425"/>
    <mergeCell ref="O418:O425"/>
    <mergeCell ref="P418:P425"/>
    <mergeCell ref="A426:A431"/>
    <mergeCell ref="B426:B431"/>
    <mergeCell ref="C426:C431"/>
    <mergeCell ref="D426:D431"/>
    <mergeCell ref="E426:E431"/>
    <mergeCell ref="A418:A425"/>
    <mergeCell ref="B418:B425"/>
    <mergeCell ref="C418:C425"/>
    <mergeCell ref="D418:D425"/>
    <mergeCell ref="E418:E425"/>
    <mergeCell ref="G418:G425"/>
    <mergeCell ref="G412:G417"/>
    <mergeCell ref="I412:I417"/>
    <mergeCell ref="K412:K417"/>
    <mergeCell ref="L412:L417"/>
    <mergeCell ref="O412:O417"/>
    <mergeCell ref="P412:P417"/>
    <mergeCell ref="I406:I411"/>
    <mergeCell ref="K406:K411"/>
    <mergeCell ref="L406:L411"/>
    <mergeCell ref="O406:O411"/>
    <mergeCell ref="P406:P411"/>
    <mergeCell ref="A412:A417"/>
    <mergeCell ref="B412:B417"/>
    <mergeCell ref="C412:C417"/>
    <mergeCell ref="D412:D417"/>
    <mergeCell ref="E412:E417"/>
    <mergeCell ref="A406:A411"/>
    <mergeCell ref="B406:B411"/>
    <mergeCell ref="C406:C411"/>
    <mergeCell ref="D406:D411"/>
    <mergeCell ref="E406:E411"/>
    <mergeCell ref="G406:G411"/>
    <mergeCell ref="G400:G405"/>
    <mergeCell ref="I400:I405"/>
    <mergeCell ref="K400:K405"/>
    <mergeCell ref="L400:L405"/>
    <mergeCell ref="O400:O405"/>
    <mergeCell ref="P400:P405"/>
    <mergeCell ref="I394:I399"/>
    <mergeCell ref="K394:K399"/>
    <mergeCell ref="L394:L399"/>
    <mergeCell ref="O394:O399"/>
    <mergeCell ref="P394:P399"/>
    <mergeCell ref="A400:A405"/>
    <mergeCell ref="B400:B405"/>
    <mergeCell ref="C400:C405"/>
    <mergeCell ref="D400:D405"/>
    <mergeCell ref="E400:E405"/>
    <mergeCell ref="K388:K393"/>
    <mergeCell ref="L388:L393"/>
    <mergeCell ref="O388:O393"/>
    <mergeCell ref="P388:P393"/>
    <mergeCell ref="A394:A399"/>
    <mergeCell ref="B394:B399"/>
    <mergeCell ref="C394:C399"/>
    <mergeCell ref="D394:D399"/>
    <mergeCell ref="E394:E399"/>
    <mergeCell ref="G394:G399"/>
    <mergeCell ref="L382:L387"/>
    <mergeCell ref="O382:O387"/>
    <mergeCell ref="P382:P387"/>
    <mergeCell ref="A388:A393"/>
    <mergeCell ref="B388:B393"/>
    <mergeCell ref="C388:C393"/>
    <mergeCell ref="D388:D393"/>
    <mergeCell ref="E388:E393"/>
    <mergeCell ref="G388:G393"/>
    <mergeCell ref="I388:I393"/>
    <mergeCell ref="O375:O381"/>
    <mergeCell ref="P375:P381"/>
    <mergeCell ref="A382:A387"/>
    <mergeCell ref="B382:B387"/>
    <mergeCell ref="C382:C387"/>
    <mergeCell ref="D382:D387"/>
    <mergeCell ref="E382:E387"/>
    <mergeCell ref="G382:G387"/>
    <mergeCell ref="I382:I387"/>
    <mergeCell ref="K382:K387"/>
    <mergeCell ref="Q373:Q374"/>
    <mergeCell ref="A375:A381"/>
    <mergeCell ref="B375:B381"/>
    <mergeCell ref="C375:C381"/>
    <mergeCell ref="D375:D381"/>
    <mergeCell ref="E375:E381"/>
    <mergeCell ref="G375:G381"/>
    <mergeCell ref="I375:I381"/>
    <mergeCell ref="K375:K381"/>
    <mergeCell ref="L375:L381"/>
    <mergeCell ref="A371:P371"/>
    <mergeCell ref="A372:E373"/>
    <mergeCell ref="F372:P372"/>
    <mergeCell ref="F373:H373"/>
    <mergeCell ref="I373:L373"/>
    <mergeCell ref="M373:N373"/>
    <mergeCell ref="O373:P373"/>
    <mergeCell ref="I366:I367"/>
    <mergeCell ref="K366:K367"/>
    <mergeCell ref="L366:L367"/>
    <mergeCell ref="O366:O367"/>
    <mergeCell ref="P366:P367"/>
    <mergeCell ref="A368:E368"/>
    <mergeCell ref="A366:A367"/>
    <mergeCell ref="B366:B367"/>
    <mergeCell ref="C366:C367"/>
    <mergeCell ref="D366:D367"/>
    <mergeCell ref="E366:E367"/>
    <mergeCell ref="G366:G367"/>
    <mergeCell ref="G364:G365"/>
    <mergeCell ref="I364:I365"/>
    <mergeCell ref="K364:K365"/>
    <mergeCell ref="L364:L365"/>
    <mergeCell ref="O364:O365"/>
    <mergeCell ref="P364:P365"/>
    <mergeCell ref="I362:I363"/>
    <mergeCell ref="K362:K363"/>
    <mergeCell ref="L362:L363"/>
    <mergeCell ref="O362:O363"/>
    <mergeCell ref="P362:P363"/>
    <mergeCell ref="A364:A365"/>
    <mergeCell ref="B364:B365"/>
    <mergeCell ref="C364:C365"/>
    <mergeCell ref="D364:D365"/>
    <mergeCell ref="E364:E365"/>
    <mergeCell ref="A362:A363"/>
    <mergeCell ref="B362:B363"/>
    <mergeCell ref="C362:C363"/>
    <mergeCell ref="D362:D363"/>
    <mergeCell ref="E362:E363"/>
    <mergeCell ref="G362:G363"/>
    <mergeCell ref="G360:G361"/>
    <mergeCell ref="I360:I361"/>
    <mergeCell ref="K360:K361"/>
    <mergeCell ref="L360:L361"/>
    <mergeCell ref="O360:O361"/>
    <mergeCell ref="P360:P361"/>
    <mergeCell ref="I357:I359"/>
    <mergeCell ref="K357:K359"/>
    <mergeCell ref="L357:L359"/>
    <mergeCell ref="O357:O359"/>
    <mergeCell ref="P357:P359"/>
    <mergeCell ref="A360:A361"/>
    <mergeCell ref="B360:B361"/>
    <mergeCell ref="C360:C361"/>
    <mergeCell ref="D360:D361"/>
    <mergeCell ref="E360:E361"/>
    <mergeCell ref="A357:A359"/>
    <mergeCell ref="B357:B359"/>
    <mergeCell ref="C357:C359"/>
    <mergeCell ref="D357:D359"/>
    <mergeCell ref="E357:E359"/>
    <mergeCell ref="G357:G359"/>
    <mergeCell ref="G353:G356"/>
    <mergeCell ref="I353:I356"/>
    <mergeCell ref="K353:K356"/>
    <mergeCell ref="L353:L356"/>
    <mergeCell ref="O353:O356"/>
    <mergeCell ref="P353:P356"/>
    <mergeCell ref="I349:I352"/>
    <mergeCell ref="K349:K352"/>
    <mergeCell ref="L349:L352"/>
    <mergeCell ref="O349:O352"/>
    <mergeCell ref="P349:P352"/>
    <mergeCell ref="A353:A356"/>
    <mergeCell ref="B353:B356"/>
    <mergeCell ref="C353:C356"/>
    <mergeCell ref="D353:D356"/>
    <mergeCell ref="E353:E356"/>
    <mergeCell ref="A349:A352"/>
    <mergeCell ref="B349:B352"/>
    <mergeCell ref="C349:C352"/>
    <mergeCell ref="D349:D352"/>
    <mergeCell ref="E349:E352"/>
    <mergeCell ref="G349:G352"/>
    <mergeCell ref="G346:G348"/>
    <mergeCell ref="I346:I348"/>
    <mergeCell ref="K346:K348"/>
    <mergeCell ref="L346:L348"/>
    <mergeCell ref="O346:O348"/>
    <mergeCell ref="P346:P348"/>
    <mergeCell ref="I342:I345"/>
    <mergeCell ref="K342:K345"/>
    <mergeCell ref="L342:L345"/>
    <mergeCell ref="O342:O345"/>
    <mergeCell ref="P342:P345"/>
    <mergeCell ref="A346:A348"/>
    <mergeCell ref="B346:B348"/>
    <mergeCell ref="C346:C348"/>
    <mergeCell ref="D346:D348"/>
    <mergeCell ref="E346:E348"/>
    <mergeCell ref="A342:A345"/>
    <mergeCell ref="B342:B345"/>
    <mergeCell ref="C342:C345"/>
    <mergeCell ref="D342:D345"/>
    <mergeCell ref="E342:E345"/>
    <mergeCell ref="G342:G345"/>
    <mergeCell ref="G332:G341"/>
    <mergeCell ref="I332:I341"/>
    <mergeCell ref="K332:K341"/>
    <mergeCell ref="L332:L341"/>
    <mergeCell ref="O332:O341"/>
    <mergeCell ref="P332:P341"/>
    <mergeCell ref="I329:I331"/>
    <mergeCell ref="K329:K331"/>
    <mergeCell ref="L329:L331"/>
    <mergeCell ref="O329:O331"/>
    <mergeCell ref="P329:P331"/>
    <mergeCell ref="A332:A341"/>
    <mergeCell ref="B332:B341"/>
    <mergeCell ref="C332:C341"/>
    <mergeCell ref="D332:D341"/>
    <mergeCell ref="E332:E341"/>
    <mergeCell ref="A329:A331"/>
    <mergeCell ref="B329:B331"/>
    <mergeCell ref="C329:C331"/>
    <mergeCell ref="D329:D331"/>
    <mergeCell ref="E329:E331"/>
    <mergeCell ref="G329:G331"/>
    <mergeCell ref="G322:G328"/>
    <mergeCell ref="I322:I328"/>
    <mergeCell ref="K322:K328"/>
    <mergeCell ref="L322:L328"/>
    <mergeCell ref="O322:O328"/>
    <mergeCell ref="P322:P328"/>
    <mergeCell ref="I317:I321"/>
    <mergeCell ref="K317:K321"/>
    <mergeCell ref="L317:L321"/>
    <mergeCell ref="O317:O321"/>
    <mergeCell ref="P317:P321"/>
    <mergeCell ref="A322:A328"/>
    <mergeCell ref="B322:B328"/>
    <mergeCell ref="C322:C328"/>
    <mergeCell ref="D322:D328"/>
    <mergeCell ref="E322:E328"/>
    <mergeCell ref="A317:A321"/>
    <mergeCell ref="B317:B321"/>
    <mergeCell ref="C317:C321"/>
    <mergeCell ref="D317:D321"/>
    <mergeCell ref="E317:E321"/>
    <mergeCell ref="G317:G321"/>
    <mergeCell ref="G311:G316"/>
    <mergeCell ref="I311:I316"/>
    <mergeCell ref="K311:K316"/>
    <mergeCell ref="L311:L316"/>
    <mergeCell ref="O311:O316"/>
    <mergeCell ref="P311:P316"/>
    <mergeCell ref="I303:I310"/>
    <mergeCell ref="K303:K310"/>
    <mergeCell ref="L303:L310"/>
    <mergeCell ref="O303:O310"/>
    <mergeCell ref="P303:P310"/>
    <mergeCell ref="A311:A316"/>
    <mergeCell ref="B311:B316"/>
    <mergeCell ref="C311:C316"/>
    <mergeCell ref="D311:D316"/>
    <mergeCell ref="E311:E316"/>
    <mergeCell ref="K295:K302"/>
    <mergeCell ref="L295:L302"/>
    <mergeCell ref="O295:O302"/>
    <mergeCell ref="P295:P302"/>
    <mergeCell ref="A303:A310"/>
    <mergeCell ref="B303:B310"/>
    <mergeCell ref="C303:C310"/>
    <mergeCell ref="D303:D310"/>
    <mergeCell ref="E303:E310"/>
    <mergeCell ref="G303:G310"/>
    <mergeCell ref="L288:L294"/>
    <mergeCell ref="O288:O294"/>
    <mergeCell ref="P288:P294"/>
    <mergeCell ref="A295:A302"/>
    <mergeCell ref="B295:B302"/>
    <mergeCell ref="C295:C302"/>
    <mergeCell ref="D295:D302"/>
    <mergeCell ref="E295:E302"/>
    <mergeCell ref="G295:G302"/>
    <mergeCell ref="I295:I302"/>
    <mergeCell ref="O276:O287"/>
    <mergeCell ref="P276:P287"/>
    <mergeCell ref="A288:A294"/>
    <mergeCell ref="B288:B294"/>
    <mergeCell ref="C288:C294"/>
    <mergeCell ref="D288:D294"/>
    <mergeCell ref="E288:E294"/>
    <mergeCell ref="G288:G294"/>
    <mergeCell ref="I288:I294"/>
    <mergeCell ref="K288:K294"/>
    <mergeCell ref="Q274:Q275"/>
    <mergeCell ref="A276:A287"/>
    <mergeCell ref="B276:B287"/>
    <mergeCell ref="C276:C287"/>
    <mergeCell ref="D276:D287"/>
    <mergeCell ref="E276:E287"/>
    <mergeCell ref="G276:G287"/>
    <mergeCell ref="I276:I287"/>
    <mergeCell ref="K276:K287"/>
    <mergeCell ref="L276:L287"/>
    <mergeCell ref="A269:E269"/>
    <mergeCell ref="A272:P272"/>
    <mergeCell ref="A273:E274"/>
    <mergeCell ref="F273:P273"/>
    <mergeCell ref="F274:H274"/>
    <mergeCell ref="I274:L274"/>
    <mergeCell ref="M274:N274"/>
    <mergeCell ref="O274:P274"/>
    <mergeCell ref="G263:G264"/>
    <mergeCell ref="I263:I264"/>
    <mergeCell ref="K263:K264"/>
    <mergeCell ref="L263:L264"/>
    <mergeCell ref="O263:O264"/>
    <mergeCell ref="P263:P264"/>
    <mergeCell ref="I260:I261"/>
    <mergeCell ref="K260:K261"/>
    <mergeCell ref="L260:L261"/>
    <mergeCell ref="O260:O261"/>
    <mergeCell ref="P260:P261"/>
    <mergeCell ref="A263:A264"/>
    <mergeCell ref="B263:B264"/>
    <mergeCell ref="C263:C264"/>
    <mergeCell ref="D263:D264"/>
    <mergeCell ref="E263:E264"/>
    <mergeCell ref="A260:A261"/>
    <mergeCell ref="B260:B261"/>
    <mergeCell ref="C260:C261"/>
    <mergeCell ref="D260:D261"/>
    <mergeCell ref="E260:E261"/>
    <mergeCell ref="G260:G261"/>
    <mergeCell ref="G257:G259"/>
    <mergeCell ref="I257:I259"/>
    <mergeCell ref="K257:K259"/>
    <mergeCell ref="L257:L259"/>
    <mergeCell ref="O257:O259"/>
    <mergeCell ref="P257:P259"/>
    <mergeCell ref="I251:I256"/>
    <mergeCell ref="K251:K256"/>
    <mergeCell ref="L251:L256"/>
    <mergeCell ref="O251:O256"/>
    <mergeCell ref="P251:P256"/>
    <mergeCell ref="A257:A259"/>
    <mergeCell ref="B257:B259"/>
    <mergeCell ref="C257:C259"/>
    <mergeCell ref="D257:D259"/>
    <mergeCell ref="E257:E259"/>
    <mergeCell ref="A251:A256"/>
    <mergeCell ref="B251:B256"/>
    <mergeCell ref="C251:C256"/>
    <mergeCell ref="D251:D256"/>
    <mergeCell ref="E251:E256"/>
    <mergeCell ref="G251:G256"/>
    <mergeCell ref="G248:G250"/>
    <mergeCell ref="I248:I250"/>
    <mergeCell ref="K248:K250"/>
    <mergeCell ref="L248:L250"/>
    <mergeCell ref="O248:O250"/>
    <mergeCell ref="P248:P250"/>
    <mergeCell ref="I245:I246"/>
    <mergeCell ref="K245:K246"/>
    <mergeCell ref="L245:L246"/>
    <mergeCell ref="O245:O246"/>
    <mergeCell ref="P245:P246"/>
    <mergeCell ref="A248:A250"/>
    <mergeCell ref="B248:B250"/>
    <mergeCell ref="C248:C250"/>
    <mergeCell ref="D248:D250"/>
    <mergeCell ref="E248:E250"/>
    <mergeCell ref="A245:A246"/>
    <mergeCell ref="B245:B246"/>
    <mergeCell ref="C245:C246"/>
    <mergeCell ref="D245:D246"/>
    <mergeCell ref="E245:E246"/>
    <mergeCell ref="G245:G246"/>
    <mergeCell ref="G243:G244"/>
    <mergeCell ref="I243:I244"/>
    <mergeCell ref="K243:K244"/>
    <mergeCell ref="L243:L244"/>
    <mergeCell ref="O243:O244"/>
    <mergeCell ref="P243:P244"/>
    <mergeCell ref="I241:I242"/>
    <mergeCell ref="K241:K242"/>
    <mergeCell ref="L241:L242"/>
    <mergeCell ref="O241:O242"/>
    <mergeCell ref="P241:P242"/>
    <mergeCell ref="A243:A244"/>
    <mergeCell ref="B243:B244"/>
    <mergeCell ref="C243:C244"/>
    <mergeCell ref="D243:D244"/>
    <mergeCell ref="E243:E244"/>
    <mergeCell ref="A241:A242"/>
    <mergeCell ref="B241:B242"/>
    <mergeCell ref="C241:C242"/>
    <mergeCell ref="D241:D242"/>
    <mergeCell ref="E241:E242"/>
    <mergeCell ref="G241:G242"/>
    <mergeCell ref="G239:G240"/>
    <mergeCell ref="I239:I240"/>
    <mergeCell ref="K239:K240"/>
    <mergeCell ref="L239:L240"/>
    <mergeCell ref="O239:O240"/>
    <mergeCell ref="P239:P240"/>
    <mergeCell ref="I236:I238"/>
    <mergeCell ref="K236:K238"/>
    <mergeCell ref="L236:L238"/>
    <mergeCell ref="O236:O238"/>
    <mergeCell ref="P236:P238"/>
    <mergeCell ref="A239:A240"/>
    <mergeCell ref="B239:B240"/>
    <mergeCell ref="C239:C240"/>
    <mergeCell ref="D239:D240"/>
    <mergeCell ref="E239:E240"/>
    <mergeCell ref="A236:A238"/>
    <mergeCell ref="B236:B238"/>
    <mergeCell ref="C236:C238"/>
    <mergeCell ref="D236:D238"/>
    <mergeCell ref="E236:E238"/>
    <mergeCell ref="G236:G238"/>
    <mergeCell ref="G233:G235"/>
    <mergeCell ref="I233:I235"/>
    <mergeCell ref="K233:K235"/>
    <mergeCell ref="L233:L235"/>
    <mergeCell ref="O233:O235"/>
    <mergeCell ref="P233:P235"/>
    <mergeCell ref="I230:I232"/>
    <mergeCell ref="K230:K232"/>
    <mergeCell ref="L230:L232"/>
    <mergeCell ref="O230:O232"/>
    <mergeCell ref="P230:P232"/>
    <mergeCell ref="A233:A235"/>
    <mergeCell ref="B233:B235"/>
    <mergeCell ref="C233:C235"/>
    <mergeCell ref="D233:D235"/>
    <mergeCell ref="E233:E235"/>
    <mergeCell ref="A230:A232"/>
    <mergeCell ref="B230:B232"/>
    <mergeCell ref="C230:C232"/>
    <mergeCell ref="D230:D232"/>
    <mergeCell ref="E230:E232"/>
    <mergeCell ref="G230:G232"/>
    <mergeCell ref="G227:G229"/>
    <mergeCell ref="I227:I229"/>
    <mergeCell ref="K227:K229"/>
    <mergeCell ref="L227:L229"/>
    <mergeCell ref="O227:O229"/>
    <mergeCell ref="P227:P229"/>
    <mergeCell ref="I222:I225"/>
    <mergeCell ref="K222:K225"/>
    <mergeCell ref="L222:L225"/>
    <mergeCell ref="O222:O225"/>
    <mergeCell ref="P222:P225"/>
    <mergeCell ref="A227:A229"/>
    <mergeCell ref="B227:B229"/>
    <mergeCell ref="C227:C229"/>
    <mergeCell ref="D227:D229"/>
    <mergeCell ref="E227:E229"/>
    <mergeCell ref="A222:A225"/>
    <mergeCell ref="B222:B225"/>
    <mergeCell ref="C222:C225"/>
    <mergeCell ref="D222:D225"/>
    <mergeCell ref="E222:E225"/>
    <mergeCell ref="G222:G225"/>
    <mergeCell ref="G219:G221"/>
    <mergeCell ref="I219:I221"/>
    <mergeCell ref="K219:K221"/>
    <mergeCell ref="L219:L221"/>
    <mergeCell ref="O219:O221"/>
    <mergeCell ref="P219:P221"/>
    <mergeCell ref="I215:I218"/>
    <mergeCell ref="K215:K218"/>
    <mergeCell ref="L215:L218"/>
    <mergeCell ref="O215:O218"/>
    <mergeCell ref="P215:P218"/>
    <mergeCell ref="A219:A221"/>
    <mergeCell ref="B219:B221"/>
    <mergeCell ref="C219:C221"/>
    <mergeCell ref="D219:D221"/>
    <mergeCell ref="E219:E221"/>
    <mergeCell ref="A215:A218"/>
    <mergeCell ref="B215:B218"/>
    <mergeCell ref="C215:C218"/>
    <mergeCell ref="D215:D218"/>
    <mergeCell ref="E215:E218"/>
    <mergeCell ref="G215:G218"/>
    <mergeCell ref="G211:G213"/>
    <mergeCell ref="I211:I213"/>
    <mergeCell ref="K211:K213"/>
    <mergeCell ref="L211:L213"/>
    <mergeCell ref="O211:O213"/>
    <mergeCell ref="P211:P213"/>
    <mergeCell ref="I209:I210"/>
    <mergeCell ref="K209:K210"/>
    <mergeCell ref="L209:L210"/>
    <mergeCell ref="O209:O210"/>
    <mergeCell ref="P209:P210"/>
    <mergeCell ref="A211:A213"/>
    <mergeCell ref="B211:B213"/>
    <mergeCell ref="C211:C213"/>
    <mergeCell ref="D211:D213"/>
    <mergeCell ref="E211:E213"/>
    <mergeCell ref="A209:A210"/>
    <mergeCell ref="B209:B210"/>
    <mergeCell ref="C209:C210"/>
    <mergeCell ref="D209:D210"/>
    <mergeCell ref="E209:E210"/>
    <mergeCell ref="G209:G210"/>
    <mergeCell ref="G207:G208"/>
    <mergeCell ref="I207:I208"/>
    <mergeCell ref="K207:K208"/>
    <mergeCell ref="L207:L208"/>
    <mergeCell ref="O207:O208"/>
    <mergeCell ref="P207:P208"/>
    <mergeCell ref="I201:I206"/>
    <mergeCell ref="K201:K206"/>
    <mergeCell ref="L201:L206"/>
    <mergeCell ref="O201:O206"/>
    <mergeCell ref="P201:P206"/>
    <mergeCell ref="A207:A208"/>
    <mergeCell ref="B207:B208"/>
    <mergeCell ref="C207:C208"/>
    <mergeCell ref="D207:D208"/>
    <mergeCell ref="E207:E208"/>
    <mergeCell ref="A201:A206"/>
    <mergeCell ref="B201:B206"/>
    <mergeCell ref="C201:C206"/>
    <mergeCell ref="D201:D206"/>
    <mergeCell ref="E201:E206"/>
    <mergeCell ref="G201:G206"/>
    <mergeCell ref="G197:G200"/>
    <mergeCell ref="I197:I200"/>
    <mergeCell ref="K197:K200"/>
    <mergeCell ref="L197:L200"/>
    <mergeCell ref="O197:O200"/>
    <mergeCell ref="P197:P200"/>
    <mergeCell ref="I193:I196"/>
    <mergeCell ref="K193:K196"/>
    <mergeCell ref="L193:L196"/>
    <mergeCell ref="O193:O196"/>
    <mergeCell ref="P193:P196"/>
    <mergeCell ref="A197:A200"/>
    <mergeCell ref="B197:B200"/>
    <mergeCell ref="C197:C200"/>
    <mergeCell ref="D197:D200"/>
    <mergeCell ref="E197:E200"/>
    <mergeCell ref="A193:A196"/>
    <mergeCell ref="B193:B196"/>
    <mergeCell ref="C193:C196"/>
    <mergeCell ref="D193:D196"/>
    <mergeCell ref="E193:E196"/>
    <mergeCell ref="G193:G196"/>
    <mergeCell ref="G187:G191"/>
    <mergeCell ref="I187:I191"/>
    <mergeCell ref="K187:K191"/>
    <mergeCell ref="L187:L191"/>
    <mergeCell ref="O187:O191"/>
    <mergeCell ref="P187:P191"/>
    <mergeCell ref="I182:I186"/>
    <mergeCell ref="K182:K186"/>
    <mergeCell ref="L182:L186"/>
    <mergeCell ref="O182:O186"/>
    <mergeCell ref="P182:P186"/>
    <mergeCell ref="A187:A191"/>
    <mergeCell ref="B187:B191"/>
    <mergeCell ref="C187:C191"/>
    <mergeCell ref="D187:D191"/>
    <mergeCell ref="E187:E191"/>
    <mergeCell ref="A182:A186"/>
    <mergeCell ref="B182:B186"/>
    <mergeCell ref="C182:C186"/>
    <mergeCell ref="D182:D186"/>
    <mergeCell ref="E182:E186"/>
    <mergeCell ref="G182:G186"/>
    <mergeCell ref="G176:G181"/>
    <mergeCell ref="I176:I181"/>
    <mergeCell ref="K176:K181"/>
    <mergeCell ref="L176:L181"/>
    <mergeCell ref="O176:O181"/>
    <mergeCell ref="P176:P181"/>
    <mergeCell ref="I173:I175"/>
    <mergeCell ref="K173:K175"/>
    <mergeCell ref="L173:L175"/>
    <mergeCell ref="O173:O175"/>
    <mergeCell ref="P173:P175"/>
    <mergeCell ref="A176:A181"/>
    <mergeCell ref="B176:B181"/>
    <mergeCell ref="C176:C181"/>
    <mergeCell ref="D176:D181"/>
    <mergeCell ref="E176:E181"/>
    <mergeCell ref="A173:A175"/>
    <mergeCell ref="B173:B175"/>
    <mergeCell ref="C173:C175"/>
    <mergeCell ref="D173:D175"/>
    <mergeCell ref="E173:E175"/>
    <mergeCell ref="G173:G175"/>
    <mergeCell ref="G170:G172"/>
    <mergeCell ref="I170:I172"/>
    <mergeCell ref="K170:K172"/>
    <mergeCell ref="L170:L172"/>
    <mergeCell ref="O170:O172"/>
    <mergeCell ref="P170:P172"/>
    <mergeCell ref="I168:I169"/>
    <mergeCell ref="K168:K169"/>
    <mergeCell ref="L168:L169"/>
    <mergeCell ref="O168:O169"/>
    <mergeCell ref="P168:P169"/>
    <mergeCell ref="A170:A172"/>
    <mergeCell ref="B170:B172"/>
    <mergeCell ref="C170:C172"/>
    <mergeCell ref="D170:D172"/>
    <mergeCell ref="E170:E172"/>
    <mergeCell ref="A168:A169"/>
    <mergeCell ref="B168:B169"/>
    <mergeCell ref="C168:C169"/>
    <mergeCell ref="D168:D169"/>
    <mergeCell ref="E168:E169"/>
    <mergeCell ref="G168:G169"/>
    <mergeCell ref="G166:G167"/>
    <mergeCell ref="I166:I167"/>
    <mergeCell ref="K166:K167"/>
    <mergeCell ref="L166:L167"/>
    <mergeCell ref="O166:O167"/>
    <mergeCell ref="P166:P167"/>
    <mergeCell ref="I163:I165"/>
    <mergeCell ref="K163:K165"/>
    <mergeCell ref="L163:L165"/>
    <mergeCell ref="O163:O165"/>
    <mergeCell ref="P163:P165"/>
    <mergeCell ref="A166:A167"/>
    <mergeCell ref="B166:B167"/>
    <mergeCell ref="C166:C167"/>
    <mergeCell ref="D166:D167"/>
    <mergeCell ref="E166:E167"/>
    <mergeCell ref="A163:A165"/>
    <mergeCell ref="B163:B165"/>
    <mergeCell ref="C163:C165"/>
    <mergeCell ref="D163:D165"/>
    <mergeCell ref="E163:E165"/>
    <mergeCell ref="G163:G165"/>
    <mergeCell ref="G159:G162"/>
    <mergeCell ref="I159:I162"/>
    <mergeCell ref="K159:K162"/>
    <mergeCell ref="L159:L162"/>
    <mergeCell ref="O159:O162"/>
    <mergeCell ref="P159:P162"/>
    <mergeCell ref="I154:I158"/>
    <mergeCell ref="K154:K158"/>
    <mergeCell ref="L154:L158"/>
    <mergeCell ref="O154:O158"/>
    <mergeCell ref="P154:P158"/>
    <mergeCell ref="A159:A162"/>
    <mergeCell ref="B159:B162"/>
    <mergeCell ref="C159:C162"/>
    <mergeCell ref="D159:D162"/>
    <mergeCell ref="E159:E162"/>
    <mergeCell ref="A154:A158"/>
    <mergeCell ref="B154:B158"/>
    <mergeCell ref="C154:C158"/>
    <mergeCell ref="D154:D158"/>
    <mergeCell ref="E154:E158"/>
    <mergeCell ref="G154:G158"/>
    <mergeCell ref="G148:G152"/>
    <mergeCell ref="I148:I152"/>
    <mergeCell ref="K148:K152"/>
    <mergeCell ref="L148:L152"/>
    <mergeCell ref="O148:O152"/>
    <mergeCell ref="P148:P152"/>
    <mergeCell ref="I145:I147"/>
    <mergeCell ref="K145:K147"/>
    <mergeCell ref="L145:L147"/>
    <mergeCell ref="O145:O147"/>
    <mergeCell ref="P145:P147"/>
    <mergeCell ref="A148:A152"/>
    <mergeCell ref="B148:B152"/>
    <mergeCell ref="C148:C152"/>
    <mergeCell ref="D148:D152"/>
    <mergeCell ref="E148:E152"/>
    <mergeCell ref="A145:A147"/>
    <mergeCell ref="B145:B147"/>
    <mergeCell ref="C145:C147"/>
    <mergeCell ref="D145:D147"/>
    <mergeCell ref="E145:E147"/>
    <mergeCell ref="G145:G147"/>
    <mergeCell ref="G142:G144"/>
    <mergeCell ref="I142:I144"/>
    <mergeCell ref="K142:K144"/>
    <mergeCell ref="L142:L144"/>
    <mergeCell ref="O142:O144"/>
    <mergeCell ref="P142:P144"/>
    <mergeCell ref="I139:I141"/>
    <mergeCell ref="K139:K141"/>
    <mergeCell ref="L139:L141"/>
    <mergeCell ref="O139:O141"/>
    <mergeCell ref="P139:P141"/>
    <mergeCell ref="A142:A144"/>
    <mergeCell ref="B142:B144"/>
    <mergeCell ref="C142:C144"/>
    <mergeCell ref="D142:D144"/>
    <mergeCell ref="E142:E144"/>
    <mergeCell ref="A139:A141"/>
    <mergeCell ref="B139:B141"/>
    <mergeCell ref="C139:C141"/>
    <mergeCell ref="D139:D141"/>
    <mergeCell ref="E139:E141"/>
    <mergeCell ref="G139:G141"/>
    <mergeCell ref="G137:G138"/>
    <mergeCell ref="I137:I138"/>
    <mergeCell ref="K137:K138"/>
    <mergeCell ref="L137:L138"/>
    <mergeCell ref="O137:O138"/>
    <mergeCell ref="P137:P138"/>
    <mergeCell ref="I135:I136"/>
    <mergeCell ref="K135:K136"/>
    <mergeCell ref="L135:L136"/>
    <mergeCell ref="O135:O136"/>
    <mergeCell ref="P135:P136"/>
    <mergeCell ref="A137:A138"/>
    <mergeCell ref="B137:B138"/>
    <mergeCell ref="C137:C138"/>
    <mergeCell ref="D137:D138"/>
    <mergeCell ref="E137:E138"/>
    <mergeCell ref="A135:A136"/>
    <mergeCell ref="B135:B136"/>
    <mergeCell ref="C135:C136"/>
    <mergeCell ref="D135:D136"/>
    <mergeCell ref="E135:E136"/>
    <mergeCell ref="G135:G136"/>
    <mergeCell ref="G132:G134"/>
    <mergeCell ref="I132:I134"/>
    <mergeCell ref="K132:K134"/>
    <mergeCell ref="L132:L134"/>
    <mergeCell ref="O132:O134"/>
    <mergeCell ref="P132:P134"/>
    <mergeCell ref="I127:I131"/>
    <mergeCell ref="K127:K131"/>
    <mergeCell ref="L127:L131"/>
    <mergeCell ref="O127:O131"/>
    <mergeCell ref="P127:P131"/>
    <mergeCell ref="A132:A134"/>
    <mergeCell ref="B132:B134"/>
    <mergeCell ref="C132:C134"/>
    <mergeCell ref="D132:D134"/>
    <mergeCell ref="E132:E134"/>
    <mergeCell ref="A127:A131"/>
    <mergeCell ref="B127:B131"/>
    <mergeCell ref="C127:C131"/>
    <mergeCell ref="D127:D131"/>
    <mergeCell ref="E127:E131"/>
    <mergeCell ref="G127:G131"/>
    <mergeCell ref="G118:G126"/>
    <mergeCell ref="I118:I126"/>
    <mergeCell ref="K118:K126"/>
    <mergeCell ref="L118:L126"/>
    <mergeCell ref="O118:O126"/>
    <mergeCell ref="P118:P126"/>
    <mergeCell ref="I111:I117"/>
    <mergeCell ref="K111:K117"/>
    <mergeCell ref="L111:L117"/>
    <mergeCell ref="O111:O117"/>
    <mergeCell ref="P111:P117"/>
    <mergeCell ref="A118:A126"/>
    <mergeCell ref="B118:B126"/>
    <mergeCell ref="C118:C126"/>
    <mergeCell ref="D118:D126"/>
    <mergeCell ref="E118:E126"/>
    <mergeCell ref="K108:K110"/>
    <mergeCell ref="L108:L110"/>
    <mergeCell ref="O108:O110"/>
    <mergeCell ref="P108:P110"/>
    <mergeCell ref="A111:A117"/>
    <mergeCell ref="B111:B117"/>
    <mergeCell ref="C111:C117"/>
    <mergeCell ref="D111:D117"/>
    <mergeCell ref="E111:E117"/>
    <mergeCell ref="G111:G117"/>
    <mergeCell ref="L101:L107"/>
    <mergeCell ref="O101:O107"/>
    <mergeCell ref="P101:P107"/>
    <mergeCell ref="A108:A110"/>
    <mergeCell ref="B108:B110"/>
    <mergeCell ref="C108:C110"/>
    <mergeCell ref="D108:D110"/>
    <mergeCell ref="E108:E110"/>
    <mergeCell ref="G108:G110"/>
    <mergeCell ref="I108:I110"/>
    <mergeCell ref="O75:O100"/>
    <mergeCell ref="P75:P100"/>
    <mergeCell ref="A101:A107"/>
    <mergeCell ref="B101:B107"/>
    <mergeCell ref="C101:C107"/>
    <mergeCell ref="D101:D107"/>
    <mergeCell ref="E101:E107"/>
    <mergeCell ref="G101:G107"/>
    <mergeCell ref="I101:I107"/>
    <mergeCell ref="K101:K107"/>
    <mergeCell ref="Q73:Q74"/>
    <mergeCell ref="A75:A100"/>
    <mergeCell ref="B75:B100"/>
    <mergeCell ref="C75:C100"/>
    <mergeCell ref="D75:D100"/>
    <mergeCell ref="E75:E100"/>
    <mergeCell ref="G75:G100"/>
    <mergeCell ref="I75:I100"/>
    <mergeCell ref="K75:K100"/>
    <mergeCell ref="L75:L100"/>
    <mergeCell ref="A71:P71"/>
    <mergeCell ref="A72:E73"/>
    <mergeCell ref="F72:P72"/>
    <mergeCell ref="F73:H73"/>
    <mergeCell ref="I73:L73"/>
    <mergeCell ref="M73:N73"/>
    <mergeCell ref="O73:P73"/>
    <mergeCell ref="A67:E67"/>
    <mergeCell ref="G61:G63"/>
    <mergeCell ref="I61:I63"/>
    <mergeCell ref="K61:K63"/>
    <mergeCell ref="L61:L63"/>
    <mergeCell ref="O61:O63"/>
    <mergeCell ref="P61:P63"/>
    <mergeCell ref="I58:I60"/>
    <mergeCell ref="K58:K60"/>
    <mergeCell ref="L58:L60"/>
    <mergeCell ref="O58:O60"/>
    <mergeCell ref="P58:P60"/>
    <mergeCell ref="A61:A63"/>
    <mergeCell ref="B61:B63"/>
    <mergeCell ref="C61:C63"/>
    <mergeCell ref="D61:D63"/>
    <mergeCell ref="E61:E63"/>
    <mergeCell ref="A58:A60"/>
    <mergeCell ref="B58:B60"/>
    <mergeCell ref="C58:C60"/>
    <mergeCell ref="D58:D60"/>
    <mergeCell ref="E58:E60"/>
    <mergeCell ref="G58:G60"/>
    <mergeCell ref="G56:G57"/>
    <mergeCell ref="I56:I57"/>
    <mergeCell ref="K56:K57"/>
    <mergeCell ref="L56:L57"/>
    <mergeCell ref="O56:O57"/>
    <mergeCell ref="P56:P57"/>
    <mergeCell ref="I54:I55"/>
    <mergeCell ref="K54:K55"/>
    <mergeCell ref="L54:L55"/>
    <mergeCell ref="O54:O55"/>
    <mergeCell ref="P54:P55"/>
    <mergeCell ref="A56:A57"/>
    <mergeCell ref="B56:B57"/>
    <mergeCell ref="C56:C57"/>
    <mergeCell ref="D56:D57"/>
    <mergeCell ref="E56:E57"/>
    <mergeCell ref="I50:I53"/>
    <mergeCell ref="K50:K53"/>
    <mergeCell ref="L50:L53"/>
    <mergeCell ref="O50:O53"/>
    <mergeCell ref="P50:P53"/>
    <mergeCell ref="A54:A55"/>
    <mergeCell ref="B54:B55"/>
    <mergeCell ref="C54:C55"/>
    <mergeCell ref="D54:D55"/>
    <mergeCell ref="E54:E55"/>
    <mergeCell ref="A50:A53"/>
    <mergeCell ref="B50:B53"/>
    <mergeCell ref="C50:C53"/>
    <mergeCell ref="D50:D53"/>
    <mergeCell ref="E50:E53"/>
    <mergeCell ref="G50:G53"/>
    <mergeCell ref="G48:G49"/>
    <mergeCell ref="I48:I49"/>
    <mergeCell ref="K48:K49"/>
    <mergeCell ref="L48:L49"/>
    <mergeCell ref="O48:O49"/>
    <mergeCell ref="P48:P49"/>
    <mergeCell ref="I45:I47"/>
    <mergeCell ref="K45:K47"/>
    <mergeCell ref="L45:L47"/>
    <mergeCell ref="O45:O47"/>
    <mergeCell ref="P45:P47"/>
    <mergeCell ref="A48:A49"/>
    <mergeCell ref="B48:B49"/>
    <mergeCell ref="C48:C49"/>
    <mergeCell ref="D48:D49"/>
    <mergeCell ref="E48:E49"/>
    <mergeCell ref="A45:A47"/>
    <mergeCell ref="B45:B47"/>
    <mergeCell ref="C45:C47"/>
    <mergeCell ref="D45:D47"/>
    <mergeCell ref="E45:E47"/>
    <mergeCell ref="G45:G47"/>
    <mergeCell ref="G42:G44"/>
    <mergeCell ref="I42:I44"/>
    <mergeCell ref="K42:K44"/>
    <mergeCell ref="L42:L44"/>
    <mergeCell ref="O42:O44"/>
    <mergeCell ref="P42:P44"/>
    <mergeCell ref="I40:I41"/>
    <mergeCell ref="K40:K41"/>
    <mergeCell ref="L40:L41"/>
    <mergeCell ref="O40:O41"/>
    <mergeCell ref="P40:P41"/>
    <mergeCell ref="A42:A44"/>
    <mergeCell ref="B42:B44"/>
    <mergeCell ref="C42:C44"/>
    <mergeCell ref="D42:D44"/>
    <mergeCell ref="E42:E44"/>
    <mergeCell ref="K36:K39"/>
    <mergeCell ref="L36:L39"/>
    <mergeCell ref="O36:O39"/>
    <mergeCell ref="P36:P39"/>
    <mergeCell ref="A40:A41"/>
    <mergeCell ref="B40:B41"/>
    <mergeCell ref="C40:C41"/>
    <mergeCell ref="D40:D41"/>
    <mergeCell ref="E40:E41"/>
    <mergeCell ref="G40:G41"/>
    <mergeCell ref="A36:A39"/>
    <mergeCell ref="B36:B39"/>
    <mergeCell ref="C36:C39"/>
    <mergeCell ref="D36:D39"/>
    <mergeCell ref="E36:E39"/>
    <mergeCell ref="I36:I39"/>
    <mergeCell ref="G34:G35"/>
    <mergeCell ref="I34:I35"/>
    <mergeCell ref="K34:K35"/>
    <mergeCell ref="L34:L35"/>
    <mergeCell ref="O34:O35"/>
    <mergeCell ref="P34:P35"/>
    <mergeCell ref="I27:I33"/>
    <mergeCell ref="K27:K33"/>
    <mergeCell ref="L27:L33"/>
    <mergeCell ref="O27:O33"/>
    <mergeCell ref="P27:P33"/>
    <mergeCell ref="A34:A35"/>
    <mergeCell ref="B34:B35"/>
    <mergeCell ref="C34:C35"/>
    <mergeCell ref="D34:D35"/>
    <mergeCell ref="E34:E35"/>
    <mergeCell ref="A27:A33"/>
    <mergeCell ref="B27:B33"/>
    <mergeCell ref="C27:C33"/>
    <mergeCell ref="D27:D33"/>
    <mergeCell ref="E27:E33"/>
    <mergeCell ref="G27:G33"/>
    <mergeCell ref="Q22:Q23"/>
    <mergeCell ref="A24:A26"/>
    <mergeCell ref="C24:C26"/>
    <mergeCell ref="D24:D26"/>
    <mergeCell ref="E24:E26"/>
    <mergeCell ref="I24:I26"/>
    <mergeCell ref="K24:K26"/>
    <mergeCell ref="L24:L26"/>
    <mergeCell ref="O24:O26"/>
    <mergeCell ref="P24:P26"/>
    <mergeCell ref="A20:P20"/>
    <mergeCell ref="A21:E22"/>
    <mergeCell ref="F21:P21"/>
    <mergeCell ref="F22:H22"/>
    <mergeCell ref="I22:L22"/>
    <mergeCell ref="M22:N22"/>
    <mergeCell ref="O22:P22"/>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772"/>
  <sheetViews>
    <sheetView workbookViewId="0">
      <selection activeCell="A11" sqref="A11:BD11"/>
    </sheetView>
  </sheetViews>
  <sheetFormatPr defaultRowHeight="15" x14ac:dyDescent="0.25"/>
  <cols>
    <col min="1" max="1" width="9.28515625" bestFit="1" customWidth="1"/>
    <col min="2" max="2" width="14.28515625" bestFit="1" customWidth="1"/>
    <col min="3" max="3" width="9" customWidth="1"/>
    <col min="4" max="4" width="19.42578125" bestFit="1" customWidth="1"/>
    <col min="5" max="5" width="20.85546875" customWidth="1"/>
    <col min="6" max="6" width="36.7109375" customWidth="1"/>
    <col min="7" max="7" width="13.28515625" customWidth="1"/>
    <col min="8" max="8" width="13.85546875" customWidth="1"/>
    <col min="9" max="9" width="56" customWidth="1"/>
    <col min="10" max="10" width="17.5703125" bestFit="1" customWidth="1"/>
    <col min="11" max="11" width="10.140625" bestFit="1" customWidth="1"/>
    <col min="12" max="12" width="14.7109375" bestFit="1" customWidth="1"/>
    <col min="13" max="13" width="11.28515625" customWidth="1"/>
    <col min="14" max="14" width="12.140625" customWidth="1"/>
    <col min="15" max="15" width="11.140625" bestFit="1" customWidth="1"/>
    <col min="16" max="16" width="9.28515625" bestFit="1" customWidth="1"/>
    <col min="17" max="17" width="11.28515625" customWidth="1"/>
    <col min="18" max="18" width="12.28515625" customWidth="1"/>
    <col min="19" max="19" width="12.7109375" customWidth="1"/>
    <col min="20" max="20" width="12.28515625" bestFit="1" customWidth="1"/>
    <col min="21" max="21" width="24" customWidth="1"/>
    <col min="22" max="22" width="12.7109375" customWidth="1"/>
    <col min="23" max="23" width="13.42578125" customWidth="1"/>
    <col min="24" max="24" width="37.42578125" customWidth="1"/>
    <col min="25" max="26" width="10.140625" bestFit="1" customWidth="1"/>
    <col min="27" max="28" width="9.5703125" bestFit="1" customWidth="1"/>
    <col min="29" max="30" width="14.7109375" bestFit="1" customWidth="1"/>
    <col min="31" max="31" width="19.140625" bestFit="1" customWidth="1"/>
    <col min="32" max="32" width="13.140625" bestFit="1" customWidth="1"/>
    <col min="33" max="33" width="14.7109375" bestFit="1" customWidth="1"/>
    <col min="34" max="34" width="17.7109375" bestFit="1" customWidth="1"/>
    <col min="35" max="35" width="9" bestFit="1" customWidth="1"/>
    <col min="36" max="36" width="15.85546875" customWidth="1"/>
    <col min="37" max="37" width="17.5703125" customWidth="1"/>
    <col min="38" max="38" width="19" customWidth="1"/>
    <col min="40" max="40" width="20.42578125" bestFit="1" customWidth="1"/>
    <col min="41" max="41" width="18.42578125" customWidth="1"/>
    <col min="42" max="42" width="12" bestFit="1" customWidth="1"/>
    <col min="43" max="43" width="17.28515625" customWidth="1"/>
    <col min="44" max="44" width="10.140625" bestFit="1" customWidth="1"/>
    <col min="46" max="46" width="18.28515625" bestFit="1" customWidth="1"/>
    <col min="47" max="48" width="10.28515625" bestFit="1" customWidth="1"/>
    <col min="49" max="49" width="9.28515625" bestFit="1" customWidth="1"/>
    <col min="51" max="51" width="10.28515625" bestFit="1" customWidth="1"/>
    <col min="56" max="56" width="7.28515625" bestFit="1" customWidth="1"/>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221" customFormat="1" x14ac:dyDescent="0.25">
      <c r="A12" s="1503"/>
      <c r="B12" s="1503"/>
      <c r="C12" s="1503"/>
      <c r="D12" s="1503"/>
      <c r="E12" s="1503"/>
      <c r="F12" s="1503"/>
      <c r="G12" s="1503"/>
      <c r="H12" s="1503"/>
      <c r="I12" s="1503"/>
      <c r="J12" s="1508"/>
      <c r="K12" s="1509"/>
      <c r="L12" s="1504"/>
      <c r="M12" s="1503"/>
      <c r="N12" s="1503"/>
      <c r="O12" s="1503"/>
      <c r="P12" s="1505"/>
      <c r="Q12" s="1503"/>
      <c r="R12" s="1503"/>
      <c r="S12" s="1503"/>
      <c r="T12" s="1503"/>
      <c r="U12" s="1508"/>
      <c r="V12" s="1509"/>
      <c r="W12" s="1504"/>
      <c r="X12" s="1503"/>
      <c r="Y12" s="1503"/>
      <c r="Z12" s="1503"/>
      <c r="AA12" s="1505"/>
      <c r="AB12" s="1503"/>
      <c r="AC12" s="1503"/>
      <c r="AD12" s="1506"/>
      <c r="AE12" s="1503"/>
      <c r="AF12" s="1503"/>
      <c r="AG12" s="1503"/>
      <c r="AH12" s="1503"/>
      <c r="AI12" s="1507"/>
      <c r="AJ12" s="1507"/>
      <c r="AK12" s="1507"/>
      <c r="AL12" s="1507"/>
      <c r="AM12" s="1507"/>
      <c r="AN12" s="1507"/>
      <c r="AO12" s="1507"/>
      <c r="AP12" s="1507"/>
      <c r="AQ12" s="1507"/>
      <c r="AR12" s="1507"/>
    </row>
    <row r="13" spans="1:56" s="1444" customFormat="1" ht="15.75" x14ac:dyDescent="0.25">
      <c r="A13" s="1578" t="s">
        <v>1</v>
      </c>
      <c r="B13" s="1578"/>
      <c r="C13" s="1578"/>
      <c r="D13" s="1578"/>
      <c r="E13" s="1578"/>
      <c r="F13" s="1578"/>
      <c r="G13" s="1578"/>
      <c r="H13" s="1578"/>
      <c r="I13" s="1578"/>
      <c r="J13" s="1579"/>
      <c r="K13" s="1578"/>
      <c r="L13" s="1580"/>
      <c r="M13" s="1578"/>
      <c r="N13" s="1580"/>
      <c r="O13" s="1578"/>
      <c r="P13" s="1580"/>
      <c r="Q13" s="1578"/>
      <c r="R13" s="1578"/>
      <c r="S13" s="1580"/>
      <c r="T13" s="1578"/>
      <c r="U13" s="1579"/>
      <c r="V13" s="1578"/>
      <c r="W13" s="1580"/>
      <c r="X13" s="1578"/>
      <c r="Y13" s="1580"/>
      <c r="Z13" s="1578"/>
      <c r="AA13" s="1580"/>
      <c r="AB13" s="1578"/>
      <c r="AC13" s="1578"/>
      <c r="AD13" s="1578"/>
      <c r="AE13" s="1578"/>
      <c r="AF13" s="1578"/>
      <c r="AG13" s="1578"/>
      <c r="AH13" s="1578"/>
      <c r="AI13" s="1578"/>
      <c r="AJ13" s="1578"/>
      <c r="AK13" s="1578"/>
      <c r="AL13" s="1578"/>
      <c r="AM13" s="1578"/>
      <c r="AN13" s="1578"/>
      <c r="AO13" s="1578"/>
      <c r="AP13" s="1578"/>
      <c r="AQ13" s="1578"/>
      <c r="AR13" s="1578"/>
      <c r="AS13" s="1578"/>
      <c r="AU13" s="1581"/>
      <c r="AW13" s="1581"/>
    </row>
    <row r="14" spans="1:56" s="1444" customFormat="1" ht="15.75" x14ac:dyDescent="0.25">
      <c r="A14" s="1578" t="s">
        <v>2</v>
      </c>
      <c r="B14" s="1578"/>
      <c r="C14" s="1578"/>
      <c r="D14" s="1578"/>
      <c r="E14" s="1578"/>
      <c r="F14" s="1578"/>
      <c r="G14" s="1578"/>
      <c r="H14" s="1578"/>
      <c r="I14" s="1582"/>
      <c r="J14" s="1583"/>
      <c r="K14" s="1584"/>
      <c r="L14" s="1583"/>
      <c r="M14" s="1582"/>
      <c r="N14" s="1582"/>
      <c r="O14" s="1582"/>
      <c r="P14" s="1585"/>
      <c r="Q14" s="1582"/>
      <c r="R14" s="1586"/>
      <c r="S14" s="1582"/>
      <c r="T14" s="1582"/>
      <c r="U14" s="1583"/>
      <c r="V14" s="1584"/>
      <c r="W14" s="1583"/>
      <c r="X14" s="1582"/>
      <c r="Y14" s="1582"/>
      <c r="Z14" s="1582"/>
      <c r="AA14" s="1585"/>
      <c r="AB14" s="1582"/>
      <c r="AC14" s="1586"/>
      <c r="AD14" s="1586"/>
      <c r="AE14" s="1582"/>
      <c r="AF14" s="1582"/>
      <c r="AG14" s="1582"/>
      <c r="AH14" s="1582"/>
      <c r="AI14" s="1582"/>
      <c r="AJ14" s="1582"/>
      <c r="AK14" s="1582"/>
      <c r="AL14" s="1582"/>
      <c r="AM14" s="1582"/>
      <c r="AN14" s="1582"/>
      <c r="AO14" s="1582"/>
      <c r="AP14" s="1582"/>
      <c r="AQ14" s="1582"/>
      <c r="AR14" s="1582"/>
      <c r="AS14" s="1582"/>
    </row>
    <row r="15" spans="1:56" s="1444" customFormat="1" ht="15.75" x14ac:dyDescent="0.25">
      <c r="A15" s="1578" t="s">
        <v>3</v>
      </c>
      <c r="B15" s="1578"/>
      <c r="C15" s="1578"/>
      <c r="D15" s="1578"/>
      <c r="E15" s="1578"/>
      <c r="F15" s="1587"/>
      <c r="G15" s="1587"/>
      <c r="H15" s="1588"/>
      <c r="I15" s="1589"/>
      <c r="J15" s="1590"/>
      <c r="K15" s="1591"/>
      <c r="L15" s="1588"/>
      <c r="M15" s="1588"/>
      <c r="N15" s="1588"/>
      <c r="O15" s="1592"/>
      <c r="P15" s="1588"/>
      <c r="Q15" s="1588"/>
      <c r="R15" s="1587"/>
      <c r="S15" s="1587"/>
      <c r="T15" s="1587"/>
      <c r="U15" s="1579"/>
      <c r="V15" s="1593"/>
      <c r="W15" s="1579"/>
      <c r="X15" s="1594"/>
      <c r="Y15" s="1587"/>
      <c r="Z15" s="1587"/>
      <c r="AA15" s="1594"/>
      <c r="AB15" s="1594"/>
      <c r="AC15" s="1595"/>
      <c r="AD15" s="1596"/>
      <c r="AE15" s="1596"/>
      <c r="AF15" s="1597"/>
      <c r="AG15" s="1587"/>
      <c r="AH15" s="1587"/>
      <c r="AI15" s="1587"/>
      <c r="AJ15" s="1587"/>
      <c r="AK15" s="1587"/>
      <c r="AL15" s="1587"/>
      <c r="AM15" s="1587"/>
      <c r="AN15" s="1587"/>
      <c r="AO15" s="1587"/>
      <c r="AP15" s="1587"/>
      <c r="AQ15" s="1587"/>
      <c r="AR15" s="1587"/>
      <c r="AS15" s="1587"/>
    </row>
    <row r="16" spans="1:56" s="1444" customFormat="1" ht="15.75" x14ac:dyDescent="0.25">
      <c r="B16" s="1598"/>
      <c r="C16" s="1598"/>
      <c r="D16" s="1598"/>
      <c r="E16" s="1598"/>
      <c r="F16" s="1598"/>
      <c r="G16" s="1598"/>
      <c r="H16" s="1588"/>
      <c r="I16" s="1583"/>
      <c r="J16" s="1590"/>
      <c r="K16" s="1591"/>
      <c r="L16" s="1588"/>
      <c r="M16" s="1588"/>
      <c r="N16" s="1588"/>
      <c r="O16" s="1599"/>
      <c r="P16" s="1599"/>
      <c r="Q16" s="1588"/>
      <c r="R16" s="1598"/>
      <c r="S16" s="1598"/>
      <c r="T16" s="1598"/>
      <c r="U16" s="1600"/>
      <c r="V16" s="1579"/>
      <c r="W16" s="1579"/>
      <c r="X16" s="1601"/>
      <c r="Y16" s="1601"/>
      <c r="Z16" s="1598"/>
      <c r="AA16" s="1602"/>
      <c r="AB16" s="1598"/>
      <c r="AC16" s="1603"/>
      <c r="AD16" s="1602"/>
      <c r="AE16" s="1598"/>
      <c r="AF16" s="1598"/>
      <c r="AG16" s="1604"/>
      <c r="AH16" s="1598"/>
      <c r="AI16" s="1598"/>
      <c r="AJ16" s="1598"/>
      <c r="AK16" s="1598"/>
      <c r="AL16" s="1598"/>
      <c r="AM16" s="1598"/>
      <c r="AN16" s="1598"/>
      <c r="AO16" s="1598"/>
      <c r="AP16" s="1598"/>
      <c r="AQ16" s="1598"/>
      <c r="AR16" s="1598"/>
      <c r="AS16" s="1598"/>
    </row>
    <row r="17" spans="1:62" s="1444" customFormat="1" ht="15.75" x14ac:dyDescent="0.25">
      <c r="A17" s="1578" t="s">
        <v>7562</v>
      </c>
      <c r="B17" s="1578"/>
      <c r="C17" s="1578"/>
      <c r="D17" s="1578"/>
      <c r="E17" s="1578"/>
      <c r="F17" s="1578"/>
      <c r="G17" s="1578"/>
      <c r="H17" s="1578"/>
      <c r="I17" s="1579"/>
      <c r="J17" s="1605"/>
      <c r="K17" s="1579"/>
      <c r="L17" s="1578"/>
      <c r="M17" s="1606"/>
      <c r="O17" s="1585"/>
      <c r="P17" s="1581"/>
      <c r="Q17" s="1580"/>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c r="AN17" s="1578"/>
      <c r="AO17" s="1578"/>
      <c r="AP17" s="1578"/>
      <c r="AQ17" s="1578"/>
      <c r="AR17" s="1578"/>
      <c r="AS17" s="1578"/>
    </row>
    <row r="18" spans="1:62" s="1444" customFormat="1" ht="15.75" x14ac:dyDescent="0.25">
      <c r="A18" s="1578"/>
      <c r="B18" s="1578"/>
      <c r="C18" s="1578"/>
      <c r="D18" s="1578"/>
      <c r="E18" s="1578"/>
      <c r="F18" s="1578"/>
      <c r="G18" s="1578"/>
      <c r="H18" s="1598"/>
      <c r="I18" s="1579"/>
      <c r="J18" s="1579"/>
      <c r="K18" s="1579"/>
      <c r="L18" s="1598"/>
      <c r="M18" s="1580"/>
      <c r="N18" s="1578"/>
      <c r="O18" s="1580"/>
      <c r="P18" s="1598"/>
      <c r="Q18" s="1603"/>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c r="AN18" s="1578"/>
      <c r="AO18" s="1578"/>
      <c r="AP18" s="1578"/>
      <c r="AQ18" s="1578"/>
      <c r="AR18" s="1578"/>
      <c r="AS18" s="1578"/>
    </row>
    <row r="19" spans="1:62" s="1444" customFormat="1" ht="15.75" x14ac:dyDescent="0.25">
      <c r="A19" s="1578" t="s">
        <v>7563</v>
      </c>
      <c r="B19" s="1578"/>
      <c r="C19" s="1578"/>
      <c r="D19" s="1578"/>
      <c r="E19" s="1578"/>
      <c r="F19" s="1578"/>
      <c r="G19" s="1578"/>
      <c r="H19" s="1578"/>
      <c r="I19" s="1579"/>
      <c r="J19" s="1578"/>
      <c r="K19" s="1580"/>
      <c r="L19" s="1578"/>
      <c r="M19" s="1580"/>
      <c r="N19" s="1578"/>
      <c r="O19" s="1580"/>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c r="AN19" s="1578"/>
      <c r="AO19" s="1578"/>
      <c r="AP19" s="1578"/>
      <c r="AQ19" s="1578"/>
      <c r="AR19" s="1578"/>
      <c r="AS19" s="1578"/>
    </row>
    <row r="20" spans="1:62" x14ac:dyDescent="0.25">
      <c r="B20" s="163"/>
      <c r="C20" s="163"/>
      <c r="D20" s="163"/>
      <c r="E20" s="163"/>
      <c r="F20" s="163"/>
      <c r="G20" s="163"/>
      <c r="H20" s="1507"/>
      <c r="I20" s="1510"/>
      <c r="J20" s="1512"/>
      <c r="K20" s="1510"/>
      <c r="L20" s="1507"/>
      <c r="M20" s="1507"/>
      <c r="N20" s="1507"/>
      <c r="O20" s="1511"/>
      <c r="P20" s="1507"/>
      <c r="Q20" s="1513"/>
      <c r="R20" s="163"/>
      <c r="S20" s="163"/>
      <c r="T20" s="163"/>
      <c r="U20" s="241"/>
      <c r="V20" s="241"/>
      <c r="W20" s="532"/>
      <c r="X20" s="163"/>
      <c r="Y20" s="163"/>
      <c r="Z20" s="163"/>
      <c r="AA20" s="530"/>
      <c r="AB20" s="163"/>
      <c r="AC20" s="163"/>
      <c r="AD20" s="531"/>
      <c r="AE20" s="163"/>
      <c r="AF20" s="163"/>
      <c r="AG20" s="163"/>
      <c r="AH20" s="163"/>
      <c r="AI20" s="163"/>
      <c r="AJ20" s="163"/>
      <c r="AK20" s="163"/>
      <c r="AL20" s="163"/>
      <c r="AM20" s="163"/>
      <c r="AN20" s="163"/>
      <c r="AO20" s="163"/>
      <c r="AP20" s="163"/>
      <c r="AQ20" s="163"/>
      <c r="AR20" s="163"/>
      <c r="BE20" s="221"/>
      <c r="BF20" s="221"/>
      <c r="BG20" s="221"/>
      <c r="BH20" s="221"/>
      <c r="BI20" s="221"/>
      <c r="BJ20" s="221"/>
    </row>
    <row r="21" spans="1:62" ht="15.75" customHeight="1" thickBot="1" x14ac:dyDescent="0.3">
      <c r="A21" s="2411"/>
      <c r="B21" s="2411"/>
      <c r="C21" s="2411"/>
      <c r="D21" s="2411"/>
      <c r="E21" s="2411"/>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c r="AS21" s="2411"/>
      <c r="AT21" s="2411"/>
      <c r="AU21" s="2411"/>
      <c r="AV21" s="2411"/>
      <c r="AW21" s="2411"/>
      <c r="AX21" s="2411"/>
      <c r="AY21" s="2411"/>
      <c r="AZ21" s="2411"/>
      <c r="BA21" s="2411"/>
      <c r="BB21" s="2411"/>
      <c r="BC21" s="2411"/>
      <c r="BD21" s="2411"/>
      <c r="BE21" s="221"/>
      <c r="BF21" s="221"/>
      <c r="BG21" s="221"/>
      <c r="BH21" s="221"/>
      <c r="BI21" s="221"/>
      <c r="BJ21" s="221"/>
    </row>
    <row r="22" spans="1:62" s="629" customFormat="1" ht="15.75" customHeight="1" x14ac:dyDescent="0.2">
      <c r="A22" s="2412" t="s">
        <v>5</v>
      </c>
      <c r="B22" s="2068" t="s">
        <v>6</v>
      </c>
      <c r="C22" s="2049"/>
      <c r="D22" s="2049"/>
      <c r="E22" s="2049"/>
      <c r="F22" s="2049"/>
      <c r="G22" s="2049"/>
      <c r="H22" s="2049" t="s">
        <v>7</v>
      </c>
      <c r="I22" s="2049"/>
      <c r="J22" s="2049"/>
      <c r="K22" s="2049"/>
      <c r="L22" s="2049"/>
      <c r="M22" s="2049"/>
      <c r="N22" s="2049"/>
      <c r="O22" s="2049"/>
      <c r="P22" s="2049"/>
      <c r="Q22" s="2049"/>
      <c r="R22" s="2049"/>
      <c r="S22" s="2049"/>
      <c r="T22" s="2049"/>
      <c r="U22" s="2049"/>
      <c r="V22" s="2049"/>
      <c r="W22" s="2049"/>
      <c r="X22" s="2049"/>
      <c r="Y22" s="2049"/>
      <c r="Z22" s="2049"/>
      <c r="AA22" s="2049"/>
      <c r="AB22" s="2049"/>
      <c r="AC22" s="2049"/>
      <c r="AD22" s="2049"/>
      <c r="AE22" s="2049"/>
      <c r="AF22" s="2049"/>
      <c r="AG22" s="2049"/>
      <c r="AH22" s="2049"/>
      <c r="AI22" s="2049" t="s">
        <v>8</v>
      </c>
      <c r="AJ22" s="2049"/>
      <c r="AK22" s="2049"/>
      <c r="AL22" s="2049"/>
      <c r="AM22" s="2049" t="s">
        <v>9</v>
      </c>
      <c r="AN22" s="2049"/>
      <c r="AO22" s="2049"/>
      <c r="AP22" s="2049"/>
      <c r="AQ22" s="2049"/>
      <c r="AR22" s="2049"/>
      <c r="AS22" s="2129" t="s">
        <v>10</v>
      </c>
      <c r="AT22" s="2129"/>
      <c r="AU22" s="2129"/>
      <c r="AV22" s="2129"/>
      <c r="AW22" s="2129"/>
      <c r="AX22" s="2129"/>
      <c r="AY22" s="2129"/>
      <c r="AZ22" s="2129"/>
      <c r="BA22" s="2129"/>
      <c r="BB22" s="2129"/>
      <c r="BC22" s="2129"/>
      <c r="BD22" s="2130"/>
      <c r="BE22" s="1480"/>
      <c r="BF22" s="1480"/>
      <c r="BG22" s="1480"/>
      <c r="BH22" s="1480"/>
      <c r="BI22" s="1480"/>
      <c r="BJ22" s="1480"/>
    </row>
    <row r="23" spans="1:62" s="629" customFormat="1" ht="15.75" customHeight="1" x14ac:dyDescent="0.2">
      <c r="A23" s="2413"/>
      <c r="B23" s="2069"/>
      <c r="C23" s="2050"/>
      <c r="D23" s="2050"/>
      <c r="E23" s="2050"/>
      <c r="F23" s="2050"/>
      <c r="G23" s="2050"/>
      <c r="H23" s="2050" t="s">
        <v>11</v>
      </c>
      <c r="I23" s="2050"/>
      <c r="J23" s="2050"/>
      <c r="K23" s="2050"/>
      <c r="L23" s="2050"/>
      <c r="M23" s="2050"/>
      <c r="N23" s="2050"/>
      <c r="O23" s="2050"/>
      <c r="P23" s="2050"/>
      <c r="Q23" s="2050"/>
      <c r="R23" s="2050"/>
      <c r="S23" s="2050"/>
      <c r="T23" s="2050"/>
      <c r="U23" s="2050" t="s">
        <v>12</v>
      </c>
      <c r="V23" s="2050"/>
      <c r="W23" s="2050"/>
      <c r="X23" s="2050"/>
      <c r="Y23" s="2050"/>
      <c r="Z23" s="2050"/>
      <c r="AA23" s="2050"/>
      <c r="AB23" s="2050"/>
      <c r="AC23" s="2050"/>
      <c r="AD23" s="2050"/>
      <c r="AE23" s="2050" t="s">
        <v>13</v>
      </c>
      <c r="AF23" s="2050"/>
      <c r="AG23" s="2050"/>
      <c r="AH23" s="2050"/>
      <c r="AI23" s="1967" t="s">
        <v>14</v>
      </c>
      <c r="AJ23" s="1967" t="s">
        <v>15</v>
      </c>
      <c r="AK23" s="1967" t="s">
        <v>16</v>
      </c>
      <c r="AL23" s="1967" t="s">
        <v>581</v>
      </c>
      <c r="AM23" s="1967" t="s">
        <v>18</v>
      </c>
      <c r="AN23" s="1967" t="s">
        <v>19</v>
      </c>
      <c r="AO23" s="1967" t="s">
        <v>20</v>
      </c>
      <c r="AP23" s="1967" t="s">
        <v>21</v>
      </c>
      <c r="AQ23" s="1967" t="s">
        <v>22</v>
      </c>
      <c r="AR23" s="1967" t="s">
        <v>21</v>
      </c>
      <c r="AS23" s="1967" t="s">
        <v>23</v>
      </c>
      <c r="AT23" s="2081" t="s">
        <v>24</v>
      </c>
      <c r="AU23" s="2418" t="s">
        <v>25</v>
      </c>
      <c r="AV23" s="2418"/>
      <c r="AW23" s="2418"/>
      <c r="AX23" s="2418" t="s">
        <v>26</v>
      </c>
      <c r="AY23" s="2418"/>
      <c r="AZ23" s="2081" t="s">
        <v>27</v>
      </c>
      <c r="BA23" s="1967" t="s">
        <v>28</v>
      </c>
      <c r="BB23" s="2418" t="s">
        <v>29</v>
      </c>
      <c r="BC23" s="2418"/>
      <c r="BD23" s="2419"/>
      <c r="BE23" s="1480"/>
      <c r="BF23" s="1480"/>
      <c r="BG23" s="1480"/>
      <c r="BH23" s="1480"/>
      <c r="BI23" s="1480"/>
      <c r="BJ23" s="1480"/>
    </row>
    <row r="24" spans="1:62" s="629" customFormat="1" ht="41.25" customHeight="1" x14ac:dyDescent="0.2">
      <c r="A24" s="2413"/>
      <c r="B24" s="1081" t="s">
        <v>30</v>
      </c>
      <c r="C24" s="1030" t="s">
        <v>31</v>
      </c>
      <c r="D24" s="1030" t="s">
        <v>32</v>
      </c>
      <c r="E24" s="1030" t="s">
        <v>23</v>
      </c>
      <c r="F24" s="1030" t="s">
        <v>33</v>
      </c>
      <c r="G24" s="1030" t="s">
        <v>34</v>
      </c>
      <c r="H24" s="1031" t="s">
        <v>35</v>
      </c>
      <c r="I24" s="1030" t="s">
        <v>36</v>
      </c>
      <c r="J24" s="1030" t="s">
        <v>37</v>
      </c>
      <c r="K24" s="1030" t="s">
        <v>38</v>
      </c>
      <c r="L24" s="1030" t="s">
        <v>39</v>
      </c>
      <c r="M24" s="1030" t="s">
        <v>40</v>
      </c>
      <c r="N24" s="1030" t="s">
        <v>41</v>
      </c>
      <c r="O24" s="1030" t="s">
        <v>42</v>
      </c>
      <c r="P24" s="1030" t="s">
        <v>43</v>
      </c>
      <c r="Q24" s="1030" t="s">
        <v>44</v>
      </c>
      <c r="R24" s="1030" t="s">
        <v>45</v>
      </c>
      <c r="S24" s="1030" t="s">
        <v>46</v>
      </c>
      <c r="T24" s="1030" t="s">
        <v>47</v>
      </c>
      <c r="U24" s="1030" t="s">
        <v>48</v>
      </c>
      <c r="V24" s="1030" t="s">
        <v>38</v>
      </c>
      <c r="W24" s="1053" t="s">
        <v>40</v>
      </c>
      <c r="X24" s="1030" t="s">
        <v>49</v>
      </c>
      <c r="Y24" s="1030" t="s">
        <v>41</v>
      </c>
      <c r="Z24" s="1030" t="s">
        <v>42</v>
      </c>
      <c r="AA24" s="70" t="s">
        <v>50</v>
      </c>
      <c r="AB24" s="1030" t="s">
        <v>51</v>
      </c>
      <c r="AC24" s="1030" t="s">
        <v>52</v>
      </c>
      <c r="AD24" s="1160" t="s">
        <v>53</v>
      </c>
      <c r="AE24" s="1030" t="s">
        <v>54</v>
      </c>
      <c r="AF24" s="1030" t="s">
        <v>55</v>
      </c>
      <c r="AG24" s="1030" t="s">
        <v>56</v>
      </c>
      <c r="AH24" s="1030" t="s">
        <v>57</v>
      </c>
      <c r="AI24" s="1967"/>
      <c r="AJ24" s="1967"/>
      <c r="AK24" s="1967"/>
      <c r="AL24" s="1967"/>
      <c r="AM24" s="1967"/>
      <c r="AN24" s="1967"/>
      <c r="AO24" s="1967"/>
      <c r="AP24" s="1967"/>
      <c r="AQ24" s="1967"/>
      <c r="AR24" s="1967"/>
      <c r="AS24" s="1967"/>
      <c r="AT24" s="2081"/>
      <c r="AU24" s="165" t="s">
        <v>58</v>
      </c>
      <c r="AV24" s="165" t="s">
        <v>59</v>
      </c>
      <c r="AW24" s="165" t="s">
        <v>60</v>
      </c>
      <c r="AX24" s="165" t="s">
        <v>61</v>
      </c>
      <c r="AY24" s="1080" t="s">
        <v>62</v>
      </c>
      <c r="AZ24" s="2081"/>
      <c r="BA24" s="1967"/>
      <c r="BB24" s="165" t="s">
        <v>58</v>
      </c>
      <c r="BC24" s="165" t="s">
        <v>63</v>
      </c>
      <c r="BD24" s="167" t="s">
        <v>64</v>
      </c>
      <c r="BE24" s="1480"/>
      <c r="BF24" s="1480"/>
      <c r="BG24" s="1480"/>
      <c r="BH24" s="1480"/>
      <c r="BI24" s="1480"/>
      <c r="BJ24" s="1480"/>
    </row>
    <row r="25" spans="1:62" s="629" customFormat="1" ht="28.5" customHeight="1" thickBot="1" x14ac:dyDescent="0.25">
      <c r="A25" s="2414"/>
      <c r="B25" s="990" t="s">
        <v>65</v>
      </c>
      <c r="C25" s="1200" t="s">
        <v>66</v>
      </c>
      <c r="D25" s="122" t="s">
        <v>67</v>
      </c>
      <c r="E25" s="1200" t="s">
        <v>68</v>
      </c>
      <c r="F25" s="1200" t="s">
        <v>69</v>
      </c>
      <c r="G25" s="1200" t="s">
        <v>70</v>
      </c>
      <c r="H25" s="122" t="s">
        <v>71</v>
      </c>
      <c r="I25" s="1200" t="s">
        <v>72</v>
      </c>
      <c r="J25" s="1200" t="s">
        <v>73</v>
      </c>
      <c r="K25" s="1200" t="s">
        <v>74</v>
      </c>
      <c r="L25" s="1214" t="s">
        <v>75</v>
      </c>
      <c r="M25" s="1200" t="s">
        <v>76</v>
      </c>
      <c r="N25" s="1200" t="s">
        <v>77</v>
      </c>
      <c r="O25" s="1200" t="s">
        <v>78</v>
      </c>
      <c r="P25" s="1200" t="s">
        <v>79</v>
      </c>
      <c r="Q25" s="1200" t="s">
        <v>80</v>
      </c>
      <c r="R25" s="1200" t="s">
        <v>81</v>
      </c>
      <c r="S25" s="1200" t="s">
        <v>82</v>
      </c>
      <c r="T25" s="1200" t="s">
        <v>83</v>
      </c>
      <c r="U25" s="1200" t="s">
        <v>84</v>
      </c>
      <c r="V25" s="1200" t="s">
        <v>85</v>
      </c>
      <c r="W25" s="1216" t="s">
        <v>86</v>
      </c>
      <c r="X25" s="1200" t="s">
        <v>87</v>
      </c>
      <c r="Y25" s="1200" t="s">
        <v>88</v>
      </c>
      <c r="Z25" s="1200" t="s">
        <v>89</v>
      </c>
      <c r="AA25" s="751" t="s">
        <v>90</v>
      </c>
      <c r="AB25" s="1200" t="s">
        <v>91</v>
      </c>
      <c r="AC25" s="1200" t="s">
        <v>92</v>
      </c>
      <c r="AD25" s="1540" t="s">
        <v>93</v>
      </c>
      <c r="AE25" s="1200" t="s">
        <v>94</v>
      </c>
      <c r="AF25" s="1200" t="s">
        <v>95</v>
      </c>
      <c r="AG25" s="1200" t="s">
        <v>96</v>
      </c>
      <c r="AH25" s="1200" t="s">
        <v>97</v>
      </c>
      <c r="AI25" s="1200" t="s">
        <v>98</v>
      </c>
      <c r="AJ25" s="1200" t="s">
        <v>99</v>
      </c>
      <c r="AK25" s="1200" t="s">
        <v>100</v>
      </c>
      <c r="AL25" s="1200" t="s">
        <v>101</v>
      </c>
      <c r="AM25" s="1541" t="s">
        <v>102</v>
      </c>
      <c r="AN25" s="1541" t="s">
        <v>103</v>
      </c>
      <c r="AO25" s="1541" t="s">
        <v>104</v>
      </c>
      <c r="AP25" s="1541" t="s">
        <v>105</v>
      </c>
      <c r="AQ25" s="1541" t="s">
        <v>106</v>
      </c>
      <c r="AR25" s="1541" t="s">
        <v>107</v>
      </c>
      <c r="AS25" s="1541" t="s">
        <v>108</v>
      </c>
      <c r="AT25" s="1541" t="s">
        <v>109</v>
      </c>
      <c r="AU25" s="1541" t="s">
        <v>110</v>
      </c>
      <c r="AV25" s="1541" t="s">
        <v>111</v>
      </c>
      <c r="AW25" s="1541" t="s">
        <v>112</v>
      </c>
      <c r="AX25" s="1541" t="s">
        <v>113</v>
      </c>
      <c r="AY25" s="1541" t="s">
        <v>114</v>
      </c>
      <c r="AZ25" s="1541" t="s">
        <v>115</v>
      </c>
      <c r="BA25" s="1541" t="s">
        <v>116</v>
      </c>
      <c r="BB25" s="1541" t="s">
        <v>117</v>
      </c>
      <c r="BC25" s="1541" t="s">
        <v>118</v>
      </c>
      <c r="BD25" s="1542" t="s">
        <v>119</v>
      </c>
      <c r="BE25" s="1480"/>
      <c r="BF25" s="1480"/>
      <c r="BG25" s="1480"/>
      <c r="BH25" s="1480"/>
      <c r="BI25" s="1480"/>
      <c r="BJ25" s="1480"/>
    </row>
    <row r="26" spans="1:62" s="629" customFormat="1" ht="45" customHeight="1" x14ac:dyDescent="0.2">
      <c r="A26" s="2409">
        <v>1</v>
      </c>
      <c r="B26" s="2410" t="s">
        <v>3884</v>
      </c>
      <c r="C26" s="2030" t="s">
        <v>2455</v>
      </c>
      <c r="D26" s="2030" t="s">
        <v>583</v>
      </c>
      <c r="E26" s="2030" t="s">
        <v>584</v>
      </c>
      <c r="F26" s="2030" t="s">
        <v>3885</v>
      </c>
      <c r="G26" s="2420">
        <v>10001</v>
      </c>
      <c r="H26" s="2407" t="s">
        <v>3886</v>
      </c>
      <c r="I26" s="2030" t="s">
        <v>3887</v>
      </c>
      <c r="J26" s="2030" t="s">
        <v>3888</v>
      </c>
      <c r="K26" s="2417">
        <v>39860</v>
      </c>
      <c r="L26" s="2415">
        <v>7512</v>
      </c>
      <c r="M26" s="2416">
        <v>10001</v>
      </c>
      <c r="N26" s="2417">
        <v>39860</v>
      </c>
      <c r="O26" s="2417">
        <v>40178</v>
      </c>
      <c r="P26" s="2030">
        <v>1</v>
      </c>
      <c r="Q26" s="2030"/>
      <c r="R26" s="2030"/>
      <c r="S26" s="2030"/>
      <c r="T26" s="2030" t="s">
        <v>158</v>
      </c>
      <c r="U26" s="1043"/>
      <c r="V26" s="1043"/>
      <c r="W26" s="1127"/>
      <c r="X26" s="1043"/>
      <c r="Y26" s="1043"/>
      <c r="Z26" s="1043"/>
      <c r="AA26" s="1153"/>
      <c r="AB26" s="1043"/>
      <c r="AC26" s="1158"/>
      <c r="AD26" s="1158"/>
      <c r="AE26" s="1143"/>
      <c r="AF26" s="1545">
        <v>42072</v>
      </c>
      <c r="AG26" s="1158">
        <v>1190.32</v>
      </c>
      <c r="AH26" s="1158">
        <f>AF26+AG26</f>
        <v>43262.32</v>
      </c>
      <c r="AI26" s="1043"/>
      <c r="AJ26" s="1127"/>
      <c r="AK26" s="1043"/>
      <c r="AL26" s="1127"/>
      <c r="AM26" s="1546"/>
      <c r="AN26" s="1043"/>
      <c r="AO26" s="1127"/>
      <c r="AP26" s="934"/>
      <c r="AQ26" s="1547"/>
      <c r="AR26" s="934"/>
      <c r="AS26" s="1043"/>
      <c r="AT26" s="1152"/>
      <c r="AU26" s="1152"/>
      <c r="AV26" s="1152"/>
      <c r="AW26" s="1152"/>
      <c r="AX26" s="1152"/>
      <c r="AY26" s="1152"/>
      <c r="AZ26" s="1152"/>
      <c r="BA26" s="1152"/>
      <c r="BB26" s="1152"/>
      <c r="BC26" s="1152"/>
      <c r="BD26" s="1152"/>
      <c r="BE26" s="1480"/>
      <c r="BF26" s="1480"/>
      <c r="BG26" s="1480"/>
      <c r="BH26" s="1480"/>
      <c r="BI26" s="1480"/>
      <c r="BJ26" s="1480"/>
    </row>
    <row r="27" spans="1:62" s="629" customFormat="1" ht="35.1" customHeight="1" x14ac:dyDescent="0.2">
      <c r="A27" s="2365"/>
      <c r="B27" s="2366"/>
      <c r="C27" s="2023"/>
      <c r="D27" s="2023"/>
      <c r="E27" s="2023"/>
      <c r="F27" s="2023"/>
      <c r="G27" s="2387"/>
      <c r="H27" s="2367"/>
      <c r="I27" s="2023"/>
      <c r="J27" s="2023"/>
      <c r="K27" s="2023"/>
      <c r="L27" s="2369"/>
      <c r="M27" s="2387"/>
      <c r="N27" s="2347"/>
      <c r="O27" s="2347"/>
      <c r="P27" s="2023"/>
      <c r="Q27" s="2023"/>
      <c r="R27" s="2023"/>
      <c r="S27" s="2023"/>
      <c r="T27" s="2023"/>
      <c r="U27" s="1146" t="s">
        <v>3889</v>
      </c>
      <c r="V27" s="1137">
        <v>40161</v>
      </c>
      <c r="W27" s="1064">
        <v>10209</v>
      </c>
      <c r="X27" s="1055" t="s">
        <v>3890</v>
      </c>
      <c r="Y27" s="1137">
        <v>40179</v>
      </c>
      <c r="Z27" s="1137">
        <v>40543</v>
      </c>
      <c r="AA27" s="1138"/>
      <c r="AB27" s="1055"/>
      <c r="AC27" s="1139">
        <f>8640-L26</f>
        <v>1128</v>
      </c>
      <c r="AD27" s="1139"/>
      <c r="AE27" s="1155">
        <f>L26+AC27</f>
        <v>8640</v>
      </c>
      <c r="AF27" s="525">
        <v>0</v>
      </c>
      <c r="AG27" s="1139">
        <v>0</v>
      </c>
      <c r="AH27" s="1139">
        <f t="shared" ref="AH27:AH90" si="0">AF27+AG27</f>
        <v>0</v>
      </c>
      <c r="AI27" s="1055"/>
      <c r="AJ27" s="1064"/>
      <c r="AK27" s="1055"/>
      <c r="AL27" s="1064"/>
      <c r="AM27" s="1548"/>
      <c r="AN27" s="1055"/>
      <c r="AO27" s="1064"/>
      <c r="AP27" s="1137"/>
      <c r="AQ27" s="1144"/>
      <c r="AR27" s="1137"/>
      <c r="AS27" s="1055"/>
      <c r="AT27" s="1133"/>
      <c r="AU27" s="1133"/>
      <c r="AV27" s="1133"/>
      <c r="AW27" s="1133"/>
      <c r="AX27" s="1133"/>
      <c r="AY27" s="1133"/>
      <c r="AZ27" s="1133"/>
      <c r="BA27" s="1133"/>
      <c r="BB27" s="1133"/>
      <c r="BC27" s="1133"/>
      <c r="BD27" s="1133"/>
      <c r="BE27" s="1480"/>
      <c r="BF27" s="1480"/>
      <c r="BG27" s="1480"/>
      <c r="BH27" s="1480"/>
      <c r="BI27" s="1480"/>
      <c r="BJ27" s="1480"/>
    </row>
    <row r="28" spans="1:62" s="629" customFormat="1" ht="35.1" customHeight="1" x14ac:dyDescent="0.2">
      <c r="A28" s="2365"/>
      <c r="B28" s="2366"/>
      <c r="C28" s="2023"/>
      <c r="D28" s="2023"/>
      <c r="E28" s="2023"/>
      <c r="F28" s="2023"/>
      <c r="G28" s="2387"/>
      <c r="H28" s="2367"/>
      <c r="I28" s="2023"/>
      <c r="J28" s="2023"/>
      <c r="K28" s="2023"/>
      <c r="L28" s="2369"/>
      <c r="M28" s="2387"/>
      <c r="N28" s="2347"/>
      <c r="O28" s="2347"/>
      <c r="P28" s="2023"/>
      <c r="Q28" s="2023"/>
      <c r="R28" s="2023"/>
      <c r="S28" s="2023"/>
      <c r="T28" s="2023"/>
      <c r="U28" s="1146" t="s">
        <v>3891</v>
      </c>
      <c r="V28" s="1137">
        <v>40526</v>
      </c>
      <c r="W28" s="1064">
        <v>10443</v>
      </c>
      <c r="X28" s="1055" t="s">
        <v>3890</v>
      </c>
      <c r="Y28" s="1137">
        <v>40544</v>
      </c>
      <c r="Z28" s="1137">
        <v>40908</v>
      </c>
      <c r="AA28" s="1138"/>
      <c r="AB28" s="1055"/>
      <c r="AC28" s="1139"/>
      <c r="AD28" s="1139"/>
      <c r="AE28" s="1155"/>
      <c r="AF28" s="525">
        <v>0</v>
      </c>
      <c r="AG28" s="1139">
        <v>0</v>
      </c>
      <c r="AH28" s="1139">
        <f t="shared" si="0"/>
        <v>0</v>
      </c>
      <c r="AI28" s="1055"/>
      <c r="AJ28" s="1064"/>
      <c r="AK28" s="1055"/>
      <c r="AL28" s="1064"/>
      <c r="AM28" s="1548"/>
      <c r="AN28" s="1055"/>
      <c r="AO28" s="1064"/>
      <c r="AP28" s="1137"/>
      <c r="AQ28" s="1144"/>
      <c r="AR28" s="1137"/>
      <c r="AS28" s="1055"/>
      <c r="AT28" s="1133"/>
      <c r="AU28" s="1133"/>
      <c r="AV28" s="1133"/>
      <c r="AW28" s="1133"/>
      <c r="AX28" s="1133"/>
      <c r="AY28" s="1133"/>
      <c r="AZ28" s="1133"/>
      <c r="BA28" s="1133"/>
      <c r="BB28" s="1133"/>
      <c r="BC28" s="1133"/>
      <c r="BD28" s="1133"/>
      <c r="BE28" s="1480"/>
      <c r="BF28" s="1480"/>
      <c r="BG28" s="1480"/>
      <c r="BH28" s="1480"/>
      <c r="BI28" s="1480"/>
      <c r="BJ28" s="1480"/>
    </row>
    <row r="29" spans="1:62" s="629" customFormat="1" ht="35.1" customHeight="1" x14ac:dyDescent="0.2">
      <c r="A29" s="2365"/>
      <c r="B29" s="2366"/>
      <c r="C29" s="2023"/>
      <c r="D29" s="2023"/>
      <c r="E29" s="2023"/>
      <c r="F29" s="2023"/>
      <c r="G29" s="2387"/>
      <c r="H29" s="2367"/>
      <c r="I29" s="2023"/>
      <c r="J29" s="2023"/>
      <c r="K29" s="2023"/>
      <c r="L29" s="2369"/>
      <c r="M29" s="2387"/>
      <c r="N29" s="2347"/>
      <c r="O29" s="2347"/>
      <c r="P29" s="2023"/>
      <c r="Q29" s="2023"/>
      <c r="R29" s="2023"/>
      <c r="S29" s="2023"/>
      <c r="T29" s="2023"/>
      <c r="U29" s="1146" t="s">
        <v>3892</v>
      </c>
      <c r="V29" s="1137">
        <v>40878</v>
      </c>
      <c r="W29" s="1064">
        <v>10699</v>
      </c>
      <c r="X29" s="1055" t="s">
        <v>3890</v>
      </c>
      <c r="Y29" s="1137">
        <v>40909</v>
      </c>
      <c r="Z29" s="1137">
        <v>41274</v>
      </c>
      <c r="AA29" s="1138"/>
      <c r="AB29" s="1055"/>
      <c r="AC29" s="1139"/>
      <c r="AD29" s="1139"/>
      <c r="AE29" s="1155"/>
      <c r="AF29" s="525">
        <v>0</v>
      </c>
      <c r="AG29" s="1139">
        <v>0</v>
      </c>
      <c r="AH29" s="1139">
        <f t="shared" si="0"/>
        <v>0</v>
      </c>
      <c r="AI29" s="1055"/>
      <c r="AJ29" s="1064"/>
      <c r="AK29" s="1055"/>
      <c r="AL29" s="1064"/>
      <c r="AM29" s="1548"/>
      <c r="AN29" s="1055"/>
      <c r="AO29" s="1064"/>
      <c r="AP29" s="1137"/>
      <c r="AQ29" s="1144"/>
      <c r="AR29" s="1137"/>
      <c r="AS29" s="1055"/>
      <c r="AT29" s="1133"/>
      <c r="AU29" s="1133"/>
      <c r="AV29" s="1133"/>
      <c r="AW29" s="1133"/>
      <c r="AX29" s="1133"/>
      <c r="AY29" s="1133"/>
      <c r="AZ29" s="1133"/>
      <c r="BA29" s="1133"/>
      <c r="BB29" s="1133"/>
      <c r="BC29" s="1133"/>
      <c r="BD29" s="1133"/>
      <c r="BE29" s="1480"/>
      <c r="BF29" s="1480"/>
      <c r="BG29" s="1480"/>
      <c r="BH29" s="1480"/>
      <c r="BI29" s="1480"/>
      <c r="BJ29" s="1480"/>
    </row>
    <row r="30" spans="1:62" s="629" customFormat="1" ht="35.1" customHeight="1" x14ac:dyDescent="0.2">
      <c r="A30" s="2365"/>
      <c r="B30" s="2366"/>
      <c r="C30" s="2023"/>
      <c r="D30" s="2023"/>
      <c r="E30" s="2023"/>
      <c r="F30" s="2023"/>
      <c r="G30" s="2387"/>
      <c r="H30" s="2367"/>
      <c r="I30" s="2023"/>
      <c r="J30" s="2023"/>
      <c r="K30" s="2023"/>
      <c r="L30" s="2369"/>
      <c r="M30" s="2387"/>
      <c r="N30" s="2347"/>
      <c r="O30" s="2347"/>
      <c r="P30" s="2023"/>
      <c r="Q30" s="2023"/>
      <c r="R30" s="2023"/>
      <c r="S30" s="2023"/>
      <c r="T30" s="2023"/>
      <c r="U30" s="1146" t="s">
        <v>3893</v>
      </c>
      <c r="V30" s="1137">
        <v>41256</v>
      </c>
      <c r="W30" s="1064">
        <v>10972</v>
      </c>
      <c r="X30" s="1055" t="s">
        <v>3890</v>
      </c>
      <c r="Y30" s="1137">
        <v>41275</v>
      </c>
      <c r="Z30" s="1137">
        <v>41639</v>
      </c>
      <c r="AA30" s="1138"/>
      <c r="AB30" s="1055"/>
      <c r="AC30" s="1139"/>
      <c r="AD30" s="1139"/>
      <c r="AE30" s="1155"/>
      <c r="AF30" s="525">
        <v>0</v>
      </c>
      <c r="AG30" s="1139">
        <v>0</v>
      </c>
      <c r="AH30" s="1139">
        <f t="shared" si="0"/>
        <v>0</v>
      </c>
      <c r="AI30" s="1055"/>
      <c r="AJ30" s="1055"/>
      <c r="AK30" s="1055"/>
      <c r="AL30" s="1064"/>
      <c r="AM30" s="1548"/>
      <c r="AN30" s="1055"/>
      <c r="AO30" s="1064"/>
      <c r="AP30" s="1137"/>
      <c r="AQ30" s="1144"/>
      <c r="AR30" s="1137"/>
      <c r="AS30" s="1055"/>
      <c r="AT30" s="1133"/>
      <c r="AU30" s="1133"/>
      <c r="AV30" s="1133"/>
      <c r="AW30" s="1133"/>
      <c r="AX30" s="1133"/>
      <c r="AY30" s="1133"/>
      <c r="AZ30" s="1133"/>
      <c r="BA30" s="1133"/>
      <c r="BB30" s="1133"/>
      <c r="BC30" s="1133"/>
      <c r="BD30" s="1133"/>
      <c r="BE30" s="1480"/>
      <c r="BF30" s="1480"/>
      <c r="BG30" s="1480"/>
      <c r="BH30" s="1480"/>
      <c r="BI30" s="1480"/>
      <c r="BJ30" s="1480"/>
    </row>
    <row r="31" spans="1:62" s="629" customFormat="1" ht="35.1" customHeight="1" x14ac:dyDescent="0.2">
      <c r="A31" s="2365"/>
      <c r="B31" s="2366"/>
      <c r="C31" s="2023"/>
      <c r="D31" s="2023"/>
      <c r="E31" s="2023"/>
      <c r="F31" s="2023"/>
      <c r="G31" s="2387"/>
      <c r="H31" s="2367"/>
      <c r="I31" s="2023"/>
      <c r="J31" s="2023"/>
      <c r="K31" s="2023"/>
      <c r="L31" s="2369"/>
      <c r="M31" s="2387"/>
      <c r="N31" s="2347"/>
      <c r="O31" s="2347"/>
      <c r="P31" s="2023"/>
      <c r="Q31" s="2023"/>
      <c r="R31" s="2023"/>
      <c r="S31" s="2023"/>
      <c r="T31" s="2023"/>
      <c r="U31" s="1146" t="s">
        <v>3894</v>
      </c>
      <c r="V31" s="1137">
        <v>41631</v>
      </c>
      <c r="W31" s="1064">
        <v>11219</v>
      </c>
      <c r="X31" s="1055" t="s">
        <v>3895</v>
      </c>
      <c r="Y31" s="1137">
        <v>41640</v>
      </c>
      <c r="Z31" s="1137">
        <v>41687</v>
      </c>
      <c r="AA31" s="1138">
        <f>AC31/AE27</f>
        <v>7.2210648148148147E-3</v>
      </c>
      <c r="AB31" s="1055"/>
      <c r="AC31" s="1139">
        <v>62.39</v>
      </c>
      <c r="AD31" s="1139"/>
      <c r="AE31" s="1155">
        <f>AC31+AE27</f>
        <v>8702.39</v>
      </c>
      <c r="AF31" s="525">
        <v>0</v>
      </c>
      <c r="AG31" s="1139">
        <v>0</v>
      </c>
      <c r="AH31" s="1139">
        <f t="shared" si="0"/>
        <v>0</v>
      </c>
      <c r="AI31" s="1055"/>
      <c r="AJ31" s="1055"/>
      <c r="AK31" s="1055"/>
      <c r="AL31" s="1064"/>
      <c r="AM31" s="1548"/>
      <c r="AN31" s="1055"/>
      <c r="AO31" s="1064"/>
      <c r="AP31" s="1137"/>
      <c r="AQ31" s="1144"/>
      <c r="AR31" s="1137"/>
      <c r="AS31" s="1055"/>
      <c r="AT31" s="1133"/>
      <c r="AU31" s="1133"/>
      <c r="AV31" s="1133"/>
      <c r="AW31" s="1133"/>
      <c r="AX31" s="1133"/>
      <c r="AY31" s="1133"/>
      <c r="AZ31" s="1133"/>
      <c r="BA31" s="1133"/>
      <c r="BB31" s="1133"/>
      <c r="BC31" s="1133"/>
      <c r="BD31" s="1133"/>
      <c r="BE31" s="1480"/>
      <c r="BF31" s="1480"/>
      <c r="BG31" s="1480"/>
      <c r="BH31" s="1480"/>
      <c r="BI31" s="1480"/>
      <c r="BJ31" s="1480"/>
    </row>
    <row r="32" spans="1:62" s="629" customFormat="1" ht="57" customHeight="1" x14ac:dyDescent="0.2">
      <c r="A32" s="1514">
        <v>2</v>
      </c>
      <c r="B32" s="636" t="s">
        <v>3896</v>
      </c>
      <c r="C32" s="1055" t="s">
        <v>381</v>
      </c>
      <c r="D32" s="1055" t="s">
        <v>583</v>
      </c>
      <c r="E32" s="1055" t="s">
        <v>584</v>
      </c>
      <c r="F32" s="1055" t="s">
        <v>3897</v>
      </c>
      <c r="G32" s="1064">
        <v>11302</v>
      </c>
      <c r="H32" s="1091" t="s">
        <v>3898</v>
      </c>
      <c r="I32" s="1055" t="s">
        <v>3899</v>
      </c>
      <c r="J32" s="1055" t="s">
        <v>3900</v>
      </c>
      <c r="K32" s="1137">
        <v>41761</v>
      </c>
      <c r="L32" s="1549">
        <v>22400</v>
      </c>
      <c r="M32" s="1144"/>
      <c r="N32" s="1134">
        <v>41761</v>
      </c>
      <c r="O32" s="1134">
        <v>42004</v>
      </c>
      <c r="P32" s="1055">
        <v>1</v>
      </c>
      <c r="Q32" s="1055"/>
      <c r="R32" s="1055"/>
      <c r="S32" s="1055"/>
      <c r="T32" s="1055" t="s">
        <v>158</v>
      </c>
      <c r="U32" s="1146"/>
      <c r="V32" s="1055"/>
      <c r="W32" s="1064"/>
      <c r="X32" s="1055"/>
      <c r="Y32" s="1144"/>
      <c r="Z32" s="1137"/>
      <c r="AA32" s="1138"/>
      <c r="AB32" s="1055"/>
      <c r="AC32" s="1139"/>
      <c r="AD32" s="1139"/>
      <c r="AE32" s="1155"/>
      <c r="AF32" s="1155">
        <v>0</v>
      </c>
      <c r="AG32" s="1139">
        <v>22400</v>
      </c>
      <c r="AH32" s="1139">
        <f t="shared" si="0"/>
        <v>22400</v>
      </c>
      <c r="AI32" s="1055"/>
      <c r="AJ32" s="1055"/>
      <c r="AK32" s="1055"/>
      <c r="AL32" s="1064"/>
      <c r="AM32" s="1548"/>
      <c r="AN32" s="1055"/>
      <c r="AO32" s="1064"/>
      <c r="AP32" s="1137"/>
      <c r="AQ32" s="1144"/>
      <c r="AR32" s="1137"/>
      <c r="AS32" s="1055"/>
      <c r="AT32" s="1133"/>
      <c r="AU32" s="1133"/>
      <c r="AV32" s="1133"/>
      <c r="AW32" s="1133"/>
      <c r="AX32" s="1133"/>
      <c r="AY32" s="1133"/>
      <c r="AZ32" s="1133"/>
      <c r="BA32" s="1133"/>
      <c r="BB32" s="1133"/>
      <c r="BC32" s="1133"/>
      <c r="BD32" s="1133"/>
      <c r="BE32" s="1480"/>
      <c r="BF32" s="1480"/>
      <c r="BG32" s="1480"/>
      <c r="BH32" s="1480"/>
      <c r="BI32" s="1480"/>
      <c r="BJ32" s="1480"/>
    </row>
    <row r="33" spans="1:62" s="629" customFormat="1" ht="45" customHeight="1" x14ac:dyDescent="0.2">
      <c r="A33" s="2365">
        <v>3</v>
      </c>
      <c r="B33" s="2366" t="s">
        <v>858</v>
      </c>
      <c r="C33" s="2023" t="s">
        <v>885</v>
      </c>
      <c r="D33" s="2023" t="s">
        <v>615</v>
      </c>
      <c r="E33" s="2023" t="s">
        <v>584</v>
      </c>
      <c r="F33" s="2023" t="s">
        <v>3901</v>
      </c>
      <c r="G33" s="2006">
        <v>9976</v>
      </c>
      <c r="H33" s="2401" t="s">
        <v>3902</v>
      </c>
      <c r="I33" s="2023" t="s">
        <v>3903</v>
      </c>
      <c r="J33" s="2023" t="s">
        <v>3904</v>
      </c>
      <c r="K33" s="2347">
        <v>39904</v>
      </c>
      <c r="L33" s="2369">
        <f>1199*9</f>
        <v>10791</v>
      </c>
      <c r="M33" s="2006">
        <v>10034</v>
      </c>
      <c r="N33" s="2347">
        <v>39904</v>
      </c>
      <c r="O33" s="2347">
        <v>40178</v>
      </c>
      <c r="P33" s="2367" t="s">
        <v>3905</v>
      </c>
      <c r="Q33" s="2023"/>
      <c r="R33" s="2023"/>
      <c r="S33" s="2023"/>
      <c r="T33" s="2023" t="s">
        <v>158</v>
      </c>
      <c r="U33" s="1055"/>
      <c r="V33" s="1055"/>
      <c r="W33" s="1064"/>
      <c r="X33" s="1146"/>
      <c r="Y33" s="1055"/>
      <c r="Z33" s="1055"/>
      <c r="AA33" s="1138"/>
      <c r="AB33" s="1055"/>
      <c r="AC33" s="1139"/>
      <c r="AD33" s="1139"/>
      <c r="AE33" s="525"/>
      <c r="AF33" s="525">
        <v>68343</v>
      </c>
      <c r="AG33" s="1150">
        <v>3795.75</v>
      </c>
      <c r="AH33" s="1139">
        <f t="shared" si="0"/>
        <v>72138.75</v>
      </c>
      <c r="AI33" s="1055"/>
      <c r="AJ33" s="1064"/>
      <c r="AK33" s="1055"/>
      <c r="AL33" s="1133"/>
      <c r="AM33" s="1055"/>
      <c r="AN33" s="1055"/>
      <c r="AO33" s="1064"/>
      <c r="AP33" s="1137"/>
      <c r="AQ33" s="1064"/>
      <c r="AR33" s="1137"/>
      <c r="AS33" s="1055"/>
      <c r="AT33" s="1133"/>
      <c r="AU33" s="1133"/>
      <c r="AV33" s="1133"/>
      <c r="AW33" s="1133"/>
      <c r="AX33" s="1133"/>
      <c r="AY33" s="1133"/>
      <c r="AZ33" s="1133"/>
      <c r="BA33" s="1133"/>
      <c r="BB33" s="1133"/>
      <c r="BC33" s="1133"/>
      <c r="BD33" s="1133"/>
      <c r="BE33" s="1480"/>
      <c r="BF33" s="1480"/>
      <c r="BG33" s="1480"/>
      <c r="BH33" s="1480"/>
      <c r="BI33" s="1480"/>
      <c r="BJ33" s="1480"/>
    </row>
    <row r="34" spans="1:62" s="629" customFormat="1" ht="12.75" x14ac:dyDescent="0.2">
      <c r="A34" s="2365"/>
      <c r="B34" s="2366"/>
      <c r="C34" s="2023"/>
      <c r="D34" s="2023"/>
      <c r="E34" s="2023"/>
      <c r="F34" s="2023"/>
      <c r="G34" s="2006"/>
      <c r="H34" s="2401"/>
      <c r="I34" s="2023"/>
      <c r="J34" s="2023"/>
      <c r="K34" s="2023"/>
      <c r="L34" s="2369"/>
      <c r="M34" s="2006"/>
      <c r="N34" s="2347"/>
      <c r="O34" s="2347"/>
      <c r="P34" s="2367"/>
      <c r="Q34" s="2023"/>
      <c r="R34" s="2023"/>
      <c r="S34" s="2023"/>
      <c r="T34" s="2023"/>
      <c r="U34" s="1146" t="s">
        <v>3906</v>
      </c>
      <c r="V34" s="1137">
        <v>40161</v>
      </c>
      <c r="W34" s="1064">
        <v>10209</v>
      </c>
      <c r="X34" s="1146" t="s">
        <v>3907</v>
      </c>
      <c r="Y34" s="1137">
        <v>40179</v>
      </c>
      <c r="Z34" s="1137">
        <v>40543</v>
      </c>
      <c r="AA34" s="1138"/>
      <c r="AB34" s="1055"/>
      <c r="AC34" s="1139">
        <f>(1199*12)-L33</f>
        <v>3597</v>
      </c>
      <c r="AD34" s="1139"/>
      <c r="AE34" s="525">
        <f>L33+AC34</f>
        <v>14388</v>
      </c>
      <c r="AF34" s="525">
        <v>0</v>
      </c>
      <c r="AG34" s="525">
        <v>0</v>
      </c>
      <c r="AH34" s="1139">
        <f t="shared" si="0"/>
        <v>0</v>
      </c>
      <c r="AI34" s="1055"/>
      <c r="AJ34" s="1064"/>
      <c r="AK34" s="1055"/>
      <c r="AL34" s="1133"/>
      <c r="AM34" s="1055"/>
      <c r="AN34" s="1055"/>
      <c r="AO34" s="1064"/>
      <c r="AP34" s="1137"/>
      <c r="AQ34" s="1064"/>
      <c r="AR34" s="1137"/>
      <c r="AS34" s="1055"/>
      <c r="AT34" s="1133"/>
      <c r="AU34" s="1133"/>
      <c r="AV34" s="1133"/>
      <c r="AW34" s="1133"/>
      <c r="AX34" s="1133"/>
      <c r="AY34" s="1133"/>
      <c r="AZ34" s="1133"/>
      <c r="BA34" s="1133"/>
      <c r="BB34" s="1133"/>
      <c r="BC34" s="1133"/>
      <c r="BD34" s="1133"/>
      <c r="BE34" s="1480"/>
      <c r="BF34" s="1480"/>
      <c r="BG34" s="1480"/>
      <c r="BH34" s="1480"/>
      <c r="BI34" s="1480"/>
      <c r="BJ34" s="1480"/>
    </row>
    <row r="35" spans="1:62" s="629" customFormat="1" ht="12.75" x14ac:dyDescent="0.2">
      <c r="A35" s="2365"/>
      <c r="B35" s="2366"/>
      <c r="C35" s="2023"/>
      <c r="D35" s="2023"/>
      <c r="E35" s="2023"/>
      <c r="F35" s="2023"/>
      <c r="G35" s="2006"/>
      <c r="H35" s="2401"/>
      <c r="I35" s="2023"/>
      <c r="J35" s="2023"/>
      <c r="K35" s="2023"/>
      <c r="L35" s="2369"/>
      <c r="M35" s="2006"/>
      <c r="N35" s="2347"/>
      <c r="O35" s="2347"/>
      <c r="P35" s="2367"/>
      <c r="Q35" s="2023"/>
      <c r="R35" s="2023"/>
      <c r="S35" s="2023"/>
      <c r="T35" s="2023"/>
      <c r="U35" s="1146" t="s">
        <v>3891</v>
      </c>
      <c r="V35" s="1137">
        <v>40526</v>
      </c>
      <c r="W35" s="1064">
        <v>10443</v>
      </c>
      <c r="X35" s="1146" t="s">
        <v>3907</v>
      </c>
      <c r="Y35" s="1137">
        <v>40544</v>
      </c>
      <c r="Z35" s="1137">
        <v>40908</v>
      </c>
      <c r="AA35" s="1138"/>
      <c r="AB35" s="1055"/>
      <c r="AC35" s="1139"/>
      <c r="AD35" s="1139"/>
      <c r="AE35" s="525"/>
      <c r="AF35" s="525">
        <v>0</v>
      </c>
      <c r="AG35" s="525">
        <v>0</v>
      </c>
      <c r="AH35" s="1139">
        <f t="shared" si="0"/>
        <v>0</v>
      </c>
      <c r="AI35" s="1055"/>
      <c r="AJ35" s="1064"/>
      <c r="AK35" s="1055"/>
      <c r="AL35" s="1133"/>
      <c r="AM35" s="1055"/>
      <c r="AN35" s="1055"/>
      <c r="AO35" s="1064"/>
      <c r="AP35" s="1137"/>
      <c r="AQ35" s="1064"/>
      <c r="AR35" s="1137"/>
      <c r="AS35" s="1055"/>
      <c r="AT35" s="1133"/>
      <c r="AU35" s="1133"/>
      <c r="AV35" s="1133"/>
      <c r="AW35" s="1133"/>
      <c r="AX35" s="1133"/>
      <c r="AY35" s="1133"/>
      <c r="AZ35" s="1133"/>
      <c r="BA35" s="1133"/>
      <c r="BB35" s="1133"/>
      <c r="BC35" s="1133"/>
      <c r="BD35" s="1133"/>
      <c r="BE35" s="1480"/>
      <c r="BF35" s="1480"/>
      <c r="BG35" s="1480"/>
      <c r="BH35" s="1480"/>
      <c r="BI35" s="1480"/>
      <c r="BJ35" s="1480"/>
    </row>
    <row r="36" spans="1:62" s="629" customFormat="1" ht="12.75" x14ac:dyDescent="0.2">
      <c r="A36" s="2365"/>
      <c r="B36" s="2366"/>
      <c r="C36" s="2023"/>
      <c r="D36" s="2023"/>
      <c r="E36" s="2023"/>
      <c r="F36" s="2023"/>
      <c r="G36" s="2006"/>
      <c r="H36" s="2401"/>
      <c r="I36" s="2023"/>
      <c r="J36" s="2023"/>
      <c r="K36" s="2023"/>
      <c r="L36" s="2369"/>
      <c r="M36" s="2006"/>
      <c r="N36" s="2347"/>
      <c r="O36" s="2347"/>
      <c r="P36" s="2367"/>
      <c r="Q36" s="2023"/>
      <c r="R36" s="2023"/>
      <c r="S36" s="2023"/>
      <c r="T36" s="2023"/>
      <c r="U36" s="1146" t="s">
        <v>3908</v>
      </c>
      <c r="V36" s="1137">
        <v>40878</v>
      </c>
      <c r="W36" s="1064">
        <v>10694</v>
      </c>
      <c r="X36" s="1146" t="s">
        <v>3907</v>
      </c>
      <c r="Y36" s="1137">
        <v>40909</v>
      </c>
      <c r="Z36" s="1137">
        <v>41274</v>
      </c>
      <c r="AA36" s="1138"/>
      <c r="AB36" s="1055"/>
      <c r="AC36" s="1139"/>
      <c r="AD36" s="1139"/>
      <c r="AE36" s="525"/>
      <c r="AF36" s="525">
        <v>0</v>
      </c>
      <c r="AG36" s="525">
        <v>0</v>
      </c>
      <c r="AH36" s="1139">
        <f t="shared" si="0"/>
        <v>0</v>
      </c>
      <c r="AI36" s="1055"/>
      <c r="AJ36" s="1064"/>
      <c r="AK36" s="1055"/>
      <c r="AL36" s="1133"/>
      <c r="AM36" s="1055"/>
      <c r="AN36" s="1055"/>
      <c r="AO36" s="1064"/>
      <c r="AP36" s="1137"/>
      <c r="AQ36" s="1064"/>
      <c r="AR36" s="1137"/>
      <c r="AS36" s="1055"/>
      <c r="AT36" s="1133"/>
      <c r="AU36" s="1133"/>
      <c r="AV36" s="1133"/>
      <c r="AW36" s="1133"/>
      <c r="AX36" s="1133"/>
      <c r="AY36" s="1133"/>
      <c r="AZ36" s="1133"/>
      <c r="BA36" s="1133"/>
      <c r="BB36" s="1133"/>
      <c r="BC36" s="1133"/>
      <c r="BD36" s="1133"/>
      <c r="BE36" s="1480"/>
      <c r="BF36" s="1480"/>
      <c r="BG36" s="1480"/>
      <c r="BH36" s="1480"/>
      <c r="BI36" s="1480"/>
      <c r="BJ36" s="1480"/>
    </row>
    <row r="37" spans="1:62" s="629" customFormat="1" ht="12.75" x14ac:dyDescent="0.2">
      <c r="A37" s="2365"/>
      <c r="B37" s="2366"/>
      <c r="C37" s="2023"/>
      <c r="D37" s="2023"/>
      <c r="E37" s="2023"/>
      <c r="F37" s="2023"/>
      <c r="G37" s="2006"/>
      <c r="H37" s="2401"/>
      <c r="I37" s="2023"/>
      <c r="J37" s="2023"/>
      <c r="K37" s="2023"/>
      <c r="L37" s="2369"/>
      <c r="M37" s="2006"/>
      <c r="N37" s="2347"/>
      <c r="O37" s="2347"/>
      <c r="P37" s="2367"/>
      <c r="Q37" s="2023"/>
      <c r="R37" s="2023"/>
      <c r="S37" s="2023"/>
      <c r="T37" s="2023"/>
      <c r="U37" s="1146" t="s">
        <v>3893</v>
      </c>
      <c r="V37" s="1137">
        <v>41256</v>
      </c>
      <c r="W37" s="1064">
        <v>10972</v>
      </c>
      <c r="X37" s="1146" t="s">
        <v>3907</v>
      </c>
      <c r="Y37" s="1137">
        <v>41275</v>
      </c>
      <c r="Z37" s="1137">
        <v>41639</v>
      </c>
      <c r="AA37" s="1138"/>
      <c r="AB37" s="1055"/>
      <c r="AC37" s="1139"/>
      <c r="AD37" s="1139"/>
      <c r="AE37" s="525"/>
      <c r="AF37" s="525">
        <v>0</v>
      </c>
      <c r="AG37" s="525">
        <v>0</v>
      </c>
      <c r="AH37" s="1139">
        <f t="shared" si="0"/>
        <v>0</v>
      </c>
      <c r="AI37" s="1055"/>
      <c r="AJ37" s="1064"/>
      <c r="AK37" s="1055"/>
      <c r="AL37" s="1133"/>
      <c r="AM37" s="1055"/>
      <c r="AN37" s="1055"/>
      <c r="AO37" s="1064"/>
      <c r="AP37" s="1137"/>
      <c r="AQ37" s="1064"/>
      <c r="AR37" s="1137"/>
      <c r="AS37" s="1055"/>
      <c r="AT37" s="1133"/>
      <c r="AU37" s="1133"/>
      <c r="AV37" s="1133"/>
      <c r="AW37" s="1133"/>
      <c r="AX37" s="1133"/>
      <c r="AY37" s="1133"/>
      <c r="AZ37" s="1133"/>
      <c r="BA37" s="1133"/>
      <c r="BB37" s="1133"/>
      <c r="BC37" s="1133"/>
      <c r="BD37" s="1133"/>
      <c r="BE37" s="1480"/>
      <c r="BF37" s="1480"/>
      <c r="BG37" s="1480"/>
      <c r="BH37" s="1480"/>
      <c r="BI37" s="1480"/>
      <c r="BJ37" s="1480"/>
    </row>
    <row r="38" spans="1:62" s="629" customFormat="1" ht="25.5" x14ac:dyDescent="0.2">
      <c r="A38" s="2365"/>
      <c r="B38" s="2366"/>
      <c r="C38" s="2023"/>
      <c r="D38" s="2023"/>
      <c r="E38" s="2023"/>
      <c r="F38" s="2023"/>
      <c r="G38" s="2006"/>
      <c r="H38" s="2401"/>
      <c r="I38" s="2023"/>
      <c r="J38" s="2023"/>
      <c r="K38" s="2023"/>
      <c r="L38" s="2369"/>
      <c r="M38" s="2006"/>
      <c r="N38" s="2347"/>
      <c r="O38" s="2347"/>
      <c r="P38" s="2367"/>
      <c r="Q38" s="2023"/>
      <c r="R38" s="2023"/>
      <c r="S38" s="2023"/>
      <c r="T38" s="2023"/>
      <c r="U38" s="1146" t="s">
        <v>3909</v>
      </c>
      <c r="V38" s="1137">
        <v>41631</v>
      </c>
      <c r="W38" s="1064"/>
      <c r="X38" s="1146" t="s">
        <v>3910</v>
      </c>
      <c r="Y38" s="1137">
        <v>41640</v>
      </c>
      <c r="Z38" s="1137">
        <v>41729</v>
      </c>
      <c r="AA38" s="1138">
        <f>AC38/AE34</f>
        <v>1.3188073394495414E-2</v>
      </c>
      <c r="AB38" s="1055"/>
      <c r="AC38" s="1139">
        <v>189.75</v>
      </c>
      <c r="AD38" s="1139"/>
      <c r="AE38" s="525">
        <f>AE34+AC38</f>
        <v>14577.75</v>
      </c>
      <c r="AF38" s="525">
        <v>0</v>
      </c>
      <c r="AG38" s="525">
        <v>0</v>
      </c>
      <c r="AH38" s="1139">
        <f t="shared" si="0"/>
        <v>0</v>
      </c>
      <c r="AI38" s="1055"/>
      <c r="AJ38" s="1064"/>
      <c r="AK38" s="1055"/>
      <c r="AL38" s="1133"/>
      <c r="AM38" s="1055"/>
      <c r="AN38" s="1055"/>
      <c r="AO38" s="1064"/>
      <c r="AP38" s="1137"/>
      <c r="AQ38" s="1064"/>
      <c r="AR38" s="1137"/>
      <c r="AS38" s="1055"/>
      <c r="AT38" s="1133"/>
      <c r="AU38" s="1133"/>
      <c r="AV38" s="1133"/>
      <c r="AW38" s="1133"/>
      <c r="AX38" s="1133"/>
      <c r="AY38" s="1133"/>
      <c r="AZ38" s="1133"/>
      <c r="BA38" s="1133"/>
      <c r="BB38" s="1133"/>
      <c r="BC38" s="1133"/>
      <c r="BD38" s="1133"/>
      <c r="BE38" s="1480"/>
      <c r="BF38" s="1480"/>
      <c r="BG38" s="1480"/>
      <c r="BH38" s="1480"/>
      <c r="BI38" s="1480"/>
      <c r="BJ38" s="1480"/>
    </row>
    <row r="39" spans="1:62" s="629" customFormat="1" ht="66" customHeight="1" x14ac:dyDescent="0.2">
      <c r="A39" s="2365">
        <v>4</v>
      </c>
      <c r="B39" s="2366" t="s">
        <v>3911</v>
      </c>
      <c r="C39" s="2023" t="s">
        <v>2669</v>
      </c>
      <c r="D39" s="2023" t="s">
        <v>615</v>
      </c>
      <c r="E39" s="2023" t="s">
        <v>584</v>
      </c>
      <c r="F39" s="2023" t="s">
        <v>3912</v>
      </c>
      <c r="G39" s="2006">
        <v>10792</v>
      </c>
      <c r="H39" s="2367" t="s">
        <v>3913</v>
      </c>
      <c r="I39" s="2023" t="s">
        <v>3914</v>
      </c>
      <c r="J39" s="2023" t="s">
        <v>927</v>
      </c>
      <c r="K39" s="2347">
        <v>41071</v>
      </c>
      <c r="L39" s="2343">
        <v>593733.32999999996</v>
      </c>
      <c r="M39" s="2006">
        <v>10849</v>
      </c>
      <c r="N39" s="2347" t="s">
        <v>3915</v>
      </c>
      <c r="O39" s="2347">
        <v>41274</v>
      </c>
      <c r="P39" s="2367" t="s">
        <v>3905</v>
      </c>
      <c r="Q39" s="2023"/>
      <c r="R39" s="2023"/>
      <c r="S39" s="2023"/>
      <c r="T39" s="2023" t="s">
        <v>208</v>
      </c>
      <c r="U39" s="1055"/>
      <c r="V39" s="1055"/>
      <c r="W39" s="1064"/>
      <c r="X39" s="1146"/>
      <c r="Y39" s="1055"/>
      <c r="Z39" s="1055"/>
      <c r="AA39" s="1138"/>
      <c r="AB39" s="1055"/>
      <c r="AC39" s="1139"/>
      <c r="AD39" s="1139"/>
      <c r="AE39" s="1155"/>
      <c r="AF39" s="1155">
        <v>77183</v>
      </c>
      <c r="AG39" s="1139">
        <v>31786</v>
      </c>
      <c r="AH39" s="1139">
        <f t="shared" si="0"/>
        <v>108969</v>
      </c>
      <c r="AI39" s="1055"/>
      <c r="AJ39" s="1064"/>
      <c r="AK39" s="1055"/>
      <c r="AL39" s="1133"/>
      <c r="AM39" s="1055"/>
      <c r="AN39" s="1055"/>
      <c r="AO39" s="1064"/>
      <c r="AP39" s="1137"/>
      <c r="AQ39" s="1064"/>
      <c r="AR39" s="1137"/>
      <c r="AS39" s="1055"/>
      <c r="AT39" s="1133"/>
      <c r="AU39" s="1133"/>
      <c r="AV39" s="1133"/>
      <c r="AW39" s="1133"/>
      <c r="AX39" s="1133"/>
      <c r="AY39" s="1133"/>
      <c r="AZ39" s="1133"/>
      <c r="BA39" s="1133"/>
      <c r="BB39" s="1133"/>
      <c r="BC39" s="1133"/>
      <c r="BD39" s="1133"/>
      <c r="BE39" s="1480"/>
      <c r="BF39" s="1480"/>
      <c r="BG39" s="1480"/>
      <c r="BH39" s="1480"/>
      <c r="BI39" s="1480"/>
      <c r="BJ39" s="1480"/>
    </row>
    <row r="40" spans="1:62" s="629" customFormat="1" ht="12.75" x14ac:dyDescent="0.2">
      <c r="A40" s="2365"/>
      <c r="B40" s="2366"/>
      <c r="C40" s="2023"/>
      <c r="D40" s="2023"/>
      <c r="E40" s="2023"/>
      <c r="F40" s="2023"/>
      <c r="G40" s="2006"/>
      <c r="H40" s="2367"/>
      <c r="I40" s="2023"/>
      <c r="J40" s="2023"/>
      <c r="K40" s="2023"/>
      <c r="L40" s="2343"/>
      <c r="M40" s="2006"/>
      <c r="N40" s="2347"/>
      <c r="O40" s="2347"/>
      <c r="P40" s="2367"/>
      <c r="Q40" s="2023"/>
      <c r="R40" s="2023"/>
      <c r="S40" s="2023"/>
      <c r="T40" s="2023"/>
      <c r="U40" s="1146" t="s">
        <v>3906</v>
      </c>
      <c r="V40" s="1137">
        <v>41270</v>
      </c>
      <c r="W40" s="1064">
        <v>10961</v>
      </c>
      <c r="X40" s="1146" t="s">
        <v>3916</v>
      </c>
      <c r="Y40" s="1137">
        <v>41275</v>
      </c>
      <c r="Z40" s="1137">
        <v>41455</v>
      </c>
      <c r="AA40" s="1138"/>
      <c r="AB40" s="1055"/>
      <c r="AC40" s="1139"/>
      <c r="AD40" s="1139"/>
      <c r="AE40" s="1155"/>
      <c r="AF40" s="525">
        <v>0</v>
      </c>
      <c r="AG40" s="525">
        <v>0</v>
      </c>
      <c r="AH40" s="1139">
        <f t="shared" si="0"/>
        <v>0</v>
      </c>
      <c r="AI40" s="1055"/>
      <c r="AJ40" s="1064"/>
      <c r="AK40" s="1055"/>
      <c r="AL40" s="1133"/>
      <c r="AM40" s="1055"/>
      <c r="AN40" s="1055"/>
      <c r="AO40" s="1064"/>
      <c r="AP40" s="1137"/>
      <c r="AQ40" s="1064"/>
      <c r="AR40" s="1137"/>
      <c r="AS40" s="1055"/>
      <c r="AT40" s="1133"/>
      <c r="AU40" s="1133"/>
      <c r="AV40" s="1133"/>
      <c r="AW40" s="1133"/>
      <c r="AX40" s="1133"/>
      <c r="AY40" s="1133"/>
      <c r="AZ40" s="1133"/>
      <c r="BA40" s="1133"/>
      <c r="BB40" s="1133"/>
      <c r="BC40" s="1133"/>
      <c r="BD40" s="1133"/>
      <c r="BE40" s="1480"/>
      <c r="BF40" s="1480"/>
      <c r="BG40" s="1480"/>
      <c r="BH40" s="1480"/>
      <c r="BI40" s="1480"/>
      <c r="BJ40" s="1480"/>
    </row>
    <row r="41" spans="1:62" s="629" customFormat="1" ht="12.75" x14ac:dyDescent="0.2">
      <c r="A41" s="2365"/>
      <c r="B41" s="2366"/>
      <c r="C41" s="2023"/>
      <c r="D41" s="2023"/>
      <c r="E41" s="2023"/>
      <c r="F41" s="2023"/>
      <c r="G41" s="2006"/>
      <c r="H41" s="2367"/>
      <c r="I41" s="2023"/>
      <c r="J41" s="2023"/>
      <c r="K41" s="2023"/>
      <c r="L41" s="2343"/>
      <c r="M41" s="2006"/>
      <c r="N41" s="2347"/>
      <c r="O41" s="2347"/>
      <c r="P41" s="2367"/>
      <c r="Q41" s="2023"/>
      <c r="R41" s="2023"/>
      <c r="S41" s="2023"/>
      <c r="T41" s="2023"/>
      <c r="U41" s="1146" t="s">
        <v>3891</v>
      </c>
      <c r="V41" s="1137">
        <v>41453</v>
      </c>
      <c r="W41" s="1064">
        <v>11111</v>
      </c>
      <c r="X41" s="1146" t="s">
        <v>3917</v>
      </c>
      <c r="Y41" s="1137">
        <v>41456</v>
      </c>
      <c r="Z41" s="1137">
        <v>41638</v>
      </c>
      <c r="AA41" s="1138"/>
      <c r="AB41" s="1055"/>
      <c r="AC41" s="1139"/>
      <c r="AD41" s="1139"/>
      <c r="AE41" s="1155"/>
      <c r="AF41" s="525">
        <v>0</v>
      </c>
      <c r="AG41" s="525">
        <v>0</v>
      </c>
      <c r="AH41" s="1139">
        <f t="shared" si="0"/>
        <v>0</v>
      </c>
      <c r="AI41" s="1055"/>
      <c r="AJ41" s="1064"/>
      <c r="AK41" s="1055"/>
      <c r="AL41" s="1133"/>
      <c r="AM41" s="1055"/>
      <c r="AN41" s="1055"/>
      <c r="AO41" s="1064"/>
      <c r="AP41" s="1137"/>
      <c r="AQ41" s="1064"/>
      <c r="AR41" s="1137"/>
      <c r="AS41" s="1055"/>
      <c r="AT41" s="1133"/>
      <c r="AU41" s="1133"/>
      <c r="AV41" s="1133"/>
      <c r="AW41" s="1133"/>
      <c r="AX41" s="1133"/>
      <c r="AY41" s="1133"/>
      <c r="AZ41" s="1133"/>
      <c r="BA41" s="1133"/>
      <c r="BB41" s="1133"/>
      <c r="BC41" s="1133"/>
      <c r="BD41" s="1133"/>
      <c r="BE41" s="1480"/>
      <c r="BF41" s="1480"/>
      <c r="BG41" s="1480"/>
      <c r="BH41" s="1480"/>
      <c r="BI41" s="1480"/>
      <c r="BJ41" s="1480"/>
    </row>
    <row r="42" spans="1:62" s="629" customFormat="1" ht="12.75" x14ac:dyDescent="0.2">
      <c r="A42" s="2365"/>
      <c r="B42" s="2366"/>
      <c r="C42" s="2023"/>
      <c r="D42" s="2023"/>
      <c r="E42" s="2023"/>
      <c r="F42" s="2023"/>
      <c r="G42" s="2006"/>
      <c r="H42" s="2367"/>
      <c r="I42" s="2023"/>
      <c r="J42" s="2023"/>
      <c r="K42" s="2023"/>
      <c r="L42" s="2343"/>
      <c r="M42" s="2006"/>
      <c r="N42" s="2347"/>
      <c r="O42" s="2347"/>
      <c r="P42" s="2367"/>
      <c r="Q42" s="2023"/>
      <c r="R42" s="2023"/>
      <c r="S42" s="2023"/>
      <c r="T42" s="2023"/>
      <c r="U42" s="1146" t="s">
        <v>3908</v>
      </c>
      <c r="V42" s="1137">
        <v>41637</v>
      </c>
      <c r="W42" s="1064"/>
      <c r="X42" s="1146" t="s">
        <v>3917</v>
      </c>
      <c r="Y42" s="1137">
        <v>41640</v>
      </c>
      <c r="Z42" s="1137">
        <v>41820</v>
      </c>
      <c r="AA42" s="1138"/>
      <c r="AB42" s="1055"/>
      <c r="AC42" s="1139"/>
      <c r="AD42" s="1139"/>
      <c r="AE42" s="1155"/>
      <c r="AF42" s="525">
        <v>0</v>
      </c>
      <c r="AG42" s="525">
        <v>0</v>
      </c>
      <c r="AH42" s="1139">
        <f t="shared" si="0"/>
        <v>0</v>
      </c>
      <c r="AI42" s="1055"/>
      <c r="AJ42" s="1064"/>
      <c r="AK42" s="1055"/>
      <c r="AL42" s="1133"/>
      <c r="AM42" s="1055"/>
      <c r="AN42" s="1055"/>
      <c r="AO42" s="1064"/>
      <c r="AP42" s="1137"/>
      <c r="AQ42" s="1064"/>
      <c r="AR42" s="1137"/>
      <c r="AS42" s="1055"/>
      <c r="AT42" s="1133"/>
      <c r="AU42" s="1133"/>
      <c r="AV42" s="1133"/>
      <c r="AW42" s="1133"/>
      <c r="AX42" s="1133"/>
      <c r="AY42" s="1133"/>
      <c r="AZ42" s="1133"/>
      <c r="BA42" s="1133"/>
      <c r="BB42" s="1133"/>
      <c r="BC42" s="1133"/>
      <c r="BD42" s="1133"/>
      <c r="BE42" s="1480"/>
      <c r="BF42" s="1480"/>
      <c r="BG42" s="1480"/>
      <c r="BH42" s="1480"/>
      <c r="BI42" s="1480"/>
      <c r="BJ42" s="1480"/>
    </row>
    <row r="43" spans="1:62" s="629" customFormat="1" ht="12.75" x14ac:dyDescent="0.2">
      <c r="A43" s="2365"/>
      <c r="B43" s="2366"/>
      <c r="C43" s="2023"/>
      <c r="D43" s="2023"/>
      <c r="E43" s="2023"/>
      <c r="F43" s="2023"/>
      <c r="G43" s="2006"/>
      <c r="H43" s="2367"/>
      <c r="I43" s="2023"/>
      <c r="J43" s="2023"/>
      <c r="K43" s="2023"/>
      <c r="L43" s="2343"/>
      <c r="M43" s="2006"/>
      <c r="N43" s="2347"/>
      <c r="O43" s="2347"/>
      <c r="P43" s="2367"/>
      <c r="Q43" s="2023"/>
      <c r="R43" s="2023"/>
      <c r="S43" s="2023"/>
      <c r="T43" s="2023"/>
      <c r="U43" s="1146" t="s">
        <v>3893</v>
      </c>
      <c r="V43" s="1137">
        <v>41820</v>
      </c>
      <c r="W43" s="1064">
        <v>11354</v>
      </c>
      <c r="X43" s="1146" t="s">
        <v>3917</v>
      </c>
      <c r="Y43" s="1137">
        <v>41821</v>
      </c>
      <c r="Z43" s="1137">
        <v>42004</v>
      </c>
      <c r="AA43" s="1138"/>
      <c r="AB43" s="1055"/>
      <c r="AC43" s="1139"/>
      <c r="AD43" s="1139"/>
      <c r="AE43" s="1155"/>
      <c r="AF43" s="525">
        <v>0</v>
      </c>
      <c r="AG43" s="525">
        <v>0</v>
      </c>
      <c r="AH43" s="1139">
        <f t="shared" si="0"/>
        <v>0</v>
      </c>
      <c r="AI43" s="1055"/>
      <c r="AJ43" s="1064"/>
      <c r="AK43" s="1055"/>
      <c r="AL43" s="1133"/>
      <c r="AM43" s="1055"/>
      <c r="AN43" s="1055"/>
      <c r="AO43" s="1064"/>
      <c r="AP43" s="1137"/>
      <c r="AQ43" s="1064"/>
      <c r="AR43" s="1137"/>
      <c r="AS43" s="1055"/>
      <c r="AT43" s="1133"/>
      <c r="AU43" s="1133"/>
      <c r="AV43" s="1133"/>
      <c r="AW43" s="1133"/>
      <c r="AX43" s="1133"/>
      <c r="AY43" s="1133"/>
      <c r="AZ43" s="1133"/>
      <c r="BA43" s="1133"/>
      <c r="BB43" s="1133"/>
      <c r="BC43" s="1133"/>
      <c r="BD43" s="1133"/>
      <c r="BE43" s="1480"/>
      <c r="BF43" s="1480"/>
      <c r="BG43" s="1480"/>
      <c r="BH43" s="1480"/>
      <c r="BI43" s="1480"/>
      <c r="BJ43" s="1480"/>
    </row>
    <row r="44" spans="1:62" s="629" customFormat="1" ht="45" customHeight="1" x14ac:dyDescent="0.2">
      <c r="A44" s="2365">
        <v>5</v>
      </c>
      <c r="B44" s="2366" t="s">
        <v>975</v>
      </c>
      <c r="C44" s="2023" t="s">
        <v>986</v>
      </c>
      <c r="D44" s="2023" t="s">
        <v>615</v>
      </c>
      <c r="E44" s="2023" t="s">
        <v>584</v>
      </c>
      <c r="F44" s="2023" t="s">
        <v>3918</v>
      </c>
      <c r="G44" s="2006">
        <v>10978</v>
      </c>
      <c r="H44" s="2367" t="s">
        <v>3919</v>
      </c>
      <c r="I44" s="2023" t="s">
        <v>3920</v>
      </c>
      <c r="J44" s="2023" t="s">
        <v>3921</v>
      </c>
      <c r="K44" s="2347">
        <v>41344</v>
      </c>
      <c r="L44" s="2369">
        <v>110000</v>
      </c>
      <c r="M44" s="2006">
        <v>11015</v>
      </c>
      <c r="N44" s="2347">
        <v>41344</v>
      </c>
      <c r="O44" s="2347">
        <v>41639</v>
      </c>
      <c r="P44" s="2367" t="s">
        <v>3905</v>
      </c>
      <c r="Q44" s="2023"/>
      <c r="R44" s="2023"/>
      <c r="S44" s="2023"/>
      <c r="T44" s="2023" t="s">
        <v>1129</v>
      </c>
      <c r="U44" s="1055"/>
      <c r="V44" s="1055"/>
      <c r="W44" s="1064"/>
      <c r="X44" s="1146"/>
      <c r="Y44" s="1055"/>
      <c r="Z44" s="1055"/>
      <c r="AA44" s="1138"/>
      <c r="AB44" s="1055"/>
      <c r="AC44" s="1139"/>
      <c r="AD44" s="1139"/>
      <c r="AE44" s="1155">
        <f>L44-AD44+AC45</f>
        <v>137370</v>
      </c>
      <c r="AF44" s="525">
        <v>127968</v>
      </c>
      <c r="AG44" s="1150">
        <v>9362</v>
      </c>
      <c r="AH44" s="1139">
        <f t="shared" si="0"/>
        <v>137330</v>
      </c>
      <c r="AI44" s="1055"/>
      <c r="AJ44" s="1064"/>
      <c r="AK44" s="1055"/>
      <c r="AL44" s="1133"/>
      <c r="AM44" s="1055"/>
      <c r="AN44" s="1055"/>
      <c r="AO44" s="1064"/>
      <c r="AP44" s="1137"/>
      <c r="AQ44" s="1064"/>
      <c r="AR44" s="1137"/>
      <c r="AS44" s="1055"/>
      <c r="AT44" s="1133"/>
      <c r="AU44" s="1133"/>
      <c r="AV44" s="1133"/>
      <c r="AW44" s="1133"/>
      <c r="AX44" s="1133"/>
      <c r="AY44" s="1133"/>
      <c r="AZ44" s="1133"/>
      <c r="BA44" s="1133"/>
      <c r="BB44" s="1133"/>
      <c r="BC44" s="1133"/>
      <c r="BD44" s="1133"/>
      <c r="BE44" s="1480"/>
      <c r="BF44" s="1480"/>
      <c r="BG44" s="1480"/>
      <c r="BH44" s="1480"/>
      <c r="BI44" s="1480"/>
      <c r="BJ44" s="1480"/>
    </row>
    <row r="45" spans="1:62" s="629" customFormat="1" ht="12.75" x14ac:dyDescent="0.2">
      <c r="A45" s="2365"/>
      <c r="B45" s="2366"/>
      <c r="C45" s="2023"/>
      <c r="D45" s="2023"/>
      <c r="E45" s="2023"/>
      <c r="F45" s="2023"/>
      <c r="G45" s="2006"/>
      <c r="H45" s="2367"/>
      <c r="I45" s="2023"/>
      <c r="J45" s="2023"/>
      <c r="K45" s="2023"/>
      <c r="L45" s="2369"/>
      <c r="M45" s="2006"/>
      <c r="N45" s="2347"/>
      <c r="O45" s="2347"/>
      <c r="P45" s="2367"/>
      <c r="Q45" s="2023"/>
      <c r="R45" s="2023"/>
      <c r="S45" s="2023"/>
      <c r="T45" s="2023"/>
      <c r="U45" s="1146" t="s">
        <v>3889</v>
      </c>
      <c r="V45" s="1137">
        <v>41502</v>
      </c>
      <c r="W45" s="1064">
        <v>11127</v>
      </c>
      <c r="X45" s="1146" t="s">
        <v>3922</v>
      </c>
      <c r="Y45" s="1137">
        <v>41344</v>
      </c>
      <c r="Z45" s="1137">
        <v>41639</v>
      </c>
      <c r="AA45" s="1138">
        <v>24.8</v>
      </c>
      <c r="AB45" s="1055"/>
      <c r="AC45" s="1139">
        <v>27370</v>
      </c>
      <c r="AD45" s="1139"/>
      <c r="AE45" s="1155"/>
      <c r="AF45" s="525">
        <v>0</v>
      </c>
      <c r="AG45" s="525">
        <v>0</v>
      </c>
      <c r="AH45" s="1139">
        <f t="shared" si="0"/>
        <v>0</v>
      </c>
      <c r="AI45" s="1055"/>
      <c r="AJ45" s="1064"/>
      <c r="AK45" s="1055"/>
      <c r="AL45" s="1133"/>
      <c r="AM45" s="1055"/>
      <c r="AN45" s="1055"/>
      <c r="AO45" s="1064"/>
      <c r="AP45" s="1137"/>
      <c r="AQ45" s="1064"/>
      <c r="AR45" s="1137"/>
      <c r="AS45" s="1055"/>
      <c r="AT45" s="1133"/>
      <c r="AU45" s="1133"/>
      <c r="AV45" s="1133"/>
      <c r="AW45" s="1133"/>
      <c r="AX45" s="1133"/>
      <c r="AY45" s="1133"/>
      <c r="AZ45" s="1133"/>
      <c r="BA45" s="1133"/>
      <c r="BB45" s="1133"/>
      <c r="BC45" s="1133"/>
      <c r="BD45" s="1133"/>
      <c r="BE45" s="1480"/>
      <c r="BF45" s="1480"/>
      <c r="BG45" s="1480"/>
      <c r="BH45" s="1480"/>
      <c r="BI45" s="1480"/>
      <c r="BJ45" s="1480"/>
    </row>
    <row r="46" spans="1:62" s="629" customFormat="1" ht="12.75" x14ac:dyDescent="0.2">
      <c r="A46" s="2365"/>
      <c r="B46" s="2366"/>
      <c r="C46" s="2023"/>
      <c r="D46" s="2023"/>
      <c r="E46" s="2023"/>
      <c r="F46" s="2023"/>
      <c r="G46" s="2006"/>
      <c r="H46" s="2367"/>
      <c r="I46" s="2023"/>
      <c r="J46" s="2023"/>
      <c r="K46" s="2023"/>
      <c r="L46" s="2369"/>
      <c r="M46" s="2006"/>
      <c r="N46" s="2347"/>
      <c r="O46" s="2347"/>
      <c r="P46" s="2367"/>
      <c r="Q46" s="2023"/>
      <c r="R46" s="2023"/>
      <c r="S46" s="2023"/>
      <c r="T46" s="2023"/>
      <c r="U46" s="1146" t="s">
        <v>3891</v>
      </c>
      <c r="V46" s="1055"/>
      <c r="W46" s="1064"/>
      <c r="X46" s="1146" t="s">
        <v>3923</v>
      </c>
      <c r="Y46" s="1055"/>
      <c r="Z46" s="1055"/>
      <c r="AA46" s="1138"/>
      <c r="AB46" s="1055"/>
      <c r="AC46" s="1139"/>
      <c r="AD46" s="1139"/>
      <c r="AE46" s="1155"/>
      <c r="AF46" s="525">
        <v>0</v>
      </c>
      <c r="AG46" s="525">
        <v>0</v>
      </c>
      <c r="AH46" s="1139">
        <f t="shared" si="0"/>
        <v>0</v>
      </c>
      <c r="AI46" s="1055"/>
      <c r="AJ46" s="1064"/>
      <c r="AK46" s="1055"/>
      <c r="AL46" s="1133"/>
      <c r="AM46" s="1055"/>
      <c r="AN46" s="1055"/>
      <c r="AO46" s="1064"/>
      <c r="AP46" s="1137"/>
      <c r="AQ46" s="1064"/>
      <c r="AR46" s="1137"/>
      <c r="AS46" s="1055"/>
      <c r="AT46" s="1133"/>
      <c r="AU46" s="1133"/>
      <c r="AV46" s="1133"/>
      <c r="AW46" s="1133"/>
      <c r="AX46" s="1133"/>
      <c r="AY46" s="1133"/>
      <c r="AZ46" s="1133"/>
      <c r="BA46" s="1133"/>
      <c r="BB46" s="1133"/>
      <c r="BC46" s="1133"/>
      <c r="BD46" s="1133"/>
      <c r="BE46" s="1480"/>
      <c r="BF46" s="1480"/>
      <c r="BG46" s="1480"/>
      <c r="BH46" s="1480"/>
      <c r="BI46" s="1480"/>
      <c r="BJ46" s="1480"/>
    </row>
    <row r="47" spans="1:62" s="629" customFormat="1" ht="45" customHeight="1" x14ac:dyDescent="0.2">
      <c r="A47" s="2365">
        <v>6</v>
      </c>
      <c r="B47" s="2366" t="s">
        <v>1070</v>
      </c>
      <c r="C47" s="2023" t="s">
        <v>1006</v>
      </c>
      <c r="D47" s="2023" t="s">
        <v>615</v>
      </c>
      <c r="E47" s="2023" t="s">
        <v>584</v>
      </c>
      <c r="F47" s="2023" t="s">
        <v>3924</v>
      </c>
      <c r="G47" s="2006">
        <v>11017</v>
      </c>
      <c r="H47" s="2367" t="s">
        <v>3925</v>
      </c>
      <c r="I47" s="2023" t="s">
        <v>3926</v>
      </c>
      <c r="J47" s="2023" t="s">
        <v>3927</v>
      </c>
      <c r="K47" s="2347">
        <v>41365</v>
      </c>
      <c r="L47" s="2369">
        <v>7335</v>
      </c>
      <c r="M47" s="2006">
        <v>11026</v>
      </c>
      <c r="N47" s="2347">
        <v>41365</v>
      </c>
      <c r="O47" s="2347">
        <v>41639</v>
      </c>
      <c r="P47" s="2367" t="s">
        <v>3905</v>
      </c>
      <c r="Q47" s="2023"/>
      <c r="R47" s="2023"/>
      <c r="S47" s="2023"/>
      <c r="T47" s="2023" t="s">
        <v>158</v>
      </c>
      <c r="U47" s="1055"/>
      <c r="V47" s="1055"/>
      <c r="W47" s="1064"/>
      <c r="X47" s="1146"/>
      <c r="Y47" s="1055"/>
      <c r="Z47" s="1055"/>
      <c r="AA47" s="1138"/>
      <c r="AB47" s="1055"/>
      <c r="AC47" s="1139"/>
      <c r="AD47" s="1139"/>
      <c r="AE47" s="1155"/>
      <c r="AF47" s="525">
        <v>7335</v>
      </c>
      <c r="AG47" s="1139">
        <v>10316.129999999999</v>
      </c>
      <c r="AH47" s="1139">
        <f t="shared" si="0"/>
        <v>17651.129999999997</v>
      </c>
      <c r="AI47" s="1055"/>
      <c r="AJ47" s="1064"/>
      <c r="AK47" s="1055"/>
      <c r="AL47" s="1133"/>
      <c r="AM47" s="1055"/>
      <c r="AN47" s="1055"/>
      <c r="AO47" s="1064"/>
      <c r="AP47" s="1137"/>
      <c r="AQ47" s="1064"/>
      <c r="AR47" s="1137"/>
      <c r="AS47" s="1055"/>
      <c r="AT47" s="1133"/>
      <c r="AU47" s="1133"/>
      <c r="AV47" s="1133"/>
      <c r="AW47" s="1133"/>
      <c r="AX47" s="1133"/>
      <c r="AY47" s="1133"/>
      <c r="AZ47" s="1133"/>
      <c r="BA47" s="1133"/>
      <c r="BB47" s="1133"/>
      <c r="BC47" s="1133"/>
      <c r="BD47" s="1133"/>
      <c r="BE47" s="1480"/>
      <c r="BF47" s="1480"/>
      <c r="BG47" s="1480"/>
      <c r="BH47" s="1480"/>
      <c r="BI47" s="1480"/>
      <c r="BJ47" s="1480"/>
    </row>
    <row r="48" spans="1:62" s="629" customFormat="1" ht="12.75" x14ac:dyDescent="0.2">
      <c r="A48" s="2365"/>
      <c r="B48" s="2366"/>
      <c r="C48" s="2023"/>
      <c r="D48" s="2023"/>
      <c r="E48" s="2023"/>
      <c r="F48" s="2023"/>
      <c r="G48" s="2006"/>
      <c r="H48" s="2367"/>
      <c r="I48" s="2023"/>
      <c r="J48" s="2023"/>
      <c r="K48" s="2347"/>
      <c r="L48" s="2369"/>
      <c r="M48" s="2006"/>
      <c r="N48" s="2347"/>
      <c r="O48" s="2347"/>
      <c r="P48" s="2367"/>
      <c r="Q48" s="2023"/>
      <c r="R48" s="2023"/>
      <c r="S48" s="2023"/>
      <c r="T48" s="2023"/>
      <c r="U48" s="1146" t="s">
        <v>3889</v>
      </c>
      <c r="V48" s="1137">
        <v>41631</v>
      </c>
      <c r="W48" s="1064">
        <v>11219</v>
      </c>
      <c r="X48" s="1146" t="s">
        <v>3907</v>
      </c>
      <c r="Y48" s="1137">
        <v>41640</v>
      </c>
      <c r="Z48" s="1137">
        <v>42004</v>
      </c>
      <c r="AA48" s="537"/>
      <c r="AB48" s="1055"/>
      <c r="AC48" s="1139">
        <f>815*3</f>
        <v>2445</v>
      </c>
      <c r="AD48" s="1139"/>
      <c r="AE48" s="1155">
        <f>AC48+L47</f>
        <v>9780</v>
      </c>
      <c r="AF48" s="525">
        <v>0</v>
      </c>
      <c r="AG48" s="525">
        <v>0</v>
      </c>
      <c r="AH48" s="1139">
        <f t="shared" si="0"/>
        <v>0</v>
      </c>
      <c r="AI48" s="1055"/>
      <c r="AJ48" s="1064"/>
      <c r="AK48" s="1055"/>
      <c r="AL48" s="1133"/>
      <c r="AM48" s="1055"/>
      <c r="AN48" s="1055"/>
      <c r="AO48" s="1064"/>
      <c r="AP48" s="1137"/>
      <c r="AQ48" s="1064"/>
      <c r="AR48" s="1137"/>
      <c r="AS48" s="1055"/>
      <c r="AT48" s="1133"/>
      <c r="AU48" s="1133"/>
      <c r="AV48" s="1133"/>
      <c r="AW48" s="1133"/>
      <c r="AX48" s="1133"/>
      <c r="AY48" s="1133"/>
      <c r="AZ48" s="1133"/>
      <c r="BA48" s="1133"/>
      <c r="BB48" s="1133"/>
      <c r="BC48" s="1133"/>
      <c r="BD48" s="1133"/>
      <c r="BE48" s="1480"/>
      <c r="BF48" s="1480"/>
      <c r="BG48" s="1480"/>
      <c r="BH48" s="1480"/>
      <c r="BI48" s="1480"/>
      <c r="BJ48" s="1480"/>
    </row>
    <row r="49" spans="1:62" s="629" customFormat="1" ht="25.5" x14ac:dyDescent="0.2">
      <c r="A49" s="2365"/>
      <c r="B49" s="2366"/>
      <c r="C49" s="2023"/>
      <c r="D49" s="2023"/>
      <c r="E49" s="2023"/>
      <c r="F49" s="2023"/>
      <c r="G49" s="2006"/>
      <c r="H49" s="2367"/>
      <c r="I49" s="2023"/>
      <c r="J49" s="2023"/>
      <c r="K49" s="2347"/>
      <c r="L49" s="2369"/>
      <c r="M49" s="2006"/>
      <c r="N49" s="2347"/>
      <c r="O49" s="2347"/>
      <c r="P49" s="2367"/>
      <c r="Q49" s="2023"/>
      <c r="R49" s="2023"/>
      <c r="S49" s="2023"/>
      <c r="T49" s="2023"/>
      <c r="U49" s="1146" t="s">
        <v>3928</v>
      </c>
      <c r="V49" s="1137">
        <v>41738</v>
      </c>
      <c r="W49" s="1064">
        <v>11288</v>
      </c>
      <c r="X49" s="1146" t="s">
        <v>3929</v>
      </c>
      <c r="Y49" s="1137"/>
      <c r="Z49" s="1137"/>
      <c r="AA49" s="1138">
        <f>AC49/L47</f>
        <v>7.3092024539877301E-2</v>
      </c>
      <c r="AB49" s="1551"/>
      <c r="AC49" s="1139">
        <v>536.13</v>
      </c>
      <c r="AD49" s="1139"/>
      <c r="AE49" s="1155">
        <f>AE48+AC49</f>
        <v>10316.129999999999</v>
      </c>
      <c r="AF49" s="525">
        <v>0</v>
      </c>
      <c r="AG49" s="525">
        <v>0</v>
      </c>
      <c r="AH49" s="1139">
        <f t="shared" si="0"/>
        <v>0</v>
      </c>
      <c r="AI49" s="1055"/>
      <c r="AJ49" s="1064"/>
      <c r="AK49" s="1055"/>
      <c r="AL49" s="1133"/>
      <c r="AM49" s="1055"/>
      <c r="AN49" s="1055"/>
      <c r="AO49" s="1064"/>
      <c r="AP49" s="1137"/>
      <c r="AQ49" s="1064"/>
      <c r="AR49" s="1137"/>
      <c r="AS49" s="1055"/>
      <c r="AT49" s="1133"/>
      <c r="AU49" s="1133"/>
      <c r="AV49" s="1133"/>
      <c r="AW49" s="1133"/>
      <c r="AX49" s="1133"/>
      <c r="AY49" s="1133"/>
      <c r="AZ49" s="1133"/>
      <c r="BA49" s="1133"/>
      <c r="BB49" s="1133"/>
      <c r="BC49" s="1133"/>
      <c r="BD49" s="1133"/>
      <c r="BE49" s="1480"/>
      <c r="BF49" s="1480"/>
      <c r="BG49" s="1480"/>
      <c r="BH49" s="1480"/>
      <c r="BI49" s="1480"/>
      <c r="BJ49" s="1480"/>
    </row>
    <row r="50" spans="1:62" s="629" customFormat="1" ht="45" customHeight="1" x14ac:dyDescent="0.2">
      <c r="A50" s="2365">
        <v>7</v>
      </c>
      <c r="B50" s="2366" t="s">
        <v>1070</v>
      </c>
      <c r="C50" s="2023" t="s">
        <v>1006</v>
      </c>
      <c r="D50" s="2023" t="s">
        <v>615</v>
      </c>
      <c r="E50" s="2023" t="s">
        <v>584</v>
      </c>
      <c r="F50" s="2023" t="s">
        <v>3924</v>
      </c>
      <c r="G50" s="2006">
        <v>11017</v>
      </c>
      <c r="H50" s="2367" t="s">
        <v>3930</v>
      </c>
      <c r="I50" s="2023" t="s">
        <v>3931</v>
      </c>
      <c r="J50" s="2023" t="s">
        <v>3932</v>
      </c>
      <c r="K50" s="2347">
        <v>41360</v>
      </c>
      <c r="L50" s="2369">
        <v>6975</v>
      </c>
      <c r="M50" s="2006">
        <v>11036</v>
      </c>
      <c r="N50" s="2347">
        <v>41365</v>
      </c>
      <c r="O50" s="2347">
        <v>41639</v>
      </c>
      <c r="P50" s="2367" t="s">
        <v>3905</v>
      </c>
      <c r="Q50" s="2023"/>
      <c r="R50" s="2023"/>
      <c r="S50" s="2023"/>
      <c r="T50" s="2023" t="s">
        <v>158</v>
      </c>
      <c r="U50" s="1055"/>
      <c r="V50" s="1055"/>
      <c r="W50" s="1064"/>
      <c r="X50" s="1146"/>
      <c r="Y50" s="1055"/>
      <c r="Z50" s="1055"/>
      <c r="AA50" s="1138"/>
      <c r="AB50" s="1055"/>
      <c r="AC50" s="1139"/>
      <c r="AD50" s="1139"/>
      <c r="AE50" s="1133"/>
      <c r="AF50" s="525">
        <v>6975</v>
      </c>
      <c r="AG50" s="1150">
        <v>2325</v>
      </c>
      <c r="AH50" s="1139">
        <f t="shared" si="0"/>
        <v>9300</v>
      </c>
      <c r="AI50" s="1055"/>
      <c r="AJ50" s="1064"/>
      <c r="AK50" s="1055"/>
      <c r="AL50" s="1133"/>
      <c r="AM50" s="1055"/>
      <c r="AN50" s="1055"/>
      <c r="AO50" s="1064"/>
      <c r="AP50" s="1137"/>
      <c r="AQ50" s="1064"/>
      <c r="AR50" s="1137"/>
      <c r="AS50" s="1055"/>
      <c r="AT50" s="1133"/>
      <c r="AU50" s="1133"/>
      <c r="AV50" s="1133"/>
      <c r="AW50" s="1133"/>
      <c r="AX50" s="1133"/>
      <c r="AY50" s="1133"/>
      <c r="AZ50" s="1133"/>
      <c r="BA50" s="1133"/>
      <c r="BB50" s="1133"/>
      <c r="BC50" s="1133"/>
      <c r="BD50" s="1133"/>
      <c r="BE50" s="1480"/>
      <c r="BF50" s="1480"/>
      <c r="BG50" s="1480"/>
      <c r="BH50" s="1480"/>
      <c r="BI50" s="1480"/>
      <c r="BJ50" s="1480"/>
    </row>
    <row r="51" spans="1:62" s="629" customFormat="1" ht="12.75" x14ac:dyDescent="0.2">
      <c r="A51" s="2365"/>
      <c r="B51" s="2366"/>
      <c r="C51" s="2023"/>
      <c r="D51" s="2023"/>
      <c r="E51" s="2023"/>
      <c r="F51" s="2023"/>
      <c r="G51" s="2006"/>
      <c r="H51" s="2367"/>
      <c r="I51" s="2023"/>
      <c r="J51" s="2023"/>
      <c r="K51" s="2023"/>
      <c r="L51" s="2369"/>
      <c r="M51" s="2006"/>
      <c r="N51" s="2347"/>
      <c r="O51" s="2347"/>
      <c r="P51" s="2367"/>
      <c r="Q51" s="2023"/>
      <c r="R51" s="2023"/>
      <c r="S51" s="2023"/>
      <c r="T51" s="2023"/>
      <c r="U51" s="1146" t="s">
        <v>3889</v>
      </c>
      <c r="V51" s="1137">
        <v>41631</v>
      </c>
      <c r="W51" s="1064">
        <v>11224</v>
      </c>
      <c r="X51" s="1146" t="s">
        <v>3933</v>
      </c>
      <c r="Y51" s="1137">
        <v>41640</v>
      </c>
      <c r="Z51" s="1137">
        <v>41729</v>
      </c>
      <c r="AA51" s="1552"/>
      <c r="AB51" s="1055"/>
      <c r="AC51" s="1139"/>
      <c r="AD51" s="1139"/>
      <c r="AE51" s="1155">
        <f>L50-AD50+AC51</f>
        <v>6975</v>
      </c>
      <c r="AF51" s="525">
        <v>0</v>
      </c>
      <c r="AG51" s="525">
        <v>0</v>
      </c>
      <c r="AH51" s="1139">
        <f t="shared" si="0"/>
        <v>0</v>
      </c>
      <c r="AI51" s="1055"/>
      <c r="AJ51" s="1064"/>
      <c r="AK51" s="1055"/>
      <c r="AL51" s="1133"/>
      <c r="AM51" s="1055"/>
      <c r="AN51" s="1055"/>
      <c r="AO51" s="1064"/>
      <c r="AP51" s="1137"/>
      <c r="AQ51" s="1064"/>
      <c r="AR51" s="1137"/>
      <c r="AS51" s="1055"/>
      <c r="AT51" s="1133"/>
      <c r="AU51" s="1133"/>
      <c r="AV51" s="1133"/>
      <c r="AW51" s="1133"/>
      <c r="AX51" s="1133"/>
      <c r="AY51" s="1133"/>
      <c r="AZ51" s="1133"/>
      <c r="BA51" s="1133"/>
      <c r="BB51" s="1133"/>
      <c r="BC51" s="1133"/>
      <c r="BD51" s="1133"/>
      <c r="BE51" s="1480"/>
      <c r="BF51" s="1480"/>
      <c r="BG51" s="1480"/>
      <c r="BH51" s="1480"/>
      <c r="BI51" s="1480"/>
      <c r="BJ51" s="1480"/>
    </row>
    <row r="52" spans="1:62" s="629" customFormat="1" ht="45" customHeight="1" x14ac:dyDescent="0.2">
      <c r="A52" s="2365">
        <v>8</v>
      </c>
      <c r="B52" s="2366" t="s">
        <v>3934</v>
      </c>
      <c r="C52" s="2023" t="s">
        <v>1019</v>
      </c>
      <c r="D52" s="2023" t="s">
        <v>615</v>
      </c>
      <c r="E52" s="2023" t="s">
        <v>584</v>
      </c>
      <c r="F52" s="2023" t="s">
        <v>3924</v>
      </c>
      <c r="G52" s="2006">
        <v>11017</v>
      </c>
      <c r="H52" s="2367" t="s">
        <v>3935</v>
      </c>
      <c r="I52" s="2023" t="s">
        <v>3936</v>
      </c>
      <c r="J52" s="2023" t="s">
        <v>3937</v>
      </c>
      <c r="K52" s="2347">
        <v>41365</v>
      </c>
      <c r="L52" s="2343">
        <v>11682</v>
      </c>
      <c r="M52" s="2006">
        <v>11026</v>
      </c>
      <c r="N52" s="2347">
        <v>41365</v>
      </c>
      <c r="O52" s="2347">
        <v>41639</v>
      </c>
      <c r="P52" s="2367" t="s">
        <v>3905</v>
      </c>
      <c r="Q52" s="2023"/>
      <c r="R52" s="2023"/>
      <c r="S52" s="2023"/>
      <c r="T52" s="2023" t="s">
        <v>158</v>
      </c>
      <c r="U52" s="1055"/>
      <c r="V52" s="1055"/>
      <c r="W52" s="1064"/>
      <c r="X52" s="1146"/>
      <c r="Y52" s="1055"/>
      <c r="Z52" s="1055"/>
      <c r="AA52" s="1138"/>
      <c r="AB52" s="1055"/>
      <c r="AC52" s="1139"/>
      <c r="AD52" s="1139"/>
      <c r="AE52" s="1155"/>
      <c r="AF52" s="1155">
        <v>3894</v>
      </c>
      <c r="AG52" s="1139">
        <v>129.81</v>
      </c>
      <c r="AH52" s="1139">
        <f t="shared" si="0"/>
        <v>4023.81</v>
      </c>
      <c r="AI52" s="1055"/>
      <c r="AJ52" s="1064"/>
      <c r="AK52" s="1055"/>
      <c r="AL52" s="1133"/>
      <c r="AM52" s="1055"/>
      <c r="AN52" s="1055"/>
      <c r="AO52" s="1064"/>
      <c r="AP52" s="1137"/>
      <c r="AQ52" s="1064"/>
      <c r="AR52" s="1137"/>
      <c r="AS52" s="1055"/>
      <c r="AT52" s="1133"/>
      <c r="AU52" s="1133"/>
      <c r="AV52" s="1133"/>
      <c r="AW52" s="1133"/>
      <c r="AX52" s="1133"/>
      <c r="AY52" s="1133"/>
      <c r="AZ52" s="1133"/>
      <c r="BA52" s="1133"/>
      <c r="BB52" s="1133"/>
      <c r="BC52" s="1133"/>
      <c r="BD52" s="1133"/>
      <c r="BE52" s="1480"/>
      <c r="BF52" s="1480"/>
      <c r="BG52" s="1480"/>
      <c r="BH52" s="1480"/>
      <c r="BI52" s="1480"/>
      <c r="BJ52" s="1480"/>
    </row>
    <row r="53" spans="1:62" s="629" customFormat="1" ht="12.75" x14ac:dyDescent="0.2">
      <c r="A53" s="2365"/>
      <c r="B53" s="2366"/>
      <c r="C53" s="2023"/>
      <c r="D53" s="2023"/>
      <c r="E53" s="2023"/>
      <c r="F53" s="2023"/>
      <c r="G53" s="2006"/>
      <c r="H53" s="2367"/>
      <c r="I53" s="2023"/>
      <c r="J53" s="2023"/>
      <c r="K53" s="2023"/>
      <c r="L53" s="2343"/>
      <c r="M53" s="2006"/>
      <c r="N53" s="2347"/>
      <c r="O53" s="2347"/>
      <c r="P53" s="2367"/>
      <c r="Q53" s="2023"/>
      <c r="R53" s="2023"/>
      <c r="S53" s="2023"/>
      <c r="T53" s="2023"/>
      <c r="U53" s="1146" t="s">
        <v>3938</v>
      </c>
      <c r="V53" s="1137">
        <v>41583</v>
      </c>
      <c r="W53" s="1064">
        <v>11180</v>
      </c>
      <c r="X53" s="1146" t="s">
        <v>3939</v>
      </c>
      <c r="Y53" s="1137">
        <v>41365</v>
      </c>
      <c r="Z53" s="1137">
        <v>41639</v>
      </c>
      <c r="AA53" s="1138"/>
      <c r="AB53" s="1138">
        <f>AD53/L52</f>
        <v>0.65555469953775036</v>
      </c>
      <c r="AC53" s="1139"/>
      <c r="AD53" s="1139">
        <v>7658.19</v>
      </c>
      <c r="AE53" s="1155">
        <f>L52-AD53</f>
        <v>4023.8100000000004</v>
      </c>
      <c r="AF53" s="525">
        <v>0</v>
      </c>
      <c r="AG53" s="525">
        <v>0</v>
      </c>
      <c r="AH53" s="1139">
        <f t="shared" si="0"/>
        <v>0</v>
      </c>
      <c r="AI53" s="1055"/>
      <c r="AJ53" s="1064"/>
      <c r="AK53" s="1055"/>
      <c r="AL53" s="1133"/>
      <c r="AM53" s="1055"/>
      <c r="AN53" s="1055"/>
      <c r="AO53" s="1064"/>
      <c r="AP53" s="1137"/>
      <c r="AQ53" s="1064"/>
      <c r="AR53" s="1137"/>
      <c r="AS53" s="1055"/>
      <c r="AT53" s="1133"/>
      <c r="AU53" s="1133"/>
      <c r="AV53" s="1133"/>
      <c r="AW53" s="1133"/>
      <c r="AX53" s="1133"/>
      <c r="AY53" s="1133"/>
      <c r="AZ53" s="1133"/>
      <c r="BA53" s="1133"/>
      <c r="BB53" s="1133"/>
      <c r="BC53" s="1133"/>
      <c r="BD53" s="1133"/>
      <c r="BE53" s="1480"/>
      <c r="BF53" s="1480"/>
      <c r="BG53" s="1480"/>
      <c r="BH53" s="1480"/>
      <c r="BI53" s="1480"/>
      <c r="BJ53" s="1480"/>
    </row>
    <row r="54" spans="1:62" s="629" customFormat="1" ht="45" customHeight="1" x14ac:dyDescent="0.2">
      <c r="A54" s="2365">
        <v>9</v>
      </c>
      <c r="B54" s="2366" t="s">
        <v>3934</v>
      </c>
      <c r="C54" s="2023" t="s">
        <v>1019</v>
      </c>
      <c r="D54" s="2023" t="s">
        <v>615</v>
      </c>
      <c r="E54" s="2023" t="s">
        <v>584</v>
      </c>
      <c r="F54" s="2023" t="s">
        <v>3924</v>
      </c>
      <c r="G54" s="2006">
        <v>11017</v>
      </c>
      <c r="H54" s="2367" t="s">
        <v>3940</v>
      </c>
      <c r="I54" s="2023" t="s">
        <v>3941</v>
      </c>
      <c r="J54" s="2023" t="s">
        <v>3942</v>
      </c>
      <c r="K54" s="2347">
        <v>41365</v>
      </c>
      <c r="L54" s="2369">
        <v>12348</v>
      </c>
      <c r="M54" s="2006">
        <v>11026</v>
      </c>
      <c r="N54" s="2347">
        <v>41365</v>
      </c>
      <c r="O54" s="2347">
        <v>41639</v>
      </c>
      <c r="P54" s="2367" t="s">
        <v>3905</v>
      </c>
      <c r="Q54" s="2023"/>
      <c r="R54" s="2023"/>
      <c r="S54" s="2023"/>
      <c r="T54" s="2023" t="s">
        <v>158</v>
      </c>
      <c r="U54" s="1055"/>
      <c r="V54" s="1055"/>
      <c r="W54" s="1064"/>
      <c r="X54" s="1146"/>
      <c r="Y54" s="1055"/>
      <c r="Z54" s="1055"/>
      <c r="AA54" s="1138"/>
      <c r="AB54" s="1055"/>
      <c r="AC54" s="1139"/>
      <c r="AD54" s="1139"/>
      <c r="AE54" s="1155"/>
      <c r="AF54" s="2408">
        <v>12348</v>
      </c>
      <c r="AG54" s="2343">
        <v>17366.52</v>
      </c>
      <c r="AH54" s="1139">
        <f t="shared" si="0"/>
        <v>29714.52</v>
      </c>
      <c r="AI54" s="1055"/>
      <c r="AJ54" s="1064"/>
      <c r="AK54" s="1055"/>
      <c r="AL54" s="1133"/>
      <c r="AM54" s="1055"/>
      <c r="AN54" s="1055"/>
      <c r="AO54" s="1064"/>
      <c r="AP54" s="1137"/>
      <c r="AQ54" s="1064"/>
      <c r="AR54" s="1137"/>
      <c r="AS54" s="1055"/>
      <c r="AT54" s="1133"/>
      <c r="AU54" s="1133"/>
      <c r="AV54" s="1133"/>
      <c r="AW54" s="1133"/>
      <c r="AX54" s="1133"/>
      <c r="AY54" s="1133"/>
      <c r="AZ54" s="1133"/>
      <c r="BA54" s="1133"/>
      <c r="BB54" s="1133"/>
      <c r="BC54" s="1133"/>
      <c r="BD54" s="1133"/>
      <c r="BE54" s="1480"/>
      <c r="BF54" s="1480"/>
      <c r="BG54" s="1480"/>
      <c r="BH54" s="1480"/>
      <c r="BI54" s="1480"/>
      <c r="BJ54" s="1480"/>
    </row>
    <row r="55" spans="1:62" s="629" customFormat="1" ht="26.25" customHeight="1" x14ac:dyDescent="0.2">
      <c r="A55" s="2365"/>
      <c r="B55" s="2366"/>
      <c r="C55" s="2023"/>
      <c r="D55" s="2023"/>
      <c r="E55" s="2023"/>
      <c r="F55" s="2023"/>
      <c r="G55" s="2006"/>
      <c r="H55" s="2367"/>
      <c r="I55" s="2023"/>
      <c r="J55" s="2023"/>
      <c r="K55" s="2347"/>
      <c r="L55" s="2369"/>
      <c r="M55" s="2006"/>
      <c r="N55" s="2347"/>
      <c r="O55" s="2347"/>
      <c r="P55" s="2367"/>
      <c r="Q55" s="2023"/>
      <c r="R55" s="2023"/>
      <c r="S55" s="2023"/>
      <c r="T55" s="2023"/>
      <c r="U55" s="1146" t="s">
        <v>3906</v>
      </c>
      <c r="V55" s="1137">
        <v>41631</v>
      </c>
      <c r="W55" s="1064">
        <v>11219</v>
      </c>
      <c r="X55" s="1146" t="s">
        <v>3907</v>
      </c>
      <c r="Y55" s="1137">
        <v>41640</v>
      </c>
      <c r="Z55" s="1137">
        <v>42004</v>
      </c>
      <c r="AA55" s="537"/>
      <c r="AB55" s="1055"/>
      <c r="AC55" s="1139">
        <f>1372*3</f>
        <v>4116</v>
      </c>
      <c r="AD55" s="1139"/>
      <c r="AE55" s="1155">
        <f>AC55+L54</f>
        <v>16464</v>
      </c>
      <c r="AF55" s="2408"/>
      <c r="AG55" s="2343"/>
      <c r="AH55" s="1139">
        <f t="shared" si="0"/>
        <v>0</v>
      </c>
      <c r="AI55" s="1055"/>
      <c r="AJ55" s="1064"/>
      <c r="AK55" s="1055"/>
      <c r="AL55" s="1133"/>
      <c r="AM55" s="1055"/>
      <c r="AN55" s="1055"/>
      <c r="AO55" s="1064"/>
      <c r="AP55" s="1137"/>
      <c r="AQ55" s="1064"/>
      <c r="AR55" s="1137"/>
      <c r="AS55" s="1055"/>
      <c r="AT55" s="1133"/>
      <c r="AU55" s="1133"/>
      <c r="AV55" s="1133"/>
      <c r="AW55" s="1133"/>
      <c r="AX55" s="1133"/>
      <c r="AY55" s="1133"/>
      <c r="AZ55" s="1133"/>
      <c r="BA55" s="1133"/>
      <c r="BB55" s="1133"/>
      <c r="BC55" s="1133"/>
      <c r="BD55" s="1133"/>
      <c r="BE55" s="1480"/>
      <c r="BF55" s="1480"/>
      <c r="BG55" s="1480"/>
      <c r="BH55" s="1480"/>
      <c r="BI55" s="1480"/>
      <c r="BJ55" s="1480"/>
    </row>
    <row r="56" spans="1:62" s="629" customFormat="1" ht="25.5" x14ac:dyDescent="0.2">
      <c r="A56" s="2365"/>
      <c r="B56" s="2366"/>
      <c r="C56" s="2023"/>
      <c r="D56" s="2023"/>
      <c r="E56" s="2023"/>
      <c r="F56" s="2023"/>
      <c r="G56" s="2006"/>
      <c r="H56" s="2367"/>
      <c r="I56" s="2023"/>
      <c r="J56" s="2023"/>
      <c r="K56" s="2023"/>
      <c r="L56" s="2369"/>
      <c r="M56" s="2006"/>
      <c r="N56" s="2347"/>
      <c r="O56" s="2347"/>
      <c r="P56" s="2367"/>
      <c r="Q56" s="2023"/>
      <c r="R56" s="2023"/>
      <c r="S56" s="2023"/>
      <c r="T56" s="2023"/>
      <c r="U56" s="1146" t="s">
        <v>3943</v>
      </c>
      <c r="V56" s="1137">
        <v>41738</v>
      </c>
      <c r="W56" s="1064">
        <v>11219</v>
      </c>
      <c r="X56" s="1146" t="s">
        <v>3929</v>
      </c>
      <c r="Y56" s="1137">
        <v>41730</v>
      </c>
      <c r="Z56" s="1137">
        <v>42004</v>
      </c>
      <c r="AA56" s="1138">
        <f>AC56/L54</f>
        <v>7.3090379008746348E-2</v>
      </c>
      <c r="AB56" s="1138"/>
      <c r="AC56" s="1139">
        <v>902.52</v>
      </c>
      <c r="AD56" s="1139"/>
      <c r="AE56" s="1155">
        <f>AE55+AC56</f>
        <v>17366.52</v>
      </c>
      <c r="AF56" s="2408"/>
      <c r="AG56" s="2343"/>
      <c r="AH56" s="1139">
        <f t="shared" si="0"/>
        <v>0</v>
      </c>
      <c r="AI56" s="1055"/>
      <c r="AJ56" s="1064"/>
      <c r="AK56" s="1055"/>
      <c r="AL56" s="1133"/>
      <c r="AM56" s="1055"/>
      <c r="AN56" s="1055"/>
      <c r="AO56" s="1064"/>
      <c r="AP56" s="1137"/>
      <c r="AQ56" s="1064"/>
      <c r="AR56" s="1137"/>
      <c r="AS56" s="1055"/>
      <c r="AT56" s="1133"/>
      <c r="AU56" s="1133"/>
      <c r="AV56" s="1133"/>
      <c r="AW56" s="1133"/>
      <c r="AX56" s="1133"/>
      <c r="AY56" s="1133"/>
      <c r="AZ56" s="1133"/>
      <c r="BA56" s="1133"/>
      <c r="BB56" s="1133"/>
      <c r="BC56" s="1133"/>
      <c r="BD56" s="1133"/>
      <c r="BE56" s="1480"/>
      <c r="BF56" s="1480"/>
      <c r="BG56" s="1480"/>
      <c r="BH56" s="1480"/>
      <c r="BI56" s="1480"/>
      <c r="BJ56" s="1480"/>
    </row>
    <row r="57" spans="1:62" s="629" customFormat="1" ht="45" customHeight="1" x14ac:dyDescent="0.2">
      <c r="A57" s="2365">
        <v>10</v>
      </c>
      <c r="B57" s="2366" t="s">
        <v>3934</v>
      </c>
      <c r="C57" s="2023" t="s">
        <v>1019</v>
      </c>
      <c r="D57" s="2023" t="s">
        <v>615</v>
      </c>
      <c r="E57" s="2023" t="s">
        <v>584</v>
      </c>
      <c r="F57" s="2023" t="s">
        <v>3924</v>
      </c>
      <c r="G57" s="2006">
        <v>11017</v>
      </c>
      <c r="H57" s="2367" t="s">
        <v>3944</v>
      </c>
      <c r="I57" s="2023" t="s">
        <v>3945</v>
      </c>
      <c r="J57" s="2023" t="s">
        <v>3946</v>
      </c>
      <c r="K57" s="2347">
        <v>41365</v>
      </c>
      <c r="L57" s="2369">
        <v>10665</v>
      </c>
      <c r="M57" s="2006">
        <v>11026</v>
      </c>
      <c r="N57" s="2347">
        <v>41365</v>
      </c>
      <c r="O57" s="2347">
        <v>41639</v>
      </c>
      <c r="P57" s="2367" t="s">
        <v>3905</v>
      </c>
      <c r="Q57" s="2023"/>
      <c r="R57" s="2023"/>
      <c r="S57" s="2023"/>
      <c r="T57" s="2023" t="s">
        <v>158</v>
      </c>
      <c r="U57" s="1055"/>
      <c r="V57" s="1055"/>
      <c r="W57" s="1064"/>
      <c r="X57" s="1146"/>
      <c r="Y57" s="1055"/>
      <c r="Z57" s="1055"/>
      <c r="AA57" s="1138"/>
      <c r="AB57" s="1055"/>
      <c r="AC57" s="1139"/>
      <c r="AD57" s="1139"/>
      <c r="AE57" s="1155"/>
      <c r="AF57" s="525">
        <v>10507</v>
      </c>
      <c r="AG57" s="1150">
        <v>2370</v>
      </c>
      <c r="AH57" s="1139">
        <f t="shared" si="0"/>
        <v>12877</v>
      </c>
      <c r="AI57" s="1055"/>
      <c r="AJ57" s="1064"/>
      <c r="AK57" s="1055"/>
      <c r="AL57" s="1133"/>
      <c r="AM57" s="1055"/>
      <c r="AN57" s="1055"/>
      <c r="AO57" s="1064"/>
      <c r="AP57" s="1137"/>
      <c r="AQ57" s="1064"/>
      <c r="AR57" s="1137"/>
      <c r="AS57" s="1055"/>
      <c r="AT57" s="1133"/>
      <c r="AU57" s="1133"/>
      <c r="AV57" s="1133"/>
      <c r="AW57" s="1133"/>
      <c r="AX57" s="1133"/>
      <c r="AY57" s="1133"/>
      <c r="AZ57" s="1133"/>
      <c r="BA57" s="1133"/>
      <c r="BB57" s="1133"/>
      <c r="BC57" s="1133"/>
      <c r="BD57" s="1133"/>
      <c r="BE57" s="1480"/>
      <c r="BF57" s="1480"/>
      <c r="BG57" s="1480"/>
      <c r="BH57" s="1480"/>
      <c r="BI57" s="1480"/>
      <c r="BJ57" s="1480"/>
    </row>
    <row r="58" spans="1:62" s="629" customFormat="1" ht="12.75" x14ac:dyDescent="0.2">
      <c r="A58" s="2365"/>
      <c r="B58" s="2366"/>
      <c r="C58" s="2023"/>
      <c r="D58" s="2023"/>
      <c r="E58" s="2023"/>
      <c r="F58" s="2023"/>
      <c r="G58" s="2006"/>
      <c r="H58" s="2367"/>
      <c r="I58" s="2023"/>
      <c r="J58" s="2023"/>
      <c r="K58" s="2023"/>
      <c r="L58" s="2369"/>
      <c r="M58" s="2006"/>
      <c r="N58" s="2347"/>
      <c r="O58" s="2347"/>
      <c r="P58" s="2367"/>
      <c r="Q58" s="2023"/>
      <c r="R58" s="2023"/>
      <c r="S58" s="2023"/>
      <c r="T58" s="2023"/>
      <c r="U58" s="1146" t="s">
        <v>3906</v>
      </c>
      <c r="V58" s="1137">
        <v>41631</v>
      </c>
      <c r="W58" s="1064">
        <v>11224</v>
      </c>
      <c r="X58" s="1146" t="s">
        <v>3947</v>
      </c>
      <c r="Y58" s="1137">
        <v>41640</v>
      </c>
      <c r="Z58" s="1137">
        <v>41698</v>
      </c>
      <c r="AA58" s="542"/>
      <c r="AB58" s="1055"/>
      <c r="AC58" s="1139"/>
      <c r="AD58" s="1139"/>
      <c r="AE58" s="1155">
        <f>L57-AD58+AC58</f>
        <v>10665</v>
      </c>
      <c r="AF58" s="525">
        <v>0</v>
      </c>
      <c r="AG58" s="525">
        <v>0</v>
      </c>
      <c r="AH58" s="1139">
        <f t="shared" si="0"/>
        <v>0</v>
      </c>
      <c r="AI58" s="1055"/>
      <c r="AJ58" s="1064"/>
      <c r="AK58" s="1055"/>
      <c r="AL58" s="1133"/>
      <c r="AM58" s="1055"/>
      <c r="AN58" s="1055"/>
      <c r="AO58" s="1064"/>
      <c r="AP58" s="1137"/>
      <c r="AQ58" s="1064"/>
      <c r="AR58" s="1137"/>
      <c r="AS58" s="1055"/>
      <c r="AT58" s="1133"/>
      <c r="AU58" s="1133"/>
      <c r="AV58" s="1133"/>
      <c r="AW58" s="1133"/>
      <c r="AX58" s="1133"/>
      <c r="AY58" s="1133"/>
      <c r="AZ58" s="1133"/>
      <c r="BA58" s="1133"/>
      <c r="BB58" s="1133"/>
      <c r="BC58" s="1133"/>
      <c r="BD58" s="1133"/>
      <c r="BE58" s="1480"/>
      <c r="BF58" s="1480"/>
      <c r="BG58" s="1480"/>
      <c r="BH58" s="1480"/>
      <c r="BI58" s="1480"/>
      <c r="BJ58" s="1480"/>
    </row>
    <row r="59" spans="1:62" s="629" customFormat="1" ht="45" customHeight="1" x14ac:dyDescent="0.2">
      <c r="A59" s="2365">
        <v>11</v>
      </c>
      <c r="B59" s="2366" t="s">
        <v>3934</v>
      </c>
      <c r="C59" s="2023" t="s">
        <v>1019</v>
      </c>
      <c r="D59" s="2023" t="s">
        <v>615</v>
      </c>
      <c r="E59" s="2023" t="s">
        <v>584</v>
      </c>
      <c r="F59" s="2023" t="s">
        <v>3924</v>
      </c>
      <c r="G59" s="2006">
        <v>11017</v>
      </c>
      <c r="H59" s="2367" t="s">
        <v>3948</v>
      </c>
      <c r="I59" s="2023" t="s">
        <v>3949</v>
      </c>
      <c r="J59" s="2023" t="s">
        <v>3950</v>
      </c>
      <c r="K59" s="2347">
        <v>41365</v>
      </c>
      <c r="L59" s="2369">
        <v>12690</v>
      </c>
      <c r="M59" s="2006">
        <v>11026</v>
      </c>
      <c r="N59" s="2347">
        <v>41365</v>
      </c>
      <c r="O59" s="2347">
        <v>41639</v>
      </c>
      <c r="P59" s="2367" t="s">
        <v>3905</v>
      </c>
      <c r="Q59" s="2023"/>
      <c r="R59" s="2023"/>
      <c r="S59" s="2023"/>
      <c r="T59" s="2023" t="s">
        <v>158</v>
      </c>
      <c r="U59" s="1055"/>
      <c r="V59" s="1055"/>
      <c r="W59" s="1064"/>
      <c r="X59" s="1146"/>
      <c r="Y59" s="1055"/>
      <c r="Z59" s="1055"/>
      <c r="AA59" s="1138"/>
      <c r="AB59" s="1055"/>
      <c r="AC59" s="1139"/>
      <c r="AD59" s="1139"/>
      <c r="AE59" s="1155"/>
      <c r="AF59" s="525">
        <v>12690</v>
      </c>
      <c r="AG59" s="1139">
        <v>17847.45</v>
      </c>
      <c r="AH59" s="1139">
        <f t="shared" si="0"/>
        <v>30537.45</v>
      </c>
      <c r="AI59" s="1055"/>
      <c r="AJ59" s="1064"/>
      <c r="AK59" s="1055"/>
      <c r="AL59" s="1133"/>
      <c r="AM59" s="1055"/>
      <c r="AN59" s="1055"/>
      <c r="AO59" s="1064"/>
      <c r="AP59" s="1137"/>
      <c r="AQ59" s="1064"/>
      <c r="AR59" s="1137"/>
      <c r="AS59" s="1055"/>
      <c r="AT59" s="1133"/>
      <c r="AU59" s="1133"/>
      <c r="AV59" s="1133"/>
      <c r="AW59" s="1133"/>
      <c r="AX59" s="1133"/>
      <c r="AY59" s="1133"/>
      <c r="AZ59" s="1133"/>
      <c r="BA59" s="1133"/>
      <c r="BB59" s="1133"/>
      <c r="BC59" s="1133"/>
      <c r="BD59" s="1133"/>
      <c r="BE59" s="1480"/>
      <c r="BF59" s="1480"/>
      <c r="BG59" s="1480"/>
      <c r="BH59" s="1480"/>
      <c r="BI59" s="1480"/>
      <c r="BJ59" s="1480"/>
    </row>
    <row r="60" spans="1:62" s="629" customFormat="1" ht="26.25" customHeight="1" x14ac:dyDescent="0.2">
      <c r="A60" s="2365"/>
      <c r="B60" s="2366"/>
      <c r="C60" s="2023"/>
      <c r="D60" s="2023"/>
      <c r="E60" s="2023"/>
      <c r="F60" s="2023"/>
      <c r="G60" s="2006"/>
      <c r="H60" s="2367"/>
      <c r="I60" s="2023"/>
      <c r="J60" s="2023"/>
      <c r="K60" s="2347"/>
      <c r="L60" s="2369"/>
      <c r="M60" s="2006"/>
      <c r="N60" s="2347"/>
      <c r="O60" s="2347"/>
      <c r="P60" s="2367"/>
      <c r="Q60" s="2023"/>
      <c r="R60" s="2023"/>
      <c r="S60" s="2023"/>
      <c r="T60" s="2023"/>
      <c r="U60" s="1146" t="s">
        <v>3906</v>
      </c>
      <c r="V60" s="1137">
        <v>41631</v>
      </c>
      <c r="W60" s="1064">
        <v>11219</v>
      </c>
      <c r="X60" s="1146" t="s">
        <v>3907</v>
      </c>
      <c r="Y60" s="1137">
        <v>41640</v>
      </c>
      <c r="Z60" s="1137">
        <v>42004</v>
      </c>
      <c r="AA60" s="537"/>
      <c r="AB60" s="1055"/>
      <c r="AC60" s="1139">
        <f>1410*3</f>
        <v>4230</v>
      </c>
      <c r="AD60" s="1139"/>
      <c r="AE60" s="1155">
        <f>L59+AC60</f>
        <v>16920</v>
      </c>
      <c r="AF60" s="525">
        <v>0</v>
      </c>
      <c r="AG60" s="525">
        <v>0</v>
      </c>
      <c r="AH60" s="1139">
        <f t="shared" si="0"/>
        <v>0</v>
      </c>
      <c r="AI60" s="1055"/>
      <c r="AJ60" s="1064"/>
      <c r="AK60" s="1055"/>
      <c r="AL60" s="1133"/>
      <c r="AM60" s="1055"/>
      <c r="AN60" s="1055"/>
      <c r="AO60" s="1064"/>
      <c r="AP60" s="1137"/>
      <c r="AQ60" s="1064"/>
      <c r="AR60" s="1137"/>
      <c r="AS60" s="1055"/>
      <c r="AT60" s="1133"/>
      <c r="AU60" s="1133"/>
      <c r="AV60" s="1133"/>
      <c r="AW60" s="1133"/>
      <c r="AX60" s="1133"/>
      <c r="AY60" s="1133"/>
      <c r="AZ60" s="1133"/>
      <c r="BA60" s="1133"/>
      <c r="BB60" s="1133"/>
      <c r="BC60" s="1133"/>
      <c r="BD60" s="1133"/>
      <c r="BE60" s="1480"/>
      <c r="BF60" s="1480"/>
      <c r="BG60" s="1480"/>
      <c r="BH60" s="1480"/>
      <c r="BI60" s="1480"/>
      <c r="BJ60" s="1480"/>
    </row>
    <row r="61" spans="1:62" s="629" customFormat="1" ht="25.5" x14ac:dyDescent="0.2">
      <c r="A61" s="2365"/>
      <c r="B61" s="2366"/>
      <c r="C61" s="2023"/>
      <c r="D61" s="2023"/>
      <c r="E61" s="2023"/>
      <c r="F61" s="2023"/>
      <c r="G61" s="2006"/>
      <c r="H61" s="2367"/>
      <c r="I61" s="2023"/>
      <c r="J61" s="2023"/>
      <c r="K61" s="2023"/>
      <c r="L61" s="2369"/>
      <c r="M61" s="2006"/>
      <c r="N61" s="2347"/>
      <c r="O61" s="2347"/>
      <c r="P61" s="2367"/>
      <c r="Q61" s="2023"/>
      <c r="R61" s="2023"/>
      <c r="S61" s="2023"/>
      <c r="T61" s="2023"/>
      <c r="U61" s="1146" t="s">
        <v>3943</v>
      </c>
      <c r="V61" s="1137">
        <v>41738</v>
      </c>
      <c r="W61" s="1064">
        <v>11288</v>
      </c>
      <c r="X61" s="1146" t="s">
        <v>3929</v>
      </c>
      <c r="Y61" s="1137">
        <v>41730</v>
      </c>
      <c r="Z61" s="1137">
        <v>42004</v>
      </c>
      <c r="AA61" s="1138">
        <f>AC61/L59</f>
        <v>7.3085106382978729E-2</v>
      </c>
      <c r="AB61" s="1055"/>
      <c r="AC61" s="1139">
        <v>927.45</v>
      </c>
      <c r="AD61" s="1138"/>
      <c r="AE61" s="1155">
        <f>AE60+AC61</f>
        <v>17847.45</v>
      </c>
      <c r="AF61" s="525">
        <v>0</v>
      </c>
      <c r="AG61" s="525">
        <v>0</v>
      </c>
      <c r="AH61" s="1139">
        <f t="shared" si="0"/>
        <v>0</v>
      </c>
      <c r="AI61" s="1055"/>
      <c r="AJ61" s="1064"/>
      <c r="AK61" s="1055"/>
      <c r="AL61" s="1133"/>
      <c r="AM61" s="1055"/>
      <c r="AN61" s="1055"/>
      <c r="AO61" s="1064"/>
      <c r="AP61" s="1137"/>
      <c r="AQ61" s="1064"/>
      <c r="AR61" s="1137"/>
      <c r="AS61" s="1055"/>
      <c r="AT61" s="1133"/>
      <c r="AU61" s="1133"/>
      <c r="AV61" s="1133"/>
      <c r="AW61" s="1133"/>
      <c r="AX61" s="1133"/>
      <c r="AY61" s="1133"/>
      <c r="AZ61" s="1133"/>
      <c r="BA61" s="1133"/>
      <c r="BB61" s="1133"/>
      <c r="BC61" s="1133"/>
      <c r="BD61" s="1133"/>
      <c r="BE61" s="1480"/>
      <c r="BF61" s="1480"/>
      <c r="BG61" s="1480"/>
      <c r="BH61" s="1480"/>
      <c r="BI61" s="1480"/>
      <c r="BJ61" s="1480"/>
    </row>
    <row r="62" spans="1:62" s="629" customFormat="1" ht="45" customHeight="1" x14ac:dyDescent="0.2">
      <c r="A62" s="2365">
        <v>12</v>
      </c>
      <c r="B62" s="2366" t="s">
        <v>3934</v>
      </c>
      <c r="C62" s="2023" t="s">
        <v>1019</v>
      </c>
      <c r="D62" s="2023" t="s">
        <v>615</v>
      </c>
      <c r="E62" s="2023" t="s">
        <v>584</v>
      </c>
      <c r="F62" s="2023" t="s">
        <v>3951</v>
      </c>
      <c r="G62" s="2006">
        <v>10990</v>
      </c>
      <c r="H62" s="2367" t="s">
        <v>3952</v>
      </c>
      <c r="I62" s="2023" t="s">
        <v>3953</v>
      </c>
      <c r="J62" s="2023" t="s">
        <v>3954</v>
      </c>
      <c r="K62" s="2347">
        <v>41365</v>
      </c>
      <c r="L62" s="2343">
        <v>11871</v>
      </c>
      <c r="M62" s="2006">
        <v>11034</v>
      </c>
      <c r="N62" s="2347">
        <v>41365</v>
      </c>
      <c r="O62" s="2347">
        <v>41639</v>
      </c>
      <c r="P62" s="2367" t="s">
        <v>3905</v>
      </c>
      <c r="Q62" s="2023"/>
      <c r="R62" s="2023"/>
      <c r="S62" s="2023"/>
      <c r="T62" s="2023" t="s">
        <v>158</v>
      </c>
      <c r="U62" s="1055"/>
      <c r="V62" s="1055"/>
      <c r="W62" s="1064"/>
      <c r="X62" s="1146"/>
      <c r="Y62" s="1055"/>
      <c r="Z62" s="1055"/>
      <c r="AA62" s="1138"/>
      <c r="AB62" s="1055"/>
      <c r="AC62" s="1139"/>
      <c r="AD62" s="1139"/>
      <c r="AE62" s="1155"/>
      <c r="AF62" s="1155">
        <v>11519.44</v>
      </c>
      <c r="AG62" s="1139">
        <f>10902.19+3482.34</f>
        <v>14384.53</v>
      </c>
      <c r="AH62" s="1139">
        <f t="shared" si="0"/>
        <v>25903.97</v>
      </c>
      <c r="AI62" s="1055"/>
      <c r="AJ62" s="1064"/>
      <c r="AK62" s="1055"/>
      <c r="AL62" s="1133"/>
      <c r="AM62" s="1055"/>
      <c r="AN62" s="1055"/>
      <c r="AO62" s="1064"/>
      <c r="AP62" s="1137"/>
      <c r="AQ62" s="1064"/>
      <c r="AR62" s="1137"/>
      <c r="AS62" s="1055"/>
      <c r="AT62" s="1133"/>
      <c r="AU62" s="1133"/>
      <c r="AV62" s="1133"/>
      <c r="AW62" s="1133"/>
      <c r="AX62" s="1133"/>
      <c r="AY62" s="1133"/>
      <c r="AZ62" s="1133"/>
      <c r="BA62" s="1133"/>
      <c r="BB62" s="1133"/>
      <c r="BC62" s="1133"/>
      <c r="BD62" s="1133"/>
      <c r="BE62" s="1480"/>
      <c r="BF62" s="1480"/>
      <c r="BG62" s="1480"/>
      <c r="BH62" s="1480"/>
      <c r="BI62" s="1480"/>
      <c r="BJ62" s="1480"/>
    </row>
    <row r="63" spans="1:62" s="629" customFormat="1" ht="26.25" customHeight="1" x14ac:dyDescent="0.2">
      <c r="A63" s="2365"/>
      <c r="B63" s="2366"/>
      <c r="C63" s="2023"/>
      <c r="D63" s="2023"/>
      <c r="E63" s="2023"/>
      <c r="F63" s="2023"/>
      <c r="G63" s="2006"/>
      <c r="H63" s="2367"/>
      <c r="I63" s="2023"/>
      <c r="J63" s="2023"/>
      <c r="K63" s="2347"/>
      <c r="L63" s="2343"/>
      <c r="M63" s="2006"/>
      <c r="N63" s="2347"/>
      <c r="O63" s="2347"/>
      <c r="P63" s="2367"/>
      <c r="Q63" s="2023"/>
      <c r="R63" s="2023"/>
      <c r="S63" s="2023"/>
      <c r="T63" s="2023"/>
      <c r="U63" s="1146" t="s">
        <v>3906</v>
      </c>
      <c r="V63" s="1137">
        <v>41631</v>
      </c>
      <c r="W63" s="1064">
        <v>11224</v>
      </c>
      <c r="X63" s="1146" t="s">
        <v>3917</v>
      </c>
      <c r="Y63" s="1137">
        <v>41640</v>
      </c>
      <c r="Z63" s="1137">
        <v>41820</v>
      </c>
      <c r="AA63" s="1138"/>
      <c r="AB63" s="1055"/>
      <c r="AC63" s="1139"/>
      <c r="AD63" s="1139"/>
      <c r="AE63" s="1155"/>
      <c r="AF63" s="525">
        <v>0</v>
      </c>
      <c r="AG63" s="525">
        <v>0</v>
      </c>
      <c r="AH63" s="1139">
        <f t="shared" si="0"/>
        <v>0</v>
      </c>
      <c r="AI63" s="1055"/>
      <c r="AJ63" s="1064"/>
      <c r="AK63" s="1055"/>
      <c r="AL63" s="1133"/>
      <c r="AM63" s="1055"/>
      <c r="AN63" s="1055"/>
      <c r="AO63" s="1064"/>
      <c r="AP63" s="1137"/>
      <c r="AQ63" s="1064"/>
      <c r="AR63" s="1137"/>
      <c r="AS63" s="1055"/>
      <c r="AT63" s="1133"/>
      <c r="AU63" s="1133"/>
      <c r="AV63" s="1133"/>
      <c r="AW63" s="1133"/>
      <c r="AX63" s="1133"/>
      <c r="AY63" s="1133"/>
      <c r="AZ63" s="1133"/>
      <c r="BA63" s="1133"/>
      <c r="BB63" s="1133"/>
      <c r="BC63" s="1133"/>
      <c r="BD63" s="1133"/>
      <c r="BE63" s="1480"/>
      <c r="BF63" s="1480"/>
      <c r="BG63" s="1480"/>
      <c r="BH63" s="1480"/>
      <c r="BI63" s="1480"/>
      <c r="BJ63" s="1480"/>
    </row>
    <row r="64" spans="1:62" s="629" customFormat="1" ht="26.25" customHeight="1" x14ac:dyDescent="0.2">
      <c r="A64" s="2365"/>
      <c r="B64" s="2366"/>
      <c r="C64" s="2023"/>
      <c r="D64" s="2023"/>
      <c r="E64" s="2023"/>
      <c r="F64" s="2023"/>
      <c r="G64" s="2006"/>
      <c r="H64" s="2367"/>
      <c r="I64" s="2023"/>
      <c r="J64" s="2023"/>
      <c r="K64" s="2347"/>
      <c r="L64" s="2343"/>
      <c r="M64" s="2006"/>
      <c r="N64" s="2347"/>
      <c r="O64" s="2347"/>
      <c r="P64" s="2367"/>
      <c r="Q64" s="2023"/>
      <c r="R64" s="2023"/>
      <c r="S64" s="2023"/>
      <c r="T64" s="2023"/>
      <c r="U64" s="1146" t="s">
        <v>3943</v>
      </c>
      <c r="V64" s="1137">
        <v>41738</v>
      </c>
      <c r="W64" s="1064">
        <v>11288</v>
      </c>
      <c r="X64" s="1146" t="s">
        <v>3929</v>
      </c>
      <c r="Y64" s="1137">
        <v>41730</v>
      </c>
      <c r="Z64" s="1137">
        <v>41820</v>
      </c>
      <c r="AA64" s="1138">
        <f>96.4/1319</f>
        <v>7.3085670962850652E-2</v>
      </c>
      <c r="AB64" s="1055"/>
      <c r="AC64" s="1139">
        <v>289.2</v>
      </c>
      <c r="AD64" s="1139"/>
      <c r="AE64" s="1155">
        <f>L62+AC64</f>
        <v>12160.2</v>
      </c>
      <c r="AF64" s="525">
        <v>0</v>
      </c>
      <c r="AG64" s="525">
        <v>0</v>
      </c>
      <c r="AH64" s="1139">
        <f t="shared" si="0"/>
        <v>0</v>
      </c>
      <c r="AI64" s="1055"/>
      <c r="AJ64" s="1064"/>
      <c r="AK64" s="1055"/>
      <c r="AL64" s="1133"/>
      <c r="AM64" s="1055"/>
      <c r="AN64" s="1055"/>
      <c r="AO64" s="1064"/>
      <c r="AP64" s="1137"/>
      <c r="AQ64" s="1064"/>
      <c r="AR64" s="1137"/>
      <c r="AS64" s="1055"/>
      <c r="AT64" s="1133"/>
      <c r="AU64" s="1133"/>
      <c r="AV64" s="1133"/>
      <c r="AW64" s="1133"/>
      <c r="AX64" s="1133"/>
      <c r="AY64" s="1133"/>
      <c r="AZ64" s="1133"/>
      <c r="BA64" s="1133"/>
      <c r="BB64" s="1133"/>
      <c r="BC64" s="1133"/>
      <c r="BD64" s="1133"/>
      <c r="BE64" s="1480"/>
      <c r="BF64" s="1480"/>
      <c r="BG64" s="1480"/>
      <c r="BH64" s="1480"/>
      <c r="BI64" s="1480"/>
      <c r="BJ64" s="1480"/>
    </row>
    <row r="65" spans="1:62" s="629" customFormat="1" ht="12.75" x14ac:dyDescent="0.2">
      <c r="A65" s="2365"/>
      <c r="B65" s="2366"/>
      <c r="C65" s="2023"/>
      <c r="D65" s="2023"/>
      <c r="E65" s="2023"/>
      <c r="F65" s="2023"/>
      <c r="G65" s="2006"/>
      <c r="H65" s="2367"/>
      <c r="I65" s="2023"/>
      <c r="J65" s="2023"/>
      <c r="K65" s="2023"/>
      <c r="L65" s="2343"/>
      <c r="M65" s="2006"/>
      <c r="N65" s="2347"/>
      <c r="O65" s="2347"/>
      <c r="P65" s="2367"/>
      <c r="Q65" s="2023"/>
      <c r="R65" s="2023"/>
      <c r="S65" s="2023"/>
      <c r="T65" s="2023"/>
      <c r="U65" s="1146" t="s">
        <v>3891</v>
      </c>
      <c r="V65" s="1137">
        <v>41816</v>
      </c>
      <c r="W65" s="1064">
        <v>11358</v>
      </c>
      <c r="X65" s="1146" t="s">
        <v>3955</v>
      </c>
      <c r="Y65" s="1137">
        <v>41821</v>
      </c>
      <c r="Z65" s="1137">
        <v>42004</v>
      </c>
      <c r="AA65" s="1138"/>
      <c r="AB65" s="1055"/>
      <c r="AC65" s="1139"/>
      <c r="AD65" s="1139"/>
      <c r="AE65" s="1155"/>
      <c r="AF65" s="525">
        <v>0</v>
      </c>
      <c r="AG65" s="525">
        <v>0</v>
      </c>
      <c r="AH65" s="1139">
        <f t="shared" si="0"/>
        <v>0</v>
      </c>
      <c r="AI65" s="1055"/>
      <c r="AJ65" s="1064"/>
      <c r="AK65" s="1055"/>
      <c r="AL65" s="1133"/>
      <c r="AM65" s="1055"/>
      <c r="AN65" s="1055"/>
      <c r="AO65" s="1064"/>
      <c r="AP65" s="1137"/>
      <c r="AQ65" s="1064"/>
      <c r="AR65" s="1137"/>
      <c r="AS65" s="1055"/>
      <c r="AT65" s="1133"/>
      <c r="AU65" s="1133"/>
      <c r="AV65" s="1133"/>
      <c r="AW65" s="1133"/>
      <c r="AX65" s="1133"/>
      <c r="AY65" s="1133"/>
      <c r="AZ65" s="1133"/>
      <c r="BA65" s="1133"/>
      <c r="BB65" s="1133"/>
      <c r="BC65" s="1133"/>
      <c r="BD65" s="1133"/>
      <c r="BE65" s="1480"/>
      <c r="BF65" s="1480"/>
      <c r="BG65" s="1480"/>
      <c r="BH65" s="1480"/>
      <c r="BI65" s="1480"/>
      <c r="BJ65" s="1480"/>
    </row>
    <row r="66" spans="1:62" s="629" customFormat="1" ht="45" customHeight="1" x14ac:dyDescent="0.2">
      <c r="A66" s="2365">
        <v>13</v>
      </c>
      <c r="B66" s="2366" t="s">
        <v>1366</v>
      </c>
      <c r="C66" s="2023" t="s">
        <v>1031</v>
      </c>
      <c r="D66" s="2023" t="s">
        <v>3956</v>
      </c>
      <c r="E66" s="2023" t="s">
        <v>584</v>
      </c>
      <c r="F66" s="2023" t="s">
        <v>3957</v>
      </c>
      <c r="G66" s="2006">
        <v>11009</v>
      </c>
      <c r="H66" s="2367" t="s">
        <v>3958</v>
      </c>
      <c r="I66" s="2023" t="s">
        <v>3959</v>
      </c>
      <c r="J66" s="2023" t="s">
        <v>3960</v>
      </c>
      <c r="K66" s="2347">
        <v>41372</v>
      </c>
      <c r="L66" s="2343">
        <v>30683.41</v>
      </c>
      <c r="M66" s="2006">
        <v>11026</v>
      </c>
      <c r="N66" s="2347">
        <v>41372</v>
      </c>
      <c r="O66" s="2347">
        <v>41639</v>
      </c>
      <c r="P66" s="2367" t="s">
        <v>3961</v>
      </c>
      <c r="Q66" s="2023"/>
      <c r="R66" s="2023"/>
      <c r="S66" s="2023"/>
      <c r="T66" s="2023" t="s">
        <v>158</v>
      </c>
      <c r="U66" s="1055"/>
      <c r="V66" s="1055"/>
      <c r="W66" s="1064"/>
      <c r="X66" s="1146"/>
      <c r="Y66" s="1055"/>
      <c r="Z66" s="1055"/>
      <c r="AA66" s="1138"/>
      <c r="AB66" s="1055"/>
      <c r="AC66" s="1139"/>
      <c r="AD66" s="1139"/>
      <c r="AE66" s="1155"/>
      <c r="AF66" s="1155">
        <v>29516.82</v>
      </c>
      <c r="AG66" s="1139">
        <v>18360.78</v>
      </c>
      <c r="AH66" s="1139">
        <f t="shared" si="0"/>
        <v>47877.599999999999</v>
      </c>
      <c r="AI66" s="1055"/>
      <c r="AJ66" s="1064"/>
      <c r="AK66" s="1055"/>
      <c r="AL66" s="1133"/>
      <c r="AM66" s="1055"/>
      <c r="AN66" s="1055"/>
      <c r="AO66" s="1064"/>
      <c r="AP66" s="1137"/>
      <c r="AQ66" s="1064"/>
      <c r="AR66" s="1137"/>
      <c r="AS66" s="1055"/>
      <c r="AT66" s="1133"/>
      <c r="AU66" s="1133"/>
      <c r="AV66" s="1133"/>
      <c r="AW66" s="1133"/>
      <c r="AX66" s="1133"/>
      <c r="AY66" s="1133"/>
      <c r="AZ66" s="1133"/>
      <c r="BA66" s="1133"/>
      <c r="BB66" s="1133"/>
      <c r="BC66" s="1133"/>
      <c r="BD66" s="1133"/>
      <c r="BE66" s="1480"/>
      <c r="BF66" s="1480"/>
      <c r="BG66" s="1480"/>
      <c r="BH66" s="1480"/>
      <c r="BI66" s="1480"/>
      <c r="BJ66" s="1480"/>
    </row>
    <row r="67" spans="1:62" s="629" customFormat="1" ht="12.75" x14ac:dyDescent="0.2">
      <c r="A67" s="2365"/>
      <c r="B67" s="2366"/>
      <c r="C67" s="2023"/>
      <c r="D67" s="2023"/>
      <c r="E67" s="2023"/>
      <c r="F67" s="2023"/>
      <c r="G67" s="2006"/>
      <c r="H67" s="2367"/>
      <c r="I67" s="2023"/>
      <c r="J67" s="2023"/>
      <c r="K67" s="2023"/>
      <c r="L67" s="2343"/>
      <c r="M67" s="2006"/>
      <c r="N67" s="2347"/>
      <c r="O67" s="2347"/>
      <c r="P67" s="2367"/>
      <c r="Q67" s="2023"/>
      <c r="R67" s="2023"/>
      <c r="S67" s="2023"/>
      <c r="T67" s="2023"/>
      <c r="U67" s="1146" t="s">
        <v>3906</v>
      </c>
      <c r="V67" s="1137">
        <v>41631</v>
      </c>
      <c r="W67" s="1064"/>
      <c r="X67" s="1146" t="s">
        <v>3923</v>
      </c>
      <c r="Y67" s="1137">
        <v>41372</v>
      </c>
      <c r="Z67" s="1137">
        <v>41639</v>
      </c>
      <c r="AA67" s="1138"/>
      <c r="AB67" s="1055"/>
      <c r="AC67" s="1139"/>
      <c r="AD67" s="1139">
        <v>1166.5899999999999</v>
      </c>
      <c r="AE67" s="1155">
        <f>L66-AD67+AC67</f>
        <v>29516.82</v>
      </c>
      <c r="AF67" s="525">
        <v>0</v>
      </c>
      <c r="AG67" s="525">
        <v>0</v>
      </c>
      <c r="AH67" s="1139">
        <f t="shared" si="0"/>
        <v>0</v>
      </c>
      <c r="AI67" s="1055"/>
      <c r="AJ67" s="1064"/>
      <c r="AK67" s="1055"/>
      <c r="AL67" s="1133"/>
      <c r="AM67" s="1055"/>
      <c r="AN67" s="1055"/>
      <c r="AO67" s="1064"/>
      <c r="AP67" s="1137"/>
      <c r="AQ67" s="1064"/>
      <c r="AR67" s="1137"/>
      <c r="AS67" s="1055"/>
      <c r="AT67" s="1133"/>
      <c r="AU67" s="1133"/>
      <c r="AV67" s="1133"/>
      <c r="AW67" s="1133"/>
      <c r="AX67" s="1133"/>
      <c r="AY67" s="1133"/>
      <c r="AZ67" s="1133"/>
      <c r="BA67" s="1133"/>
      <c r="BB67" s="1133"/>
      <c r="BC67" s="1133"/>
      <c r="BD67" s="1133"/>
      <c r="BE67" s="1480"/>
      <c r="BF67" s="1480"/>
      <c r="BG67" s="1480"/>
      <c r="BH67" s="1480"/>
      <c r="BI67" s="1480"/>
      <c r="BJ67" s="1480"/>
    </row>
    <row r="68" spans="1:62" s="629" customFormat="1" ht="30" customHeight="1" x14ac:dyDescent="0.2">
      <c r="A68" s="2365">
        <v>14</v>
      </c>
      <c r="B68" s="2366" t="s">
        <v>3312</v>
      </c>
      <c r="C68" s="2023" t="s">
        <v>1070</v>
      </c>
      <c r="D68" s="2023" t="s">
        <v>615</v>
      </c>
      <c r="E68" s="2023" t="s">
        <v>584</v>
      </c>
      <c r="F68" s="2023" t="s">
        <v>3962</v>
      </c>
      <c r="G68" s="2006"/>
      <c r="H68" s="2367" t="s">
        <v>3963</v>
      </c>
      <c r="I68" s="2023" t="s">
        <v>3964</v>
      </c>
      <c r="J68" s="2023" t="s">
        <v>3965</v>
      </c>
      <c r="K68" s="2347">
        <v>41387</v>
      </c>
      <c r="L68" s="2343">
        <v>88000</v>
      </c>
      <c r="M68" s="2006">
        <v>11038</v>
      </c>
      <c r="N68" s="2347">
        <v>41387</v>
      </c>
      <c r="O68" s="2347">
        <v>41639</v>
      </c>
      <c r="P68" s="2367" t="s">
        <v>3905</v>
      </c>
      <c r="Q68" s="2023"/>
      <c r="R68" s="2023"/>
      <c r="S68" s="2023"/>
      <c r="T68" s="2023" t="s">
        <v>1129</v>
      </c>
      <c r="U68" s="1055"/>
      <c r="V68" s="1055"/>
      <c r="W68" s="1064"/>
      <c r="X68" s="1146"/>
      <c r="Y68" s="1055"/>
      <c r="Z68" s="1055"/>
      <c r="AA68" s="1138"/>
      <c r="AB68" s="1055"/>
      <c r="AC68" s="1139"/>
      <c r="AD68" s="1139"/>
      <c r="AE68" s="1155"/>
      <c r="AF68" s="1155">
        <v>55119.199999999997</v>
      </c>
      <c r="AG68" s="1139">
        <v>22332.5</v>
      </c>
      <c r="AH68" s="1139">
        <f t="shared" si="0"/>
        <v>77451.7</v>
      </c>
      <c r="AI68" s="1055"/>
      <c r="AJ68" s="1064"/>
      <c r="AK68" s="1055"/>
      <c r="AL68" s="1133"/>
      <c r="AM68" s="1055"/>
      <c r="AN68" s="1055"/>
      <c r="AO68" s="1064"/>
      <c r="AP68" s="1137"/>
      <c r="AQ68" s="1064"/>
      <c r="AR68" s="1137"/>
      <c r="AS68" s="1055"/>
      <c r="AT68" s="1133"/>
      <c r="AU68" s="1133"/>
      <c r="AV68" s="1133"/>
      <c r="AW68" s="1133"/>
      <c r="AX68" s="1133"/>
      <c r="AY68" s="1133"/>
      <c r="AZ68" s="1133"/>
      <c r="BA68" s="1133"/>
      <c r="BB68" s="1133"/>
      <c r="BC68" s="1133"/>
      <c r="BD68" s="1133"/>
      <c r="BE68" s="1480"/>
      <c r="BF68" s="1480"/>
      <c r="BG68" s="1480"/>
      <c r="BH68" s="1480"/>
      <c r="BI68" s="1480"/>
      <c r="BJ68" s="1480"/>
    </row>
    <row r="69" spans="1:62" s="629" customFormat="1" ht="36" customHeight="1" x14ac:dyDescent="0.2">
      <c r="A69" s="2365"/>
      <c r="B69" s="2366"/>
      <c r="C69" s="2023"/>
      <c r="D69" s="2023"/>
      <c r="E69" s="2023"/>
      <c r="F69" s="2023"/>
      <c r="G69" s="2006"/>
      <c r="H69" s="2367"/>
      <c r="I69" s="2023"/>
      <c r="J69" s="2023"/>
      <c r="K69" s="2023"/>
      <c r="L69" s="2343"/>
      <c r="M69" s="2006"/>
      <c r="N69" s="2347"/>
      <c r="O69" s="2347"/>
      <c r="P69" s="2367"/>
      <c r="Q69" s="2023"/>
      <c r="R69" s="2023"/>
      <c r="S69" s="2023"/>
      <c r="T69" s="2023"/>
      <c r="U69" s="1146" t="s">
        <v>3906</v>
      </c>
      <c r="V69" s="1137">
        <v>41631</v>
      </c>
      <c r="W69" s="1064"/>
      <c r="X69" s="1146" t="s">
        <v>3923</v>
      </c>
      <c r="Y69" s="1137">
        <v>41387</v>
      </c>
      <c r="Z69" s="1137">
        <v>41639</v>
      </c>
      <c r="AA69" s="1138"/>
      <c r="AB69" s="1055"/>
      <c r="AC69" s="1139"/>
      <c r="AD69" s="1139">
        <v>5000</v>
      </c>
      <c r="AE69" s="1155">
        <f>L68-AD69</f>
        <v>83000</v>
      </c>
      <c r="AF69" s="525">
        <v>0</v>
      </c>
      <c r="AG69" s="525">
        <v>0</v>
      </c>
      <c r="AH69" s="1139">
        <f t="shared" si="0"/>
        <v>0</v>
      </c>
      <c r="AI69" s="1055"/>
      <c r="AJ69" s="1064"/>
      <c r="AK69" s="1055"/>
      <c r="AL69" s="1133"/>
      <c r="AM69" s="1055"/>
      <c r="AN69" s="1055"/>
      <c r="AO69" s="1064"/>
      <c r="AP69" s="1137"/>
      <c r="AQ69" s="1064"/>
      <c r="AR69" s="1137"/>
      <c r="AS69" s="1055"/>
      <c r="AT69" s="1133"/>
      <c r="AU69" s="1133"/>
      <c r="AV69" s="1133"/>
      <c r="AW69" s="1133"/>
      <c r="AX69" s="1133"/>
      <c r="AY69" s="1133"/>
      <c r="AZ69" s="1133"/>
      <c r="BA69" s="1133"/>
      <c r="BB69" s="1133"/>
      <c r="BC69" s="1133"/>
      <c r="BD69" s="1133"/>
      <c r="BE69" s="1480"/>
      <c r="BF69" s="1480"/>
      <c r="BG69" s="1480"/>
      <c r="BH69" s="1480"/>
      <c r="BI69" s="1480"/>
      <c r="BJ69" s="1480"/>
    </row>
    <row r="70" spans="1:62" s="629" customFormat="1" ht="45" customHeight="1" x14ac:dyDescent="0.2">
      <c r="A70" s="2365">
        <v>15</v>
      </c>
      <c r="B70" s="2366" t="s">
        <v>3934</v>
      </c>
      <c r="C70" s="2023" t="s">
        <v>1019</v>
      </c>
      <c r="D70" s="2023" t="s">
        <v>615</v>
      </c>
      <c r="E70" s="2023" t="s">
        <v>584</v>
      </c>
      <c r="F70" s="2023" t="s">
        <v>3966</v>
      </c>
      <c r="G70" s="2006">
        <v>11017</v>
      </c>
      <c r="H70" s="2367" t="s">
        <v>3967</v>
      </c>
      <c r="I70" s="2023" t="s">
        <v>3903</v>
      </c>
      <c r="J70" s="2023" t="s">
        <v>3904</v>
      </c>
      <c r="K70" s="2347">
        <v>41396</v>
      </c>
      <c r="L70" s="2369">
        <v>11992</v>
      </c>
      <c r="M70" s="2006">
        <v>11068</v>
      </c>
      <c r="N70" s="2347">
        <v>41396</v>
      </c>
      <c r="O70" s="2347">
        <v>41639</v>
      </c>
      <c r="P70" s="2367" t="s">
        <v>3905</v>
      </c>
      <c r="Q70" s="2023"/>
      <c r="R70" s="2023"/>
      <c r="S70" s="2023"/>
      <c r="T70" s="2023" t="s">
        <v>158</v>
      </c>
      <c r="U70" s="1146"/>
      <c r="V70" s="1055"/>
      <c r="W70" s="1064"/>
      <c r="X70" s="1146"/>
      <c r="Y70" s="1055"/>
      <c r="Z70" s="1055"/>
      <c r="AA70" s="1138"/>
      <c r="AB70" s="1055"/>
      <c r="AC70" s="1139"/>
      <c r="AD70" s="1139"/>
      <c r="AE70" s="1155"/>
      <c r="AF70" s="2408">
        <v>11992</v>
      </c>
      <c r="AG70" s="2343">
        <v>18945.439999999999</v>
      </c>
      <c r="AH70" s="1139">
        <f t="shared" si="0"/>
        <v>30937.439999999999</v>
      </c>
      <c r="AI70" s="1055"/>
      <c r="AJ70" s="1064"/>
      <c r="AK70" s="1055"/>
      <c r="AL70" s="1133"/>
      <c r="AM70" s="1055"/>
      <c r="AN70" s="1055"/>
      <c r="AO70" s="1064"/>
      <c r="AP70" s="1137"/>
      <c r="AQ70" s="1064"/>
      <c r="AR70" s="1137"/>
      <c r="AS70" s="1055"/>
      <c r="AT70" s="1133"/>
      <c r="AU70" s="1133"/>
      <c r="AV70" s="1133"/>
      <c r="AW70" s="1133"/>
      <c r="AX70" s="1133"/>
      <c r="AY70" s="1133"/>
      <c r="AZ70" s="1133"/>
      <c r="BA70" s="1133"/>
      <c r="BB70" s="1133"/>
      <c r="BC70" s="1133"/>
      <c r="BD70" s="1133"/>
      <c r="BE70" s="1480"/>
      <c r="BF70" s="1480"/>
      <c r="BG70" s="1480"/>
      <c r="BH70" s="1480"/>
      <c r="BI70" s="1480"/>
      <c r="BJ70" s="1480"/>
    </row>
    <row r="71" spans="1:62" s="629" customFormat="1" ht="12.75" x14ac:dyDescent="0.2">
      <c r="A71" s="2365"/>
      <c r="B71" s="2366"/>
      <c r="C71" s="2023"/>
      <c r="D71" s="2023"/>
      <c r="E71" s="2023"/>
      <c r="F71" s="2023"/>
      <c r="G71" s="2006"/>
      <c r="H71" s="2367"/>
      <c r="I71" s="2023"/>
      <c r="J71" s="2023"/>
      <c r="K71" s="2347"/>
      <c r="L71" s="2369"/>
      <c r="M71" s="2006"/>
      <c r="N71" s="2347"/>
      <c r="O71" s="2347"/>
      <c r="P71" s="2367"/>
      <c r="Q71" s="2023"/>
      <c r="R71" s="2023"/>
      <c r="S71" s="2023"/>
      <c r="T71" s="2023"/>
      <c r="U71" s="1146" t="s">
        <v>3906</v>
      </c>
      <c r="V71" s="1137">
        <v>41631</v>
      </c>
      <c r="W71" s="1064">
        <v>11219</v>
      </c>
      <c r="X71" s="1146" t="s">
        <v>3907</v>
      </c>
      <c r="Y71" s="1137">
        <v>41640</v>
      </c>
      <c r="Z71" s="1137">
        <v>42004</v>
      </c>
      <c r="AA71" s="537"/>
      <c r="AB71" s="1055"/>
      <c r="AC71" s="1139">
        <f>1499*4</f>
        <v>5996</v>
      </c>
      <c r="AD71" s="1139"/>
      <c r="AE71" s="1155">
        <f>AC71+L70</f>
        <v>17988</v>
      </c>
      <c r="AF71" s="2408"/>
      <c r="AG71" s="2343"/>
      <c r="AH71" s="1139">
        <f t="shared" si="0"/>
        <v>0</v>
      </c>
      <c r="AI71" s="1055"/>
      <c r="AJ71" s="1064"/>
      <c r="AK71" s="1055"/>
      <c r="AL71" s="1133"/>
      <c r="AM71" s="1055"/>
      <c r="AN71" s="1055"/>
      <c r="AO71" s="1064"/>
      <c r="AP71" s="1137"/>
      <c r="AQ71" s="1064"/>
      <c r="AR71" s="1137"/>
      <c r="AS71" s="1055"/>
      <c r="AT71" s="1133"/>
      <c r="AU71" s="1133"/>
      <c r="AV71" s="1133"/>
      <c r="AW71" s="1133"/>
      <c r="AX71" s="1133"/>
      <c r="AY71" s="1133"/>
      <c r="AZ71" s="1133"/>
      <c r="BA71" s="1133"/>
      <c r="BB71" s="1133"/>
      <c r="BC71" s="1133"/>
      <c r="BD71" s="1133"/>
      <c r="BE71" s="1480"/>
      <c r="BF71" s="1480"/>
      <c r="BG71" s="1480"/>
      <c r="BH71" s="1480"/>
      <c r="BI71" s="1480"/>
      <c r="BJ71" s="1480"/>
    </row>
    <row r="72" spans="1:62" s="629" customFormat="1" ht="25.5" x14ac:dyDescent="0.2">
      <c r="A72" s="2365"/>
      <c r="B72" s="2366"/>
      <c r="C72" s="2023"/>
      <c r="D72" s="2023"/>
      <c r="E72" s="2023"/>
      <c r="F72" s="2023"/>
      <c r="G72" s="2006"/>
      <c r="H72" s="2367"/>
      <c r="I72" s="2023"/>
      <c r="J72" s="2023"/>
      <c r="K72" s="2347"/>
      <c r="L72" s="2369"/>
      <c r="M72" s="2006"/>
      <c r="N72" s="2347"/>
      <c r="O72" s="2347"/>
      <c r="P72" s="2367"/>
      <c r="Q72" s="2023"/>
      <c r="R72" s="2023"/>
      <c r="S72" s="2023"/>
      <c r="T72" s="2023"/>
      <c r="U72" s="1146" t="s">
        <v>3928</v>
      </c>
      <c r="V72" s="1137">
        <v>41767</v>
      </c>
      <c r="W72" s="1064">
        <v>11301</v>
      </c>
      <c r="X72" s="1146" t="s">
        <v>3929</v>
      </c>
      <c r="Y72" s="1137">
        <v>41761</v>
      </c>
      <c r="Z72" s="1137">
        <v>42004</v>
      </c>
      <c r="AA72" s="537">
        <f>AC72/L70</f>
        <v>7.9839893262174791E-2</v>
      </c>
      <c r="AB72" s="1138"/>
      <c r="AC72" s="1139">
        <f>957.44</f>
        <v>957.44</v>
      </c>
      <c r="AD72" s="1139"/>
      <c r="AE72" s="1155">
        <f>AC72+AE71</f>
        <v>18945.439999999999</v>
      </c>
      <c r="AF72" s="2408"/>
      <c r="AG72" s="2343"/>
      <c r="AH72" s="1139">
        <f t="shared" si="0"/>
        <v>0</v>
      </c>
      <c r="AI72" s="1055"/>
      <c r="AJ72" s="1064"/>
      <c r="AK72" s="1055"/>
      <c r="AL72" s="1133"/>
      <c r="AM72" s="1055"/>
      <c r="AN72" s="1055"/>
      <c r="AO72" s="1064"/>
      <c r="AP72" s="1137"/>
      <c r="AQ72" s="1064"/>
      <c r="AR72" s="1137"/>
      <c r="AS72" s="1055"/>
      <c r="AT72" s="1133"/>
      <c r="AU72" s="1133"/>
      <c r="AV72" s="1133"/>
      <c r="AW72" s="1133"/>
      <c r="AX72" s="1133"/>
      <c r="AY72" s="1133"/>
      <c r="AZ72" s="1133"/>
      <c r="BA72" s="1133"/>
      <c r="BB72" s="1133"/>
      <c r="BC72" s="1133"/>
      <c r="BD72" s="1133"/>
      <c r="BE72" s="1480"/>
      <c r="BF72" s="1480"/>
      <c r="BG72" s="1480"/>
      <c r="BH72" s="1480"/>
      <c r="BI72" s="1480"/>
      <c r="BJ72" s="1480"/>
    </row>
    <row r="73" spans="1:62" s="629" customFormat="1" ht="45" customHeight="1" x14ac:dyDescent="0.2">
      <c r="A73" s="2365">
        <v>16</v>
      </c>
      <c r="B73" s="2366" t="s">
        <v>3968</v>
      </c>
      <c r="C73" s="2023" t="s">
        <v>1451</v>
      </c>
      <c r="D73" s="2023" t="s">
        <v>615</v>
      </c>
      <c r="E73" s="2023" t="s">
        <v>584</v>
      </c>
      <c r="F73" s="2023" t="s">
        <v>3924</v>
      </c>
      <c r="G73" s="2006">
        <v>11058</v>
      </c>
      <c r="H73" s="2367" t="s">
        <v>3969</v>
      </c>
      <c r="I73" s="2023" t="s">
        <v>3970</v>
      </c>
      <c r="J73" s="2023" t="s">
        <v>3971</v>
      </c>
      <c r="K73" s="2347">
        <v>41456</v>
      </c>
      <c r="L73" s="2369">
        <v>7620</v>
      </c>
      <c r="M73" s="2006">
        <v>11090</v>
      </c>
      <c r="N73" s="2347">
        <v>41456</v>
      </c>
      <c r="O73" s="2347">
        <v>41639</v>
      </c>
      <c r="P73" s="2367" t="s">
        <v>3905</v>
      </c>
      <c r="Q73" s="2023"/>
      <c r="R73" s="2023"/>
      <c r="S73" s="2023"/>
      <c r="T73" s="2023" t="s">
        <v>158</v>
      </c>
      <c r="U73" s="1146"/>
      <c r="V73" s="1055"/>
      <c r="W73" s="1064"/>
      <c r="X73" s="1146"/>
      <c r="Y73" s="1055"/>
      <c r="Z73" s="1055"/>
      <c r="AA73" s="1138"/>
      <c r="AB73" s="1055"/>
      <c r="AC73" s="1139"/>
      <c r="AD73" s="1139"/>
      <c r="AE73" s="1155"/>
      <c r="AF73" s="525">
        <v>7620</v>
      </c>
      <c r="AG73" s="1139">
        <v>15716.16</v>
      </c>
      <c r="AH73" s="1139">
        <f t="shared" si="0"/>
        <v>23336.16</v>
      </c>
      <c r="AI73" s="1055"/>
      <c r="AJ73" s="1064"/>
      <c r="AK73" s="1055"/>
      <c r="AL73" s="1133"/>
      <c r="AM73" s="1055"/>
      <c r="AN73" s="1055"/>
      <c r="AO73" s="1064"/>
      <c r="AP73" s="1137"/>
      <c r="AQ73" s="1064"/>
      <c r="AR73" s="1137"/>
      <c r="AS73" s="1055"/>
      <c r="AT73" s="1133"/>
      <c r="AU73" s="1133"/>
      <c r="AV73" s="1133"/>
      <c r="AW73" s="1133"/>
      <c r="AX73" s="1133"/>
      <c r="AY73" s="1133"/>
      <c r="AZ73" s="1133"/>
      <c r="BA73" s="1133"/>
      <c r="BB73" s="1133"/>
      <c r="BC73" s="1133"/>
      <c r="BD73" s="1133"/>
      <c r="BE73" s="1480"/>
      <c r="BF73" s="1480"/>
      <c r="BG73" s="1480"/>
      <c r="BH73" s="1480"/>
      <c r="BI73" s="1480"/>
      <c r="BJ73" s="1480"/>
    </row>
    <row r="74" spans="1:62" s="629" customFormat="1" ht="40.5" customHeight="1" x14ac:dyDescent="0.2">
      <c r="A74" s="2365"/>
      <c r="B74" s="2366"/>
      <c r="C74" s="2023"/>
      <c r="D74" s="2023"/>
      <c r="E74" s="2023"/>
      <c r="F74" s="2023"/>
      <c r="G74" s="2006"/>
      <c r="H74" s="2367"/>
      <c r="I74" s="2023"/>
      <c r="J74" s="2023"/>
      <c r="K74" s="2023"/>
      <c r="L74" s="2369"/>
      <c r="M74" s="2006"/>
      <c r="N74" s="2347"/>
      <c r="O74" s="2347"/>
      <c r="P74" s="2367"/>
      <c r="Q74" s="2023"/>
      <c r="R74" s="2023"/>
      <c r="S74" s="2023"/>
      <c r="T74" s="2023"/>
      <c r="U74" s="1146" t="s">
        <v>3972</v>
      </c>
      <c r="V74" s="1137">
        <v>41631</v>
      </c>
      <c r="W74" s="1064">
        <v>11224</v>
      </c>
      <c r="X74" s="1146" t="s">
        <v>3955</v>
      </c>
      <c r="Y74" s="1137">
        <v>41640</v>
      </c>
      <c r="Z74" s="1137">
        <v>42004</v>
      </c>
      <c r="AA74" s="542"/>
      <c r="AB74" s="1055"/>
      <c r="AC74" s="1139">
        <v>15240</v>
      </c>
      <c r="AD74" s="1139"/>
      <c r="AE74" s="1155">
        <v>15240</v>
      </c>
      <c r="AF74" s="525">
        <v>0</v>
      </c>
      <c r="AG74" s="525">
        <v>0</v>
      </c>
      <c r="AH74" s="1139">
        <f t="shared" si="0"/>
        <v>0</v>
      </c>
      <c r="AI74" s="1055"/>
      <c r="AJ74" s="1064"/>
      <c r="AK74" s="1055"/>
      <c r="AL74" s="1133"/>
      <c r="AM74" s="1055"/>
      <c r="AN74" s="1055"/>
      <c r="AO74" s="1064"/>
      <c r="AP74" s="1137"/>
      <c r="AQ74" s="1064"/>
      <c r="AR74" s="1137"/>
      <c r="AS74" s="1055"/>
      <c r="AT74" s="1133"/>
      <c r="AU74" s="1133"/>
      <c r="AV74" s="1133"/>
      <c r="AW74" s="1133"/>
      <c r="AX74" s="1133"/>
      <c r="AY74" s="1133"/>
      <c r="AZ74" s="1133"/>
      <c r="BA74" s="1133"/>
      <c r="BB74" s="1133"/>
      <c r="BC74" s="1133"/>
      <c r="BD74" s="1133"/>
      <c r="BE74" s="1480"/>
      <c r="BF74" s="1480"/>
      <c r="BG74" s="1480"/>
      <c r="BH74" s="1480"/>
      <c r="BI74" s="1480"/>
      <c r="BJ74" s="1480"/>
    </row>
    <row r="75" spans="1:62" s="629" customFormat="1" ht="45" customHeight="1" x14ac:dyDescent="0.2">
      <c r="A75" s="2365">
        <v>17</v>
      </c>
      <c r="B75" s="2366" t="s">
        <v>3968</v>
      </c>
      <c r="C75" s="2023" t="s">
        <v>1451</v>
      </c>
      <c r="D75" s="2023" t="s">
        <v>615</v>
      </c>
      <c r="E75" s="2023" t="s">
        <v>584</v>
      </c>
      <c r="F75" s="2023" t="s">
        <v>3924</v>
      </c>
      <c r="G75" s="2006">
        <v>11058</v>
      </c>
      <c r="H75" s="2367" t="s">
        <v>3973</v>
      </c>
      <c r="I75" s="2023" t="s">
        <v>3974</v>
      </c>
      <c r="J75" s="2023" t="s">
        <v>3975</v>
      </c>
      <c r="K75" s="2347">
        <v>41456</v>
      </c>
      <c r="L75" s="2369">
        <v>8580</v>
      </c>
      <c r="M75" s="2006">
        <v>11120</v>
      </c>
      <c r="N75" s="2347">
        <v>41456</v>
      </c>
      <c r="O75" s="2347">
        <v>41639</v>
      </c>
      <c r="P75" s="2367" t="s">
        <v>3905</v>
      </c>
      <c r="Q75" s="2023"/>
      <c r="R75" s="2023"/>
      <c r="S75" s="2023"/>
      <c r="T75" s="2028" t="s">
        <v>158</v>
      </c>
      <c r="U75" s="1146"/>
      <c r="V75" s="1137"/>
      <c r="W75" s="1064"/>
      <c r="X75" s="1146"/>
      <c r="Y75" s="1137"/>
      <c r="Z75" s="1137"/>
      <c r="AA75" s="1138"/>
      <c r="AB75" s="1055"/>
      <c r="AC75" s="1139"/>
      <c r="AD75" s="1139"/>
      <c r="AE75" s="1155"/>
      <c r="AF75" s="525">
        <v>8580</v>
      </c>
      <c r="AG75" s="1139">
        <v>17696.099999999999</v>
      </c>
      <c r="AH75" s="1139">
        <f t="shared" si="0"/>
        <v>26276.1</v>
      </c>
      <c r="AI75" s="1055"/>
      <c r="AJ75" s="1064"/>
      <c r="AK75" s="1055"/>
      <c r="AL75" s="1133"/>
      <c r="AM75" s="1055"/>
      <c r="AN75" s="1055"/>
      <c r="AO75" s="1064"/>
      <c r="AP75" s="1137"/>
      <c r="AQ75" s="1064"/>
      <c r="AR75" s="1137"/>
      <c r="AS75" s="1055"/>
      <c r="AT75" s="1133"/>
      <c r="AU75" s="1133"/>
      <c r="AV75" s="1133"/>
      <c r="AW75" s="1133"/>
      <c r="AX75" s="1133"/>
      <c r="AY75" s="1133"/>
      <c r="AZ75" s="1133"/>
      <c r="BA75" s="1133"/>
      <c r="BB75" s="1133"/>
      <c r="BC75" s="1133"/>
      <c r="BD75" s="1133"/>
      <c r="BE75" s="1480"/>
      <c r="BF75" s="1480"/>
      <c r="BG75" s="1480"/>
      <c r="BH75" s="1480"/>
      <c r="BI75" s="1480"/>
      <c r="BJ75" s="1480"/>
    </row>
    <row r="76" spans="1:62" s="629" customFormat="1" ht="45" customHeight="1" x14ac:dyDescent="0.2">
      <c r="A76" s="2365"/>
      <c r="B76" s="2366"/>
      <c r="C76" s="2023"/>
      <c r="D76" s="2023"/>
      <c r="E76" s="2023"/>
      <c r="F76" s="2023"/>
      <c r="G76" s="2006"/>
      <c r="H76" s="2367"/>
      <c r="I76" s="2023"/>
      <c r="J76" s="2023"/>
      <c r="K76" s="2347"/>
      <c r="L76" s="2369"/>
      <c r="M76" s="2006"/>
      <c r="N76" s="2347"/>
      <c r="O76" s="2347"/>
      <c r="P76" s="2367"/>
      <c r="Q76" s="2023"/>
      <c r="R76" s="2023"/>
      <c r="S76" s="2023"/>
      <c r="T76" s="2029"/>
      <c r="U76" s="1146" t="s">
        <v>3972</v>
      </c>
      <c r="V76" s="1137">
        <v>41631</v>
      </c>
      <c r="W76" s="1064">
        <v>11219</v>
      </c>
      <c r="X76" s="1146" t="s">
        <v>3907</v>
      </c>
      <c r="Y76" s="1137">
        <v>41640</v>
      </c>
      <c r="Z76" s="1137">
        <v>42004</v>
      </c>
      <c r="AA76" s="542"/>
      <c r="AB76" s="1055"/>
      <c r="AC76" s="1139">
        <f>17160-L75</f>
        <v>8580</v>
      </c>
      <c r="AD76" s="1139"/>
      <c r="AE76" s="1155">
        <f>AC76+L75</f>
        <v>17160</v>
      </c>
      <c r="AF76" s="525">
        <v>0</v>
      </c>
      <c r="AG76" s="525">
        <v>0</v>
      </c>
      <c r="AH76" s="1139">
        <f t="shared" si="0"/>
        <v>0</v>
      </c>
      <c r="AI76" s="1055"/>
      <c r="AJ76" s="1064"/>
      <c r="AK76" s="1055"/>
      <c r="AL76" s="1133"/>
      <c r="AM76" s="1055"/>
      <c r="AN76" s="1055"/>
      <c r="AO76" s="1064"/>
      <c r="AP76" s="1137"/>
      <c r="AQ76" s="1064"/>
      <c r="AR76" s="1137"/>
      <c r="AS76" s="1055"/>
      <c r="AT76" s="1133"/>
      <c r="AU76" s="1133"/>
      <c r="AV76" s="1133"/>
      <c r="AW76" s="1133"/>
      <c r="AX76" s="1133"/>
      <c r="AY76" s="1133"/>
      <c r="AZ76" s="1133"/>
      <c r="BA76" s="1133"/>
      <c r="BB76" s="1133"/>
      <c r="BC76" s="1133"/>
      <c r="BD76" s="1133"/>
      <c r="BE76" s="1480"/>
      <c r="BF76" s="1480"/>
      <c r="BG76" s="1480"/>
      <c r="BH76" s="1480"/>
      <c r="BI76" s="1480"/>
      <c r="BJ76" s="1480"/>
    </row>
    <row r="77" spans="1:62" s="629" customFormat="1" ht="25.5" x14ac:dyDescent="0.2">
      <c r="A77" s="2365"/>
      <c r="B77" s="2366"/>
      <c r="C77" s="2023"/>
      <c r="D77" s="2023"/>
      <c r="E77" s="2023"/>
      <c r="F77" s="2023"/>
      <c r="G77" s="2006"/>
      <c r="H77" s="2367"/>
      <c r="I77" s="2023"/>
      <c r="J77" s="2023"/>
      <c r="K77" s="2347"/>
      <c r="L77" s="2369"/>
      <c r="M77" s="2006"/>
      <c r="N77" s="2347"/>
      <c r="O77" s="2347"/>
      <c r="P77" s="2367"/>
      <c r="Q77" s="2023"/>
      <c r="R77" s="2023"/>
      <c r="S77" s="2023"/>
      <c r="T77" s="2030"/>
      <c r="U77" s="1146" t="s">
        <v>3928</v>
      </c>
      <c r="V77" s="1137">
        <v>41841</v>
      </c>
      <c r="W77" s="1064">
        <v>11358</v>
      </c>
      <c r="X77" s="1146" t="s">
        <v>3929</v>
      </c>
      <c r="Y77" s="1137">
        <v>41640</v>
      </c>
      <c r="Z77" s="1137">
        <v>42004</v>
      </c>
      <c r="AA77" s="1138">
        <f>AC77/AE76</f>
        <v>3.1241258741258743E-2</v>
      </c>
      <c r="AB77" s="1055"/>
      <c r="AC77" s="1139">
        <v>536.1</v>
      </c>
      <c r="AD77" s="1139"/>
      <c r="AE77" s="1155">
        <f>AE76+AC77</f>
        <v>17696.099999999999</v>
      </c>
      <c r="AF77" s="525">
        <v>0</v>
      </c>
      <c r="AG77" s="525">
        <v>0</v>
      </c>
      <c r="AH77" s="1139">
        <f t="shared" si="0"/>
        <v>0</v>
      </c>
      <c r="AI77" s="1055"/>
      <c r="AJ77" s="1064"/>
      <c r="AK77" s="1055"/>
      <c r="AL77" s="1133"/>
      <c r="AM77" s="1055"/>
      <c r="AN77" s="1055"/>
      <c r="AO77" s="1064"/>
      <c r="AP77" s="1137"/>
      <c r="AQ77" s="1064"/>
      <c r="AR77" s="1137"/>
      <c r="AS77" s="1055"/>
      <c r="AT77" s="1133"/>
      <c r="AU77" s="1133"/>
      <c r="AV77" s="1133"/>
      <c r="AW77" s="1133"/>
      <c r="AX77" s="1133"/>
      <c r="AY77" s="1133"/>
      <c r="AZ77" s="1133"/>
      <c r="BA77" s="1133"/>
      <c r="BB77" s="1133"/>
      <c r="BC77" s="1133"/>
      <c r="BD77" s="1133"/>
      <c r="BE77" s="1480"/>
      <c r="BF77" s="1480"/>
      <c r="BG77" s="1480"/>
      <c r="BH77" s="1480"/>
      <c r="BI77" s="1480"/>
      <c r="BJ77" s="1480"/>
    </row>
    <row r="78" spans="1:62" s="629" customFormat="1" ht="45" customHeight="1" x14ac:dyDescent="0.2">
      <c r="A78" s="2365">
        <v>18</v>
      </c>
      <c r="B78" s="2366" t="s">
        <v>3976</v>
      </c>
      <c r="C78" s="2023" t="s">
        <v>1608</v>
      </c>
      <c r="D78" s="2023" t="s">
        <v>3977</v>
      </c>
      <c r="E78" s="2023" t="s">
        <v>584</v>
      </c>
      <c r="F78" s="2023" t="s">
        <v>3978</v>
      </c>
      <c r="G78" s="2006">
        <v>11108</v>
      </c>
      <c r="H78" s="2367" t="s">
        <v>3979</v>
      </c>
      <c r="I78" s="2023" t="s">
        <v>3980</v>
      </c>
      <c r="J78" s="2023" t="s">
        <v>3981</v>
      </c>
      <c r="K78" s="2347">
        <v>41498</v>
      </c>
      <c r="L78" s="2369">
        <v>3967</v>
      </c>
      <c r="M78" s="2006">
        <v>11116</v>
      </c>
      <c r="N78" s="2347">
        <v>41498</v>
      </c>
      <c r="O78" s="2347">
        <v>41639</v>
      </c>
      <c r="P78" s="2367" t="s">
        <v>3905</v>
      </c>
      <c r="Q78" s="2023"/>
      <c r="R78" s="2023"/>
      <c r="S78" s="2023"/>
      <c r="T78" s="2023" t="s">
        <v>158</v>
      </c>
      <c r="U78" s="1146"/>
      <c r="V78" s="1055"/>
      <c r="W78" s="1064"/>
      <c r="X78" s="1146"/>
      <c r="Y78" s="1055"/>
      <c r="Z78" s="1055"/>
      <c r="AA78" s="1138"/>
      <c r="AB78" s="1055"/>
      <c r="AC78" s="1139"/>
      <c r="AD78" s="1139"/>
      <c r="AE78" s="1155"/>
      <c r="AF78" s="525">
        <v>3967</v>
      </c>
      <c r="AG78" s="1139">
        <v>10248</v>
      </c>
      <c r="AH78" s="1139">
        <f t="shared" si="0"/>
        <v>14215</v>
      </c>
      <c r="AI78" s="1055"/>
      <c r="AJ78" s="1064"/>
      <c r="AK78" s="1055"/>
      <c r="AL78" s="1133"/>
      <c r="AM78" s="1055"/>
      <c r="AN78" s="1055"/>
      <c r="AO78" s="1064"/>
      <c r="AP78" s="1137"/>
      <c r="AQ78" s="1064"/>
      <c r="AR78" s="1137"/>
      <c r="AS78" s="1055"/>
      <c r="AT78" s="1133"/>
      <c r="AU78" s="1133"/>
      <c r="AV78" s="1133"/>
      <c r="AW78" s="1133"/>
      <c r="AX78" s="1133"/>
      <c r="AY78" s="1133"/>
      <c r="AZ78" s="1133"/>
      <c r="BA78" s="1133"/>
      <c r="BB78" s="1133"/>
      <c r="BC78" s="1133"/>
      <c r="BD78" s="1133"/>
      <c r="BE78" s="1480"/>
      <c r="BF78" s="1480"/>
      <c r="BG78" s="1480"/>
      <c r="BH78" s="1480"/>
      <c r="BI78" s="1480"/>
      <c r="BJ78" s="1480"/>
    </row>
    <row r="79" spans="1:62" s="629" customFormat="1" ht="28.5" customHeight="1" x14ac:dyDescent="0.2">
      <c r="A79" s="2365"/>
      <c r="B79" s="2366"/>
      <c r="C79" s="2023"/>
      <c r="D79" s="2023"/>
      <c r="E79" s="2023"/>
      <c r="F79" s="2023"/>
      <c r="G79" s="2006"/>
      <c r="H79" s="2367"/>
      <c r="I79" s="2023"/>
      <c r="J79" s="2023"/>
      <c r="K79" s="2023"/>
      <c r="L79" s="2369"/>
      <c r="M79" s="2006"/>
      <c r="N79" s="2347"/>
      <c r="O79" s="2347"/>
      <c r="P79" s="2367"/>
      <c r="Q79" s="2023"/>
      <c r="R79" s="2023"/>
      <c r="S79" s="2023"/>
      <c r="T79" s="2023"/>
      <c r="U79" s="1146" t="s">
        <v>3972</v>
      </c>
      <c r="V79" s="1137">
        <v>41631</v>
      </c>
      <c r="W79" s="1064">
        <v>11224</v>
      </c>
      <c r="X79" s="1146" t="s">
        <v>3982</v>
      </c>
      <c r="Y79" s="1137">
        <v>41640</v>
      </c>
      <c r="Z79" s="1137">
        <v>42004</v>
      </c>
      <c r="AA79" s="542"/>
      <c r="AB79" s="1055"/>
      <c r="AC79" s="1139">
        <v>6281</v>
      </c>
      <c r="AD79" s="1139"/>
      <c r="AE79" s="1155">
        <f>AC79+L78</f>
        <v>10248</v>
      </c>
      <c r="AF79" s="525">
        <v>0</v>
      </c>
      <c r="AG79" s="525">
        <v>0</v>
      </c>
      <c r="AH79" s="1139">
        <f t="shared" si="0"/>
        <v>0</v>
      </c>
      <c r="AI79" s="1055"/>
      <c r="AJ79" s="1064"/>
      <c r="AK79" s="1055"/>
      <c r="AL79" s="1133"/>
      <c r="AM79" s="1055"/>
      <c r="AN79" s="1055"/>
      <c r="AO79" s="1064"/>
      <c r="AP79" s="1137"/>
      <c r="AQ79" s="1064"/>
      <c r="AR79" s="1137"/>
      <c r="AS79" s="1055"/>
      <c r="AT79" s="1133"/>
      <c r="AU79" s="1133"/>
      <c r="AV79" s="1133"/>
      <c r="AW79" s="1133"/>
      <c r="AX79" s="1133"/>
      <c r="AY79" s="1133"/>
      <c r="AZ79" s="1133"/>
      <c r="BA79" s="1133"/>
      <c r="BB79" s="1133"/>
      <c r="BC79" s="1133"/>
      <c r="BD79" s="1133"/>
      <c r="BE79" s="1480"/>
      <c r="BF79" s="1480"/>
      <c r="BG79" s="1480"/>
      <c r="BH79" s="1480"/>
      <c r="BI79" s="1480"/>
      <c r="BJ79" s="1480"/>
    </row>
    <row r="80" spans="1:62" s="629" customFormat="1" ht="45" customHeight="1" x14ac:dyDescent="0.2">
      <c r="A80" s="2365">
        <v>19</v>
      </c>
      <c r="B80" s="2366" t="s">
        <v>3976</v>
      </c>
      <c r="C80" s="2023" t="s">
        <v>1608</v>
      </c>
      <c r="D80" s="2023" t="s">
        <v>615</v>
      </c>
      <c r="E80" s="2023" t="s">
        <v>584</v>
      </c>
      <c r="F80" s="2023" t="s">
        <v>3978</v>
      </c>
      <c r="G80" s="2006">
        <v>11108</v>
      </c>
      <c r="H80" s="2367" t="s">
        <v>3983</v>
      </c>
      <c r="I80" s="2023" t="s">
        <v>3984</v>
      </c>
      <c r="J80" s="2023" t="s">
        <v>3985</v>
      </c>
      <c r="K80" s="2347">
        <v>41498</v>
      </c>
      <c r="L80" s="2369">
        <v>7339.4</v>
      </c>
      <c r="M80" s="2006">
        <v>11116</v>
      </c>
      <c r="N80" s="2347">
        <v>41498</v>
      </c>
      <c r="O80" s="2347">
        <v>41639</v>
      </c>
      <c r="P80" s="2367" t="s">
        <v>3905</v>
      </c>
      <c r="Q80" s="2023"/>
      <c r="R80" s="2023"/>
      <c r="S80" s="2023"/>
      <c r="T80" s="2023" t="s">
        <v>158</v>
      </c>
      <c r="U80" s="1146"/>
      <c r="V80" s="1055"/>
      <c r="W80" s="1064"/>
      <c r="X80" s="1146"/>
      <c r="Y80" s="1055"/>
      <c r="Z80" s="1055"/>
      <c r="AA80" s="1138"/>
      <c r="AB80" s="1055"/>
      <c r="AC80" s="1139"/>
      <c r="AD80" s="1139"/>
      <c r="AE80" s="1155"/>
      <c r="AF80" s="525">
        <v>7339.4</v>
      </c>
      <c r="AG80" s="1139">
        <v>18960</v>
      </c>
      <c r="AH80" s="1139">
        <f t="shared" si="0"/>
        <v>26299.4</v>
      </c>
      <c r="AI80" s="1055"/>
      <c r="AJ80" s="1064"/>
      <c r="AK80" s="1055"/>
      <c r="AL80" s="1133"/>
      <c r="AM80" s="1055"/>
      <c r="AN80" s="1055"/>
      <c r="AO80" s="1064"/>
      <c r="AP80" s="1137"/>
      <c r="AQ80" s="1064"/>
      <c r="AR80" s="1137"/>
      <c r="AS80" s="1055"/>
      <c r="AT80" s="1133"/>
      <c r="AU80" s="1133"/>
      <c r="AV80" s="1133"/>
      <c r="AW80" s="1133"/>
      <c r="AX80" s="1133"/>
      <c r="AY80" s="1133"/>
      <c r="AZ80" s="1133"/>
      <c r="BA80" s="1133"/>
      <c r="BB80" s="1133"/>
      <c r="BC80" s="1133"/>
      <c r="BD80" s="1133"/>
      <c r="BE80" s="1480"/>
      <c r="BF80" s="1480"/>
      <c r="BG80" s="1480"/>
      <c r="BH80" s="1480"/>
      <c r="BI80" s="1480"/>
      <c r="BJ80" s="1480"/>
    </row>
    <row r="81" spans="1:62" s="629" customFormat="1" ht="31.5" customHeight="1" x14ac:dyDescent="0.2">
      <c r="A81" s="2365"/>
      <c r="B81" s="2366"/>
      <c r="C81" s="2023"/>
      <c r="D81" s="2023"/>
      <c r="E81" s="2023"/>
      <c r="F81" s="2023"/>
      <c r="G81" s="2006"/>
      <c r="H81" s="2367"/>
      <c r="I81" s="2023"/>
      <c r="J81" s="2023"/>
      <c r="K81" s="2023"/>
      <c r="L81" s="2369"/>
      <c r="M81" s="2006"/>
      <c r="N81" s="2347"/>
      <c r="O81" s="2347"/>
      <c r="P81" s="2367"/>
      <c r="Q81" s="2023"/>
      <c r="R81" s="2023"/>
      <c r="S81" s="2023"/>
      <c r="T81" s="2023"/>
      <c r="U81" s="1146" t="s">
        <v>3972</v>
      </c>
      <c r="V81" s="1137">
        <v>41631</v>
      </c>
      <c r="W81" s="1064">
        <v>11219</v>
      </c>
      <c r="X81" s="1146" t="s">
        <v>3907</v>
      </c>
      <c r="Y81" s="1137">
        <v>41640</v>
      </c>
      <c r="Z81" s="1137">
        <v>42004</v>
      </c>
      <c r="AA81" s="537"/>
      <c r="AB81" s="1055"/>
      <c r="AC81" s="1139">
        <v>11620.6</v>
      </c>
      <c r="AD81" s="1139"/>
      <c r="AE81" s="1155">
        <f>(1580*12)</f>
        <v>18960</v>
      </c>
      <c r="AF81" s="525">
        <v>0</v>
      </c>
      <c r="AG81" s="525">
        <v>0</v>
      </c>
      <c r="AH81" s="1139">
        <f t="shared" si="0"/>
        <v>0</v>
      </c>
      <c r="AI81" s="1055"/>
      <c r="AJ81" s="1064"/>
      <c r="AK81" s="1055"/>
      <c r="AL81" s="1133"/>
      <c r="AM81" s="1055"/>
      <c r="AN81" s="1055"/>
      <c r="AO81" s="1064"/>
      <c r="AP81" s="1137"/>
      <c r="AQ81" s="1064"/>
      <c r="AR81" s="1137"/>
      <c r="AS81" s="1055"/>
      <c r="AT81" s="1133"/>
      <c r="AU81" s="1133"/>
      <c r="AV81" s="1133"/>
      <c r="AW81" s="1133"/>
      <c r="AX81" s="1133"/>
      <c r="AY81" s="1133"/>
      <c r="AZ81" s="1133"/>
      <c r="BA81" s="1133"/>
      <c r="BB81" s="1133"/>
      <c r="BC81" s="1133"/>
      <c r="BD81" s="1133"/>
      <c r="BE81" s="1480"/>
      <c r="BF81" s="1480"/>
      <c r="BG81" s="1480"/>
      <c r="BH81" s="1480"/>
      <c r="BI81" s="1480"/>
      <c r="BJ81" s="1480"/>
    </row>
    <row r="82" spans="1:62" s="629" customFormat="1" ht="45" customHeight="1" x14ac:dyDescent="0.2">
      <c r="A82" s="2365">
        <v>20</v>
      </c>
      <c r="B82" s="2366" t="s">
        <v>3976</v>
      </c>
      <c r="C82" s="2023" t="s">
        <v>1608</v>
      </c>
      <c r="D82" s="2023" t="s">
        <v>615</v>
      </c>
      <c r="E82" s="2023" t="s">
        <v>584</v>
      </c>
      <c r="F82" s="2023" t="s">
        <v>3978</v>
      </c>
      <c r="G82" s="2006">
        <v>11108</v>
      </c>
      <c r="H82" s="2367" t="s">
        <v>3986</v>
      </c>
      <c r="I82" s="2023" t="s">
        <v>3987</v>
      </c>
      <c r="J82" s="2023" t="s">
        <v>3988</v>
      </c>
      <c r="K82" s="2347">
        <v>41498</v>
      </c>
      <c r="L82" s="2369">
        <v>3623.2</v>
      </c>
      <c r="M82" s="2006">
        <v>11116</v>
      </c>
      <c r="N82" s="2347">
        <v>41498</v>
      </c>
      <c r="O82" s="2347">
        <v>41639</v>
      </c>
      <c r="P82" s="2367" t="s">
        <v>3905</v>
      </c>
      <c r="Q82" s="2023"/>
      <c r="R82" s="2023"/>
      <c r="S82" s="2023"/>
      <c r="T82" s="2023" t="s">
        <v>158</v>
      </c>
      <c r="U82" s="1146"/>
      <c r="V82" s="1055"/>
      <c r="W82" s="1064"/>
      <c r="X82" s="1146"/>
      <c r="Y82" s="1055"/>
      <c r="Z82" s="1055"/>
      <c r="AA82" s="1138"/>
      <c r="AB82" s="1055"/>
      <c r="AC82" s="1139"/>
      <c r="AD82" s="1139"/>
      <c r="AE82" s="1155"/>
      <c r="AF82" s="2408">
        <v>3623.2</v>
      </c>
      <c r="AG82" s="2343">
        <v>6240</v>
      </c>
      <c r="AH82" s="1139">
        <f t="shared" si="0"/>
        <v>9863.2000000000007</v>
      </c>
      <c r="AI82" s="1055"/>
      <c r="AJ82" s="1064"/>
      <c r="AK82" s="1055"/>
      <c r="AL82" s="1133"/>
      <c r="AM82" s="1055"/>
      <c r="AN82" s="1055"/>
      <c r="AO82" s="1064"/>
      <c r="AP82" s="1137"/>
      <c r="AQ82" s="1064"/>
      <c r="AR82" s="1137"/>
      <c r="AS82" s="1055"/>
      <c r="AT82" s="1133"/>
      <c r="AU82" s="1133"/>
      <c r="AV82" s="1133"/>
      <c r="AW82" s="1133"/>
      <c r="AX82" s="1133"/>
      <c r="AY82" s="1133"/>
      <c r="AZ82" s="1133"/>
      <c r="BA82" s="1133"/>
      <c r="BB82" s="1133"/>
      <c r="BC82" s="1133"/>
      <c r="BD82" s="1133"/>
      <c r="BE82" s="1480"/>
      <c r="BF82" s="1480"/>
      <c r="BG82" s="1480"/>
      <c r="BH82" s="1480"/>
      <c r="BI82" s="1480"/>
      <c r="BJ82" s="1480"/>
    </row>
    <row r="83" spans="1:62" s="629" customFormat="1" ht="21" customHeight="1" x14ac:dyDescent="0.2">
      <c r="A83" s="2365"/>
      <c r="B83" s="2366"/>
      <c r="C83" s="2023"/>
      <c r="D83" s="2023"/>
      <c r="E83" s="2023"/>
      <c r="F83" s="2023"/>
      <c r="G83" s="2006"/>
      <c r="H83" s="2367"/>
      <c r="I83" s="2023"/>
      <c r="J83" s="2023"/>
      <c r="K83" s="2347"/>
      <c r="L83" s="2369"/>
      <c r="M83" s="2006"/>
      <c r="N83" s="2347"/>
      <c r="O83" s="2347"/>
      <c r="P83" s="2367"/>
      <c r="Q83" s="2023"/>
      <c r="R83" s="2023"/>
      <c r="S83" s="2023"/>
      <c r="T83" s="2023"/>
      <c r="U83" s="1146" t="s">
        <v>3972</v>
      </c>
      <c r="V83" s="1137">
        <v>41631</v>
      </c>
      <c r="W83" s="1064">
        <v>11224</v>
      </c>
      <c r="X83" s="1146" t="s">
        <v>3917</v>
      </c>
      <c r="Y83" s="1137">
        <v>41640</v>
      </c>
      <c r="Z83" s="1137">
        <v>41820</v>
      </c>
      <c r="AA83" s="1138"/>
      <c r="AB83" s="1055"/>
      <c r="AC83" s="1139">
        <v>1056.8</v>
      </c>
      <c r="AD83" s="1139"/>
      <c r="AE83" s="1155">
        <f>AC83+L82</f>
        <v>4680</v>
      </c>
      <c r="AF83" s="2408"/>
      <c r="AG83" s="2343"/>
      <c r="AH83" s="1139">
        <f t="shared" si="0"/>
        <v>0</v>
      </c>
      <c r="AI83" s="1055"/>
      <c r="AJ83" s="1064"/>
      <c r="AK83" s="1055"/>
      <c r="AL83" s="1133"/>
      <c r="AM83" s="1055"/>
      <c r="AN83" s="1055"/>
      <c r="AO83" s="1064"/>
      <c r="AP83" s="1137"/>
      <c r="AQ83" s="1064"/>
      <c r="AR83" s="1137"/>
      <c r="AS83" s="1055"/>
      <c r="AT83" s="1133"/>
      <c r="AU83" s="1133"/>
      <c r="AV83" s="1133"/>
      <c r="AW83" s="1133"/>
      <c r="AX83" s="1133"/>
      <c r="AY83" s="1133"/>
      <c r="AZ83" s="1133"/>
      <c r="BA83" s="1133"/>
      <c r="BB83" s="1133"/>
      <c r="BC83" s="1133"/>
      <c r="BD83" s="1133"/>
      <c r="BE83" s="1480"/>
      <c r="BF83" s="1480"/>
      <c r="BG83" s="1480"/>
      <c r="BH83" s="1480"/>
      <c r="BI83" s="1480"/>
      <c r="BJ83" s="1480"/>
    </row>
    <row r="84" spans="1:62" s="629" customFormat="1" ht="27" customHeight="1" x14ac:dyDescent="0.2">
      <c r="A84" s="2365"/>
      <c r="B84" s="2366"/>
      <c r="C84" s="2023"/>
      <c r="D84" s="2023"/>
      <c r="E84" s="2023"/>
      <c r="F84" s="2023"/>
      <c r="G84" s="2006"/>
      <c r="H84" s="2367"/>
      <c r="I84" s="2023"/>
      <c r="J84" s="2023"/>
      <c r="K84" s="2023"/>
      <c r="L84" s="2369"/>
      <c r="M84" s="2006"/>
      <c r="N84" s="2347"/>
      <c r="O84" s="2347"/>
      <c r="P84" s="2367"/>
      <c r="Q84" s="2023"/>
      <c r="R84" s="2023"/>
      <c r="S84" s="2023"/>
      <c r="T84" s="2023"/>
      <c r="U84" s="1146" t="s">
        <v>3989</v>
      </c>
      <c r="V84" s="1137">
        <v>41820</v>
      </c>
      <c r="W84" s="1064">
        <v>11351</v>
      </c>
      <c r="X84" s="1146" t="s">
        <v>3917</v>
      </c>
      <c r="Y84" s="1137">
        <v>41821</v>
      </c>
      <c r="Z84" s="1137">
        <v>42004</v>
      </c>
      <c r="AA84" s="1138"/>
      <c r="AB84" s="1055"/>
      <c r="AC84" s="1139"/>
      <c r="AD84" s="1139"/>
      <c r="AE84" s="1155"/>
      <c r="AF84" s="2408"/>
      <c r="AG84" s="2343"/>
      <c r="AH84" s="1139">
        <f t="shared" si="0"/>
        <v>0</v>
      </c>
      <c r="AI84" s="1055"/>
      <c r="AJ84" s="1064"/>
      <c r="AK84" s="1055"/>
      <c r="AL84" s="1133"/>
      <c r="AM84" s="1055"/>
      <c r="AN84" s="1055"/>
      <c r="AO84" s="1064"/>
      <c r="AP84" s="1137"/>
      <c r="AQ84" s="1064"/>
      <c r="AR84" s="1137"/>
      <c r="AS84" s="1055"/>
      <c r="AT84" s="1133"/>
      <c r="AU84" s="1133"/>
      <c r="AV84" s="1133"/>
      <c r="AW84" s="1133"/>
      <c r="AX84" s="1133"/>
      <c r="AY84" s="1133"/>
      <c r="AZ84" s="1133"/>
      <c r="BA84" s="1133"/>
      <c r="BB84" s="1133"/>
      <c r="BC84" s="1133"/>
      <c r="BD84" s="1133"/>
      <c r="BE84" s="1480"/>
      <c r="BF84" s="1480"/>
      <c r="BG84" s="1480"/>
      <c r="BH84" s="1480"/>
      <c r="BI84" s="1480"/>
      <c r="BJ84" s="1480"/>
    </row>
    <row r="85" spans="1:62" s="629" customFormat="1" ht="51" x14ac:dyDescent="0.2">
      <c r="A85" s="1514">
        <v>21</v>
      </c>
      <c r="B85" s="1217" t="s">
        <v>3990</v>
      </c>
      <c r="C85" s="1055" t="s">
        <v>1529</v>
      </c>
      <c r="D85" s="1055" t="s">
        <v>3991</v>
      </c>
      <c r="E85" s="1055" t="s">
        <v>584</v>
      </c>
      <c r="F85" s="1055" t="s">
        <v>3992</v>
      </c>
      <c r="G85" s="1064">
        <v>11108</v>
      </c>
      <c r="H85" s="1146" t="s">
        <v>3993</v>
      </c>
      <c r="I85" s="1055" t="s">
        <v>3994</v>
      </c>
      <c r="J85" s="1055" t="s">
        <v>3995</v>
      </c>
      <c r="K85" s="1137">
        <v>41500</v>
      </c>
      <c r="L85" s="1139">
        <v>37224</v>
      </c>
      <c r="M85" s="1064">
        <v>11117</v>
      </c>
      <c r="N85" s="1137">
        <v>41500</v>
      </c>
      <c r="O85" s="1137">
        <v>42230</v>
      </c>
      <c r="P85" s="1146" t="s">
        <v>3961</v>
      </c>
      <c r="Q85" s="1055"/>
      <c r="R85" s="1055"/>
      <c r="S85" s="1055"/>
      <c r="T85" s="1055" t="s">
        <v>158</v>
      </c>
      <c r="U85" s="1055"/>
      <c r="V85" s="1055"/>
      <c r="W85" s="1064"/>
      <c r="X85" s="1146"/>
      <c r="Y85" s="1055"/>
      <c r="Z85" s="1055"/>
      <c r="AA85" s="1138"/>
      <c r="AB85" s="1055"/>
      <c r="AC85" s="1139"/>
      <c r="AD85" s="1139"/>
      <c r="AE85" s="1155">
        <f>L85-AD85+AC85</f>
        <v>37224</v>
      </c>
      <c r="AF85" s="1155">
        <v>15857.42</v>
      </c>
      <c r="AG85" s="1139">
        <v>14889.6</v>
      </c>
      <c r="AH85" s="1139">
        <f t="shared" si="0"/>
        <v>30747.02</v>
      </c>
      <c r="AI85" s="1055"/>
      <c r="AJ85" s="1064"/>
      <c r="AK85" s="1055"/>
      <c r="AL85" s="1133"/>
      <c r="AM85" s="1055"/>
      <c r="AN85" s="1055"/>
      <c r="AO85" s="1064"/>
      <c r="AP85" s="1137"/>
      <c r="AQ85" s="1064"/>
      <c r="AR85" s="1137"/>
      <c r="AS85" s="1055"/>
      <c r="AT85" s="1133"/>
      <c r="AU85" s="1133"/>
      <c r="AV85" s="1133"/>
      <c r="AW85" s="1133"/>
      <c r="AX85" s="1133"/>
      <c r="AY85" s="1133"/>
      <c r="AZ85" s="1133"/>
      <c r="BA85" s="1133"/>
      <c r="BB85" s="1133"/>
      <c r="BC85" s="1133"/>
      <c r="BD85" s="1133"/>
      <c r="BE85" s="1480"/>
      <c r="BF85" s="1480"/>
      <c r="BG85" s="1480"/>
      <c r="BH85" s="1480"/>
      <c r="BI85" s="1480"/>
      <c r="BJ85" s="1480"/>
    </row>
    <row r="86" spans="1:62" s="629" customFormat="1" ht="51" x14ac:dyDescent="0.2">
      <c r="A86" s="1514">
        <v>22</v>
      </c>
      <c r="B86" s="1217" t="s">
        <v>3990</v>
      </c>
      <c r="C86" s="1055" t="s">
        <v>1529</v>
      </c>
      <c r="D86" s="1055" t="s">
        <v>3991</v>
      </c>
      <c r="E86" s="1055" t="s">
        <v>584</v>
      </c>
      <c r="F86" s="1055" t="s">
        <v>3996</v>
      </c>
      <c r="G86" s="1064">
        <v>11108</v>
      </c>
      <c r="H86" s="1146" t="s">
        <v>3997</v>
      </c>
      <c r="I86" s="1055" t="s">
        <v>3998</v>
      </c>
      <c r="J86" s="1055" t="s">
        <v>3999</v>
      </c>
      <c r="K86" s="1137">
        <v>41500</v>
      </c>
      <c r="L86" s="1139">
        <v>37224</v>
      </c>
      <c r="M86" s="1064">
        <v>11116</v>
      </c>
      <c r="N86" s="1137">
        <v>41500</v>
      </c>
      <c r="O86" s="1137">
        <v>42230</v>
      </c>
      <c r="P86" s="1146" t="s">
        <v>3961</v>
      </c>
      <c r="Q86" s="1055"/>
      <c r="R86" s="1055"/>
      <c r="S86" s="1055"/>
      <c r="T86" s="1055" t="s">
        <v>158</v>
      </c>
      <c r="U86" s="1055"/>
      <c r="V86" s="1055"/>
      <c r="W86" s="1064"/>
      <c r="X86" s="1146"/>
      <c r="Y86" s="1055"/>
      <c r="Z86" s="1055"/>
      <c r="AA86" s="1138"/>
      <c r="AB86" s="1055"/>
      <c r="AC86" s="1139"/>
      <c r="AD86" s="1139"/>
      <c r="AE86" s="1155">
        <f>L86-AD86+AC86</f>
        <v>37224</v>
      </c>
      <c r="AF86" s="1155">
        <v>15857.42</v>
      </c>
      <c r="AG86" s="1139">
        <f>14889.6</f>
        <v>14889.6</v>
      </c>
      <c r="AH86" s="1139">
        <f t="shared" si="0"/>
        <v>30747.02</v>
      </c>
      <c r="AI86" s="1055"/>
      <c r="AJ86" s="1064"/>
      <c r="AK86" s="1055"/>
      <c r="AL86" s="1133"/>
      <c r="AM86" s="1055"/>
      <c r="AN86" s="1055"/>
      <c r="AO86" s="1064"/>
      <c r="AP86" s="1137"/>
      <c r="AQ86" s="1064"/>
      <c r="AR86" s="1137"/>
      <c r="AS86" s="1055"/>
      <c r="AT86" s="1133"/>
      <c r="AU86" s="1133"/>
      <c r="AV86" s="1133"/>
      <c r="AW86" s="1133"/>
      <c r="AX86" s="1133"/>
      <c r="AY86" s="1133"/>
      <c r="AZ86" s="1133"/>
      <c r="BA86" s="1133"/>
      <c r="BB86" s="1133"/>
      <c r="BC86" s="1133"/>
      <c r="BD86" s="1133"/>
      <c r="BE86" s="1480"/>
      <c r="BF86" s="1480"/>
      <c r="BG86" s="1480"/>
      <c r="BH86" s="1480"/>
      <c r="BI86" s="1480"/>
      <c r="BJ86" s="1480"/>
    </row>
    <row r="87" spans="1:62" s="629" customFormat="1" ht="45" customHeight="1" x14ac:dyDescent="0.2">
      <c r="A87" s="1514">
        <v>23</v>
      </c>
      <c r="B87" s="1217" t="s">
        <v>4000</v>
      </c>
      <c r="C87" s="1055"/>
      <c r="D87" s="1055" t="s">
        <v>615</v>
      </c>
      <c r="E87" s="1055" t="s">
        <v>584</v>
      </c>
      <c r="F87" s="1055" t="s">
        <v>4001</v>
      </c>
      <c r="G87" s="1064">
        <v>11203</v>
      </c>
      <c r="H87" s="1146" t="s">
        <v>4002</v>
      </c>
      <c r="I87" s="1055" t="s">
        <v>4003</v>
      </c>
      <c r="J87" s="1055" t="s">
        <v>4004</v>
      </c>
      <c r="K87" s="1137">
        <v>41611</v>
      </c>
      <c r="L87" s="1139">
        <v>24250</v>
      </c>
      <c r="M87" s="1064">
        <v>11206</v>
      </c>
      <c r="N87" s="1137">
        <v>41611</v>
      </c>
      <c r="O87" s="1137">
        <v>41639</v>
      </c>
      <c r="P87" s="1146" t="s">
        <v>3961</v>
      </c>
      <c r="Q87" s="1055"/>
      <c r="R87" s="1055"/>
      <c r="S87" s="1055"/>
      <c r="T87" s="1055" t="s">
        <v>208</v>
      </c>
      <c r="U87" s="1055"/>
      <c r="V87" s="1055"/>
      <c r="W87" s="1064"/>
      <c r="X87" s="1146"/>
      <c r="Y87" s="1055"/>
      <c r="Z87" s="1055"/>
      <c r="AA87" s="1138"/>
      <c r="AB87" s="1055"/>
      <c r="AC87" s="1139"/>
      <c r="AD87" s="1139"/>
      <c r="AE87" s="1155">
        <f>L87-AD87+AC87</f>
        <v>24250</v>
      </c>
      <c r="AF87" s="1155">
        <v>0</v>
      </c>
      <c r="AG87" s="1139">
        <v>24250</v>
      </c>
      <c r="AH87" s="1139">
        <f t="shared" si="0"/>
        <v>24250</v>
      </c>
      <c r="AI87" s="1055"/>
      <c r="AJ87" s="1064"/>
      <c r="AK87" s="1055"/>
      <c r="AL87" s="1133"/>
      <c r="AM87" s="1055"/>
      <c r="AN87" s="1055"/>
      <c r="AO87" s="1064"/>
      <c r="AP87" s="1137"/>
      <c r="AQ87" s="1064"/>
      <c r="AR87" s="1137"/>
      <c r="AS87" s="1055"/>
      <c r="AT87" s="1133"/>
      <c r="AU87" s="1133"/>
      <c r="AV87" s="1133"/>
      <c r="AW87" s="1133"/>
      <c r="AX87" s="1133"/>
      <c r="AY87" s="1133"/>
      <c r="AZ87" s="1133"/>
      <c r="BA87" s="1133"/>
      <c r="BB87" s="1133"/>
      <c r="BC87" s="1133"/>
      <c r="BD87" s="1133"/>
      <c r="BE87" s="1480"/>
      <c r="BF87" s="1480"/>
      <c r="BG87" s="1480"/>
      <c r="BH87" s="1480"/>
      <c r="BI87" s="1480"/>
      <c r="BJ87" s="1480"/>
    </row>
    <row r="88" spans="1:62" s="629" customFormat="1" ht="24.75" customHeight="1" x14ac:dyDescent="0.2">
      <c r="A88" s="2365">
        <v>24</v>
      </c>
      <c r="B88" s="2366" t="s">
        <v>4005</v>
      </c>
      <c r="C88" s="2023" t="s">
        <v>4006</v>
      </c>
      <c r="D88" s="2023" t="s">
        <v>1548</v>
      </c>
      <c r="E88" s="2023" t="s">
        <v>584</v>
      </c>
      <c r="F88" s="2023" t="s">
        <v>4007</v>
      </c>
      <c r="G88" s="2006">
        <v>10286</v>
      </c>
      <c r="H88" s="2367" t="s">
        <v>4008</v>
      </c>
      <c r="I88" s="2023" t="s">
        <v>4009</v>
      </c>
      <c r="J88" s="2023" t="s">
        <v>4010</v>
      </c>
      <c r="K88" s="2347">
        <v>40386</v>
      </c>
      <c r="L88" s="2369">
        <v>2123093.0499999998</v>
      </c>
      <c r="M88" s="2006">
        <v>10350</v>
      </c>
      <c r="N88" s="2347">
        <v>40391</v>
      </c>
      <c r="O88" s="2347">
        <v>40543</v>
      </c>
      <c r="P88" s="2367" t="s">
        <v>4011</v>
      </c>
      <c r="Q88" s="2023"/>
      <c r="R88" s="2023"/>
      <c r="S88" s="2023"/>
      <c r="T88" s="2023" t="s">
        <v>208</v>
      </c>
      <c r="U88" s="1146"/>
      <c r="V88" s="1137"/>
      <c r="W88" s="1064"/>
      <c r="X88" s="1146"/>
      <c r="Y88" s="1055"/>
      <c r="Z88" s="1055"/>
      <c r="AA88" s="1138"/>
      <c r="AB88" s="1055"/>
      <c r="AC88" s="1139"/>
      <c r="AD88" s="1139"/>
      <c r="AE88" s="1155"/>
      <c r="AF88" s="525">
        <v>11123911.18</v>
      </c>
      <c r="AG88" s="1150">
        <f>4159926.74+496349.72</f>
        <v>4656276.46</v>
      </c>
      <c r="AH88" s="1139">
        <f t="shared" si="0"/>
        <v>15780187.640000001</v>
      </c>
      <c r="AI88" s="1055"/>
      <c r="AJ88" s="1064"/>
      <c r="AK88" s="1055"/>
      <c r="AL88" s="1133"/>
      <c r="AM88" s="1055"/>
      <c r="AN88" s="1055"/>
      <c r="AO88" s="1064"/>
      <c r="AP88" s="1137"/>
      <c r="AQ88" s="1064"/>
      <c r="AR88" s="1137"/>
      <c r="AS88" s="1055"/>
      <c r="AT88" s="1133"/>
      <c r="AU88" s="1133"/>
      <c r="AV88" s="1133"/>
      <c r="AW88" s="1133"/>
      <c r="AX88" s="1133"/>
      <c r="AY88" s="1133"/>
      <c r="AZ88" s="1133"/>
      <c r="BA88" s="1133"/>
      <c r="BB88" s="1133"/>
      <c r="BC88" s="1133"/>
      <c r="BD88" s="1133"/>
      <c r="BE88" s="1480"/>
      <c r="BF88" s="1480"/>
      <c r="BG88" s="1480"/>
      <c r="BH88" s="1480"/>
      <c r="BI88" s="1480"/>
      <c r="BJ88" s="1480"/>
    </row>
    <row r="89" spans="1:62" s="629" customFormat="1" ht="12.75" x14ac:dyDescent="0.2">
      <c r="A89" s="2365"/>
      <c r="B89" s="2366"/>
      <c r="C89" s="2023"/>
      <c r="D89" s="2023"/>
      <c r="E89" s="2023"/>
      <c r="F89" s="2023"/>
      <c r="G89" s="2006"/>
      <c r="H89" s="2367"/>
      <c r="I89" s="2023"/>
      <c r="J89" s="2023"/>
      <c r="K89" s="2347"/>
      <c r="L89" s="2369"/>
      <c r="M89" s="2006"/>
      <c r="N89" s="2347"/>
      <c r="O89" s="2347"/>
      <c r="P89" s="2367"/>
      <c r="Q89" s="2023"/>
      <c r="R89" s="2023"/>
      <c r="S89" s="2023"/>
      <c r="T89" s="2023"/>
      <c r="U89" s="1146" t="s">
        <v>3906</v>
      </c>
      <c r="V89" s="1137">
        <v>40532</v>
      </c>
      <c r="W89" s="1064">
        <v>10457</v>
      </c>
      <c r="X89" s="1146" t="s">
        <v>3907</v>
      </c>
      <c r="Y89" s="1137">
        <v>40544</v>
      </c>
      <c r="Z89" s="1137">
        <v>40908</v>
      </c>
      <c r="AA89" s="1138"/>
      <c r="AB89" s="1138"/>
      <c r="AC89" s="1139">
        <v>2972330.27</v>
      </c>
      <c r="AD89" s="1139"/>
      <c r="AE89" s="1155">
        <f>L88+AC89</f>
        <v>5095423.32</v>
      </c>
      <c r="AF89" s="2408">
        <f>11123911.18+2687037.21</f>
        <v>13810948.390000001</v>
      </c>
      <c r="AG89" s="2369">
        <v>4656276.46</v>
      </c>
      <c r="AH89" s="1139">
        <f t="shared" si="0"/>
        <v>18467224.850000001</v>
      </c>
      <c r="AI89" s="1055"/>
      <c r="AJ89" s="1064"/>
      <c r="AK89" s="1055"/>
      <c r="AL89" s="1133"/>
      <c r="AM89" s="1055"/>
      <c r="AN89" s="1055"/>
      <c r="AO89" s="1064"/>
      <c r="AP89" s="1137"/>
      <c r="AQ89" s="1064"/>
      <c r="AR89" s="1137"/>
      <c r="AS89" s="1055"/>
      <c r="AT89" s="1133"/>
      <c r="AU89" s="1133"/>
      <c r="AV89" s="1133"/>
      <c r="AW89" s="1133"/>
      <c r="AX89" s="1133"/>
      <c r="AY89" s="1133"/>
      <c r="AZ89" s="1133"/>
      <c r="BA89" s="1133"/>
      <c r="BB89" s="1133"/>
      <c r="BC89" s="1133"/>
      <c r="BD89" s="1133"/>
      <c r="BE89" s="1480"/>
      <c r="BF89" s="1480"/>
      <c r="BG89" s="1480"/>
      <c r="BH89" s="1480"/>
      <c r="BI89" s="1480"/>
      <c r="BJ89" s="1480"/>
    </row>
    <row r="90" spans="1:62" s="629" customFormat="1" ht="12.75" x14ac:dyDescent="0.2">
      <c r="A90" s="2365"/>
      <c r="B90" s="2366"/>
      <c r="C90" s="2023"/>
      <c r="D90" s="2023"/>
      <c r="E90" s="2023"/>
      <c r="F90" s="2023"/>
      <c r="G90" s="2006"/>
      <c r="H90" s="2367"/>
      <c r="I90" s="2023"/>
      <c r="J90" s="2023"/>
      <c r="K90" s="2347"/>
      <c r="L90" s="2369"/>
      <c r="M90" s="2006"/>
      <c r="N90" s="2347"/>
      <c r="O90" s="2347"/>
      <c r="P90" s="2367"/>
      <c r="Q90" s="2023"/>
      <c r="R90" s="2023"/>
      <c r="S90" s="2023"/>
      <c r="T90" s="2023"/>
      <c r="U90" s="1146" t="s">
        <v>3891</v>
      </c>
      <c r="V90" s="1137">
        <v>40695</v>
      </c>
      <c r="W90" s="1064">
        <v>10564</v>
      </c>
      <c r="X90" s="1146" t="s">
        <v>4012</v>
      </c>
      <c r="Y90" s="1137">
        <v>40703</v>
      </c>
      <c r="Z90" s="1137">
        <v>40908</v>
      </c>
      <c r="AA90" s="1138"/>
      <c r="AB90" s="1138">
        <f>AD90/AE89</f>
        <v>5.7923328733362235E-2</v>
      </c>
      <c r="AC90" s="1138"/>
      <c r="AD90" s="1139">
        <f>((25*1753.33)*6)+32144.38</f>
        <v>295143.88</v>
      </c>
      <c r="AE90" s="1155">
        <f>AE89-AD90</f>
        <v>4800279.4400000004</v>
      </c>
      <c r="AF90" s="2408"/>
      <c r="AG90" s="2369"/>
      <c r="AH90" s="1139">
        <f t="shared" si="0"/>
        <v>0</v>
      </c>
      <c r="AI90" s="1055"/>
      <c r="AJ90" s="1064"/>
      <c r="AK90" s="1055"/>
      <c r="AL90" s="1133"/>
      <c r="AM90" s="1055"/>
      <c r="AN90" s="1055"/>
      <c r="AO90" s="1064"/>
      <c r="AP90" s="1137"/>
      <c r="AQ90" s="1064"/>
      <c r="AR90" s="1137"/>
      <c r="AS90" s="1055"/>
      <c r="AT90" s="1133"/>
      <c r="AU90" s="1133"/>
      <c r="AV90" s="1133"/>
      <c r="AW90" s="1133"/>
      <c r="AX90" s="1133"/>
      <c r="AY90" s="1133"/>
      <c r="AZ90" s="1133"/>
      <c r="BA90" s="1133"/>
      <c r="BB90" s="1133"/>
      <c r="BC90" s="1133"/>
      <c r="BD90" s="1133"/>
      <c r="BE90" s="1480"/>
      <c r="BF90" s="1480"/>
      <c r="BG90" s="1480"/>
      <c r="BH90" s="1480"/>
      <c r="BI90" s="1480"/>
      <c r="BJ90" s="1480"/>
    </row>
    <row r="91" spans="1:62" s="629" customFormat="1" ht="12.75" x14ac:dyDescent="0.2">
      <c r="A91" s="2365"/>
      <c r="B91" s="2366"/>
      <c r="C91" s="2023"/>
      <c r="D91" s="2023"/>
      <c r="E91" s="2023"/>
      <c r="F91" s="2023"/>
      <c r="G91" s="2006"/>
      <c r="H91" s="2367"/>
      <c r="I91" s="2023"/>
      <c r="J91" s="2023"/>
      <c r="K91" s="2347"/>
      <c r="L91" s="2369"/>
      <c r="M91" s="2006"/>
      <c r="N91" s="2347"/>
      <c r="O91" s="2347"/>
      <c r="P91" s="2367"/>
      <c r="Q91" s="2023"/>
      <c r="R91" s="2023"/>
      <c r="S91" s="2023"/>
      <c r="T91" s="2023"/>
      <c r="U91" s="1146" t="s">
        <v>3908</v>
      </c>
      <c r="V91" s="1137">
        <v>40751</v>
      </c>
      <c r="W91" s="1064">
        <v>10603</v>
      </c>
      <c r="X91" s="1146" t="s">
        <v>4013</v>
      </c>
      <c r="Y91" s="1137">
        <v>40751</v>
      </c>
      <c r="Z91" s="1137">
        <v>40908</v>
      </c>
      <c r="AA91" s="1138">
        <f>AC91/AE90</f>
        <v>3.1461951723377166E-2</v>
      </c>
      <c r="AB91" s="1551"/>
      <c r="AC91" s="1139">
        <v>151026.16</v>
      </c>
      <c r="AD91" s="1139"/>
      <c r="AE91" s="1155">
        <f>AE90+AC91</f>
        <v>4951305.6000000006</v>
      </c>
      <c r="AF91" s="2408"/>
      <c r="AG91" s="2369"/>
      <c r="AH91" s="1139">
        <f t="shared" ref="AH91:AH154" si="1">AF91+AG91</f>
        <v>0</v>
      </c>
      <c r="AI91" s="1055"/>
      <c r="AJ91" s="1064"/>
      <c r="AK91" s="1055"/>
      <c r="AL91" s="1133"/>
      <c r="AM91" s="1055"/>
      <c r="AN91" s="1055"/>
      <c r="AO91" s="1064"/>
      <c r="AP91" s="1137"/>
      <c r="AQ91" s="1064"/>
      <c r="AR91" s="1137"/>
      <c r="AS91" s="1055"/>
      <c r="AT91" s="1133"/>
      <c r="AU91" s="1133"/>
      <c r="AV91" s="1133"/>
      <c r="AW91" s="1133"/>
      <c r="AX91" s="1133"/>
      <c r="AY91" s="1133"/>
      <c r="AZ91" s="1133"/>
      <c r="BA91" s="1133"/>
      <c r="BB91" s="1133"/>
      <c r="BC91" s="1133"/>
      <c r="BD91" s="1133"/>
      <c r="BE91" s="1480"/>
      <c r="BF91" s="1480"/>
      <c r="BG91" s="1480"/>
      <c r="BH91" s="1480"/>
      <c r="BI91" s="1480"/>
      <c r="BJ91" s="1480"/>
    </row>
    <row r="92" spans="1:62" s="629" customFormat="1" ht="12.75" x14ac:dyDescent="0.2">
      <c r="A92" s="2365"/>
      <c r="B92" s="2366"/>
      <c r="C92" s="2023"/>
      <c r="D92" s="2023"/>
      <c r="E92" s="2023"/>
      <c r="F92" s="2023"/>
      <c r="G92" s="2006"/>
      <c r="H92" s="2367"/>
      <c r="I92" s="2023"/>
      <c r="J92" s="2023"/>
      <c r="K92" s="2347"/>
      <c r="L92" s="2369"/>
      <c r="M92" s="2006"/>
      <c r="N92" s="2347"/>
      <c r="O92" s="2347"/>
      <c r="P92" s="2367"/>
      <c r="Q92" s="2023"/>
      <c r="R92" s="2023"/>
      <c r="S92" s="2023"/>
      <c r="T92" s="2023"/>
      <c r="U92" s="1146" t="s">
        <v>3893</v>
      </c>
      <c r="V92" s="1137">
        <v>40885</v>
      </c>
      <c r="W92" s="1064">
        <v>10698</v>
      </c>
      <c r="X92" s="1146" t="s">
        <v>3907</v>
      </c>
      <c r="Y92" s="1137">
        <v>40909</v>
      </c>
      <c r="Z92" s="1137">
        <v>41274</v>
      </c>
      <c r="AA92" s="1138"/>
      <c r="AB92" s="1138"/>
      <c r="AC92" s="1138"/>
      <c r="AD92" s="1139"/>
      <c r="AE92" s="1155"/>
      <c r="AF92" s="2408"/>
      <c r="AG92" s="2369"/>
      <c r="AH92" s="1139">
        <f t="shared" si="1"/>
        <v>0</v>
      </c>
      <c r="AI92" s="1055"/>
      <c r="AJ92" s="1064"/>
      <c r="AK92" s="1055"/>
      <c r="AL92" s="1133"/>
      <c r="AM92" s="1055"/>
      <c r="AN92" s="1055"/>
      <c r="AO92" s="1064"/>
      <c r="AP92" s="1137"/>
      <c r="AQ92" s="1064"/>
      <c r="AR92" s="1137"/>
      <c r="AS92" s="1055"/>
      <c r="AT92" s="1133"/>
      <c r="AU92" s="1133"/>
      <c r="AV92" s="1133"/>
      <c r="AW92" s="1133"/>
      <c r="AX92" s="1133"/>
      <c r="AY92" s="1133"/>
      <c r="AZ92" s="1133"/>
      <c r="BA92" s="1133"/>
      <c r="BB92" s="1133"/>
      <c r="BC92" s="1133"/>
      <c r="BD92" s="1133"/>
      <c r="BE92" s="1480"/>
      <c r="BF92" s="1480"/>
      <c r="BG92" s="1480"/>
      <c r="BH92" s="1480"/>
      <c r="BI92" s="1480"/>
      <c r="BJ92" s="1480"/>
    </row>
    <row r="93" spans="1:62" s="629" customFormat="1" ht="25.5" x14ac:dyDescent="0.2">
      <c r="A93" s="2365"/>
      <c r="B93" s="2366"/>
      <c r="C93" s="2023"/>
      <c r="D93" s="2023"/>
      <c r="E93" s="2023"/>
      <c r="F93" s="2023"/>
      <c r="G93" s="2006"/>
      <c r="H93" s="2367"/>
      <c r="I93" s="2023"/>
      <c r="J93" s="2023"/>
      <c r="K93" s="2347"/>
      <c r="L93" s="2369"/>
      <c r="M93" s="2006"/>
      <c r="N93" s="2347"/>
      <c r="O93" s="2347"/>
      <c r="P93" s="2367"/>
      <c r="Q93" s="2023"/>
      <c r="R93" s="2023"/>
      <c r="S93" s="2023"/>
      <c r="T93" s="2023"/>
      <c r="U93" s="1146" t="s">
        <v>4014</v>
      </c>
      <c r="V93" s="1137">
        <v>40934</v>
      </c>
      <c r="W93" s="1064"/>
      <c r="X93" s="1146" t="s">
        <v>4015</v>
      </c>
      <c r="Y93" s="1137">
        <v>40934</v>
      </c>
      <c r="Z93" s="1137">
        <v>41090</v>
      </c>
      <c r="AA93" s="1138"/>
      <c r="AB93" s="1138"/>
      <c r="AC93" s="1139"/>
      <c r="AD93" s="1139"/>
      <c r="AE93" s="1155"/>
      <c r="AF93" s="2408"/>
      <c r="AG93" s="2369"/>
      <c r="AH93" s="1139">
        <f t="shared" si="1"/>
        <v>0</v>
      </c>
      <c r="AI93" s="1055"/>
      <c r="AJ93" s="1064"/>
      <c r="AK93" s="1055"/>
      <c r="AL93" s="1133"/>
      <c r="AM93" s="1055"/>
      <c r="AN93" s="1055"/>
      <c r="AO93" s="1064"/>
      <c r="AP93" s="1137"/>
      <c r="AQ93" s="1064"/>
      <c r="AR93" s="1137"/>
      <c r="AS93" s="1055"/>
      <c r="AT93" s="1133"/>
      <c r="AU93" s="1133"/>
      <c r="AV93" s="1133"/>
      <c r="AW93" s="1133"/>
      <c r="AX93" s="1133"/>
      <c r="AY93" s="1133"/>
      <c r="AZ93" s="1133"/>
      <c r="BA93" s="1133"/>
      <c r="BB93" s="1133"/>
      <c r="BC93" s="1133"/>
      <c r="BD93" s="1133"/>
      <c r="BE93" s="1480"/>
      <c r="BF93" s="1480"/>
      <c r="BG93" s="1480"/>
      <c r="BH93" s="1480"/>
      <c r="BI93" s="1480"/>
      <c r="BJ93" s="1480"/>
    </row>
    <row r="94" spans="1:62" s="629" customFormat="1" ht="12.75" x14ac:dyDescent="0.2">
      <c r="A94" s="2365"/>
      <c r="B94" s="2366"/>
      <c r="C94" s="2023"/>
      <c r="D94" s="2023"/>
      <c r="E94" s="2023"/>
      <c r="F94" s="2023"/>
      <c r="G94" s="2006"/>
      <c r="H94" s="2367"/>
      <c r="I94" s="2023"/>
      <c r="J94" s="2023"/>
      <c r="K94" s="2347"/>
      <c r="L94" s="2369"/>
      <c r="M94" s="2006"/>
      <c r="N94" s="2347"/>
      <c r="O94" s="2347"/>
      <c r="P94" s="2367"/>
      <c r="Q94" s="2023"/>
      <c r="R94" s="2023"/>
      <c r="S94" s="2023"/>
      <c r="T94" s="2023"/>
      <c r="U94" s="1146" t="s">
        <v>3909</v>
      </c>
      <c r="V94" s="1137">
        <v>40940</v>
      </c>
      <c r="W94" s="1064">
        <v>10733</v>
      </c>
      <c r="X94" s="1146" t="s">
        <v>4016</v>
      </c>
      <c r="Y94" s="1137">
        <v>40945</v>
      </c>
      <c r="Z94" s="1137">
        <v>41274</v>
      </c>
      <c r="AA94" s="1138">
        <f>AC94/AE91</f>
        <v>1.239169321320017E-2</v>
      </c>
      <c r="AB94" s="1551"/>
      <c r="AC94" s="1139">
        <v>61355.06</v>
      </c>
      <c r="AD94" s="1139"/>
      <c r="AE94" s="1155">
        <f>AE91+AC94</f>
        <v>5012660.66</v>
      </c>
      <c r="AF94" s="2408"/>
      <c r="AG94" s="2369"/>
      <c r="AH94" s="1139">
        <f t="shared" si="1"/>
        <v>0</v>
      </c>
      <c r="AI94" s="1055"/>
      <c r="AJ94" s="1064"/>
      <c r="AK94" s="1055"/>
      <c r="AL94" s="1133"/>
      <c r="AM94" s="1055"/>
      <c r="AN94" s="1055"/>
      <c r="AO94" s="1064"/>
      <c r="AP94" s="1137"/>
      <c r="AQ94" s="1064"/>
      <c r="AR94" s="1137"/>
      <c r="AS94" s="1055"/>
      <c r="AT94" s="1133"/>
      <c r="AU94" s="1133"/>
      <c r="AV94" s="1133"/>
      <c r="AW94" s="1133"/>
      <c r="AX94" s="1133"/>
      <c r="AY94" s="1133"/>
      <c r="AZ94" s="1133"/>
      <c r="BA94" s="1133"/>
      <c r="BB94" s="1133"/>
      <c r="BC94" s="1133"/>
      <c r="BD94" s="1133"/>
      <c r="BE94" s="1480"/>
      <c r="BF94" s="1480"/>
      <c r="BG94" s="1480"/>
      <c r="BH94" s="1480"/>
      <c r="BI94" s="1480"/>
      <c r="BJ94" s="1480"/>
    </row>
    <row r="95" spans="1:62" s="629" customFormat="1" ht="12.75" x14ac:dyDescent="0.2">
      <c r="A95" s="2365"/>
      <c r="B95" s="2366"/>
      <c r="C95" s="2023"/>
      <c r="D95" s="2023"/>
      <c r="E95" s="2023"/>
      <c r="F95" s="2023"/>
      <c r="G95" s="2006"/>
      <c r="H95" s="2367"/>
      <c r="I95" s="2023"/>
      <c r="J95" s="2023"/>
      <c r="K95" s="2347"/>
      <c r="L95" s="2369"/>
      <c r="M95" s="2006"/>
      <c r="N95" s="2347"/>
      <c r="O95" s="2347"/>
      <c r="P95" s="2367"/>
      <c r="Q95" s="2023"/>
      <c r="R95" s="2023"/>
      <c r="S95" s="2023"/>
      <c r="T95" s="2023"/>
      <c r="U95" s="1146" t="s">
        <v>4017</v>
      </c>
      <c r="V95" s="1137">
        <v>41017</v>
      </c>
      <c r="W95" s="1064">
        <v>10867</v>
      </c>
      <c r="X95" s="1146" t="s">
        <v>4012</v>
      </c>
      <c r="Y95" s="1137">
        <v>41042</v>
      </c>
      <c r="Z95" s="1137">
        <v>41274</v>
      </c>
      <c r="AA95" s="1138"/>
      <c r="AB95" s="1551">
        <f>AD95/AE94</f>
        <v>1.3426741717641025E-2</v>
      </c>
      <c r="AC95" s="1138"/>
      <c r="AD95" s="1139">
        <v>67303.7</v>
      </c>
      <c r="AE95" s="1155">
        <f>AE94-AD95</f>
        <v>4945356.96</v>
      </c>
      <c r="AF95" s="2408"/>
      <c r="AG95" s="2369"/>
      <c r="AH95" s="1139">
        <f t="shared" si="1"/>
        <v>0</v>
      </c>
      <c r="AI95" s="1055"/>
      <c r="AJ95" s="1064"/>
      <c r="AK95" s="1055"/>
      <c r="AL95" s="1133"/>
      <c r="AM95" s="1055"/>
      <c r="AN95" s="1055"/>
      <c r="AO95" s="1064"/>
      <c r="AP95" s="1137"/>
      <c r="AQ95" s="1064"/>
      <c r="AR95" s="1137"/>
      <c r="AS95" s="1055"/>
      <c r="AT95" s="1133"/>
      <c r="AU95" s="1133"/>
      <c r="AV95" s="1133"/>
      <c r="AW95" s="1133"/>
      <c r="AX95" s="1133"/>
      <c r="AY95" s="1133"/>
      <c r="AZ95" s="1133"/>
      <c r="BA95" s="1133"/>
      <c r="BB95" s="1133"/>
      <c r="BC95" s="1133"/>
      <c r="BD95" s="1133"/>
      <c r="BE95" s="1480"/>
      <c r="BF95" s="1480"/>
      <c r="BG95" s="1480"/>
      <c r="BH95" s="1480"/>
      <c r="BI95" s="1480"/>
      <c r="BJ95" s="1480"/>
    </row>
    <row r="96" spans="1:62" s="629" customFormat="1" ht="12.75" x14ac:dyDescent="0.2">
      <c r="A96" s="2365"/>
      <c r="B96" s="2366"/>
      <c r="C96" s="2023"/>
      <c r="D96" s="2023"/>
      <c r="E96" s="2023"/>
      <c r="F96" s="2023"/>
      <c r="G96" s="2006"/>
      <c r="H96" s="2367"/>
      <c r="I96" s="2023"/>
      <c r="J96" s="2023"/>
      <c r="K96" s="2347"/>
      <c r="L96" s="2369"/>
      <c r="M96" s="2006"/>
      <c r="N96" s="2347"/>
      <c r="O96" s="2347"/>
      <c r="P96" s="2367"/>
      <c r="Q96" s="2023"/>
      <c r="R96" s="2023"/>
      <c r="S96" s="2023"/>
      <c r="T96" s="2023"/>
      <c r="U96" s="1146" t="s">
        <v>4018</v>
      </c>
      <c r="V96" s="1137">
        <v>41117</v>
      </c>
      <c r="W96" s="1064">
        <v>10868</v>
      </c>
      <c r="X96" s="1146" t="s">
        <v>4013</v>
      </c>
      <c r="Y96" s="1137">
        <v>41117</v>
      </c>
      <c r="Z96" s="1137">
        <v>41274</v>
      </c>
      <c r="AA96" s="1138">
        <f>AC96/AE95</f>
        <v>6.2231212527073074E-2</v>
      </c>
      <c r="AB96" s="1138"/>
      <c r="AC96" s="1139">
        <v>307755.56</v>
      </c>
      <c r="AD96" s="1139"/>
      <c r="AE96" s="1155">
        <f>AE95+AC96</f>
        <v>5253112.5199999996</v>
      </c>
      <c r="AF96" s="2408"/>
      <c r="AG96" s="2369"/>
      <c r="AH96" s="1139">
        <f t="shared" si="1"/>
        <v>0</v>
      </c>
      <c r="AI96" s="1055"/>
      <c r="AJ96" s="1064"/>
      <c r="AK96" s="1055"/>
      <c r="AL96" s="1133"/>
      <c r="AM96" s="1055"/>
      <c r="AN96" s="1055"/>
      <c r="AO96" s="1064"/>
      <c r="AP96" s="1137"/>
      <c r="AQ96" s="1064"/>
      <c r="AR96" s="1137"/>
      <c r="AS96" s="1055"/>
      <c r="AT96" s="1133"/>
      <c r="AU96" s="1133"/>
      <c r="AV96" s="1133"/>
      <c r="AW96" s="1133"/>
      <c r="AX96" s="1133"/>
      <c r="AY96" s="1133"/>
      <c r="AZ96" s="1133"/>
      <c r="BA96" s="1133"/>
      <c r="BB96" s="1133"/>
      <c r="BC96" s="1133"/>
      <c r="BD96" s="1133"/>
      <c r="BE96" s="1480"/>
      <c r="BF96" s="1480"/>
      <c r="BG96" s="1480"/>
      <c r="BH96" s="1480"/>
      <c r="BI96" s="1480"/>
      <c r="BJ96" s="1480"/>
    </row>
    <row r="97" spans="1:62" s="629" customFormat="1" ht="12.75" x14ac:dyDescent="0.2">
      <c r="A97" s="2365"/>
      <c r="B97" s="2366"/>
      <c r="C97" s="2023"/>
      <c r="D97" s="2023"/>
      <c r="E97" s="2023"/>
      <c r="F97" s="2023"/>
      <c r="G97" s="2006"/>
      <c r="H97" s="2367"/>
      <c r="I97" s="2023"/>
      <c r="J97" s="2023"/>
      <c r="K97" s="2347"/>
      <c r="L97" s="2369"/>
      <c r="M97" s="2006"/>
      <c r="N97" s="2347"/>
      <c r="O97" s="2347"/>
      <c r="P97" s="2367"/>
      <c r="Q97" s="2023"/>
      <c r="R97" s="2023"/>
      <c r="S97" s="2023"/>
      <c r="T97" s="2023"/>
      <c r="U97" s="1146" t="s">
        <v>4019</v>
      </c>
      <c r="V97" s="1137">
        <v>41255</v>
      </c>
      <c r="W97" s="1064">
        <v>10952</v>
      </c>
      <c r="X97" s="1146" t="s">
        <v>3907</v>
      </c>
      <c r="Y97" s="1137">
        <v>41275</v>
      </c>
      <c r="Z97" s="1137">
        <v>41639</v>
      </c>
      <c r="AA97" s="1138"/>
      <c r="AB97" s="1138"/>
      <c r="AC97" s="1139"/>
      <c r="AD97" s="1139"/>
      <c r="AE97" s="1155"/>
      <c r="AF97" s="2408"/>
      <c r="AG97" s="2369"/>
      <c r="AH97" s="1139">
        <f t="shared" si="1"/>
        <v>0</v>
      </c>
      <c r="AI97" s="1055"/>
      <c r="AJ97" s="1064"/>
      <c r="AK97" s="1055"/>
      <c r="AL97" s="1133"/>
      <c r="AM97" s="1055"/>
      <c r="AN97" s="1055"/>
      <c r="AO97" s="1064"/>
      <c r="AP97" s="1137"/>
      <c r="AQ97" s="1064"/>
      <c r="AR97" s="1137"/>
      <c r="AS97" s="1055"/>
      <c r="AT97" s="1133"/>
      <c r="AU97" s="1133"/>
      <c r="AV97" s="1133"/>
      <c r="AW97" s="1133"/>
      <c r="AX97" s="1133"/>
      <c r="AY97" s="1133"/>
      <c r="AZ97" s="1133"/>
      <c r="BA97" s="1133"/>
      <c r="BB97" s="1133"/>
      <c r="BC97" s="1133"/>
      <c r="BD97" s="1133"/>
      <c r="BE97" s="1480"/>
      <c r="BF97" s="1480"/>
      <c r="BG97" s="1480"/>
      <c r="BH97" s="1480"/>
      <c r="BI97" s="1480"/>
      <c r="BJ97" s="1480"/>
    </row>
    <row r="98" spans="1:62" s="629" customFormat="1" ht="12.75" x14ac:dyDescent="0.2">
      <c r="A98" s="2365"/>
      <c r="B98" s="2366"/>
      <c r="C98" s="2023"/>
      <c r="D98" s="2023"/>
      <c r="E98" s="2023"/>
      <c r="F98" s="2023"/>
      <c r="G98" s="2006"/>
      <c r="H98" s="2367"/>
      <c r="I98" s="2023"/>
      <c r="J98" s="2023"/>
      <c r="K98" s="2347"/>
      <c r="L98" s="2369"/>
      <c r="M98" s="2006"/>
      <c r="N98" s="2347"/>
      <c r="O98" s="2347"/>
      <c r="P98" s="2367"/>
      <c r="Q98" s="2023"/>
      <c r="R98" s="2023"/>
      <c r="S98" s="2023"/>
      <c r="T98" s="2023"/>
      <c r="U98" s="1146" t="s">
        <v>4020</v>
      </c>
      <c r="V98" s="1137">
        <v>41327</v>
      </c>
      <c r="W98" s="1064">
        <v>11014</v>
      </c>
      <c r="X98" s="1146" t="s">
        <v>4016</v>
      </c>
      <c r="Y98" s="1137">
        <v>41330</v>
      </c>
      <c r="Z98" s="1137">
        <v>41639</v>
      </c>
      <c r="AA98" s="1138">
        <f>AC98/AE96</f>
        <v>5.763425185493648E-2</v>
      </c>
      <c r="AB98" s="1138"/>
      <c r="AC98" s="1139">
        <v>302759.21000000002</v>
      </c>
      <c r="AD98" s="1139"/>
      <c r="AE98" s="1155">
        <f>AE96+AC98</f>
        <v>5555871.7299999995</v>
      </c>
      <c r="AF98" s="2408"/>
      <c r="AG98" s="2369"/>
      <c r="AH98" s="1139">
        <f t="shared" si="1"/>
        <v>0</v>
      </c>
      <c r="AI98" s="1055"/>
      <c r="AJ98" s="1064"/>
      <c r="AK98" s="1055"/>
      <c r="AL98" s="1133"/>
      <c r="AM98" s="1055"/>
      <c r="AN98" s="1055"/>
      <c r="AO98" s="1064"/>
      <c r="AP98" s="1137"/>
      <c r="AQ98" s="1064"/>
      <c r="AR98" s="1137"/>
      <c r="AS98" s="1055"/>
      <c r="AT98" s="1133"/>
      <c r="AU98" s="1133"/>
      <c r="AV98" s="1133"/>
      <c r="AW98" s="1133"/>
      <c r="AX98" s="1133"/>
      <c r="AY98" s="1133"/>
      <c r="AZ98" s="1133"/>
      <c r="BA98" s="1133"/>
      <c r="BB98" s="1133"/>
      <c r="BC98" s="1133"/>
      <c r="BD98" s="1133"/>
      <c r="BE98" s="1480"/>
      <c r="BF98" s="1480"/>
      <c r="BG98" s="1480"/>
      <c r="BH98" s="1480"/>
      <c r="BI98" s="1480"/>
      <c r="BJ98" s="1480"/>
    </row>
    <row r="99" spans="1:62" s="629" customFormat="1" ht="12.75" x14ac:dyDescent="0.2">
      <c r="A99" s="2365"/>
      <c r="B99" s="2366"/>
      <c r="C99" s="2023"/>
      <c r="D99" s="2023"/>
      <c r="E99" s="2023"/>
      <c r="F99" s="2023"/>
      <c r="G99" s="2006"/>
      <c r="H99" s="2367"/>
      <c r="I99" s="2023"/>
      <c r="J99" s="2023"/>
      <c r="K99" s="2347"/>
      <c r="L99" s="2369"/>
      <c r="M99" s="2006"/>
      <c r="N99" s="2347"/>
      <c r="O99" s="2347"/>
      <c r="P99" s="2367"/>
      <c r="Q99" s="2023"/>
      <c r="R99" s="2023"/>
      <c r="S99" s="2023"/>
      <c r="T99" s="2023"/>
      <c r="U99" s="1146" t="s">
        <v>4021</v>
      </c>
      <c r="V99" s="1137">
        <v>41522</v>
      </c>
      <c r="W99" s="1064">
        <v>11141</v>
      </c>
      <c r="X99" s="1146" t="s">
        <v>4013</v>
      </c>
      <c r="Y99" s="1137">
        <v>41276</v>
      </c>
      <c r="Z99" s="1137">
        <v>41639</v>
      </c>
      <c r="AA99" s="1138">
        <f>AC99/AE98</f>
        <v>0.10095676560912971</v>
      </c>
      <c r="AB99" s="1138"/>
      <c r="AC99" s="1139">
        <v>560902.84</v>
      </c>
      <c r="AD99" s="1139"/>
      <c r="AE99" s="1155">
        <f>AE98+AC99</f>
        <v>6116774.5699999994</v>
      </c>
      <c r="AF99" s="2408"/>
      <c r="AG99" s="2369"/>
      <c r="AH99" s="1139">
        <f t="shared" si="1"/>
        <v>0</v>
      </c>
      <c r="AI99" s="1055"/>
      <c r="AJ99" s="1064"/>
      <c r="AK99" s="1055"/>
      <c r="AL99" s="1133"/>
      <c r="AM99" s="1055"/>
      <c r="AN99" s="1055"/>
      <c r="AO99" s="1064"/>
      <c r="AP99" s="1137"/>
      <c r="AQ99" s="1064"/>
      <c r="AR99" s="1137"/>
      <c r="AS99" s="1055"/>
      <c r="AT99" s="1133"/>
      <c r="AU99" s="1133"/>
      <c r="AV99" s="1133"/>
      <c r="AW99" s="1133"/>
      <c r="AX99" s="1133"/>
      <c r="AY99" s="1133"/>
      <c r="AZ99" s="1133"/>
      <c r="BA99" s="1133"/>
      <c r="BB99" s="1133"/>
      <c r="BC99" s="1133"/>
      <c r="BD99" s="1133"/>
      <c r="BE99" s="1480"/>
      <c r="BF99" s="1480"/>
      <c r="BG99" s="1480"/>
      <c r="BH99" s="1480"/>
      <c r="BI99" s="1480"/>
      <c r="BJ99" s="1480"/>
    </row>
    <row r="100" spans="1:62" s="629" customFormat="1" ht="12.75" x14ac:dyDescent="0.2">
      <c r="A100" s="2365"/>
      <c r="B100" s="2366"/>
      <c r="C100" s="2023"/>
      <c r="D100" s="2023"/>
      <c r="E100" s="2023"/>
      <c r="F100" s="2023"/>
      <c r="G100" s="2006"/>
      <c r="H100" s="2367"/>
      <c r="I100" s="2023"/>
      <c r="J100" s="2023"/>
      <c r="K100" s="2347"/>
      <c r="L100" s="2369"/>
      <c r="M100" s="2006"/>
      <c r="N100" s="2347"/>
      <c r="O100" s="2347"/>
      <c r="P100" s="2367"/>
      <c r="Q100" s="2023"/>
      <c r="R100" s="2023"/>
      <c r="S100" s="2023"/>
      <c r="T100" s="2023"/>
      <c r="U100" s="1146" t="s">
        <v>4022</v>
      </c>
      <c r="V100" s="1137">
        <v>41631</v>
      </c>
      <c r="W100" s="1064">
        <v>11219</v>
      </c>
      <c r="X100" s="1146" t="s">
        <v>3907</v>
      </c>
      <c r="Y100" s="1137">
        <v>41640</v>
      </c>
      <c r="Z100" s="1137">
        <v>42004</v>
      </c>
      <c r="AA100" s="1138"/>
      <c r="AB100" s="1138"/>
      <c r="AC100" s="1139"/>
      <c r="AD100" s="1139"/>
      <c r="AE100" s="1155"/>
      <c r="AF100" s="2408"/>
      <c r="AG100" s="2369"/>
      <c r="AH100" s="1139">
        <f t="shared" si="1"/>
        <v>0</v>
      </c>
      <c r="AI100" s="1055"/>
      <c r="AJ100" s="1064"/>
      <c r="AK100" s="1055"/>
      <c r="AL100" s="1133"/>
      <c r="AM100" s="1055"/>
      <c r="AN100" s="1055"/>
      <c r="AO100" s="1064"/>
      <c r="AP100" s="1137"/>
      <c r="AQ100" s="1064"/>
      <c r="AR100" s="1137"/>
      <c r="AS100" s="1055"/>
      <c r="AT100" s="1133"/>
      <c r="AU100" s="1133"/>
      <c r="AV100" s="1133"/>
      <c r="AW100" s="1133"/>
      <c r="AX100" s="1133"/>
      <c r="AY100" s="1133"/>
      <c r="AZ100" s="1133"/>
      <c r="BA100" s="1133"/>
      <c r="BB100" s="1133"/>
      <c r="BC100" s="1133"/>
      <c r="BD100" s="1133"/>
      <c r="BE100" s="1480"/>
      <c r="BF100" s="1480"/>
      <c r="BG100" s="1480"/>
      <c r="BH100" s="1480"/>
      <c r="BI100" s="1480"/>
      <c r="BJ100" s="1480"/>
    </row>
    <row r="101" spans="1:62" s="629" customFormat="1" ht="12.75" x14ac:dyDescent="0.2">
      <c r="A101" s="2365"/>
      <c r="B101" s="2366"/>
      <c r="C101" s="2023"/>
      <c r="D101" s="2023"/>
      <c r="E101" s="2023"/>
      <c r="F101" s="2023"/>
      <c r="G101" s="2006"/>
      <c r="H101" s="2367"/>
      <c r="I101" s="2023"/>
      <c r="J101" s="2023"/>
      <c r="K101" s="2347"/>
      <c r="L101" s="2369"/>
      <c r="M101" s="2006"/>
      <c r="N101" s="2347"/>
      <c r="O101" s="2347"/>
      <c r="P101" s="2367"/>
      <c r="Q101" s="2023"/>
      <c r="R101" s="2023"/>
      <c r="S101" s="2023"/>
      <c r="T101" s="2023"/>
      <c r="U101" s="1146" t="s">
        <v>4023</v>
      </c>
      <c r="V101" s="1137">
        <v>41677</v>
      </c>
      <c r="W101" s="1064">
        <v>11253</v>
      </c>
      <c r="X101" s="1146" t="s">
        <v>4012</v>
      </c>
      <c r="Y101" s="1137">
        <v>41677</v>
      </c>
      <c r="Z101" s="1137">
        <v>42004</v>
      </c>
      <c r="AA101" s="1551"/>
      <c r="AB101" s="1138">
        <f>AD101/AE99</f>
        <v>3.5193528474272352E-2</v>
      </c>
      <c r="AC101" s="1139"/>
      <c r="AD101" s="1139">
        <f>19570.08*11</f>
        <v>215270.88</v>
      </c>
      <c r="AE101" s="1155">
        <f>AE99-AD101</f>
        <v>5901503.6899999995</v>
      </c>
      <c r="AF101" s="2408"/>
      <c r="AG101" s="2369"/>
      <c r="AH101" s="1139">
        <f t="shared" si="1"/>
        <v>0</v>
      </c>
      <c r="AI101" s="1055"/>
      <c r="AJ101" s="1064"/>
      <c r="AK101" s="1055"/>
      <c r="AL101" s="1133"/>
      <c r="AM101" s="1055"/>
      <c r="AN101" s="1055"/>
      <c r="AO101" s="1064"/>
      <c r="AP101" s="1137"/>
      <c r="AQ101" s="1064"/>
      <c r="AR101" s="1137"/>
      <c r="AS101" s="1055"/>
      <c r="AT101" s="1133"/>
      <c r="AU101" s="1133"/>
      <c r="AV101" s="1133"/>
      <c r="AW101" s="1133"/>
      <c r="AX101" s="1133"/>
      <c r="AY101" s="1133"/>
      <c r="AZ101" s="1133"/>
      <c r="BA101" s="1133"/>
      <c r="BB101" s="1133"/>
      <c r="BC101" s="1133"/>
      <c r="BD101" s="1133"/>
      <c r="BE101" s="1480"/>
      <c r="BF101" s="1480"/>
      <c r="BG101" s="1480"/>
      <c r="BH101" s="1480"/>
      <c r="BI101" s="1480"/>
      <c r="BJ101" s="1480"/>
    </row>
    <row r="102" spans="1:62" s="629" customFormat="1" ht="16.5" customHeight="1" x14ac:dyDescent="0.2">
      <c r="A102" s="2365">
        <v>25</v>
      </c>
      <c r="B102" s="2366" t="s">
        <v>4024</v>
      </c>
      <c r="C102" s="2023" t="s">
        <v>4025</v>
      </c>
      <c r="D102" s="2023" t="s">
        <v>615</v>
      </c>
      <c r="E102" s="2023" t="s">
        <v>584</v>
      </c>
      <c r="F102" s="2023" t="s">
        <v>3901</v>
      </c>
      <c r="G102" s="2006">
        <v>10534</v>
      </c>
      <c r="H102" s="2367" t="s">
        <v>4026</v>
      </c>
      <c r="I102" s="2023" t="s">
        <v>4027</v>
      </c>
      <c r="J102" s="2023" t="s">
        <v>4028</v>
      </c>
      <c r="K102" s="2347">
        <v>40658</v>
      </c>
      <c r="L102" s="2369">
        <v>9600</v>
      </c>
      <c r="M102" s="2006">
        <v>10543</v>
      </c>
      <c r="N102" s="2347">
        <v>40665</v>
      </c>
      <c r="O102" s="2347">
        <v>40908</v>
      </c>
      <c r="P102" s="2367" t="s">
        <v>3905</v>
      </c>
      <c r="Q102" s="2023"/>
      <c r="R102" s="2023"/>
      <c r="S102" s="2023"/>
      <c r="T102" s="2023" t="s">
        <v>158</v>
      </c>
      <c r="U102" s="1146"/>
      <c r="V102" s="1137"/>
      <c r="W102" s="1064"/>
      <c r="X102" s="1146"/>
      <c r="Y102" s="1055"/>
      <c r="Z102" s="1055"/>
      <c r="AA102" s="1138"/>
      <c r="AB102" s="1055"/>
      <c r="AC102" s="1139"/>
      <c r="AD102" s="1139"/>
      <c r="AE102" s="1155"/>
      <c r="AF102" s="2368">
        <v>38400</v>
      </c>
      <c r="AG102" s="2343">
        <v>15166.4</v>
      </c>
      <c r="AH102" s="1139">
        <f t="shared" si="1"/>
        <v>53566.400000000001</v>
      </c>
      <c r="AI102" s="1055"/>
      <c r="AJ102" s="1064"/>
      <c r="AK102" s="1055"/>
      <c r="AL102" s="1133"/>
      <c r="AM102" s="1055"/>
      <c r="AN102" s="1055"/>
      <c r="AO102" s="1064"/>
      <c r="AP102" s="1137"/>
      <c r="AQ102" s="1064"/>
      <c r="AR102" s="1137"/>
      <c r="AS102" s="1055"/>
      <c r="AT102" s="1133"/>
      <c r="AU102" s="1133"/>
      <c r="AV102" s="1133"/>
      <c r="AW102" s="1133"/>
      <c r="AX102" s="1133"/>
      <c r="AY102" s="1133"/>
      <c r="AZ102" s="1133"/>
      <c r="BA102" s="1133"/>
      <c r="BB102" s="1133"/>
      <c r="BC102" s="1133"/>
      <c r="BD102" s="1133"/>
      <c r="BE102" s="1480"/>
      <c r="BF102" s="1480"/>
      <c r="BG102" s="1480"/>
      <c r="BH102" s="1480"/>
      <c r="BI102" s="1480"/>
      <c r="BJ102" s="1480"/>
    </row>
    <row r="103" spans="1:62" s="629" customFormat="1" ht="12.75" x14ac:dyDescent="0.2">
      <c r="A103" s="2365"/>
      <c r="B103" s="2366"/>
      <c r="C103" s="2023"/>
      <c r="D103" s="2023"/>
      <c r="E103" s="2023"/>
      <c r="F103" s="2023"/>
      <c r="G103" s="2006"/>
      <c r="H103" s="2367"/>
      <c r="I103" s="2023"/>
      <c r="J103" s="2023"/>
      <c r="K103" s="2347"/>
      <c r="L103" s="2369"/>
      <c r="M103" s="2006"/>
      <c r="N103" s="2347"/>
      <c r="O103" s="2347"/>
      <c r="P103" s="2367"/>
      <c r="Q103" s="2023"/>
      <c r="R103" s="2023"/>
      <c r="S103" s="2023"/>
      <c r="T103" s="2023"/>
      <c r="U103" s="1146" t="s">
        <v>3906</v>
      </c>
      <c r="V103" s="1137">
        <v>40878</v>
      </c>
      <c r="W103" s="1064">
        <v>10694</v>
      </c>
      <c r="X103" s="1146" t="s">
        <v>3907</v>
      </c>
      <c r="Y103" s="1137">
        <v>40909</v>
      </c>
      <c r="Z103" s="1137">
        <v>41274</v>
      </c>
      <c r="AA103" s="1138"/>
      <c r="AB103" s="1055"/>
      <c r="AC103" s="1139">
        <f>1200*5</f>
        <v>6000</v>
      </c>
      <c r="AD103" s="1139"/>
      <c r="AE103" s="1155">
        <f>AC103+L102</f>
        <v>15600</v>
      </c>
      <c r="AF103" s="2368"/>
      <c r="AG103" s="2343"/>
      <c r="AH103" s="1139">
        <f t="shared" si="1"/>
        <v>0</v>
      </c>
      <c r="AI103" s="1055"/>
      <c r="AJ103" s="1064"/>
      <c r="AK103" s="1055"/>
      <c r="AL103" s="1133"/>
      <c r="AM103" s="1055"/>
      <c r="AN103" s="1055"/>
      <c r="AO103" s="1064"/>
      <c r="AP103" s="1137"/>
      <c r="AQ103" s="1064"/>
      <c r="AR103" s="1137"/>
      <c r="AS103" s="1055"/>
      <c r="AT103" s="1133"/>
      <c r="AU103" s="1133"/>
      <c r="AV103" s="1133"/>
      <c r="AW103" s="1133"/>
      <c r="AX103" s="1133"/>
      <c r="AY103" s="1133"/>
      <c r="AZ103" s="1133"/>
      <c r="BA103" s="1133"/>
      <c r="BB103" s="1133"/>
      <c r="BC103" s="1133"/>
      <c r="BD103" s="1133"/>
      <c r="BE103" s="1480"/>
      <c r="BF103" s="1480"/>
      <c r="BG103" s="1480"/>
      <c r="BH103" s="1480"/>
      <c r="BI103" s="1480"/>
      <c r="BJ103" s="1480"/>
    </row>
    <row r="104" spans="1:62" s="629" customFormat="1" ht="12.75" x14ac:dyDescent="0.2">
      <c r="A104" s="2365"/>
      <c r="B104" s="2366"/>
      <c r="C104" s="2023"/>
      <c r="D104" s="2023"/>
      <c r="E104" s="2023"/>
      <c r="F104" s="2023"/>
      <c r="G104" s="2006"/>
      <c r="H104" s="2367"/>
      <c r="I104" s="2023"/>
      <c r="J104" s="2023"/>
      <c r="K104" s="2347"/>
      <c r="L104" s="2369"/>
      <c r="M104" s="2006"/>
      <c r="N104" s="2347"/>
      <c r="O104" s="2347"/>
      <c r="P104" s="2367"/>
      <c r="Q104" s="2023"/>
      <c r="R104" s="2023"/>
      <c r="S104" s="2023"/>
      <c r="T104" s="2023"/>
      <c r="U104" s="1146" t="s">
        <v>3891</v>
      </c>
      <c r="V104" s="1137">
        <v>41256</v>
      </c>
      <c r="W104" s="1064">
        <v>10972</v>
      </c>
      <c r="X104" s="1146" t="s">
        <v>3955</v>
      </c>
      <c r="Y104" s="1137">
        <v>41275</v>
      </c>
      <c r="Z104" s="1137">
        <v>41639</v>
      </c>
      <c r="AA104" s="1138"/>
      <c r="AB104" s="1055"/>
      <c r="AC104" s="1139"/>
      <c r="AD104" s="1139"/>
      <c r="AE104" s="1155"/>
      <c r="AF104" s="2368"/>
      <c r="AG104" s="2343"/>
      <c r="AH104" s="1139">
        <f t="shared" si="1"/>
        <v>0</v>
      </c>
      <c r="AI104" s="1055"/>
      <c r="AJ104" s="1064"/>
      <c r="AK104" s="1055"/>
      <c r="AL104" s="1133"/>
      <c r="AM104" s="1055"/>
      <c r="AN104" s="1055"/>
      <c r="AO104" s="1064"/>
      <c r="AP104" s="1137"/>
      <c r="AQ104" s="1064"/>
      <c r="AR104" s="1137"/>
      <c r="AS104" s="1055"/>
      <c r="AT104" s="1133"/>
      <c r="AU104" s="1133"/>
      <c r="AV104" s="1133"/>
      <c r="AW104" s="1133"/>
      <c r="AX104" s="1133"/>
      <c r="AY104" s="1133"/>
      <c r="AZ104" s="1133"/>
      <c r="BA104" s="1133"/>
      <c r="BB104" s="1133"/>
      <c r="BC104" s="1133"/>
      <c r="BD104" s="1133"/>
      <c r="BE104" s="1480"/>
      <c r="BF104" s="1480"/>
      <c r="BG104" s="1480"/>
      <c r="BH104" s="1480"/>
      <c r="BI104" s="1480"/>
      <c r="BJ104" s="1480"/>
    </row>
    <row r="105" spans="1:62" s="629" customFormat="1" ht="12.75" x14ac:dyDescent="0.2">
      <c r="A105" s="2365"/>
      <c r="B105" s="2366"/>
      <c r="C105" s="2023"/>
      <c r="D105" s="2023"/>
      <c r="E105" s="2023"/>
      <c r="F105" s="2023"/>
      <c r="G105" s="2006"/>
      <c r="H105" s="2367"/>
      <c r="I105" s="2023"/>
      <c r="J105" s="2023"/>
      <c r="K105" s="2347"/>
      <c r="L105" s="2369"/>
      <c r="M105" s="2006"/>
      <c r="N105" s="2347"/>
      <c r="O105" s="2347"/>
      <c r="P105" s="2367"/>
      <c r="Q105" s="2023"/>
      <c r="R105" s="2023"/>
      <c r="S105" s="2023"/>
      <c r="T105" s="2023"/>
      <c r="U105" s="1146" t="s">
        <v>3908</v>
      </c>
      <c r="V105" s="1137">
        <v>41631</v>
      </c>
      <c r="W105" s="1064">
        <v>11224</v>
      </c>
      <c r="X105" s="1146" t="s">
        <v>3955</v>
      </c>
      <c r="Y105" s="1137">
        <v>41640</v>
      </c>
      <c r="Z105" s="1137">
        <v>41820</v>
      </c>
      <c r="AA105" s="542"/>
      <c r="AB105" s="1055"/>
      <c r="AC105" s="1139"/>
      <c r="AD105" s="1139"/>
      <c r="AE105" s="1155"/>
      <c r="AF105" s="2368"/>
      <c r="AG105" s="2343"/>
      <c r="AH105" s="1139">
        <f t="shared" si="1"/>
        <v>0</v>
      </c>
      <c r="AI105" s="1055"/>
      <c r="AJ105" s="1064"/>
      <c r="AK105" s="1055"/>
      <c r="AL105" s="1133"/>
      <c r="AM105" s="1055"/>
      <c r="AN105" s="1055"/>
      <c r="AO105" s="1064"/>
      <c r="AP105" s="1137"/>
      <c r="AQ105" s="1064"/>
      <c r="AR105" s="1137"/>
      <c r="AS105" s="1055"/>
      <c r="AT105" s="1133"/>
      <c r="AU105" s="1133"/>
      <c r="AV105" s="1133"/>
      <c r="AW105" s="1133"/>
      <c r="AX105" s="1133"/>
      <c r="AY105" s="1133"/>
      <c r="AZ105" s="1133"/>
      <c r="BA105" s="1133"/>
      <c r="BB105" s="1133"/>
      <c r="BC105" s="1133"/>
      <c r="BD105" s="1133"/>
      <c r="BE105" s="1480"/>
      <c r="BF105" s="1480"/>
      <c r="BG105" s="1480"/>
      <c r="BH105" s="1480"/>
      <c r="BI105" s="1480"/>
      <c r="BJ105" s="1480"/>
    </row>
    <row r="106" spans="1:62" s="629" customFormat="1" ht="13.5" customHeight="1" x14ac:dyDescent="0.2">
      <c r="A106" s="2365"/>
      <c r="B106" s="2366"/>
      <c r="C106" s="2023"/>
      <c r="D106" s="2023"/>
      <c r="E106" s="2023"/>
      <c r="F106" s="2023"/>
      <c r="G106" s="2006"/>
      <c r="H106" s="2367"/>
      <c r="I106" s="2023"/>
      <c r="J106" s="2023"/>
      <c r="K106" s="2347"/>
      <c r="L106" s="2369"/>
      <c r="M106" s="2006"/>
      <c r="N106" s="2347"/>
      <c r="O106" s="2347"/>
      <c r="P106" s="2367"/>
      <c r="Q106" s="2023"/>
      <c r="R106" s="2023"/>
      <c r="S106" s="2023"/>
      <c r="T106" s="2023"/>
      <c r="U106" s="1146" t="s">
        <v>3928</v>
      </c>
      <c r="V106" s="1137">
        <v>41767</v>
      </c>
      <c r="W106" s="1064">
        <v>11301</v>
      </c>
      <c r="X106" s="1146" t="s">
        <v>3929</v>
      </c>
      <c r="Y106" s="1137">
        <v>41761</v>
      </c>
      <c r="Z106" s="1137">
        <v>41820</v>
      </c>
      <c r="AA106" s="537">
        <f>95.8/1200</f>
        <v>7.9833333333333326E-2</v>
      </c>
      <c r="AB106" s="1055"/>
      <c r="AC106" s="1139">
        <f>95.8*2</f>
        <v>191.6</v>
      </c>
      <c r="AD106" s="1139"/>
      <c r="AE106" s="1155">
        <f>AE103+AC106</f>
        <v>15791.6</v>
      </c>
      <c r="AF106" s="2368"/>
      <c r="AG106" s="2343"/>
      <c r="AH106" s="1139">
        <f t="shared" si="1"/>
        <v>0</v>
      </c>
      <c r="AI106" s="1055"/>
      <c r="AJ106" s="1064"/>
      <c r="AK106" s="1055"/>
      <c r="AL106" s="1133"/>
      <c r="AM106" s="1055"/>
      <c r="AN106" s="1055"/>
      <c r="AO106" s="1064"/>
      <c r="AP106" s="1137"/>
      <c r="AQ106" s="1064"/>
      <c r="AR106" s="1137"/>
      <c r="AS106" s="1055"/>
      <c r="AT106" s="1133"/>
      <c r="AU106" s="1133"/>
      <c r="AV106" s="1133"/>
      <c r="AW106" s="1133"/>
      <c r="AX106" s="1133"/>
      <c r="AY106" s="1133"/>
      <c r="AZ106" s="1133"/>
      <c r="BA106" s="1133"/>
      <c r="BB106" s="1133"/>
      <c r="BC106" s="1133"/>
      <c r="BD106" s="1133"/>
      <c r="BE106" s="1480"/>
      <c r="BF106" s="1480"/>
      <c r="BG106" s="1480"/>
      <c r="BH106" s="1480"/>
      <c r="BI106" s="1480"/>
      <c r="BJ106" s="1480"/>
    </row>
    <row r="107" spans="1:62" s="1554" customFormat="1" ht="12.75" x14ac:dyDescent="0.2">
      <c r="A107" s="2365"/>
      <c r="B107" s="2366"/>
      <c r="C107" s="2023"/>
      <c r="D107" s="2023"/>
      <c r="E107" s="2023"/>
      <c r="F107" s="2023"/>
      <c r="G107" s="2006"/>
      <c r="H107" s="2367"/>
      <c r="I107" s="2023"/>
      <c r="J107" s="2023"/>
      <c r="K107" s="2347"/>
      <c r="L107" s="2369"/>
      <c r="M107" s="2006"/>
      <c r="N107" s="2347"/>
      <c r="O107" s="2347"/>
      <c r="P107" s="2367"/>
      <c r="Q107" s="2023"/>
      <c r="R107" s="2023"/>
      <c r="S107" s="2023"/>
      <c r="T107" s="2023"/>
      <c r="U107" s="1146" t="s">
        <v>3893</v>
      </c>
      <c r="V107" s="1137">
        <v>41815</v>
      </c>
      <c r="W107" s="1064">
        <v>11341</v>
      </c>
      <c r="X107" s="1146" t="s">
        <v>4029</v>
      </c>
      <c r="Y107" s="1137">
        <v>41821</v>
      </c>
      <c r="Z107" s="1137">
        <v>42004</v>
      </c>
      <c r="AA107" s="542">
        <f>95.8/1200</f>
        <v>7.9833333333333326E-2</v>
      </c>
      <c r="AB107" s="1055"/>
      <c r="AC107" s="1139">
        <f>95.8*6</f>
        <v>574.79999999999995</v>
      </c>
      <c r="AD107" s="1139"/>
      <c r="AE107" s="1155">
        <f>AE106+AC107</f>
        <v>16366.4</v>
      </c>
      <c r="AF107" s="2368"/>
      <c r="AG107" s="2343"/>
      <c r="AH107" s="1139">
        <f t="shared" si="1"/>
        <v>0</v>
      </c>
      <c r="AI107" s="1055"/>
      <c r="AJ107" s="1064"/>
      <c r="AK107" s="1055"/>
      <c r="AL107" s="1133"/>
      <c r="AM107" s="1055"/>
      <c r="AN107" s="1055"/>
      <c r="AO107" s="1064"/>
      <c r="AP107" s="1137"/>
      <c r="AQ107" s="1064"/>
      <c r="AR107" s="1137"/>
      <c r="AS107" s="1055"/>
      <c r="AT107" s="1133"/>
      <c r="AU107" s="1133"/>
      <c r="AV107" s="1133"/>
      <c r="AW107" s="1133"/>
      <c r="AX107" s="1133"/>
      <c r="AY107" s="1133"/>
      <c r="AZ107" s="1133"/>
      <c r="BA107" s="1133"/>
      <c r="BB107" s="1133"/>
      <c r="BC107" s="1133"/>
      <c r="BD107" s="1133"/>
      <c r="BE107" s="1553"/>
      <c r="BF107" s="1553"/>
      <c r="BG107" s="1553"/>
      <c r="BH107" s="1553"/>
      <c r="BI107" s="1553"/>
      <c r="BJ107" s="1553"/>
    </row>
    <row r="108" spans="1:62" s="629" customFormat="1" ht="45" customHeight="1" x14ac:dyDescent="0.2">
      <c r="A108" s="2365">
        <v>26</v>
      </c>
      <c r="B108" s="2366" t="s">
        <v>626</v>
      </c>
      <c r="C108" s="2023" t="s">
        <v>4030</v>
      </c>
      <c r="D108" s="2023" t="s">
        <v>615</v>
      </c>
      <c r="E108" s="2023" t="s">
        <v>584</v>
      </c>
      <c r="F108" s="2023" t="s">
        <v>4031</v>
      </c>
      <c r="G108" s="2006">
        <v>10548</v>
      </c>
      <c r="H108" s="2367" t="s">
        <v>4032</v>
      </c>
      <c r="I108" s="2023" t="s">
        <v>1590</v>
      </c>
      <c r="J108" s="2023" t="s">
        <v>639</v>
      </c>
      <c r="K108" s="2347">
        <v>41653</v>
      </c>
      <c r="L108" s="2369">
        <v>169969.5</v>
      </c>
      <c r="M108" s="2006">
        <v>10642</v>
      </c>
      <c r="N108" s="2347">
        <v>40763</v>
      </c>
      <c r="O108" s="2347">
        <v>41152</v>
      </c>
      <c r="P108" s="2367" t="s">
        <v>3905</v>
      </c>
      <c r="Q108" s="2023"/>
      <c r="R108" s="2023"/>
      <c r="S108" s="2023"/>
      <c r="T108" s="2023" t="s">
        <v>208</v>
      </c>
      <c r="U108" s="1146"/>
      <c r="V108" s="1055"/>
      <c r="W108" s="1064"/>
      <c r="X108" s="1146"/>
      <c r="Y108" s="1055"/>
      <c r="Z108" s="1055"/>
      <c r="AA108" s="1138"/>
      <c r="AB108" s="1055"/>
      <c r="AC108" s="1139"/>
      <c r="AD108" s="1139"/>
      <c r="AE108" s="1155"/>
      <c r="AF108" s="525">
        <v>472234.5</v>
      </c>
      <c r="AG108" s="1150">
        <v>115976</v>
      </c>
      <c r="AH108" s="1139">
        <f t="shared" si="1"/>
        <v>588210.5</v>
      </c>
      <c r="AI108" s="1055"/>
      <c r="AJ108" s="1064"/>
      <c r="AK108" s="1055"/>
      <c r="AL108" s="1133"/>
      <c r="AM108" s="1055"/>
      <c r="AN108" s="1055"/>
      <c r="AO108" s="1064"/>
      <c r="AP108" s="1137"/>
      <c r="AQ108" s="1064"/>
      <c r="AR108" s="1137"/>
      <c r="AS108" s="1055"/>
      <c r="AT108" s="1133"/>
      <c r="AU108" s="1133"/>
      <c r="AV108" s="1133"/>
      <c r="AW108" s="1133"/>
      <c r="AX108" s="1133"/>
      <c r="AY108" s="1133"/>
      <c r="AZ108" s="1133"/>
      <c r="BA108" s="1133"/>
      <c r="BB108" s="1133"/>
      <c r="BC108" s="1133"/>
      <c r="BD108" s="1133"/>
      <c r="BE108" s="1480"/>
      <c r="BF108" s="1480"/>
      <c r="BG108" s="1480"/>
      <c r="BH108" s="1480"/>
      <c r="BI108" s="1480"/>
      <c r="BJ108" s="1480"/>
    </row>
    <row r="109" spans="1:62" s="629" customFormat="1" ht="12.75" x14ac:dyDescent="0.2">
      <c r="A109" s="2365"/>
      <c r="B109" s="2366"/>
      <c r="C109" s="2023"/>
      <c r="D109" s="2023"/>
      <c r="E109" s="2023"/>
      <c r="F109" s="2023"/>
      <c r="G109" s="2006"/>
      <c r="H109" s="2367"/>
      <c r="I109" s="2023"/>
      <c r="J109" s="2023"/>
      <c r="K109" s="2023"/>
      <c r="L109" s="2369"/>
      <c r="M109" s="2006"/>
      <c r="N109" s="2347"/>
      <c r="O109" s="2347"/>
      <c r="P109" s="2367"/>
      <c r="Q109" s="2023"/>
      <c r="R109" s="2023"/>
      <c r="S109" s="2023"/>
      <c r="T109" s="2023"/>
      <c r="U109" s="1146" t="s">
        <v>3906</v>
      </c>
      <c r="V109" s="1137">
        <v>40855</v>
      </c>
      <c r="W109" s="1064">
        <v>10679</v>
      </c>
      <c r="X109" s="1146" t="s">
        <v>4033</v>
      </c>
      <c r="Y109" s="1137">
        <v>40878</v>
      </c>
      <c r="Z109" s="1137">
        <v>41152</v>
      </c>
      <c r="AA109" s="1138">
        <f>AC109/L108</f>
        <v>7.148341320060364E-2</v>
      </c>
      <c r="AB109" s="1055"/>
      <c r="AC109" s="1139">
        <f>1350*9</f>
        <v>12150</v>
      </c>
      <c r="AD109" s="1138"/>
      <c r="AE109" s="1155">
        <f>AC109+L108</f>
        <v>182119.5</v>
      </c>
      <c r="AF109" s="525">
        <v>0</v>
      </c>
      <c r="AG109" s="525">
        <v>0</v>
      </c>
      <c r="AH109" s="1139">
        <f t="shared" si="1"/>
        <v>0</v>
      </c>
      <c r="AI109" s="1055"/>
      <c r="AJ109" s="1064"/>
      <c r="AK109" s="1055"/>
      <c r="AL109" s="1133"/>
      <c r="AM109" s="1055"/>
      <c r="AN109" s="1055"/>
      <c r="AO109" s="1064"/>
      <c r="AP109" s="1137"/>
      <c r="AQ109" s="1064"/>
      <c r="AR109" s="1137"/>
      <c r="AS109" s="1055"/>
      <c r="AT109" s="1133"/>
      <c r="AU109" s="1133"/>
      <c r="AV109" s="1133"/>
      <c r="AW109" s="1133"/>
      <c r="AX109" s="1133"/>
      <c r="AY109" s="1133"/>
      <c r="AZ109" s="1133"/>
      <c r="BA109" s="1133"/>
      <c r="BB109" s="1133"/>
      <c r="BC109" s="1133"/>
      <c r="BD109" s="1133"/>
      <c r="BE109" s="1480"/>
      <c r="BF109" s="1480"/>
      <c r="BG109" s="1480"/>
      <c r="BH109" s="1480"/>
      <c r="BI109" s="1480"/>
      <c r="BJ109" s="1480"/>
    </row>
    <row r="110" spans="1:62" s="629" customFormat="1" ht="12.75" x14ac:dyDescent="0.2">
      <c r="A110" s="2365"/>
      <c r="B110" s="2366"/>
      <c r="C110" s="2023"/>
      <c r="D110" s="2023"/>
      <c r="E110" s="2023"/>
      <c r="F110" s="2023"/>
      <c r="G110" s="2006"/>
      <c r="H110" s="2367"/>
      <c r="I110" s="2023"/>
      <c r="J110" s="2023"/>
      <c r="K110" s="2023"/>
      <c r="L110" s="2369"/>
      <c r="M110" s="2006"/>
      <c r="N110" s="2347"/>
      <c r="O110" s="2347"/>
      <c r="P110" s="2367"/>
      <c r="Q110" s="2023"/>
      <c r="R110" s="2023"/>
      <c r="S110" s="2023"/>
      <c r="T110" s="2023"/>
      <c r="U110" s="1146" t="s">
        <v>3989</v>
      </c>
      <c r="V110" s="1137">
        <v>41061</v>
      </c>
      <c r="W110" s="1064">
        <v>10843</v>
      </c>
      <c r="X110" s="1146" t="s">
        <v>4033</v>
      </c>
      <c r="Y110" s="1137">
        <v>41061</v>
      </c>
      <c r="Z110" s="1137">
        <v>41274</v>
      </c>
      <c r="AA110" s="1138">
        <f>AC110/AE109</f>
        <v>2.8909589582664128E-2</v>
      </c>
      <c r="AB110" s="1055"/>
      <c r="AC110" s="1139">
        <f>1755*3</f>
        <v>5265</v>
      </c>
      <c r="AD110" s="1138"/>
      <c r="AE110" s="1155">
        <f>AE109+AC110</f>
        <v>187384.5</v>
      </c>
      <c r="AF110" s="525">
        <v>0</v>
      </c>
      <c r="AG110" s="525">
        <v>0</v>
      </c>
      <c r="AH110" s="1139">
        <f t="shared" si="1"/>
        <v>0</v>
      </c>
      <c r="AI110" s="1055"/>
      <c r="AJ110" s="1064"/>
      <c r="AK110" s="1055"/>
      <c r="AL110" s="1133"/>
      <c r="AM110" s="1055"/>
      <c r="AN110" s="1055"/>
      <c r="AO110" s="1064"/>
      <c r="AP110" s="1137"/>
      <c r="AQ110" s="1064"/>
      <c r="AR110" s="1137"/>
      <c r="AS110" s="1055"/>
      <c r="AT110" s="1133"/>
      <c r="AU110" s="1133"/>
      <c r="AV110" s="1133"/>
      <c r="AW110" s="1133"/>
      <c r="AX110" s="1133"/>
      <c r="AY110" s="1133"/>
      <c r="AZ110" s="1133"/>
      <c r="BA110" s="1133"/>
      <c r="BB110" s="1133"/>
      <c r="BC110" s="1133"/>
      <c r="BD110" s="1133"/>
      <c r="BE110" s="1480"/>
      <c r="BF110" s="1480"/>
      <c r="BG110" s="1480"/>
      <c r="BH110" s="1480"/>
      <c r="BI110" s="1480"/>
      <c r="BJ110" s="1480"/>
    </row>
    <row r="111" spans="1:62" s="629" customFormat="1" ht="12.75" x14ac:dyDescent="0.2">
      <c r="A111" s="2365"/>
      <c r="B111" s="2366"/>
      <c r="C111" s="2023"/>
      <c r="D111" s="2023"/>
      <c r="E111" s="2023"/>
      <c r="F111" s="2023"/>
      <c r="G111" s="2006"/>
      <c r="H111" s="2367"/>
      <c r="I111" s="2023"/>
      <c r="J111" s="2023"/>
      <c r="K111" s="2023"/>
      <c r="L111" s="2369"/>
      <c r="M111" s="2006"/>
      <c r="N111" s="2347"/>
      <c r="O111" s="2347"/>
      <c r="P111" s="2367"/>
      <c r="Q111" s="2023"/>
      <c r="R111" s="2023"/>
      <c r="S111" s="2023"/>
      <c r="T111" s="2023"/>
      <c r="U111" s="1146" t="s">
        <v>3908</v>
      </c>
      <c r="V111" s="1137">
        <v>41134</v>
      </c>
      <c r="W111" s="1064">
        <v>10873</v>
      </c>
      <c r="X111" s="1146" t="s">
        <v>4034</v>
      </c>
      <c r="Y111" s="1137">
        <v>41153</v>
      </c>
      <c r="Z111" s="1137">
        <v>41274</v>
      </c>
      <c r="AA111" s="1138"/>
      <c r="AB111" s="1055"/>
      <c r="AC111" s="1139"/>
      <c r="AD111" s="1135"/>
      <c r="AE111" s="1155"/>
      <c r="AF111" s="525">
        <v>0</v>
      </c>
      <c r="AG111" s="525">
        <v>0</v>
      </c>
      <c r="AH111" s="1139">
        <f t="shared" si="1"/>
        <v>0</v>
      </c>
      <c r="AI111" s="1055"/>
      <c r="AJ111" s="1064"/>
      <c r="AK111" s="1055"/>
      <c r="AL111" s="1133"/>
      <c r="AM111" s="1055"/>
      <c r="AN111" s="1055"/>
      <c r="AO111" s="1064"/>
      <c r="AP111" s="1137"/>
      <c r="AQ111" s="1064"/>
      <c r="AR111" s="1137"/>
      <c r="AS111" s="1055"/>
      <c r="AT111" s="1133"/>
      <c r="AU111" s="1133"/>
      <c r="AV111" s="1133"/>
      <c r="AW111" s="1133"/>
      <c r="AX111" s="1133"/>
      <c r="AY111" s="1133"/>
      <c r="AZ111" s="1133"/>
      <c r="BA111" s="1133"/>
      <c r="BB111" s="1133"/>
      <c r="BC111" s="1133"/>
      <c r="BD111" s="1133"/>
      <c r="BE111" s="1480"/>
      <c r="BF111" s="1480"/>
      <c r="BG111" s="1480"/>
      <c r="BH111" s="1480"/>
      <c r="BI111" s="1480"/>
      <c r="BJ111" s="1480"/>
    </row>
    <row r="112" spans="1:62" s="629" customFormat="1" ht="12.75" x14ac:dyDescent="0.2">
      <c r="A112" s="2365"/>
      <c r="B112" s="2366"/>
      <c r="C112" s="2023"/>
      <c r="D112" s="2023"/>
      <c r="E112" s="2023"/>
      <c r="F112" s="2023"/>
      <c r="G112" s="2006"/>
      <c r="H112" s="2367"/>
      <c r="I112" s="2023"/>
      <c r="J112" s="2023"/>
      <c r="K112" s="2023"/>
      <c r="L112" s="2369"/>
      <c r="M112" s="2006"/>
      <c r="N112" s="2347"/>
      <c r="O112" s="2347"/>
      <c r="P112" s="2367"/>
      <c r="Q112" s="2023"/>
      <c r="R112" s="2023"/>
      <c r="S112" s="2023"/>
      <c r="T112" s="2023"/>
      <c r="U112" s="1146" t="s">
        <v>3893</v>
      </c>
      <c r="V112" s="1137">
        <v>41246</v>
      </c>
      <c r="W112" s="1064">
        <v>10951</v>
      </c>
      <c r="X112" s="1146" t="s">
        <v>3907</v>
      </c>
      <c r="Y112" s="1137">
        <v>41275</v>
      </c>
      <c r="Z112" s="1137">
        <v>41639</v>
      </c>
      <c r="AA112" s="1138"/>
      <c r="AB112" s="1055"/>
      <c r="AC112" s="1139"/>
      <c r="AD112" s="1139"/>
      <c r="AE112" s="1155"/>
      <c r="AF112" s="525">
        <v>0</v>
      </c>
      <c r="AG112" s="525">
        <v>0</v>
      </c>
      <c r="AH112" s="1139">
        <f t="shared" si="1"/>
        <v>0</v>
      </c>
      <c r="AI112" s="1055"/>
      <c r="AJ112" s="1064"/>
      <c r="AK112" s="1055"/>
      <c r="AL112" s="1133"/>
      <c r="AM112" s="1055"/>
      <c r="AN112" s="1055"/>
      <c r="AO112" s="1064"/>
      <c r="AP112" s="1137"/>
      <c r="AQ112" s="1064"/>
      <c r="AR112" s="1137"/>
      <c r="AS112" s="1055"/>
      <c r="AT112" s="1133"/>
      <c r="AU112" s="1133"/>
      <c r="AV112" s="1133"/>
      <c r="AW112" s="1133"/>
      <c r="AX112" s="1133"/>
      <c r="AY112" s="1133"/>
      <c r="AZ112" s="1133"/>
      <c r="BA112" s="1133"/>
      <c r="BB112" s="1133"/>
      <c r="BC112" s="1133"/>
      <c r="BD112" s="1133"/>
      <c r="BE112" s="1480"/>
      <c r="BF112" s="1480"/>
      <c r="BG112" s="1480"/>
      <c r="BH112" s="1480"/>
      <c r="BI112" s="1480"/>
      <c r="BJ112" s="1480"/>
    </row>
    <row r="113" spans="1:62" s="629" customFormat="1" ht="25.5" x14ac:dyDescent="0.2">
      <c r="A113" s="2365"/>
      <c r="B113" s="2366"/>
      <c r="C113" s="2023"/>
      <c r="D113" s="2023"/>
      <c r="E113" s="2023"/>
      <c r="F113" s="2023"/>
      <c r="G113" s="2006"/>
      <c r="H113" s="2367"/>
      <c r="I113" s="2023"/>
      <c r="J113" s="2023"/>
      <c r="K113" s="2023"/>
      <c r="L113" s="2369"/>
      <c r="M113" s="2006"/>
      <c r="N113" s="2347"/>
      <c r="O113" s="2347"/>
      <c r="P113" s="2367"/>
      <c r="Q113" s="2023"/>
      <c r="R113" s="2023"/>
      <c r="S113" s="2023"/>
      <c r="T113" s="2023"/>
      <c r="U113" s="1146" t="s">
        <v>3894</v>
      </c>
      <c r="V113" s="1137">
        <v>41334</v>
      </c>
      <c r="W113" s="1064">
        <v>11025</v>
      </c>
      <c r="X113" s="1146" t="s">
        <v>4033</v>
      </c>
      <c r="Y113" s="1137">
        <v>41275</v>
      </c>
      <c r="Z113" s="1137">
        <v>41639</v>
      </c>
      <c r="AA113" s="1138">
        <f>AC113/AE110</f>
        <v>2.1613313801301604E-2</v>
      </c>
      <c r="AB113" s="1055"/>
      <c r="AC113" s="1139">
        <f>405*10</f>
        <v>4050</v>
      </c>
      <c r="AD113" s="1138" t="s">
        <v>4035</v>
      </c>
      <c r="AE113" s="1155">
        <f>AE110+AC113</f>
        <v>191434.5</v>
      </c>
      <c r="AF113" s="525">
        <v>0</v>
      </c>
      <c r="AG113" s="525">
        <v>0</v>
      </c>
      <c r="AH113" s="1139">
        <f t="shared" si="1"/>
        <v>0</v>
      </c>
      <c r="AI113" s="1055"/>
      <c r="AJ113" s="1064"/>
      <c r="AK113" s="1055"/>
      <c r="AL113" s="1133"/>
      <c r="AM113" s="1055"/>
      <c r="AN113" s="1055"/>
      <c r="AO113" s="1064"/>
      <c r="AP113" s="1137"/>
      <c r="AQ113" s="1064"/>
      <c r="AR113" s="1137"/>
      <c r="AS113" s="1055"/>
      <c r="AT113" s="1133"/>
      <c r="AU113" s="1133"/>
      <c r="AV113" s="1133"/>
      <c r="AW113" s="1133"/>
      <c r="AX113" s="1133"/>
      <c r="AY113" s="1133"/>
      <c r="AZ113" s="1133"/>
      <c r="BA113" s="1133"/>
      <c r="BB113" s="1133"/>
      <c r="BC113" s="1133"/>
      <c r="BD113" s="1133"/>
      <c r="BE113" s="1480"/>
      <c r="BF113" s="1480"/>
      <c r="BG113" s="1480"/>
      <c r="BH113" s="1480"/>
      <c r="BI113" s="1480"/>
      <c r="BJ113" s="1480"/>
    </row>
    <row r="114" spans="1:62" s="629" customFormat="1" ht="25.5" x14ac:dyDescent="0.2">
      <c r="A114" s="2365"/>
      <c r="B114" s="2366"/>
      <c r="C114" s="2023"/>
      <c r="D114" s="2023"/>
      <c r="E114" s="2023"/>
      <c r="F114" s="2023"/>
      <c r="G114" s="2006"/>
      <c r="H114" s="2367"/>
      <c r="I114" s="2023"/>
      <c r="J114" s="2023"/>
      <c r="K114" s="2023"/>
      <c r="L114" s="2369"/>
      <c r="M114" s="2006"/>
      <c r="N114" s="2347"/>
      <c r="O114" s="2347"/>
      <c r="P114" s="2367"/>
      <c r="Q114" s="2023"/>
      <c r="R114" s="2023"/>
      <c r="S114" s="2023"/>
      <c r="T114" s="2023"/>
      <c r="U114" s="1146" t="s">
        <v>4017</v>
      </c>
      <c r="V114" s="1137">
        <v>41631</v>
      </c>
      <c r="W114" s="1064"/>
      <c r="X114" s="1146" t="s">
        <v>3955</v>
      </c>
      <c r="Y114" s="1137">
        <v>41640</v>
      </c>
      <c r="Z114" s="1137">
        <v>42004</v>
      </c>
      <c r="AA114" s="1138"/>
      <c r="AB114" s="1055"/>
      <c r="AC114" s="1139"/>
      <c r="AD114" s="1139" t="s">
        <v>4035</v>
      </c>
      <c r="AE114" s="1155"/>
      <c r="AF114" s="525">
        <v>0</v>
      </c>
      <c r="AG114" s="525">
        <v>0</v>
      </c>
      <c r="AH114" s="1139">
        <f t="shared" si="1"/>
        <v>0</v>
      </c>
      <c r="AI114" s="1055"/>
      <c r="AJ114" s="1064"/>
      <c r="AK114" s="1055"/>
      <c r="AL114" s="1133"/>
      <c r="AM114" s="1055"/>
      <c r="AN114" s="1055"/>
      <c r="AO114" s="1064"/>
      <c r="AP114" s="1137"/>
      <c r="AQ114" s="1064"/>
      <c r="AR114" s="1137"/>
      <c r="AS114" s="1055"/>
      <c r="AT114" s="1133"/>
      <c r="AU114" s="1133"/>
      <c r="AV114" s="1133"/>
      <c r="AW114" s="1133"/>
      <c r="AX114" s="1133"/>
      <c r="AY114" s="1133"/>
      <c r="AZ114" s="1133"/>
      <c r="BA114" s="1133"/>
      <c r="BB114" s="1133"/>
      <c r="BC114" s="1133"/>
      <c r="BD114" s="1133"/>
      <c r="BE114" s="1480"/>
      <c r="BF114" s="1480"/>
      <c r="BG114" s="1480"/>
      <c r="BH114" s="1480"/>
      <c r="BI114" s="1480"/>
      <c r="BJ114" s="1480"/>
    </row>
    <row r="115" spans="1:62" s="629" customFormat="1" ht="12.75" x14ac:dyDescent="0.2">
      <c r="A115" s="2365"/>
      <c r="B115" s="2366"/>
      <c r="C115" s="2023"/>
      <c r="D115" s="2023"/>
      <c r="E115" s="2023"/>
      <c r="F115" s="2023"/>
      <c r="G115" s="2006"/>
      <c r="H115" s="2367"/>
      <c r="I115" s="2023"/>
      <c r="J115" s="2023"/>
      <c r="K115" s="2023"/>
      <c r="L115" s="2369"/>
      <c r="M115" s="2006"/>
      <c r="N115" s="2347"/>
      <c r="O115" s="2347"/>
      <c r="P115" s="2367"/>
      <c r="Q115" s="2023"/>
      <c r="R115" s="2023"/>
      <c r="S115" s="2023"/>
      <c r="T115" s="2023"/>
      <c r="U115" s="1146" t="s">
        <v>4018</v>
      </c>
      <c r="V115" s="1137">
        <v>41653</v>
      </c>
      <c r="W115" s="1064">
        <v>11274</v>
      </c>
      <c r="X115" s="1146" t="s">
        <v>4036</v>
      </c>
      <c r="Y115" s="1137">
        <v>41640</v>
      </c>
      <c r="Z115" s="1137">
        <v>42004</v>
      </c>
      <c r="AA115" s="1138"/>
      <c r="AB115" s="1138">
        <f>AD115/AE113</f>
        <v>0.21676343605776388</v>
      </c>
      <c r="AC115" s="1138"/>
      <c r="AD115" s="1139">
        <f>3458*12</f>
        <v>41496</v>
      </c>
      <c r="AE115" s="1155">
        <f>AE113-AD115</f>
        <v>149938.5</v>
      </c>
      <c r="AF115" s="525">
        <v>0</v>
      </c>
      <c r="AG115" s="525">
        <v>0</v>
      </c>
      <c r="AH115" s="1139">
        <f t="shared" si="1"/>
        <v>0</v>
      </c>
      <c r="AI115" s="1055"/>
      <c r="AJ115" s="1064"/>
      <c r="AK115" s="1055"/>
      <c r="AL115" s="1133"/>
      <c r="AM115" s="1055"/>
      <c r="AN115" s="1055"/>
      <c r="AO115" s="1064"/>
      <c r="AP115" s="1137"/>
      <c r="AQ115" s="1064"/>
      <c r="AR115" s="1137"/>
      <c r="AS115" s="1055"/>
      <c r="AT115" s="1133"/>
      <c r="AU115" s="1133"/>
      <c r="AV115" s="1133"/>
      <c r="AW115" s="1133"/>
      <c r="AX115" s="1133"/>
      <c r="AY115" s="1133"/>
      <c r="AZ115" s="1133"/>
      <c r="BA115" s="1133"/>
      <c r="BB115" s="1133"/>
      <c r="BC115" s="1133"/>
      <c r="BD115" s="1133"/>
      <c r="BE115" s="1480"/>
      <c r="BF115" s="1480"/>
      <c r="BG115" s="1480"/>
      <c r="BH115" s="1480"/>
      <c r="BI115" s="1480"/>
      <c r="BJ115" s="1480"/>
    </row>
    <row r="116" spans="1:62" s="629" customFormat="1" ht="45" customHeight="1" x14ac:dyDescent="0.2">
      <c r="A116" s="2365">
        <v>27</v>
      </c>
      <c r="B116" s="2366" t="s">
        <v>4037</v>
      </c>
      <c r="C116" s="2023" t="s">
        <v>3442</v>
      </c>
      <c r="D116" s="2023" t="s">
        <v>615</v>
      </c>
      <c r="E116" s="2023" t="s">
        <v>584</v>
      </c>
      <c r="F116" s="2023" t="s">
        <v>4038</v>
      </c>
      <c r="G116" s="2006">
        <v>10549</v>
      </c>
      <c r="H116" s="2367" t="s">
        <v>4039</v>
      </c>
      <c r="I116" s="2023" t="s">
        <v>4040</v>
      </c>
      <c r="J116" s="2023" t="s">
        <v>4041</v>
      </c>
      <c r="K116" s="2347">
        <v>40763</v>
      </c>
      <c r="L116" s="2369">
        <v>15120</v>
      </c>
      <c r="M116" s="2006">
        <v>10617</v>
      </c>
      <c r="N116" s="2347">
        <v>40808</v>
      </c>
      <c r="O116" s="2347">
        <v>41152</v>
      </c>
      <c r="P116" s="2367" t="s">
        <v>3905</v>
      </c>
      <c r="Q116" s="2023"/>
      <c r="R116" s="2023"/>
      <c r="S116" s="2023"/>
      <c r="T116" s="2023" t="s">
        <v>208</v>
      </c>
      <c r="U116" s="1146"/>
      <c r="V116" s="1055"/>
      <c r="W116" s="1064"/>
      <c r="X116" s="1146"/>
      <c r="Y116" s="1055"/>
      <c r="Z116" s="1055"/>
      <c r="AA116" s="1138"/>
      <c r="AB116" s="1055"/>
      <c r="AC116" s="1139"/>
      <c r="AD116" s="1139"/>
      <c r="AE116" s="1155"/>
      <c r="AF116" s="1155">
        <v>37686</v>
      </c>
      <c r="AG116" s="1139">
        <v>11520</v>
      </c>
      <c r="AH116" s="1139">
        <f t="shared" si="1"/>
        <v>49206</v>
      </c>
      <c r="AI116" s="1055"/>
      <c r="AJ116" s="1064"/>
      <c r="AK116" s="1055"/>
      <c r="AL116" s="1133"/>
      <c r="AM116" s="1055"/>
      <c r="AN116" s="1055"/>
      <c r="AO116" s="1064"/>
      <c r="AP116" s="1137"/>
      <c r="AQ116" s="1064"/>
      <c r="AR116" s="1137"/>
      <c r="AS116" s="1055"/>
      <c r="AT116" s="1133"/>
      <c r="AU116" s="1133"/>
      <c r="AV116" s="1133"/>
      <c r="AW116" s="1133"/>
      <c r="AX116" s="1133"/>
      <c r="AY116" s="1133"/>
      <c r="AZ116" s="1133"/>
      <c r="BA116" s="1133"/>
      <c r="BB116" s="1133"/>
      <c r="BC116" s="1133"/>
      <c r="BD116" s="1133"/>
      <c r="BE116" s="1480"/>
      <c r="BF116" s="1480"/>
      <c r="BG116" s="1480"/>
      <c r="BH116" s="1480"/>
      <c r="BI116" s="1480"/>
      <c r="BJ116" s="1480"/>
    </row>
    <row r="117" spans="1:62" s="629" customFormat="1" ht="12.75" x14ac:dyDescent="0.2">
      <c r="A117" s="2365"/>
      <c r="B117" s="2366"/>
      <c r="C117" s="2023"/>
      <c r="D117" s="2023"/>
      <c r="E117" s="2023"/>
      <c r="F117" s="2023"/>
      <c r="G117" s="2006"/>
      <c r="H117" s="2367"/>
      <c r="I117" s="2023"/>
      <c r="J117" s="2023"/>
      <c r="K117" s="2023"/>
      <c r="L117" s="2369"/>
      <c r="M117" s="2006"/>
      <c r="N117" s="2347"/>
      <c r="O117" s="2347"/>
      <c r="P117" s="2367"/>
      <c r="Q117" s="2023"/>
      <c r="R117" s="2023"/>
      <c r="S117" s="2023"/>
      <c r="T117" s="2023"/>
      <c r="U117" s="1146" t="s">
        <v>3972</v>
      </c>
      <c r="V117" s="1137">
        <v>41128</v>
      </c>
      <c r="W117" s="1064">
        <v>10893</v>
      </c>
      <c r="X117" s="1146" t="s">
        <v>4034</v>
      </c>
      <c r="Y117" s="1137">
        <v>41153</v>
      </c>
      <c r="Z117" s="1137">
        <v>41274</v>
      </c>
      <c r="AA117" s="1138"/>
      <c r="AB117" s="1055"/>
      <c r="AC117" s="1139"/>
      <c r="AD117" s="1139"/>
      <c r="AE117" s="1155"/>
      <c r="AF117" s="525">
        <v>0</v>
      </c>
      <c r="AG117" s="525">
        <v>0</v>
      </c>
      <c r="AH117" s="1139">
        <f t="shared" si="1"/>
        <v>0</v>
      </c>
      <c r="AI117" s="1055"/>
      <c r="AJ117" s="1064"/>
      <c r="AK117" s="1055"/>
      <c r="AL117" s="1133"/>
      <c r="AM117" s="1055"/>
      <c r="AN117" s="1055"/>
      <c r="AO117" s="1064"/>
      <c r="AP117" s="1137"/>
      <c r="AQ117" s="1064"/>
      <c r="AR117" s="1137"/>
      <c r="AS117" s="1055"/>
      <c r="AT117" s="1133"/>
      <c r="AU117" s="1133"/>
      <c r="AV117" s="1133"/>
      <c r="AW117" s="1133"/>
      <c r="AX117" s="1133"/>
      <c r="AY117" s="1133"/>
      <c r="AZ117" s="1133"/>
      <c r="BA117" s="1133"/>
      <c r="BB117" s="1133"/>
      <c r="BC117" s="1133"/>
      <c r="BD117" s="1133"/>
      <c r="BE117" s="1480"/>
      <c r="BF117" s="1480"/>
      <c r="BG117" s="1480"/>
      <c r="BH117" s="1480"/>
      <c r="BI117" s="1480"/>
      <c r="BJ117" s="1480"/>
    </row>
    <row r="118" spans="1:62" s="629" customFormat="1" ht="12.75" x14ac:dyDescent="0.2">
      <c r="A118" s="2365"/>
      <c r="B118" s="2366"/>
      <c r="C118" s="2023"/>
      <c r="D118" s="2023"/>
      <c r="E118" s="2023"/>
      <c r="F118" s="2023"/>
      <c r="G118" s="2006"/>
      <c r="H118" s="2367"/>
      <c r="I118" s="2023"/>
      <c r="J118" s="2023"/>
      <c r="K118" s="2023"/>
      <c r="L118" s="2369"/>
      <c r="M118" s="2006"/>
      <c r="N118" s="2347"/>
      <c r="O118" s="2347"/>
      <c r="P118" s="2367"/>
      <c r="Q118" s="2023"/>
      <c r="R118" s="2023"/>
      <c r="S118" s="2023"/>
      <c r="T118" s="2023"/>
      <c r="U118" s="1146" t="s">
        <v>3891</v>
      </c>
      <c r="V118" s="1137">
        <v>41183</v>
      </c>
      <c r="W118" s="1064">
        <v>10911</v>
      </c>
      <c r="X118" s="1146" t="s">
        <v>4033</v>
      </c>
      <c r="Y118" s="1137">
        <v>41183</v>
      </c>
      <c r="Z118" s="1137">
        <v>41274</v>
      </c>
      <c r="AA118" s="1138">
        <f>AC118/L116</f>
        <v>3.5714285714285712E-2</v>
      </c>
      <c r="AB118" s="1055"/>
      <c r="AC118" s="1139">
        <f>180*3</f>
        <v>540</v>
      </c>
      <c r="AD118" s="1139"/>
      <c r="AE118" s="1155">
        <f>AC118+L116</f>
        <v>15660</v>
      </c>
      <c r="AF118" s="525">
        <v>0</v>
      </c>
      <c r="AG118" s="525">
        <v>0</v>
      </c>
      <c r="AH118" s="1139">
        <f t="shared" si="1"/>
        <v>0</v>
      </c>
      <c r="AI118" s="1055"/>
      <c r="AJ118" s="1064"/>
      <c r="AK118" s="1055"/>
      <c r="AL118" s="1133"/>
      <c r="AM118" s="1055"/>
      <c r="AN118" s="1055"/>
      <c r="AO118" s="1064"/>
      <c r="AP118" s="1137"/>
      <c r="AQ118" s="1064"/>
      <c r="AR118" s="1137"/>
      <c r="AS118" s="1055"/>
      <c r="AT118" s="1133"/>
      <c r="AU118" s="1133"/>
      <c r="AV118" s="1133"/>
      <c r="AW118" s="1133"/>
      <c r="AX118" s="1133"/>
      <c r="AY118" s="1133"/>
      <c r="AZ118" s="1133"/>
      <c r="BA118" s="1133"/>
      <c r="BB118" s="1133"/>
      <c r="BC118" s="1133"/>
      <c r="BD118" s="1133"/>
      <c r="BE118" s="1480"/>
      <c r="BF118" s="1480"/>
      <c r="BG118" s="1480"/>
      <c r="BH118" s="1480"/>
      <c r="BI118" s="1480"/>
      <c r="BJ118" s="1480"/>
    </row>
    <row r="119" spans="1:62" s="629" customFormat="1" ht="12.75" x14ac:dyDescent="0.2">
      <c r="A119" s="2365"/>
      <c r="B119" s="2366"/>
      <c r="C119" s="2023"/>
      <c r="D119" s="2023"/>
      <c r="E119" s="2023"/>
      <c r="F119" s="2023"/>
      <c r="G119" s="2006"/>
      <c r="H119" s="2367"/>
      <c r="I119" s="2023"/>
      <c r="J119" s="2023"/>
      <c r="K119" s="2023"/>
      <c r="L119" s="2369"/>
      <c r="M119" s="2006"/>
      <c r="N119" s="2347"/>
      <c r="O119" s="2347"/>
      <c r="P119" s="2367"/>
      <c r="Q119" s="2023"/>
      <c r="R119" s="2023"/>
      <c r="S119" s="2023"/>
      <c r="T119" s="2023"/>
      <c r="U119" s="1146" t="s">
        <v>3908</v>
      </c>
      <c r="V119" s="1137">
        <v>41246</v>
      </c>
      <c r="W119" s="1064">
        <v>10951</v>
      </c>
      <c r="X119" s="1146" t="s">
        <v>3907</v>
      </c>
      <c r="Y119" s="1137">
        <v>41275</v>
      </c>
      <c r="Z119" s="1137">
        <v>41639</v>
      </c>
      <c r="AA119" s="1138"/>
      <c r="AB119" s="1055"/>
      <c r="AC119" s="1139"/>
      <c r="AD119" s="1139"/>
      <c r="AE119" s="1155"/>
      <c r="AF119" s="525">
        <v>0</v>
      </c>
      <c r="AG119" s="525">
        <v>0</v>
      </c>
      <c r="AH119" s="1139">
        <f t="shared" si="1"/>
        <v>0</v>
      </c>
      <c r="AI119" s="1055"/>
      <c r="AJ119" s="1064"/>
      <c r="AK119" s="1055"/>
      <c r="AL119" s="1133"/>
      <c r="AM119" s="1055"/>
      <c r="AN119" s="1055"/>
      <c r="AO119" s="1064"/>
      <c r="AP119" s="1137"/>
      <c r="AQ119" s="1064"/>
      <c r="AR119" s="1137"/>
      <c r="AS119" s="1055"/>
      <c r="AT119" s="1133"/>
      <c r="AU119" s="1133"/>
      <c r="AV119" s="1133"/>
      <c r="AW119" s="1133"/>
      <c r="AX119" s="1133"/>
      <c r="AY119" s="1133"/>
      <c r="AZ119" s="1133"/>
      <c r="BA119" s="1133"/>
      <c r="BB119" s="1133"/>
      <c r="BC119" s="1133"/>
      <c r="BD119" s="1133"/>
      <c r="BE119" s="1480"/>
      <c r="BF119" s="1480"/>
      <c r="BG119" s="1480"/>
      <c r="BH119" s="1480"/>
      <c r="BI119" s="1480"/>
      <c r="BJ119" s="1480"/>
    </row>
    <row r="120" spans="1:62" s="629" customFormat="1" ht="12.75" x14ac:dyDescent="0.2">
      <c r="A120" s="2365"/>
      <c r="B120" s="2366"/>
      <c r="C120" s="2023"/>
      <c r="D120" s="2023"/>
      <c r="E120" s="2023"/>
      <c r="F120" s="2023"/>
      <c r="G120" s="2006"/>
      <c r="H120" s="2367"/>
      <c r="I120" s="2023"/>
      <c r="J120" s="2023"/>
      <c r="K120" s="2023"/>
      <c r="L120" s="2369"/>
      <c r="M120" s="2006"/>
      <c r="N120" s="2347"/>
      <c r="O120" s="2347"/>
      <c r="P120" s="2367"/>
      <c r="Q120" s="2023"/>
      <c r="R120" s="2023"/>
      <c r="S120" s="2023"/>
      <c r="T120" s="2023"/>
      <c r="U120" s="1146" t="s">
        <v>3893</v>
      </c>
      <c r="V120" s="1137">
        <v>41631</v>
      </c>
      <c r="W120" s="1064">
        <v>11219</v>
      </c>
      <c r="X120" s="1146" t="s">
        <v>3907</v>
      </c>
      <c r="Y120" s="1137">
        <v>41640</v>
      </c>
      <c r="Z120" s="1137">
        <v>42004</v>
      </c>
      <c r="AA120" s="1138"/>
      <c r="AB120" s="1055"/>
      <c r="AC120" s="1139"/>
      <c r="AD120" s="1139"/>
      <c r="AE120" s="1155"/>
      <c r="AF120" s="525">
        <v>0</v>
      </c>
      <c r="AG120" s="525">
        <v>0</v>
      </c>
      <c r="AH120" s="1139">
        <f t="shared" si="1"/>
        <v>0</v>
      </c>
      <c r="AI120" s="1055"/>
      <c r="AJ120" s="1064"/>
      <c r="AK120" s="1055"/>
      <c r="AL120" s="1133"/>
      <c r="AM120" s="1055"/>
      <c r="AN120" s="1055"/>
      <c r="AO120" s="1064"/>
      <c r="AP120" s="1137"/>
      <c r="AQ120" s="1064"/>
      <c r="AR120" s="1137"/>
      <c r="AS120" s="1055"/>
      <c r="AT120" s="1133"/>
      <c r="AU120" s="1133"/>
      <c r="AV120" s="1133"/>
      <c r="AW120" s="1133"/>
      <c r="AX120" s="1133"/>
      <c r="AY120" s="1133"/>
      <c r="AZ120" s="1133"/>
      <c r="BA120" s="1133"/>
      <c r="BB120" s="1133"/>
      <c r="BC120" s="1133"/>
      <c r="BD120" s="1133"/>
      <c r="BE120" s="1480"/>
      <c r="BF120" s="1480"/>
      <c r="BG120" s="1480"/>
      <c r="BH120" s="1480"/>
      <c r="BI120" s="1480"/>
      <c r="BJ120" s="1480"/>
    </row>
    <row r="121" spans="1:62" s="629" customFormat="1" ht="45" customHeight="1" x14ac:dyDescent="0.2">
      <c r="A121" s="2365">
        <v>28</v>
      </c>
      <c r="B121" s="2366" t="s">
        <v>626</v>
      </c>
      <c r="C121" s="2023" t="s">
        <v>4030</v>
      </c>
      <c r="D121" s="2023" t="s">
        <v>1548</v>
      </c>
      <c r="E121" s="2023" t="s">
        <v>584</v>
      </c>
      <c r="F121" s="2023" t="s">
        <v>4031</v>
      </c>
      <c r="G121" s="2006">
        <v>10548</v>
      </c>
      <c r="H121" s="2367" t="s">
        <v>4042</v>
      </c>
      <c r="I121" s="2023" t="s">
        <v>4043</v>
      </c>
      <c r="J121" s="2023" t="s">
        <v>630</v>
      </c>
      <c r="K121" s="2347">
        <v>40763</v>
      </c>
      <c r="L121" s="2369">
        <v>26748</v>
      </c>
      <c r="M121" s="2006">
        <v>10617</v>
      </c>
      <c r="N121" s="2347">
        <v>40763</v>
      </c>
      <c r="O121" s="2347">
        <v>41159</v>
      </c>
      <c r="P121" s="2367" t="s">
        <v>3905</v>
      </c>
      <c r="Q121" s="2023"/>
      <c r="R121" s="2023"/>
      <c r="S121" s="2023"/>
      <c r="T121" s="2023" t="s">
        <v>208</v>
      </c>
      <c r="U121" s="1146"/>
      <c r="V121" s="1055"/>
      <c r="W121" s="1064"/>
      <c r="X121" s="1146"/>
      <c r="Y121" s="1055"/>
      <c r="Z121" s="1055"/>
      <c r="AA121" s="1138"/>
      <c r="AB121" s="1055"/>
      <c r="AC121" s="1139"/>
      <c r="AD121" s="1139"/>
      <c r="AE121" s="1155"/>
      <c r="AF121" s="1155">
        <v>57976.639999999999</v>
      </c>
      <c r="AG121" s="1139">
        <v>15480</v>
      </c>
      <c r="AH121" s="1139">
        <f t="shared" si="1"/>
        <v>73456.639999999999</v>
      </c>
      <c r="AI121" s="1055"/>
      <c r="AJ121" s="1064"/>
      <c r="AK121" s="1055"/>
      <c r="AL121" s="1133"/>
      <c r="AM121" s="1055"/>
      <c r="AN121" s="1055"/>
      <c r="AO121" s="1064"/>
      <c r="AP121" s="1137"/>
      <c r="AQ121" s="1064"/>
      <c r="AR121" s="1137"/>
      <c r="AS121" s="1055"/>
      <c r="AT121" s="1133"/>
      <c r="AU121" s="1133"/>
      <c r="AV121" s="1133"/>
      <c r="AW121" s="1133"/>
      <c r="AX121" s="1133"/>
      <c r="AY121" s="1133"/>
      <c r="AZ121" s="1133"/>
      <c r="BA121" s="1133"/>
      <c r="BB121" s="1133"/>
      <c r="BC121" s="1133"/>
      <c r="BD121" s="1133"/>
      <c r="BE121" s="1480"/>
      <c r="BF121" s="1480"/>
      <c r="BG121" s="1480"/>
      <c r="BH121" s="1480"/>
      <c r="BI121" s="1480"/>
      <c r="BJ121" s="1480"/>
    </row>
    <row r="122" spans="1:62" s="629" customFormat="1" ht="12.75" x14ac:dyDescent="0.2">
      <c r="A122" s="2365"/>
      <c r="B122" s="2366"/>
      <c r="C122" s="2023"/>
      <c r="D122" s="2023"/>
      <c r="E122" s="2023"/>
      <c r="F122" s="2023"/>
      <c r="G122" s="2006"/>
      <c r="H122" s="2367"/>
      <c r="I122" s="2023"/>
      <c r="J122" s="2023"/>
      <c r="K122" s="2347"/>
      <c r="L122" s="2369"/>
      <c r="M122" s="2006"/>
      <c r="N122" s="2347"/>
      <c r="O122" s="2347"/>
      <c r="P122" s="2367"/>
      <c r="Q122" s="2023"/>
      <c r="R122" s="2023"/>
      <c r="S122" s="2023"/>
      <c r="T122" s="2023"/>
      <c r="U122" s="1146" t="s">
        <v>3906</v>
      </c>
      <c r="V122" s="1137">
        <v>40879</v>
      </c>
      <c r="W122" s="1064">
        <v>10698</v>
      </c>
      <c r="X122" s="1146" t="s">
        <v>3923</v>
      </c>
      <c r="Y122" s="1137">
        <v>40763</v>
      </c>
      <c r="Z122" s="1137">
        <v>41159</v>
      </c>
      <c r="AA122" s="1138"/>
      <c r="AB122" s="1138">
        <f>AD122/L121</f>
        <v>6.0981381785554067E-2</v>
      </c>
      <c r="AC122" s="1139"/>
      <c r="AD122" s="1139">
        <v>1631.13</v>
      </c>
      <c r="AE122" s="1155">
        <f>L121-AD122+AC122</f>
        <v>25116.87</v>
      </c>
      <c r="AF122" s="525">
        <v>0</v>
      </c>
      <c r="AG122" s="525">
        <v>0</v>
      </c>
      <c r="AH122" s="1139">
        <f t="shared" si="1"/>
        <v>0</v>
      </c>
      <c r="AI122" s="1055"/>
      <c r="AJ122" s="1064"/>
      <c r="AK122" s="1055"/>
      <c r="AL122" s="1133"/>
      <c r="AM122" s="1055"/>
      <c r="AN122" s="1055"/>
      <c r="AO122" s="1064"/>
      <c r="AP122" s="1137"/>
      <c r="AQ122" s="1064"/>
      <c r="AR122" s="1137"/>
      <c r="AS122" s="1055"/>
      <c r="AT122" s="1133"/>
      <c r="AU122" s="1133"/>
      <c r="AV122" s="1133"/>
      <c r="AW122" s="1133"/>
      <c r="AX122" s="1133"/>
      <c r="AY122" s="1133"/>
      <c r="AZ122" s="1133"/>
      <c r="BA122" s="1133"/>
      <c r="BB122" s="1133"/>
      <c r="BC122" s="1133"/>
      <c r="BD122" s="1133"/>
      <c r="BE122" s="1480"/>
      <c r="BF122" s="1480"/>
      <c r="BG122" s="1480"/>
      <c r="BH122" s="1480"/>
      <c r="BI122" s="1480"/>
      <c r="BJ122" s="1480"/>
    </row>
    <row r="123" spans="1:62" s="629" customFormat="1" ht="12.75" x14ac:dyDescent="0.2">
      <c r="A123" s="2365"/>
      <c r="B123" s="2366"/>
      <c r="C123" s="2023"/>
      <c r="D123" s="2023"/>
      <c r="E123" s="2023"/>
      <c r="F123" s="2023"/>
      <c r="G123" s="2006"/>
      <c r="H123" s="2367"/>
      <c r="I123" s="2023"/>
      <c r="J123" s="2023"/>
      <c r="K123" s="2347"/>
      <c r="L123" s="2369"/>
      <c r="M123" s="2006"/>
      <c r="N123" s="2347"/>
      <c r="O123" s="2347"/>
      <c r="P123" s="2367"/>
      <c r="Q123" s="2023"/>
      <c r="R123" s="2023"/>
      <c r="S123" s="2023"/>
      <c r="T123" s="2023"/>
      <c r="U123" s="1146" t="s">
        <v>3989</v>
      </c>
      <c r="V123" s="1137">
        <v>41131</v>
      </c>
      <c r="W123" s="1064">
        <v>10873</v>
      </c>
      <c r="X123" s="1146" t="s">
        <v>4044</v>
      </c>
      <c r="Y123" s="1137">
        <v>41160</v>
      </c>
      <c r="Z123" s="1137">
        <v>41274</v>
      </c>
      <c r="AA123" s="1138"/>
      <c r="AB123" s="1055"/>
      <c r="AC123" s="1139"/>
      <c r="AD123" s="1139"/>
      <c r="AE123" s="1155"/>
      <c r="AF123" s="525">
        <v>0</v>
      </c>
      <c r="AG123" s="525">
        <v>0</v>
      </c>
      <c r="AH123" s="1139">
        <f t="shared" si="1"/>
        <v>0</v>
      </c>
      <c r="AI123" s="1055"/>
      <c r="AJ123" s="1064"/>
      <c r="AK123" s="1055"/>
      <c r="AL123" s="1133"/>
      <c r="AM123" s="1055"/>
      <c r="AN123" s="1055"/>
      <c r="AO123" s="1064"/>
      <c r="AP123" s="1137"/>
      <c r="AQ123" s="1064"/>
      <c r="AR123" s="1137"/>
      <c r="AS123" s="1055"/>
      <c r="AT123" s="1133"/>
      <c r="AU123" s="1133"/>
      <c r="AV123" s="1133"/>
      <c r="AW123" s="1133"/>
      <c r="AX123" s="1133"/>
      <c r="AY123" s="1133"/>
      <c r="AZ123" s="1133"/>
      <c r="BA123" s="1133"/>
      <c r="BB123" s="1133"/>
      <c r="BC123" s="1133"/>
      <c r="BD123" s="1133"/>
      <c r="BE123" s="1480"/>
      <c r="BF123" s="1480"/>
      <c r="BG123" s="1480"/>
      <c r="BH123" s="1480"/>
      <c r="BI123" s="1480"/>
      <c r="BJ123" s="1480"/>
    </row>
    <row r="124" spans="1:62" s="629" customFormat="1" ht="12.75" x14ac:dyDescent="0.2">
      <c r="A124" s="2365"/>
      <c r="B124" s="2366"/>
      <c r="C124" s="2023"/>
      <c r="D124" s="2023"/>
      <c r="E124" s="2023"/>
      <c r="F124" s="2023"/>
      <c r="G124" s="2006"/>
      <c r="H124" s="2367"/>
      <c r="I124" s="2023"/>
      <c r="J124" s="2023"/>
      <c r="K124" s="2347"/>
      <c r="L124" s="2369"/>
      <c r="M124" s="2006"/>
      <c r="N124" s="2347"/>
      <c r="O124" s="2347"/>
      <c r="P124" s="2367"/>
      <c r="Q124" s="2023"/>
      <c r="R124" s="2023"/>
      <c r="S124" s="2023"/>
      <c r="T124" s="2023"/>
      <c r="U124" s="1146" t="s">
        <v>3892</v>
      </c>
      <c r="V124" s="1137">
        <v>41246</v>
      </c>
      <c r="W124" s="1064">
        <v>10952</v>
      </c>
      <c r="X124" s="1146" t="s">
        <v>3907</v>
      </c>
      <c r="Y124" s="1137">
        <v>41275</v>
      </c>
      <c r="Z124" s="1137">
        <v>41639</v>
      </c>
      <c r="AA124" s="1138"/>
      <c r="AB124" s="1055"/>
      <c r="AC124" s="1139"/>
      <c r="AD124" s="1139"/>
      <c r="AE124" s="1155"/>
      <c r="AF124" s="525">
        <v>0</v>
      </c>
      <c r="AG124" s="525">
        <v>0</v>
      </c>
      <c r="AH124" s="1139">
        <f t="shared" si="1"/>
        <v>0</v>
      </c>
      <c r="AI124" s="1055"/>
      <c r="AJ124" s="1064"/>
      <c r="AK124" s="1055"/>
      <c r="AL124" s="1133"/>
      <c r="AM124" s="1055"/>
      <c r="AN124" s="1055"/>
      <c r="AO124" s="1064"/>
      <c r="AP124" s="1137"/>
      <c r="AQ124" s="1064"/>
      <c r="AR124" s="1137"/>
      <c r="AS124" s="1055"/>
      <c r="AT124" s="1133"/>
      <c r="AU124" s="1133"/>
      <c r="AV124" s="1133"/>
      <c r="AW124" s="1133"/>
      <c r="AX124" s="1133"/>
      <c r="AY124" s="1133"/>
      <c r="AZ124" s="1133"/>
      <c r="BA124" s="1133"/>
      <c r="BB124" s="1133"/>
      <c r="BC124" s="1133"/>
      <c r="BD124" s="1133"/>
      <c r="BE124" s="1480"/>
      <c r="BF124" s="1480"/>
      <c r="BG124" s="1480"/>
      <c r="BH124" s="1480"/>
      <c r="BI124" s="1480"/>
      <c r="BJ124" s="1480"/>
    </row>
    <row r="125" spans="1:62" s="629" customFormat="1" ht="12.75" x14ac:dyDescent="0.2">
      <c r="A125" s="2365"/>
      <c r="B125" s="2366"/>
      <c r="C125" s="2023"/>
      <c r="D125" s="2023"/>
      <c r="E125" s="2023"/>
      <c r="F125" s="2023"/>
      <c r="G125" s="2006"/>
      <c r="H125" s="2367"/>
      <c r="I125" s="2023"/>
      <c r="J125" s="2023"/>
      <c r="K125" s="2347"/>
      <c r="L125" s="2369"/>
      <c r="M125" s="2006"/>
      <c r="N125" s="2347"/>
      <c r="O125" s="2347"/>
      <c r="P125" s="2367"/>
      <c r="Q125" s="2023"/>
      <c r="R125" s="2023"/>
      <c r="S125" s="2023"/>
      <c r="T125" s="2023"/>
      <c r="U125" s="1146" t="s">
        <v>4045</v>
      </c>
      <c r="V125" s="1137">
        <v>41631</v>
      </c>
      <c r="W125" s="1064">
        <v>11224</v>
      </c>
      <c r="X125" s="1146" t="s">
        <v>3907</v>
      </c>
      <c r="Y125" s="1137">
        <v>41640</v>
      </c>
      <c r="Z125" s="1137">
        <v>42004</v>
      </c>
      <c r="AA125" s="1138"/>
      <c r="AB125" s="1055"/>
      <c r="AC125" s="1139"/>
      <c r="AD125" s="1139"/>
      <c r="AE125" s="1155"/>
      <c r="AF125" s="525">
        <v>0</v>
      </c>
      <c r="AG125" s="525">
        <v>0</v>
      </c>
      <c r="AH125" s="1139">
        <f t="shared" si="1"/>
        <v>0</v>
      </c>
      <c r="AI125" s="1055"/>
      <c r="AJ125" s="1064"/>
      <c r="AK125" s="1055"/>
      <c r="AL125" s="1133"/>
      <c r="AM125" s="1055"/>
      <c r="AN125" s="1055"/>
      <c r="AO125" s="1064"/>
      <c r="AP125" s="1137"/>
      <c r="AQ125" s="1064"/>
      <c r="AR125" s="1137"/>
      <c r="AS125" s="1055"/>
      <c r="AT125" s="1133"/>
      <c r="AU125" s="1133"/>
      <c r="AV125" s="1133"/>
      <c r="AW125" s="1133"/>
      <c r="AX125" s="1133"/>
      <c r="AY125" s="1133"/>
      <c r="AZ125" s="1133"/>
      <c r="BA125" s="1133"/>
      <c r="BB125" s="1133"/>
      <c r="BC125" s="1133"/>
      <c r="BD125" s="1133"/>
      <c r="BE125" s="1480"/>
      <c r="BF125" s="1480"/>
      <c r="BG125" s="1480"/>
      <c r="BH125" s="1480"/>
      <c r="BI125" s="1480"/>
      <c r="BJ125" s="1480"/>
    </row>
    <row r="126" spans="1:62" s="629" customFormat="1" ht="30" customHeight="1" x14ac:dyDescent="0.2">
      <c r="A126" s="2365"/>
      <c r="B126" s="2366"/>
      <c r="C126" s="2023"/>
      <c r="D126" s="2023"/>
      <c r="E126" s="2023"/>
      <c r="F126" s="2023"/>
      <c r="G126" s="2006"/>
      <c r="H126" s="2367"/>
      <c r="I126" s="2023"/>
      <c r="J126" s="2023"/>
      <c r="K126" s="2347"/>
      <c r="L126" s="2369"/>
      <c r="M126" s="2006"/>
      <c r="N126" s="2347"/>
      <c r="O126" s="2347"/>
      <c r="P126" s="2367"/>
      <c r="Q126" s="2023"/>
      <c r="R126" s="2023"/>
      <c r="S126" s="2023"/>
      <c r="T126" s="2023"/>
      <c r="U126" s="1146" t="s">
        <v>3894</v>
      </c>
      <c r="V126" s="1137">
        <v>41760</v>
      </c>
      <c r="W126" s="1064">
        <v>11302</v>
      </c>
      <c r="X126" s="1146" t="s">
        <v>3923</v>
      </c>
      <c r="Y126" s="1137">
        <v>41760</v>
      </c>
      <c r="Z126" s="1137">
        <v>42004</v>
      </c>
      <c r="AA126" s="1138"/>
      <c r="AB126" s="1138">
        <f>AD126/AE122</f>
        <v>0.24971264333493784</v>
      </c>
      <c r="AC126" s="1139"/>
      <c r="AD126" s="1139">
        <v>6272</v>
      </c>
      <c r="AE126" s="1155">
        <f>AE122-AD126+AC126</f>
        <v>18844.87</v>
      </c>
      <c r="AF126" s="525">
        <v>0</v>
      </c>
      <c r="AG126" s="525">
        <v>0</v>
      </c>
      <c r="AH126" s="1139">
        <f t="shared" si="1"/>
        <v>0</v>
      </c>
      <c r="AI126" s="1055"/>
      <c r="AJ126" s="1064"/>
      <c r="AK126" s="1055"/>
      <c r="AL126" s="1133"/>
      <c r="AM126" s="1055"/>
      <c r="AN126" s="1055"/>
      <c r="AO126" s="1064"/>
      <c r="AP126" s="1137"/>
      <c r="AQ126" s="1064"/>
      <c r="AR126" s="1137"/>
      <c r="AS126" s="1055"/>
      <c r="AT126" s="1133"/>
      <c r="AU126" s="1133"/>
      <c r="AV126" s="1133"/>
      <c r="AW126" s="1133"/>
      <c r="AX126" s="1133"/>
      <c r="AY126" s="1133"/>
      <c r="AZ126" s="1133"/>
      <c r="BA126" s="1133"/>
      <c r="BB126" s="1133"/>
      <c r="BC126" s="1133"/>
      <c r="BD126" s="1133"/>
      <c r="BE126" s="1480"/>
      <c r="BF126" s="1480"/>
      <c r="BG126" s="1480"/>
      <c r="BH126" s="1480"/>
      <c r="BI126" s="1480"/>
      <c r="BJ126" s="1480"/>
    </row>
    <row r="127" spans="1:62" s="629" customFormat="1" ht="28.5" customHeight="1" x14ac:dyDescent="0.2">
      <c r="A127" s="2365"/>
      <c r="B127" s="2366"/>
      <c r="C127" s="2023"/>
      <c r="D127" s="2023"/>
      <c r="E127" s="2023"/>
      <c r="F127" s="2023"/>
      <c r="G127" s="2006"/>
      <c r="H127" s="2367"/>
      <c r="I127" s="2023"/>
      <c r="J127" s="2023"/>
      <c r="K127" s="2347"/>
      <c r="L127" s="2369"/>
      <c r="M127" s="2006"/>
      <c r="N127" s="2347"/>
      <c r="O127" s="2347"/>
      <c r="P127" s="2367"/>
      <c r="Q127" s="2023"/>
      <c r="R127" s="2023"/>
      <c r="S127" s="2023"/>
      <c r="T127" s="2023"/>
      <c r="U127" s="1146" t="s">
        <v>4017</v>
      </c>
      <c r="V127" s="1137">
        <v>41821</v>
      </c>
      <c r="W127" s="1064">
        <v>11338</v>
      </c>
      <c r="X127" s="1146" t="s">
        <v>3923</v>
      </c>
      <c r="Y127" s="1137">
        <v>41821</v>
      </c>
      <c r="Z127" s="1137">
        <v>42004</v>
      </c>
      <c r="AA127" s="1138"/>
      <c r="AB127" s="1138">
        <f>AD127/AE126</f>
        <v>7.0363977039905296E-2</v>
      </c>
      <c r="AC127" s="1139"/>
      <c r="AD127" s="1139">
        <v>1326</v>
      </c>
      <c r="AE127" s="1155">
        <f>AE126-AD127+AC127</f>
        <v>17518.87</v>
      </c>
      <c r="AF127" s="525">
        <v>0</v>
      </c>
      <c r="AG127" s="525">
        <v>0</v>
      </c>
      <c r="AH127" s="1139">
        <f t="shared" si="1"/>
        <v>0</v>
      </c>
      <c r="AI127" s="1055"/>
      <c r="AJ127" s="1064"/>
      <c r="AK127" s="1055"/>
      <c r="AL127" s="1133"/>
      <c r="AM127" s="1055"/>
      <c r="AN127" s="1055"/>
      <c r="AO127" s="1064"/>
      <c r="AP127" s="1137"/>
      <c r="AQ127" s="1064"/>
      <c r="AR127" s="1137"/>
      <c r="AS127" s="1055"/>
      <c r="AT127" s="1133"/>
      <c r="AU127" s="1133"/>
      <c r="AV127" s="1133"/>
      <c r="AW127" s="1133"/>
      <c r="AX127" s="1133"/>
      <c r="AY127" s="1133"/>
      <c r="AZ127" s="1133"/>
      <c r="BA127" s="1133"/>
      <c r="BB127" s="1133"/>
      <c r="BC127" s="1133"/>
      <c r="BD127" s="1133"/>
      <c r="BE127" s="1480"/>
      <c r="BF127" s="1480"/>
      <c r="BG127" s="1480"/>
      <c r="BH127" s="1480"/>
      <c r="BI127" s="1480"/>
      <c r="BJ127" s="1480"/>
    </row>
    <row r="128" spans="1:62" s="629" customFormat="1" ht="23.25" customHeight="1" x14ac:dyDescent="0.2">
      <c r="A128" s="2365">
        <v>29</v>
      </c>
      <c r="B128" s="2366" t="s">
        <v>4046</v>
      </c>
      <c r="C128" s="2023" t="s">
        <v>4047</v>
      </c>
      <c r="D128" s="2023" t="s">
        <v>1548</v>
      </c>
      <c r="E128" s="2023" t="s">
        <v>584</v>
      </c>
      <c r="F128" s="2023" t="s">
        <v>4048</v>
      </c>
      <c r="G128" s="2006">
        <v>10756</v>
      </c>
      <c r="H128" s="2367" t="s">
        <v>4049</v>
      </c>
      <c r="I128" s="2023" t="s">
        <v>4050</v>
      </c>
      <c r="J128" s="2023" t="s">
        <v>4051</v>
      </c>
      <c r="K128" s="2347">
        <v>41177</v>
      </c>
      <c r="L128" s="2369">
        <v>2219816.8199999998</v>
      </c>
      <c r="M128" s="2006">
        <v>10842</v>
      </c>
      <c r="N128" s="2347">
        <v>41091</v>
      </c>
      <c r="O128" s="2347">
        <v>41274</v>
      </c>
      <c r="P128" s="2405" t="s">
        <v>3905</v>
      </c>
      <c r="Q128" s="2023"/>
      <c r="R128" s="2023"/>
      <c r="S128" s="2023"/>
      <c r="T128" s="2023" t="s">
        <v>208</v>
      </c>
      <c r="U128" s="1146"/>
      <c r="V128" s="1055"/>
      <c r="W128" s="1064"/>
      <c r="X128" s="1146"/>
      <c r="Y128" s="1055"/>
      <c r="Z128" s="1055"/>
      <c r="AA128" s="1138"/>
      <c r="AB128" s="1055"/>
      <c r="AC128" s="1139"/>
      <c r="AD128" s="1139"/>
      <c r="AE128" s="1155"/>
      <c r="AF128" s="525">
        <v>4518410.8</v>
      </c>
      <c r="AG128" s="1150">
        <f>418666.96+418666.96+418666.96+418666.96+418666.96+422323.44+3656.48+435121.12+435121.12+56675.44+436949.36+387586.88</f>
        <v>4270768.6400000006</v>
      </c>
      <c r="AH128" s="1139">
        <f t="shared" si="1"/>
        <v>8789179.4400000013</v>
      </c>
      <c r="AI128" s="1055"/>
      <c r="AJ128" s="1064"/>
      <c r="AK128" s="1055"/>
      <c r="AL128" s="1133"/>
      <c r="AM128" s="1055"/>
      <c r="AN128" s="1055"/>
      <c r="AO128" s="1064"/>
      <c r="AP128" s="1137"/>
      <c r="AQ128" s="1064"/>
      <c r="AR128" s="1137"/>
      <c r="AS128" s="1055"/>
      <c r="AT128" s="1133"/>
      <c r="AU128" s="1133"/>
      <c r="AV128" s="1133"/>
      <c r="AW128" s="1133"/>
      <c r="AX128" s="1133"/>
      <c r="AY128" s="1133"/>
      <c r="AZ128" s="1133"/>
      <c r="BA128" s="1133"/>
      <c r="BB128" s="1133"/>
      <c r="BC128" s="1133"/>
      <c r="BD128" s="1133"/>
      <c r="BE128" s="1480"/>
      <c r="BF128" s="1480"/>
      <c r="BG128" s="1480"/>
      <c r="BH128" s="1480"/>
      <c r="BI128" s="1480"/>
      <c r="BJ128" s="1480"/>
    </row>
    <row r="129" spans="1:62" s="629" customFormat="1" ht="12.75" x14ac:dyDescent="0.2">
      <c r="A129" s="2365"/>
      <c r="B129" s="2366"/>
      <c r="C129" s="2023"/>
      <c r="D129" s="2023"/>
      <c r="E129" s="2023"/>
      <c r="F129" s="2023"/>
      <c r="G129" s="2006"/>
      <c r="H129" s="2367"/>
      <c r="I129" s="2023"/>
      <c r="J129" s="2023"/>
      <c r="K129" s="2023"/>
      <c r="L129" s="2369"/>
      <c r="M129" s="2006"/>
      <c r="N129" s="2347"/>
      <c r="O129" s="2347"/>
      <c r="P129" s="2406"/>
      <c r="Q129" s="2023"/>
      <c r="R129" s="2023"/>
      <c r="S129" s="2023"/>
      <c r="T129" s="2023"/>
      <c r="U129" s="1146" t="s">
        <v>3972</v>
      </c>
      <c r="V129" s="1137">
        <v>41096</v>
      </c>
      <c r="W129" s="1064">
        <v>10856</v>
      </c>
      <c r="X129" s="1146" t="s">
        <v>4033</v>
      </c>
      <c r="Y129" s="1137">
        <v>41099</v>
      </c>
      <c r="Z129" s="1137">
        <v>41274</v>
      </c>
      <c r="AA129" s="1138">
        <f>AC129/L128</f>
        <v>2.5981607797710086E-2</v>
      </c>
      <c r="AB129" s="1133"/>
      <c r="AC129" s="1139">
        <v>57674.41</v>
      </c>
      <c r="AD129" s="1139"/>
      <c r="AE129" s="1155">
        <f>AC129+L128</f>
        <v>2277491.23</v>
      </c>
      <c r="AF129" s="525">
        <v>0</v>
      </c>
      <c r="AG129" s="525">
        <v>0</v>
      </c>
      <c r="AH129" s="1139">
        <f t="shared" si="1"/>
        <v>0</v>
      </c>
      <c r="AI129" s="1055"/>
      <c r="AJ129" s="1064"/>
      <c r="AK129" s="1055"/>
      <c r="AL129" s="1133"/>
      <c r="AM129" s="1055"/>
      <c r="AN129" s="1055"/>
      <c r="AO129" s="1064"/>
      <c r="AP129" s="1137"/>
      <c r="AQ129" s="1064"/>
      <c r="AR129" s="1137"/>
      <c r="AS129" s="1055"/>
      <c r="AT129" s="1133"/>
      <c r="AU129" s="1133"/>
      <c r="AV129" s="1133"/>
      <c r="AW129" s="1133"/>
      <c r="AX129" s="1133"/>
      <c r="AY129" s="1133"/>
      <c r="AZ129" s="1133"/>
      <c r="BA129" s="1133"/>
      <c r="BB129" s="1133"/>
      <c r="BC129" s="1133"/>
      <c r="BD129" s="1133"/>
      <c r="BE129" s="1480"/>
      <c r="BF129" s="1480"/>
      <c r="BG129" s="1480"/>
      <c r="BH129" s="1480"/>
      <c r="BI129" s="1480"/>
      <c r="BJ129" s="1480"/>
    </row>
    <row r="130" spans="1:62" s="629" customFormat="1" ht="12.75" x14ac:dyDescent="0.2">
      <c r="A130" s="2365"/>
      <c r="B130" s="2366"/>
      <c r="C130" s="2023"/>
      <c r="D130" s="2023"/>
      <c r="E130" s="2023"/>
      <c r="F130" s="2023"/>
      <c r="G130" s="2006"/>
      <c r="H130" s="2367"/>
      <c r="I130" s="2023"/>
      <c r="J130" s="2023"/>
      <c r="K130" s="2023"/>
      <c r="L130" s="2369"/>
      <c r="M130" s="2006"/>
      <c r="N130" s="2347"/>
      <c r="O130" s="2347"/>
      <c r="P130" s="2406"/>
      <c r="Q130" s="2023"/>
      <c r="R130" s="2023"/>
      <c r="S130" s="2023"/>
      <c r="T130" s="2023"/>
      <c r="U130" s="1146" t="s">
        <v>3891</v>
      </c>
      <c r="V130" s="1137">
        <v>41107</v>
      </c>
      <c r="W130" s="1064">
        <v>10857</v>
      </c>
      <c r="X130" s="1146" t="s">
        <v>4033</v>
      </c>
      <c r="Y130" s="1137">
        <v>41108</v>
      </c>
      <c r="Z130" s="1137">
        <v>41274</v>
      </c>
      <c r="AA130" s="1138">
        <f>AC130/AE129</f>
        <v>8.0144150544105494E-3</v>
      </c>
      <c r="AB130" s="1138"/>
      <c r="AC130" s="1139">
        <v>18252.759999999998</v>
      </c>
      <c r="AD130" s="1139"/>
      <c r="AE130" s="1155">
        <f>AC130+AE129</f>
        <v>2295743.9899999998</v>
      </c>
      <c r="AF130" s="525">
        <v>0</v>
      </c>
      <c r="AG130" s="525">
        <v>0</v>
      </c>
      <c r="AH130" s="1139">
        <f t="shared" si="1"/>
        <v>0</v>
      </c>
      <c r="AI130" s="1055"/>
      <c r="AJ130" s="1064"/>
      <c r="AK130" s="1055"/>
      <c r="AL130" s="1133"/>
      <c r="AM130" s="1055"/>
      <c r="AN130" s="1055"/>
      <c r="AO130" s="1064"/>
      <c r="AP130" s="1137"/>
      <c r="AQ130" s="1064"/>
      <c r="AR130" s="1137"/>
      <c r="AS130" s="1055"/>
      <c r="AT130" s="1133"/>
      <c r="AU130" s="1133"/>
      <c r="AV130" s="1133"/>
      <c r="AW130" s="1133"/>
      <c r="AX130" s="1133"/>
      <c r="AY130" s="1133"/>
      <c r="AZ130" s="1133"/>
      <c r="BA130" s="1133"/>
      <c r="BB130" s="1133"/>
      <c r="BC130" s="1133"/>
      <c r="BD130" s="1133"/>
      <c r="BE130" s="1480"/>
      <c r="BF130" s="1480"/>
      <c r="BG130" s="1480"/>
      <c r="BH130" s="1480"/>
      <c r="BI130" s="1480"/>
      <c r="BJ130" s="1480"/>
    </row>
    <row r="131" spans="1:62" s="629" customFormat="1" ht="12.75" x14ac:dyDescent="0.2">
      <c r="A131" s="2365"/>
      <c r="B131" s="2366"/>
      <c r="C131" s="2023"/>
      <c r="D131" s="2023"/>
      <c r="E131" s="2023"/>
      <c r="F131" s="2023"/>
      <c r="G131" s="2006"/>
      <c r="H131" s="2367"/>
      <c r="I131" s="2023"/>
      <c r="J131" s="2023"/>
      <c r="K131" s="2023"/>
      <c r="L131" s="2369"/>
      <c r="M131" s="2006"/>
      <c r="N131" s="2347"/>
      <c r="O131" s="2347"/>
      <c r="P131" s="2406"/>
      <c r="Q131" s="2023"/>
      <c r="R131" s="2023"/>
      <c r="S131" s="2023"/>
      <c r="T131" s="2023"/>
      <c r="U131" s="1146" t="s">
        <v>3892</v>
      </c>
      <c r="V131" s="1137">
        <v>41253</v>
      </c>
      <c r="W131" s="1064">
        <v>10951</v>
      </c>
      <c r="X131" s="1146" t="s">
        <v>4052</v>
      </c>
      <c r="Y131" s="1137">
        <v>41275</v>
      </c>
      <c r="Z131" s="1137">
        <v>41639</v>
      </c>
      <c r="AA131" s="1138"/>
      <c r="AB131" s="1055"/>
      <c r="AC131" s="1150">
        <f>6896088.35-2295743.99</f>
        <v>4600344.3599999994</v>
      </c>
      <c r="AD131" s="1139"/>
      <c r="AE131" s="1155">
        <f>AE130+AC131</f>
        <v>6896088.3499999996</v>
      </c>
      <c r="AF131" s="525">
        <v>0</v>
      </c>
      <c r="AG131" s="525">
        <v>0</v>
      </c>
      <c r="AH131" s="1139">
        <f t="shared" si="1"/>
        <v>0</v>
      </c>
      <c r="AI131" s="1055"/>
      <c r="AJ131" s="1064"/>
      <c r="AK131" s="1055"/>
      <c r="AL131" s="1133"/>
      <c r="AM131" s="1055"/>
      <c r="AN131" s="1055"/>
      <c r="AO131" s="1064"/>
      <c r="AP131" s="1137"/>
      <c r="AQ131" s="1064"/>
      <c r="AR131" s="1137"/>
      <c r="AS131" s="1055"/>
      <c r="AT131" s="1133"/>
      <c r="AU131" s="1133"/>
      <c r="AV131" s="1133"/>
      <c r="AW131" s="1133"/>
      <c r="AX131" s="1133"/>
      <c r="AY131" s="1133"/>
      <c r="AZ131" s="1133"/>
      <c r="BA131" s="1133"/>
      <c r="BB131" s="1133"/>
      <c r="BC131" s="1133"/>
      <c r="BD131" s="1133"/>
      <c r="BE131" s="1480"/>
      <c r="BF131" s="1480"/>
      <c r="BG131" s="1480"/>
      <c r="BH131" s="1480"/>
      <c r="BI131" s="1480"/>
      <c r="BJ131" s="1480"/>
    </row>
    <row r="132" spans="1:62" s="629" customFormat="1" ht="12.75" x14ac:dyDescent="0.2">
      <c r="A132" s="2365"/>
      <c r="B132" s="2366"/>
      <c r="C132" s="2023"/>
      <c r="D132" s="2023"/>
      <c r="E132" s="2023"/>
      <c r="F132" s="2023"/>
      <c r="G132" s="2006"/>
      <c r="H132" s="2367"/>
      <c r="I132" s="2023"/>
      <c r="J132" s="2023"/>
      <c r="K132" s="2023"/>
      <c r="L132" s="2369"/>
      <c r="M132" s="2006"/>
      <c r="N132" s="2347"/>
      <c r="O132" s="2347"/>
      <c r="P132" s="2406"/>
      <c r="Q132" s="2023"/>
      <c r="R132" s="2023"/>
      <c r="S132" s="2023"/>
      <c r="T132" s="2023"/>
      <c r="U132" s="1146" t="s">
        <v>4045</v>
      </c>
      <c r="V132" s="1137">
        <v>41521</v>
      </c>
      <c r="W132" s="1064">
        <v>11502</v>
      </c>
      <c r="X132" s="1146" t="s">
        <v>4053</v>
      </c>
      <c r="Y132" s="1137">
        <v>41275</v>
      </c>
      <c r="Z132" s="1137">
        <v>41639</v>
      </c>
      <c r="AA132" s="1138">
        <f>AC132/(383362.03*12)</f>
        <v>6.3574112525784918E-2</v>
      </c>
      <c r="AB132" s="1133"/>
      <c r="AC132" s="1139">
        <v>292462.81</v>
      </c>
      <c r="AD132" s="1139"/>
      <c r="AE132" s="2368">
        <f>AE131+AC132</f>
        <v>7188551.1599999992</v>
      </c>
      <c r="AF132" s="525">
        <v>2295743.9900000002</v>
      </c>
      <c r="AG132" s="525">
        <v>0</v>
      </c>
      <c r="AH132" s="1139">
        <f t="shared" si="1"/>
        <v>2295743.9900000002</v>
      </c>
      <c r="AI132" s="1055"/>
      <c r="AJ132" s="1064"/>
      <c r="AK132" s="1055"/>
      <c r="AL132" s="1133"/>
      <c r="AM132" s="1055"/>
      <c r="AN132" s="1055"/>
      <c r="AO132" s="1064"/>
      <c r="AP132" s="1137"/>
      <c r="AQ132" s="1064"/>
      <c r="AR132" s="1137"/>
      <c r="AS132" s="1055"/>
      <c r="AT132" s="1133"/>
      <c r="AU132" s="1133"/>
      <c r="AV132" s="1133"/>
      <c r="AW132" s="1133"/>
      <c r="AX132" s="1133"/>
      <c r="AY132" s="1133"/>
      <c r="AZ132" s="1133"/>
      <c r="BA132" s="1133"/>
      <c r="BB132" s="1133"/>
      <c r="BC132" s="1133"/>
      <c r="BD132" s="1133"/>
      <c r="BE132" s="1480"/>
      <c r="BF132" s="1480"/>
      <c r="BG132" s="1480"/>
      <c r="BH132" s="1480"/>
      <c r="BI132" s="1480"/>
      <c r="BJ132" s="1480"/>
    </row>
    <row r="133" spans="1:62" s="629" customFormat="1" ht="12.75" x14ac:dyDescent="0.2">
      <c r="A133" s="2365"/>
      <c r="B133" s="2366"/>
      <c r="C133" s="2023"/>
      <c r="D133" s="2023"/>
      <c r="E133" s="2023"/>
      <c r="F133" s="2023"/>
      <c r="G133" s="2006"/>
      <c r="H133" s="2367"/>
      <c r="I133" s="2023"/>
      <c r="J133" s="2023"/>
      <c r="K133" s="2023"/>
      <c r="L133" s="2369"/>
      <c r="M133" s="2006"/>
      <c r="N133" s="2347"/>
      <c r="O133" s="2347"/>
      <c r="P133" s="2406"/>
      <c r="Q133" s="2023"/>
      <c r="R133" s="2023"/>
      <c r="S133" s="2023"/>
      <c r="T133" s="2023"/>
      <c r="U133" s="1146" t="s">
        <v>3894</v>
      </c>
      <c r="V133" s="1137">
        <v>41631</v>
      </c>
      <c r="W133" s="1064">
        <v>11513</v>
      </c>
      <c r="X133" s="1146" t="s">
        <v>4052</v>
      </c>
      <c r="Y133" s="1137">
        <v>41640</v>
      </c>
      <c r="Z133" s="1137">
        <v>42004</v>
      </c>
      <c r="AA133" s="1138"/>
      <c r="AB133" s="1055"/>
      <c r="AC133" s="1150"/>
      <c r="AD133" s="1139"/>
      <c r="AE133" s="2368"/>
      <c r="AF133" s="525">
        <v>365648</v>
      </c>
      <c r="AG133" s="525">
        <v>0</v>
      </c>
      <c r="AH133" s="1139">
        <f t="shared" si="1"/>
        <v>365648</v>
      </c>
      <c r="AI133" s="1055"/>
      <c r="AJ133" s="1064"/>
      <c r="AK133" s="1055"/>
      <c r="AL133" s="1133"/>
      <c r="AM133" s="1055"/>
      <c r="AN133" s="1055"/>
      <c r="AO133" s="1064"/>
      <c r="AP133" s="1137"/>
      <c r="AQ133" s="1064"/>
      <c r="AR133" s="1137"/>
      <c r="AS133" s="1055"/>
      <c r="AT133" s="1133"/>
      <c r="AU133" s="1133"/>
      <c r="AV133" s="1133"/>
      <c r="AW133" s="1133"/>
      <c r="AX133" s="1133"/>
      <c r="AY133" s="1133"/>
      <c r="AZ133" s="1133"/>
      <c r="BA133" s="1133"/>
      <c r="BB133" s="1133"/>
      <c r="BC133" s="1133"/>
      <c r="BD133" s="1133"/>
      <c r="BE133" s="1480"/>
      <c r="BF133" s="1480"/>
      <c r="BG133" s="1480"/>
      <c r="BH133" s="1480"/>
      <c r="BI133" s="1480"/>
      <c r="BJ133" s="1480"/>
    </row>
    <row r="134" spans="1:62" s="629" customFormat="1" ht="12.75" x14ac:dyDescent="0.2">
      <c r="A134" s="2365"/>
      <c r="B134" s="2366"/>
      <c r="C134" s="2023"/>
      <c r="D134" s="2023"/>
      <c r="E134" s="2023"/>
      <c r="F134" s="2023"/>
      <c r="G134" s="2006"/>
      <c r="H134" s="2367"/>
      <c r="I134" s="2023"/>
      <c r="J134" s="2023"/>
      <c r="K134" s="2023"/>
      <c r="L134" s="2369"/>
      <c r="M134" s="2006"/>
      <c r="N134" s="2347"/>
      <c r="O134" s="2347"/>
      <c r="P134" s="2406"/>
      <c r="Q134" s="2023"/>
      <c r="R134" s="2023"/>
      <c r="S134" s="2023"/>
      <c r="T134" s="2023"/>
      <c r="U134" s="1146" t="s">
        <v>4017</v>
      </c>
      <c r="V134" s="1137">
        <v>41791</v>
      </c>
      <c r="W134" s="1064">
        <v>11513</v>
      </c>
      <c r="X134" s="1146" t="s">
        <v>4054</v>
      </c>
      <c r="Y134" s="1137">
        <v>41640</v>
      </c>
      <c r="Z134" s="1137">
        <v>42004</v>
      </c>
      <c r="AA134" s="1138">
        <f>AC134/AE132</f>
        <v>1.2462004930629164E-2</v>
      </c>
      <c r="AB134" s="1138"/>
      <c r="AC134" s="1139">
        <v>89583.76</v>
      </c>
      <c r="AD134" s="1139"/>
      <c r="AE134" s="1155">
        <f>AE132+AC134</f>
        <v>7278134.919999999</v>
      </c>
      <c r="AF134" s="525">
        <v>0</v>
      </c>
      <c r="AG134" s="525">
        <v>0</v>
      </c>
      <c r="AH134" s="1139">
        <f t="shared" si="1"/>
        <v>0</v>
      </c>
      <c r="AI134" s="1055"/>
      <c r="AJ134" s="1064"/>
      <c r="AK134" s="1055"/>
      <c r="AL134" s="1133"/>
      <c r="AM134" s="1055"/>
      <c r="AN134" s="1055"/>
      <c r="AO134" s="1064"/>
      <c r="AP134" s="1137"/>
      <c r="AQ134" s="1064"/>
      <c r="AR134" s="1137"/>
      <c r="AS134" s="1055"/>
      <c r="AT134" s="1133"/>
      <c r="AU134" s="1133"/>
      <c r="AV134" s="1133"/>
      <c r="AW134" s="1133"/>
      <c r="AX134" s="1133"/>
      <c r="AY134" s="1133"/>
      <c r="AZ134" s="1133"/>
      <c r="BA134" s="1133"/>
      <c r="BB134" s="1133"/>
      <c r="BC134" s="1133"/>
      <c r="BD134" s="1133"/>
      <c r="BE134" s="1480"/>
      <c r="BF134" s="1480"/>
      <c r="BG134" s="1480"/>
      <c r="BH134" s="1480"/>
      <c r="BI134" s="1480"/>
      <c r="BJ134" s="1480"/>
    </row>
    <row r="135" spans="1:62" s="629" customFormat="1" ht="12.75" x14ac:dyDescent="0.2">
      <c r="A135" s="2365"/>
      <c r="B135" s="2366"/>
      <c r="C135" s="2023"/>
      <c r="D135" s="2023"/>
      <c r="E135" s="2023"/>
      <c r="F135" s="2023"/>
      <c r="G135" s="2006"/>
      <c r="H135" s="2367"/>
      <c r="I135" s="2023"/>
      <c r="J135" s="2023"/>
      <c r="K135" s="2023"/>
      <c r="L135" s="2369"/>
      <c r="M135" s="2006"/>
      <c r="N135" s="2347"/>
      <c r="O135" s="2347"/>
      <c r="P135" s="2407"/>
      <c r="Q135" s="2023"/>
      <c r="R135" s="2023"/>
      <c r="S135" s="2023"/>
      <c r="T135" s="2023"/>
      <c r="U135" s="1146" t="s">
        <v>4018</v>
      </c>
      <c r="V135" s="1137">
        <v>41791</v>
      </c>
      <c r="W135" s="1064">
        <v>11513</v>
      </c>
      <c r="X135" s="1146" t="s">
        <v>4054</v>
      </c>
      <c r="Y135" s="1137">
        <v>41640</v>
      </c>
      <c r="Z135" s="1137">
        <v>42004</v>
      </c>
      <c r="AA135" s="1138">
        <f>AC135/AE134</f>
        <v>1.0047848906873523E-3</v>
      </c>
      <c r="AB135" s="1055"/>
      <c r="AC135" s="1139">
        <v>7312.96</v>
      </c>
      <c r="AD135" s="1139"/>
      <c r="AE135" s="1155">
        <f>AE134+AC135</f>
        <v>7285447.879999999</v>
      </c>
      <c r="AF135" s="525">
        <v>0</v>
      </c>
      <c r="AG135" s="525">
        <v>0</v>
      </c>
      <c r="AH135" s="1139">
        <f t="shared" si="1"/>
        <v>0</v>
      </c>
      <c r="AI135" s="1055"/>
      <c r="AJ135" s="1064"/>
      <c r="AK135" s="1055"/>
      <c r="AL135" s="1133"/>
      <c r="AM135" s="1055"/>
      <c r="AN135" s="1055"/>
      <c r="AO135" s="1064"/>
      <c r="AP135" s="1137"/>
      <c r="AQ135" s="1064"/>
      <c r="AR135" s="1137"/>
      <c r="AS135" s="1055"/>
      <c r="AT135" s="1133"/>
      <c r="AU135" s="1133"/>
      <c r="AV135" s="1133"/>
      <c r="AW135" s="1133"/>
      <c r="AX135" s="1133"/>
      <c r="AY135" s="1133"/>
      <c r="AZ135" s="1133"/>
      <c r="BA135" s="1133"/>
      <c r="BB135" s="1133"/>
      <c r="BC135" s="1133"/>
      <c r="BD135" s="1133"/>
      <c r="BE135" s="1480"/>
      <c r="BF135" s="1480"/>
      <c r="BG135" s="1480"/>
      <c r="BH135" s="1480"/>
      <c r="BI135" s="1480"/>
      <c r="BJ135" s="1480"/>
    </row>
    <row r="136" spans="1:62" s="629" customFormat="1" ht="20.25" customHeight="1" x14ac:dyDescent="0.2">
      <c r="A136" s="2365">
        <v>30</v>
      </c>
      <c r="B136" s="2366" t="s">
        <v>4046</v>
      </c>
      <c r="C136" s="2023" t="s">
        <v>4047</v>
      </c>
      <c r="D136" s="2023" t="s">
        <v>615</v>
      </c>
      <c r="E136" s="2023" t="s">
        <v>584</v>
      </c>
      <c r="F136" s="2023" t="s">
        <v>4055</v>
      </c>
      <c r="G136" s="2006">
        <v>10756</v>
      </c>
      <c r="H136" s="2367" t="s">
        <v>4056</v>
      </c>
      <c r="I136" s="2023" t="s">
        <v>4057</v>
      </c>
      <c r="J136" s="2023" t="s">
        <v>197</v>
      </c>
      <c r="K136" s="2347">
        <v>41085</v>
      </c>
      <c r="L136" s="2369">
        <v>207531.72</v>
      </c>
      <c r="M136" s="2006">
        <v>10842</v>
      </c>
      <c r="N136" s="2347">
        <v>41085</v>
      </c>
      <c r="O136" s="2347">
        <v>41274</v>
      </c>
      <c r="P136" s="2367" t="s">
        <v>3905</v>
      </c>
      <c r="Q136" s="2023"/>
      <c r="R136" s="2023"/>
      <c r="S136" s="2023"/>
      <c r="T136" s="2023" t="s">
        <v>208</v>
      </c>
      <c r="U136" s="1146"/>
      <c r="V136" s="1055"/>
      <c r="W136" s="1064"/>
      <c r="X136" s="1146"/>
      <c r="Y136" s="1055"/>
      <c r="Z136" s="1055"/>
      <c r="AA136" s="1138"/>
      <c r="AB136" s="1055"/>
      <c r="AC136" s="1150"/>
      <c r="AD136" s="1150"/>
      <c r="AE136" s="1155"/>
      <c r="AF136" s="525">
        <v>445241.84</v>
      </c>
      <c r="AG136" s="1139">
        <f>193206.24+24150.78+24150.78+24150.78+24150.78</f>
        <v>289809.36</v>
      </c>
      <c r="AH136" s="1139">
        <f t="shared" si="1"/>
        <v>735051.2</v>
      </c>
      <c r="AI136" s="1055"/>
      <c r="AJ136" s="1064"/>
      <c r="AK136" s="1055"/>
      <c r="AL136" s="1133"/>
      <c r="AM136" s="1055"/>
      <c r="AN136" s="1055"/>
      <c r="AO136" s="1064"/>
      <c r="AP136" s="1137"/>
      <c r="AQ136" s="1064"/>
      <c r="AR136" s="1137"/>
      <c r="AS136" s="1055"/>
      <c r="AT136" s="1133"/>
      <c r="AU136" s="1133"/>
      <c r="AV136" s="1133"/>
      <c r="AW136" s="1133"/>
      <c r="AX136" s="1133"/>
      <c r="AY136" s="1133"/>
      <c r="AZ136" s="1133"/>
      <c r="BA136" s="1133"/>
      <c r="BB136" s="1133"/>
      <c r="BC136" s="1133"/>
      <c r="BD136" s="1133"/>
      <c r="BE136" s="1480"/>
      <c r="BF136" s="1480"/>
      <c r="BG136" s="1480"/>
      <c r="BH136" s="1480"/>
      <c r="BI136" s="1480"/>
      <c r="BJ136" s="1480"/>
    </row>
    <row r="137" spans="1:62" s="629" customFormat="1" ht="12.75" x14ac:dyDescent="0.2">
      <c r="A137" s="2365"/>
      <c r="B137" s="2366"/>
      <c r="C137" s="2023"/>
      <c r="D137" s="2023"/>
      <c r="E137" s="2023"/>
      <c r="F137" s="2023"/>
      <c r="G137" s="2006"/>
      <c r="H137" s="2367"/>
      <c r="I137" s="2023"/>
      <c r="J137" s="2023"/>
      <c r="K137" s="2023"/>
      <c r="L137" s="2369"/>
      <c r="M137" s="2006"/>
      <c r="N137" s="2347"/>
      <c r="O137" s="2347"/>
      <c r="P137" s="2367"/>
      <c r="Q137" s="2023"/>
      <c r="R137" s="2023"/>
      <c r="S137" s="2023"/>
      <c r="T137" s="2023"/>
      <c r="U137" s="1146" t="s">
        <v>3972</v>
      </c>
      <c r="V137" s="1137">
        <v>41099</v>
      </c>
      <c r="W137" s="1064">
        <v>10844</v>
      </c>
      <c r="X137" s="1146" t="s">
        <v>4058</v>
      </c>
      <c r="Y137" s="1137">
        <v>41091</v>
      </c>
      <c r="Z137" s="1137">
        <v>41274</v>
      </c>
      <c r="AA137" s="1138"/>
      <c r="AB137" s="1138">
        <f>8/27</f>
        <v>0.29629629629629628</v>
      </c>
      <c r="AC137" s="1139"/>
      <c r="AD137" s="1139">
        <f>(1281.06*8)*6</f>
        <v>61490.879999999997</v>
      </c>
      <c r="AE137" s="1155">
        <f>L136-AD137</f>
        <v>146040.84</v>
      </c>
      <c r="AF137" s="525">
        <v>0</v>
      </c>
      <c r="AG137" s="525">
        <v>0</v>
      </c>
      <c r="AH137" s="1139">
        <f t="shared" si="1"/>
        <v>0</v>
      </c>
      <c r="AI137" s="1055"/>
      <c r="AJ137" s="1064"/>
      <c r="AK137" s="1055"/>
      <c r="AL137" s="1133"/>
      <c r="AM137" s="1055"/>
      <c r="AN137" s="1055"/>
      <c r="AO137" s="1064"/>
      <c r="AP137" s="1137"/>
      <c r="AQ137" s="1064"/>
      <c r="AR137" s="1137"/>
      <c r="AS137" s="1055"/>
      <c r="AT137" s="1133"/>
      <c r="AU137" s="1133"/>
      <c r="AV137" s="1133"/>
      <c r="AW137" s="1133"/>
      <c r="AX137" s="1133"/>
      <c r="AY137" s="1133"/>
      <c r="AZ137" s="1133"/>
      <c r="BA137" s="1133"/>
      <c r="BB137" s="1133"/>
      <c r="BC137" s="1133"/>
      <c r="BD137" s="1133"/>
      <c r="BE137" s="1480"/>
      <c r="BF137" s="1480"/>
      <c r="BG137" s="1480"/>
      <c r="BH137" s="1480"/>
      <c r="BI137" s="1480"/>
      <c r="BJ137" s="1480"/>
    </row>
    <row r="138" spans="1:62" s="629" customFormat="1" ht="12.75" x14ac:dyDescent="0.2">
      <c r="A138" s="2365"/>
      <c r="B138" s="2366"/>
      <c r="C138" s="2023"/>
      <c r="D138" s="2023"/>
      <c r="E138" s="2023"/>
      <c r="F138" s="2023"/>
      <c r="G138" s="2006"/>
      <c r="H138" s="2367"/>
      <c r="I138" s="2023"/>
      <c r="J138" s="2023"/>
      <c r="K138" s="2023"/>
      <c r="L138" s="2369"/>
      <c r="M138" s="2006"/>
      <c r="N138" s="2347"/>
      <c r="O138" s="2347"/>
      <c r="P138" s="2367"/>
      <c r="Q138" s="2023"/>
      <c r="R138" s="2023"/>
      <c r="S138" s="2023"/>
      <c r="T138" s="2023"/>
      <c r="U138" s="1146" t="s">
        <v>3891</v>
      </c>
      <c r="V138" s="1137">
        <v>41253</v>
      </c>
      <c r="W138" s="1064">
        <v>10951</v>
      </c>
      <c r="X138" s="1146" t="s">
        <v>3955</v>
      </c>
      <c r="Y138" s="1137">
        <v>41275</v>
      </c>
      <c r="Z138" s="1137">
        <v>41639</v>
      </c>
      <c r="AA138" s="1138"/>
      <c r="AB138" s="1138"/>
      <c r="AC138" s="1139"/>
      <c r="AD138" s="1139"/>
      <c r="AE138" s="1155">
        <f>(24340.14*12)+AE137</f>
        <v>438122.52</v>
      </c>
      <c r="AF138" s="525">
        <v>0</v>
      </c>
      <c r="AG138" s="525">
        <v>0</v>
      </c>
      <c r="AH138" s="1139">
        <f t="shared" si="1"/>
        <v>0</v>
      </c>
      <c r="AI138" s="1055"/>
      <c r="AJ138" s="1064"/>
      <c r="AK138" s="1055"/>
      <c r="AL138" s="1133"/>
      <c r="AM138" s="1055"/>
      <c r="AN138" s="1055"/>
      <c r="AO138" s="1064"/>
      <c r="AP138" s="1137"/>
      <c r="AQ138" s="1064"/>
      <c r="AR138" s="1137"/>
      <c r="AS138" s="1055"/>
      <c r="AT138" s="1133"/>
      <c r="AU138" s="1133"/>
      <c r="AV138" s="1133"/>
      <c r="AW138" s="1133"/>
      <c r="AX138" s="1133"/>
      <c r="AY138" s="1133"/>
      <c r="AZ138" s="1133"/>
      <c r="BA138" s="1133"/>
      <c r="BB138" s="1133"/>
      <c r="BC138" s="1133"/>
      <c r="BD138" s="1133"/>
      <c r="BE138" s="1480"/>
      <c r="BF138" s="1480"/>
      <c r="BG138" s="1480"/>
      <c r="BH138" s="1480"/>
      <c r="BI138" s="1480"/>
      <c r="BJ138" s="1480"/>
    </row>
    <row r="139" spans="1:62" s="629" customFormat="1" ht="12.75" x14ac:dyDescent="0.2">
      <c r="A139" s="2365"/>
      <c r="B139" s="2366"/>
      <c r="C139" s="2023"/>
      <c r="D139" s="2023"/>
      <c r="E139" s="2023"/>
      <c r="F139" s="2023"/>
      <c r="G139" s="2006"/>
      <c r="H139" s="2367"/>
      <c r="I139" s="2023"/>
      <c r="J139" s="2023"/>
      <c r="K139" s="2023"/>
      <c r="L139" s="2369"/>
      <c r="M139" s="2006"/>
      <c r="N139" s="2347"/>
      <c r="O139" s="2347"/>
      <c r="P139" s="2367"/>
      <c r="Q139" s="2023"/>
      <c r="R139" s="2023"/>
      <c r="S139" s="2023"/>
      <c r="T139" s="2023"/>
      <c r="U139" s="1146" t="s">
        <v>3908</v>
      </c>
      <c r="V139" s="1137">
        <v>41509</v>
      </c>
      <c r="W139" s="1064">
        <v>11128</v>
      </c>
      <c r="X139" s="1146" t="s">
        <v>4059</v>
      </c>
      <c r="Y139" s="1137">
        <v>41487</v>
      </c>
      <c r="Z139" s="1137">
        <v>41639</v>
      </c>
      <c r="AA139" s="1138">
        <f>AC139/L136</f>
        <v>6.517051947528793E-2</v>
      </c>
      <c r="AB139" s="1138">
        <f>1/27</f>
        <v>3.7037037037037035E-2</v>
      </c>
      <c r="AC139" s="1139">
        <v>13524.95</v>
      </c>
      <c r="AD139" s="1139">
        <f>1281.06*5</f>
        <v>6405.2999999999993</v>
      </c>
      <c r="AE139" s="1155">
        <f>AE138+AC139-AD139</f>
        <v>445242.17000000004</v>
      </c>
      <c r="AF139" s="525">
        <v>0</v>
      </c>
      <c r="AG139" s="525">
        <v>0</v>
      </c>
      <c r="AH139" s="1139">
        <f t="shared" si="1"/>
        <v>0</v>
      </c>
      <c r="AI139" s="1055"/>
      <c r="AJ139" s="1064"/>
      <c r="AK139" s="1055"/>
      <c r="AL139" s="1133"/>
      <c r="AM139" s="1055"/>
      <c r="AN139" s="1055"/>
      <c r="AO139" s="1064"/>
      <c r="AP139" s="1137"/>
      <c r="AQ139" s="1064"/>
      <c r="AR139" s="1137"/>
      <c r="AS139" s="1055"/>
      <c r="AT139" s="1133"/>
      <c r="AU139" s="1133"/>
      <c r="AV139" s="1133"/>
      <c r="AW139" s="1133"/>
      <c r="AX139" s="1133"/>
      <c r="AY139" s="1133"/>
      <c r="AZ139" s="1133"/>
      <c r="BA139" s="1133"/>
      <c r="BB139" s="1133"/>
      <c r="BC139" s="1133"/>
      <c r="BD139" s="1133"/>
      <c r="BE139" s="1480"/>
      <c r="BF139" s="1480"/>
      <c r="BG139" s="1480"/>
      <c r="BH139" s="1480"/>
      <c r="BI139" s="1480"/>
      <c r="BJ139" s="1480"/>
    </row>
    <row r="140" spans="1:62" s="629" customFormat="1" ht="12.75" x14ac:dyDescent="0.2">
      <c r="A140" s="2365"/>
      <c r="B140" s="2366"/>
      <c r="C140" s="2023"/>
      <c r="D140" s="2023"/>
      <c r="E140" s="2023"/>
      <c r="F140" s="2023"/>
      <c r="G140" s="2006"/>
      <c r="H140" s="2367"/>
      <c r="I140" s="2023"/>
      <c r="J140" s="2023"/>
      <c r="K140" s="2023"/>
      <c r="L140" s="2369"/>
      <c r="M140" s="2006"/>
      <c r="N140" s="2347"/>
      <c r="O140" s="2347"/>
      <c r="P140" s="2367"/>
      <c r="Q140" s="2023"/>
      <c r="R140" s="2023"/>
      <c r="S140" s="2023"/>
      <c r="T140" s="2023"/>
      <c r="U140" s="1146" t="s">
        <v>3893</v>
      </c>
      <c r="V140" s="1137">
        <v>41631</v>
      </c>
      <c r="W140" s="1064">
        <v>11219</v>
      </c>
      <c r="X140" s="1146" t="s">
        <v>3955</v>
      </c>
      <c r="Y140" s="1137">
        <v>41640</v>
      </c>
      <c r="Z140" s="1137">
        <v>42004</v>
      </c>
      <c r="AA140" s="1138"/>
      <c r="AB140" s="1055"/>
      <c r="AC140" s="1139"/>
      <c r="AD140" s="1139"/>
      <c r="AE140" s="1155">
        <f>(24150.78*12)+AE139</f>
        <v>735051.53</v>
      </c>
      <c r="AF140" s="525">
        <v>0</v>
      </c>
      <c r="AG140" s="525">
        <v>0</v>
      </c>
      <c r="AH140" s="1139">
        <f t="shared" si="1"/>
        <v>0</v>
      </c>
      <c r="AI140" s="1055"/>
      <c r="AJ140" s="1064"/>
      <c r="AK140" s="1055"/>
      <c r="AL140" s="1133"/>
      <c r="AM140" s="1055"/>
      <c r="AN140" s="1055"/>
      <c r="AO140" s="1064"/>
      <c r="AP140" s="1137"/>
      <c r="AQ140" s="1064"/>
      <c r="AR140" s="1137"/>
      <c r="AS140" s="1055"/>
      <c r="AT140" s="1133"/>
      <c r="AU140" s="1133"/>
      <c r="AV140" s="1133"/>
      <c r="AW140" s="1133"/>
      <c r="AX140" s="1133"/>
      <c r="AY140" s="1133"/>
      <c r="AZ140" s="1133"/>
      <c r="BA140" s="1133"/>
      <c r="BB140" s="1133"/>
      <c r="BC140" s="1133"/>
      <c r="BD140" s="1133"/>
      <c r="BE140" s="1480"/>
      <c r="BF140" s="1480"/>
      <c r="BG140" s="1480"/>
      <c r="BH140" s="1480"/>
      <c r="BI140" s="1480"/>
      <c r="BJ140" s="1480"/>
    </row>
    <row r="141" spans="1:62" s="629" customFormat="1" ht="21.75" customHeight="1" x14ac:dyDescent="0.2">
      <c r="A141" s="2403">
        <v>31</v>
      </c>
      <c r="B141" s="2404" t="s">
        <v>4060</v>
      </c>
      <c r="C141" s="2141" t="s">
        <v>4061</v>
      </c>
      <c r="D141" s="2141" t="s">
        <v>615</v>
      </c>
      <c r="E141" s="2141" t="s">
        <v>584</v>
      </c>
      <c r="F141" s="2141" t="s">
        <v>4062</v>
      </c>
      <c r="G141" s="2388">
        <v>10888</v>
      </c>
      <c r="H141" s="2401" t="s">
        <v>4063</v>
      </c>
      <c r="I141" s="2141" t="s">
        <v>4040</v>
      </c>
      <c r="J141" s="2141" t="s">
        <v>4064</v>
      </c>
      <c r="K141" s="2402">
        <v>41200</v>
      </c>
      <c r="L141" s="2369">
        <v>8232</v>
      </c>
      <c r="M141" s="2388">
        <v>10911</v>
      </c>
      <c r="N141" s="2402">
        <v>41200</v>
      </c>
      <c r="O141" s="2402">
        <v>41274</v>
      </c>
      <c r="P141" s="2401" t="s">
        <v>3905</v>
      </c>
      <c r="Q141" s="2141"/>
      <c r="R141" s="2141"/>
      <c r="S141" s="2141"/>
      <c r="T141" s="2141" t="s">
        <v>208</v>
      </c>
      <c r="U141" s="526"/>
      <c r="V141" s="1091"/>
      <c r="W141" s="1147"/>
      <c r="X141" s="526"/>
      <c r="Y141" s="1091"/>
      <c r="Z141" s="1091"/>
      <c r="AA141" s="537"/>
      <c r="AB141" s="1091"/>
      <c r="AC141" s="1150"/>
      <c r="AD141" s="1150"/>
      <c r="AE141" s="525"/>
      <c r="AF141" s="525">
        <v>51383.61</v>
      </c>
      <c r="AG141" s="1150">
        <v>32928</v>
      </c>
      <c r="AH141" s="1139">
        <f t="shared" si="1"/>
        <v>84311.61</v>
      </c>
      <c r="AI141" s="1548"/>
      <c r="AJ141" s="1559"/>
      <c r="AK141" s="1548"/>
      <c r="AL141" s="1560"/>
      <c r="AM141" s="1548"/>
      <c r="AN141" s="1548"/>
      <c r="AO141" s="1559"/>
      <c r="AP141" s="1561"/>
      <c r="AQ141" s="1559"/>
      <c r="AR141" s="1561"/>
      <c r="AS141" s="1548"/>
      <c r="AT141" s="1560"/>
      <c r="AU141" s="1560"/>
      <c r="AV141" s="1133"/>
      <c r="AW141" s="1133"/>
      <c r="AX141" s="1133"/>
      <c r="AY141" s="1133"/>
      <c r="AZ141" s="1133"/>
      <c r="BA141" s="1133"/>
      <c r="BB141" s="1133"/>
      <c r="BC141" s="1133"/>
      <c r="BD141" s="1133"/>
      <c r="BE141" s="1480"/>
      <c r="BF141" s="1480"/>
      <c r="BG141" s="1480"/>
      <c r="BH141" s="1480"/>
      <c r="BI141" s="1480"/>
      <c r="BJ141" s="1480"/>
    </row>
    <row r="142" spans="1:62" s="629" customFormat="1" ht="25.5" x14ac:dyDescent="0.2">
      <c r="A142" s="2403"/>
      <c r="B142" s="2404"/>
      <c r="C142" s="2141"/>
      <c r="D142" s="2141"/>
      <c r="E142" s="2141"/>
      <c r="F142" s="2141"/>
      <c r="G142" s="2388"/>
      <c r="H142" s="2401"/>
      <c r="I142" s="2141"/>
      <c r="J142" s="2141"/>
      <c r="K142" s="2141"/>
      <c r="L142" s="2369"/>
      <c r="M142" s="2388"/>
      <c r="N142" s="2402"/>
      <c r="O142" s="2402"/>
      <c r="P142" s="2401"/>
      <c r="Q142" s="2141"/>
      <c r="R142" s="2141"/>
      <c r="S142" s="2141"/>
      <c r="T142" s="2141"/>
      <c r="U142" s="526" t="s">
        <v>3906</v>
      </c>
      <c r="V142" s="539">
        <v>41249</v>
      </c>
      <c r="W142" s="1147">
        <v>10951</v>
      </c>
      <c r="X142" s="526" t="s">
        <v>4065</v>
      </c>
      <c r="Y142" s="539">
        <v>41275</v>
      </c>
      <c r="Z142" s="539">
        <v>41639</v>
      </c>
      <c r="AA142" s="537"/>
      <c r="AB142" s="537"/>
      <c r="AC142" s="1150">
        <f>(4116*12)-L141</f>
        <v>41160</v>
      </c>
      <c r="AD142" s="1150"/>
      <c r="AE142" s="525">
        <f>AC142+L141</f>
        <v>49392</v>
      </c>
      <c r="AF142" s="525">
        <v>0</v>
      </c>
      <c r="AG142" s="525">
        <v>0</v>
      </c>
      <c r="AH142" s="1139">
        <f t="shared" si="1"/>
        <v>0</v>
      </c>
      <c r="AI142" s="1548"/>
      <c r="AJ142" s="1559"/>
      <c r="AK142" s="1548"/>
      <c r="AL142" s="1560"/>
      <c r="AM142" s="1548"/>
      <c r="AN142" s="1548"/>
      <c r="AO142" s="1559"/>
      <c r="AP142" s="1561"/>
      <c r="AQ142" s="1559"/>
      <c r="AR142" s="1561"/>
      <c r="AS142" s="1548"/>
      <c r="AT142" s="1560"/>
      <c r="AU142" s="1560"/>
      <c r="AV142" s="1133"/>
      <c r="AW142" s="1133"/>
      <c r="AX142" s="1133"/>
      <c r="AY142" s="1133"/>
      <c r="AZ142" s="1133"/>
      <c r="BA142" s="1133"/>
      <c r="BB142" s="1133"/>
      <c r="BC142" s="1133"/>
      <c r="BD142" s="1133"/>
      <c r="BE142" s="1480"/>
      <c r="BF142" s="1480"/>
      <c r="BG142" s="1480"/>
      <c r="BH142" s="1480"/>
      <c r="BI142" s="1480"/>
      <c r="BJ142" s="1480"/>
    </row>
    <row r="143" spans="1:62" s="629" customFormat="1" ht="12.75" x14ac:dyDescent="0.2">
      <c r="A143" s="2403"/>
      <c r="B143" s="2404"/>
      <c r="C143" s="2141"/>
      <c r="D143" s="2141"/>
      <c r="E143" s="2141"/>
      <c r="F143" s="2141"/>
      <c r="G143" s="2388"/>
      <c r="H143" s="2401"/>
      <c r="I143" s="2141"/>
      <c r="J143" s="2141"/>
      <c r="K143" s="2141"/>
      <c r="L143" s="2369"/>
      <c r="M143" s="2388"/>
      <c r="N143" s="2402"/>
      <c r="O143" s="2402"/>
      <c r="P143" s="2401"/>
      <c r="Q143" s="2141"/>
      <c r="R143" s="2141"/>
      <c r="S143" s="2141"/>
      <c r="T143" s="2141"/>
      <c r="U143" s="526" t="s">
        <v>3891</v>
      </c>
      <c r="V143" s="539">
        <v>41631</v>
      </c>
      <c r="W143" s="1147">
        <v>11238</v>
      </c>
      <c r="X143" s="526" t="s">
        <v>3907</v>
      </c>
      <c r="Y143" s="539">
        <v>41640</v>
      </c>
      <c r="Z143" s="539">
        <v>42004</v>
      </c>
      <c r="AA143" s="537"/>
      <c r="AB143" s="1091"/>
      <c r="AC143" s="1150"/>
      <c r="AD143" s="1150"/>
      <c r="AE143" s="525"/>
      <c r="AF143" s="525">
        <v>0</v>
      </c>
      <c r="AG143" s="525">
        <v>0</v>
      </c>
      <c r="AH143" s="1139">
        <f t="shared" si="1"/>
        <v>0</v>
      </c>
      <c r="AI143" s="1548"/>
      <c r="AJ143" s="1559"/>
      <c r="AK143" s="1548"/>
      <c r="AL143" s="1560"/>
      <c r="AM143" s="1548"/>
      <c r="AN143" s="1548"/>
      <c r="AO143" s="1559"/>
      <c r="AP143" s="1561"/>
      <c r="AQ143" s="1559"/>
      <c r="AR143" s="1561"/>
      <c r="AS143" s="1548"/>
      <c r="AT143" s="1560"/>
      <c r="AU143" s="1560"/>
      <c r="AV143" s="1133"/>
      <c r="AW143" s="1133"/>
      <c r="AX143" s="1133"/>
      <c r="AY143" s="1133"/>
      <c r="AZ143" s="1133"/>
      <c r="BA143" s="1133"/>
      <c r="BB143" s="1133"/>
      <c r="BC143" s="1133"/>
      <c r="BD143" s="1133"/>
      <c r="BE143" s="1480"/>
      <c r="BF143" s="1480"/>
      <c r="BG143" s="1480"/>
      <c r="BH143" s="1480"/>
      <c r="BI143" s="1480"/>
      <c r="BJ143" s="1480"/>
    </row>
    <row r="144" spans="1:62" s="629" customFormat="1" ht="45" customHeight="1" x14ac:dyDescent="0.2">
      <c r="A144" s="2365">
        <v>32</v>
      </c>
      <c r="B144" s="2361" t="s">
        <v>4066</v>
      </c>
      <c r="C144" s="2023" t="s">
        <v>686</v>
      </c>
      <c r="D144" s="2355" t="s">
        <v>4067</v>
      </c>
      <c r="E144" s="2023" t="s">
        <v>584</v>
      </c>
      <c r="F144" s="2023" t="s">
        <v>4068</v>
      </c>
      <c r="G144" s="2355">
        <v>11231</v>
      </c>
      <c r="H144" s="2023" t="s">
        <v>4069</v>
      </c>
      <c r="I144" s="2023" t="s">
        <v>4070</v>
      </c>
      <c r="J144" s="2023" t="s">
        <v>265</v>
      </c>
      <c r="K144" s="2347">
        <v>41666</v>
      </c>
      <c r="L144" s="2349">
        <v>85000</v>
      </c>
      <c r="M144" s="2355">
        <v>11235</v>
      </c>
      <c r="N144" s="2352">
        <v>41666</v>
      </c>
      <c r="O144" s="2352">
        <v>42004</v>
      </c>
      <c r="P144" s="2354" t="s">
        <v>3905</v>
      </c>
      <c r="Q144" s="2399"/>
      <c r="R144" s="2399"/>
      <c r="S144" s="2399"/>
      <c r="T144" s="2355" t="s">
        <v>130</v>
      </c>
      <c r="U144" s="2401"/>
      <c r="V144" s="2402"/>
      <c r="W144" s="2388"/>
      <c r="X144" s="2401"/>
      <c r="Y144" s="2402"/>
      <c r="Z144" s="2402"/>
      <c r="AA144" s="2398"/>
      <c r="AB144" s="2399"/>
      <c r="AC144" s="2400"/>
      <c r="AD144" s="2400"/>
      <c r="AE144" s="2368">
        <f>L144-AD146+AC146</f>
        <v>85000</v>
      </c>
      <c r="AF144" s="525">
        <v>0</v>
      </c>
      <c r="AG144" s="1150">
        <f>18549.02+6433.31+4458.38+6350.36</f>
        <v>35791.07</v>
      </c>
      <c r="AH144" s="1139">
        <f t="shared" si="1"/>
        <v>35791.07</v>
      </c>
      <c r="AI144" s="1548"/>
      <c r="AJ144" s="1559"/>
      <c r="AK144" s="1548"/>
      <c r="AL144" s="1560"/>
      <c r="AM144" s="1548"/>
      <c r="AN144" s="1548"/>
      <c r="AO144" s="1559"/>
      <c r="AP144" s="1561"/>
      <c r="AQ144" s="1559"/>
      <c r="AR144" s="1561"/>
      <c r="AS144" s="1548"/>
      <c r="AT144" s="1560"/>
      <c r="AU144" s="1560"/>
      <c r="AV144" s="1133"/>
      <c r="AW144" s="1133"/>
      <c r="AX144" s="1133"/>
      <c r="AY144" s="1133"/>
      <c r="AZ144" s="1133"/>
      <c r="BA144" s="1133"/>
      <c r="BB144" s="1133"/>
      <c r="BC144" s="1133"/>
      <c r="BD144" s="1133"/>
      <c r="BE144" s="1480"/>
      <c r="BF144" s="1480"/>
      <c r="BG144" s="1480"/>
      <c r="BH144" s="1480"/>
      <c r="BI144" s="1480"/>
      <c r="BJ144" s="1480"/>
    </row>
    <row r="145" spans="1:62" s="629" customFormat="1" ht="24" customHeight="1" x14ac:dyDescent="0.2">
      <c r="A145" s="2365"/>
      <c r="B145" s="2361"/>
      <c r="C145" s="2023"/>
      <c r="D145" s="2355"/>
      <c r="E145" s="2023"/>
      <c r="F145" s="2023"/>
      <c r="G145" s="2355"/>
      <c r="H145" s="2023"/>
      <c r="I145" s="2023"/>
      <c r="J145" s="2023"/>
      <c r="K145" s="2347"/>
      <c r="L145" s="2349"/>
      <c r="M145" s="2355"/>
      <c r="N145" s="2352"/>
      <c r="O145" s="2352"/>
      <c r="P145" s="2354"/>
      <c r="Q145" s="2399"/>
      <c r="R145" s="2399"/>
      <c r="S145" s="2399"/>
      <c r="T145" s="2355"/>
      <c r="U145" s="2401"/>
      <c r="V145" s="2402"/>
      <c r="W145" s="2388"/>
      <c r="X145" s="2401"/>
      <c r="Y145" s="2402"/>
      <c r="Z145" s="2402"/>
      <c r="AA145" s="2398"/>
      <c r="AB145" s="2399"/>
      <c r="AC145" s="2400"/>
      <c r="AD145" s="2400"/>
      <c r="AE145" s="2368"/>
      <c r="AF145" s="525">
        <v>0</v>
      </c>
      <c r="AG145" s="525">
        <v>0</v>
      </c>
      <c r="AH145" s="1139">
        <f t="shared" si="1"/>
        <v>0</v>
      </c>
      <c r="AI145" s="1548"/>
      <c r="AJ145" s="1559"/>
      <c r="AK145" s="1548"/>
      <c r="AL145" s="1560"/>
      <c r="AM145" s="1548"/>
      <c r="AN145" s="1548"/>
      <c r="AO145" s="1559"/>
      <c r="AP145" s="1561"/>
      <c r="AQ145" s="1559"/>
      <c r="AR145" s="1561"/>
      <c r="AS145" s="1548"/>
      <c r="AT145" s="1560"/>
      <c r="AU145" s="1560"/>
      <c r="AV145" s="1133"/>
      <c r="AW145" s="1133"/>
      <c r="AX145" s="1133"/>
      <c r="AY145" s="1133"/>
      <c r="AZ145" s="1133"/>
      <c r="BA145" s="1133"/>
      <c r="BB145" s="1133"/>
      <c r="BC145" s="1133"/>
      <c r="BD145" s="1133"/>
      <c r="BE145" s="1480"/>
      <c r="BF145" s="1480"/>
      <c r="BG145" s="1480"/>
      <c r="BH145" s="1480"/>
      <c r="BI145" s="1480"/>
      <c r="BJ145" s="1480"/>
    </row>
    <row r="146" spans="1:62" s="629" customFormat="1" ht="27" customHeight="1" x14ac:dyDescent="0.2">
      <c r="A146" s="2365"/>
      <c r="B146" s="2361"/>
      <c r="C146" s="2023"/>
      <c r="D146" s="2355"/>
      <c r="E146" s="2023"/>
      <c r="F146" s="2023"/>
      <c r="G146" s="2355"/>
      <c r="H146" s="2023"/>
      <c r="I146" s="2023"/>
      <c r="J146" s="2023"/>
      <c r="K146" s="2347"/>
      <c r="L146" s="2349"/>
      <c r="M146" s="2355"/>
      <c r="N146" s="2352"/>
      <c r="O146" s="2352"/>
      <c r="P146" s="1132" t="s">
        <v>4071</v>
      </c>
      <c r="Q146" s="2399"/>
      <c r="R146" s="2399"/>
      <c r="S146" s="2399"/>
      <c r="T146" s="2355"/>
      <c r="U146" s="2401"/>
      <c r="V146" s="2402"/>
      <c r="W146" s="2388"/>
      <c r="X146" s="2401"/>
      <c r="Y146" s="2402"/>
      <c r="Z146" s="2402"/>
      <c r="AA146" s="2398"/>
      <c r="AB146" s="2399"/>
      <c r="AC146" s="2400"/>
      <c r="AD146" s="2400"/>
      <c r="AE146" s="2368"/>
      <c r="AF146" s="525">
        <v>0</v>
      </c>
      <c r="AG146" s="1139">
        <f>4000+1000+500+2000</f>
        <v>7500</v>
      </c>
      <c r="AH146" s="1139">
        <f t="shared" si="1"/>
        <v>7500</v>
      </c>
      <c r="AI146" s="1055"/>
      <c r="AJ146" s="1064"/>
      <c r="AK146" s="1055"/>
      <c r="AL146" s="1133"/>
      <c r="AM146" s="1055"/>
      <c r="AN146" s="1055"/>
      <c r="AO146" s="1064"/>
      <c r="AP146" s="1137"/>
      <c r="AQ146" s="1064"/>
      <c r="AR146" s="1137"/>
      <c r="AS146" s="1055"/>
      <c r="AT146" s="1133"/>
      <c r="AU146" s="1133"/>
      <c r="AV146" s="1133"/>
      <c r="AW146" s="1133"/>
      <c r="AX146" s="1133"/>
      <c r="AY146" s="1133"/>
      <c r="AZ146" s="1133"/>
      <c r="BA146" s="1133"/>
      <c r="BB146" s="1133"/>
      <c r="BC146" s="1133"/>
      <c r="BD146" s="1133"/>
      <c r="BE146" s="1480"/>
      <c r="BF146" s="1480"/>
      <c r="BG146" s="1480"/>
      <c r="BH146" s="1480"/>
      <c r="BI146" s="1480"/>
      <c r="BJ146" s="1480"/>
    </row>
    <row r="147" spans="1:62" s="629" customFormat="1" ht="45" customHeight="1" x14ac:dyDescent="0.2">
      <c r="A147" s="1514">
        <v>33</v>
      </c>
      <c r="B147" s="636" t="s">
        <v>4072</v>
      </c>
      <c r="C147" s="1055" t="s">
        <v>388</v>
      </c>
      <c r="D147" s="1133" t="s">
        <v>4073</v>
      </c>
      <c r="E147" s="1055" t="s">
        <v>584</v>
      </c>
      <c r="F147" s="1055" t="s">
        <v>4074</v>
      </c>
      <c r="G147" s="1133">
        <v>11283</v>
      </c>
      <c r="H147" s="1055" t="s">
        <v>4075</v>
      </c>
      <c r="I147" s="1055" t="s">
        <v>4076</v>
      </c>
      <c r="J147" s="1055" t="s">
        <v>3965</v>
      </c>
      <c r="K147" s="1137">
        <v>41730</v>
      </c>
      <c r="L147" s="1135">
        <v>91428.479999999996</v>
      </c>
      <c r="M147" s="1145">
        <v>11289</v>
      </c>
      <c r="N147" s="1134">
        <v>41730</v>
      </c>
      <c r="O147" s="1134">
        <v>42004</v>
      </c>
      <c r="P147" s="1133">
        <v>1</v>
      </c>
      <c r="Q147" s="1055"/>
      <c r="R147" s="1055"/>
      <c r="S147" s="1055"/>
      <c r="T147" s="1055" t="s">
        <v>4077</v>
      </c>
      <c r="U147" s="1146"/>
      <c r="V147" s="1055"/>
      <c r="W147" s="1064"/>
      <c r="X147" s="1146"/>
      <c r="Y147" s="1137"/>
      <c r="Z147" s="1137"/>
      <c r="AA147" s="1138"/>
      <c r="AB147" s="1055"/>
      <c r="AC147" s="1139"/>
      <c r="AD147" s="1139"/>
      <c r="AE147" s="1155">
        <f t="shared" ref="AE147:AE157" si="2">L147-AD147+AC147</f>
        <v>91428.479999999996</v>
      </c>
      <c r="AF147" s="1155">
        <v>0</v>
      </c>
      <c r="AG147" s="1135">
        <v>3636.22</v>
      </c>
      <c r="AH147" s="1139">
        <f t="shared" si="1"/>
        <v>3636.22</v>
      </c>
      <c r="AI147" s="1055"/>
      <c r="AJ147" s="1064"/>
      <c r="AK147" s="1055"/>
      <c r="AL147" s="1133"/>
      <c r="AM147" s="1055"/>
      <c r="AN147" s="1055"/>
      <c r="AO147" s="1064"/>
      <c r="AP147" s="1137"/>
      <c r="AQ147" s="1064"/>
      <c r="AR147" s="1137"/>
      <c r="AS147" s="1055"/>
      <c r="AT147" s="1133"/>
      <c r="AU147" s="1133"/>
      <c r="AV147" s="1133"/>
      <c r="AW147" s="1133"/>
      <c r="AX147" s="1133"/>
      <c r="AY147" s="1133"/>
      <c r="AZ147" s="1133"/>
      <c r="BA147" s="1133"/>
      <c r="BB147" s="1133"/>
      <c r="BC147" s="1133"/>
      <c r="BD147" s="1133"/>
      <c r="BE147" s="1480"/>
      <c r="BF147" s="1480"/>
      <c r="BG147" s="1480"/>
      <c r="BH147" s="1480"/>
      <c r="BI147" s="1480"/>
      <c r="BJ147" s="1480"/>
    </row>
    <row r="148" spans="1:62" s="629" customFormat="1" ht="45" customHeight="1" x14ac:dyDescent="0.2">
      <c r="A148" s="1514">
        <v>34</v>
      </c>
      <c r="B148" s="636" t="s">
        <v>4078</v>
      </c>
      <c r="C148" s="1055" t="s">
        <v>381</v>
      </c>
      <c r="D148" s="1133" t="s">
        <v>4067</v>
      </c>
      <c r="E148" s="1055" t="s">
        <v>584</v>
      </c>
      <c r="F148" s="1055" t="s">
        <v>4079</v>
      </c>
      <c r="G148" s="1133">
        <v>11274</v>
      </c>
      <c r="H148" s="1055" t="s">
        <v>4080</v>
      </c>
      <c r="I148" s="1055" t="s">
        <v>4081</v>
      </c>
      <c r="J148" s="1055" t="s">
        <v>4082</v>
      </c>
      <c r="K148" s="1137">
        <v>41730</v>
      </c>
      <c r="L148" s="1135">
        <v>7110</v>
      </c>
      <c r="M148" s="1133">
        <v>11301</v>
      </c>
      <c r="N148" s="1134">
        <v>41730</v>
      </c>
      <c r="O148" s="1134">
        <v>42004</v>
      </c>
      <c r="P148" s="1133">
        <v>1</v>
      </c>
      <c r="Q148" s="1055"/>
      <c r="R148" s="1055"/>
      <c r="S148" s="1055"/>
      <c r="T148" s="1055" t="s">
        <v>158</v>
      </c>
      <c r="U148" s="1146"/>
      <c r="V148" s="1055"/>
      <c r="W148" s="1064"/>
      <c r="X148" s="1146"/>
      <c r="Y148" s="1137"/>
      <c r="Z148" s="1137"/>
      <c r="AA148" s="1138"/>
      <c r="AB148" s="1055"/>
      <c r="AC148" s="1150"/>
      <c r="AD148" s="1139"/>
      <c r="AE148" s="1155">
        <f t="shared" si="2"/>
        <v>7110</v>
      </c>
      <c r="AF148" s="1155">
        <v>0</v>
      </c>
      <c r="AG148" s="1135">
        <v>7110</v>
      </c>
      <c r="AH148" s="1139">
        <f t="shared" si="1"/>
        <v>7110</v>
      </c>
      <c r="AI148" s="1055"/>
      <c r="AJ148" s="1064"/>
      <c r="AK148" s="1055"/>
      <c r="AL148" s="1133"/>
      <c r="AM148" s="1055"/>
      <c r="AN148" s="1055"/>
      <c r="AO148" s="1064"/>
      <c r="AP148" s="1137"/>
      <c r="AQ148" s="1064"/>
      <c r="AR148" s="1137"/>
      <c r="AS148" s="1055"/>
      <c r="AT148" s="1133"/>
      <c r="AU148" s="1133"/>
      <c r="AV148" s="1133"/>
      <c r="AW148" s="1133"/>
      <c r="AX148" s="1133"/>
      <c r="AY148" s="1133"/>
      <c r="AZ148" s="1133"/>
      <c r="BA148" s="1133"/>
      <c r="BB148" s="1133"/>
      <c r="BC148" s="1133"/>
      <c r="BD148" s="1133"/>
      <c r="BE148" s="1480"/>
      <c r="BF148" s="1480"/>
      <c r="BG148" s="1480"/>
      <c r="BH148" s="1480"/>
      <c r="BI148" s="1480"/>
      <c r="BJ148" s="1480"/>
    </row>
    <row r="149" spans="1:62" s="629" customFormat="1" ht="45" customHeight="1" x14ac:dyDescent="0.2">
      <c r="A149" s="1514">
        <v>35</v>
      </c>
      <c r="B149" s="636" t="s">
        <v>4078</v>
      </c>
      <c r="C149" s="1055" t="s">
        <v>381</v>
      </c>
      <c r="D149" s="1133" t="s">
        <v>4067</v>
      </c>
      <c r="E149" s="1055" t="s">
        <v>584</v>
      </c>
      <c r="F149" s="1055" t="s">
        <v>4079</v>
      </c>
      <c r="G149" s="1133">
        <v>11274</v>
      </c>
      <c r="H149" s="1055" t="s">
        <v>4083</v>
      </c>
      <c r="I149" s="1055" t="s">
        <v>4084</v>
      </c>
      <c r="J149" s="1055" t="s">
        <v>4085</v>
      </c>
      <c r="K149" s="1137">
        <v>41730</v>
      </c>
      <c r="L149" s="1135">
        <v>8001</v>
      </c>
      <c r="M149" s="1133">
        <v>11286</v>
      </c>
      <c r="N149" s="1134">
        <v>41730</v>
      </c>
      <c r="O149" s="1134">
        <v>42004</v>
      </c>
      <c r="P149" s="1133">
        <v>1</v>
      </c>
      <c r="Q149" s="1055"/>
      <c r="R149" s="1055"/>
      <c r="S149" s="1055"/>
      <c r="T149" s="1055" t="s">
        <v>158</v>
      </c>
      <c r="U149" s="1146"/>
      <c r="V149" s="1055"/>
      <c r="W149" s="1064"/>
      <c r="X149" s="1146"/>
      <c r="Y149" s="1137"/>
      <c r="Z149" s="1137"/>
      <c r="AA149" s="1138"/>
      <c r="AB149" s="1055"/>
      <c r="AC149" s="1150"/>
      <c r="AD149" s="1139"/>
      <c r="AE149" s="1155">
        <f t="shared" si="2"/>
        <v>8001</v>
      </c>
      <c r="AF149" s="1155">
        <v>0</v>
      </c>
      <c r="AG149" s="1135">
        <v>8001</v>
      </c>
      <c r="AH149" s="1139">
        <f t="shared" si="1"/>
        <v>8001</v>
      </c>
      <c r="AI149" s="1055"/>
      <c r="AJ149" s="1064"/>
      <c r="AK149" s="1055"/>
      <c r="AL149" s="1133"/>
      <c r="AM149" s="1055"/>
      <c r="AN149" s="1055"/>
      <c r="AO149" s="1064"/>
      <c r="AP149" s="1137"/>
      <c r="AQ149" s="1064"/>
      <c r="AR149" s="1137"/>
      <c r="AS149" s="1055"/>
      <c r="AT149" s="1133"/>
      <c r="AU149" s="1133"/>
      <c r="AV149" s="1133"/>
      <c r="AW149" s="1133"/>
      <c r="AX149" s="1133"/>
      <c r="AY149" s="1133"/>
      <c r="AZ149" s="1133"/>
      <c r="BA149" s="1133"/>
      <c r="BB149" s="1133"/>
      <c r="BC149" s="1133"/>
      <c r="BD149" s="1133"/>
      <c r="BE149" s="1480"/>
      <c r="BF149" s="1480"/>
      <c r="BG149" s="1480"/>
      <c r="BH149" s="1480"/>
      <c r="BI149" s="1480"/>
      <c r="BJ149" s="1480"/>
    </row>
    <row r="150" spans="1:62" s="629" customFormat="1" ht="45" customHeight="1" x14ac:dyDescent="0.2">
      <c r="A150" s="1514">
        <v>36</v>
      </c>
      <c r="B150" s="636" t="s">
        <v>4078</v>
      </c>
      <c r="C150" s="1055" t="s">
        <v>381</v>
      </c>
      <c r="D150" s="1133" t="s">
        <v>615</v>
      </c>
      <c r="E150" s="1055" t="s">
        <v>584</v>
      </c>
      <c r="F150" s="1055" t="s">
        <v>4086</v>
      </c>
      <c r="G150" s="1133">
        <v>11274</v>
      </c>
      <c r="H150" s="1055" t="s">
        <v>4087</v>
      </c>
      <c r="I150" s="1055" t="s">
        <v>4088</v>
      </c>
      <c r="J150" s="1055" t="s">
        <v>4089</v>
      </c>
      <c r="K150" s="1137">
        <v>41730</v>
      </c>
      <c r="L150" s="1135">
        <v>16200</v>
      </c>
      <c r="M150" s="1133">
        <v>11286</v>
      </c>
      <c r="N150" s="1134">
        <v>41730</v>
      </c>
      <c r="O150" s="1134">
        <v>42004</v>
      </c>
      <c r="P150" s="1133">
        <v>1</v>
      </c>
      <c r="Q150" s="1055"/>
      <c r="R150" s="1055"/>
      <c r="S150" s="1055"/>
      <c r="T150" s="1055" t="s">
        <v>158</v>
      </c>
      <c r="U150" s="1146"/>
      <c r="V150" s="1055"/>
      <c r="W150" s="1064"/>
      <c r="X150" s="1146"/>
      <c r="Y150" s="1137"/>
      <c r="Z150" s="1137"/>
      <c r="AA150" s="1138"/>
      <c r="AB150" s="1055"/>
      <c r="AC150" s="1139"/>
      <c r="AD150" s="1139"/>
      <c r="AE150" s="1155">
        <f t="shared" si="2"/>
        <v>16200</v>
      </c>
      <c r="AF150" s="1155">
        <v>0</v>
      </c>
      <c r="AG150" s="1135">
        <v>16200</v>
      </c>
      <c r="AH150" s="1139">
        <f t="shared" si="1"/>
        <v>16200</v>
      </c>
      <c r="AI150" s="1055"/>
      <c r="AJ150" s="1064"/>
      <c r="AK150" s="1055"/>
      <c r="AL150" s="1133"/>
      <c r="AM150" s="1055"/>
      <c r="AN150" s="1055"/>
      <c r="AO150" s="1064"/>
      <c r="AP150" s="1137"/>
      <c r="AQ150" s="1064"/>
      <c r="AR150" s="1137"/>
      <c r="AS150" s="1055"/>
      <c r="AT150" s="1133"/>
      <c r="AU150" s="1133"/>
      <c r="AV150" s="1133"/>
      <c r="AW150" s="1133"/>
      <c r="AX150" s="1133"/>
      <c r="AY150" s="1133"/>
      <c r="AZ150" s="1133"/>
      <c r="BA150" s="1133"/>
      <c r="BB150" s="1133"/>
      <c r="BC150" s="1133"/>
      <c r="BD150" s="1133"/>
      <c r="BE150" s="1480"/>
      <c r="BF150" s="1480"/>
      <c r="BG150" s="1480"/>
      <c r="BH150" s="1480"/>
      <c r="BI150" s="1480"/>
      <c r="BJ150" s="1480"/>
    </row>
    <row r="151" spans="1:62" s="629" customFormat="1" ht="45" customHeight="1" x14ac:dyDescent="0.2">
      <c r="A151" s="1514">
        <v>37</v>
      </c>
      <c r="B151" s="1562" t="s">
        <v>4078</v>
      </c>
      <c r="C151" s="1055" t="s">
        <v>381</v>
      </c>
      <c r="D151" s="1563" t="s">
        <v>1548</v>
      </c>
      <c r="E151" s="1091" t="s">
        <v>584</v>
      </c>
      <c r="F151" s="1091" t="s">
        <v>4086</v>
      </c>
      <c r="G151" s="1563">
        <v>11274</v>
      </c>
      <c r="H151" s="1091" t="s">
        <v>4090</v>
      </c>
      <c r="I151" s="1091" t="s">
        <v>4091</v>
      </c>
      <c r="J151" s="1055" t="s">
        <v>1961</v>
      </c>
      <c r="K151" s="1137">
        <v>41730</v>
      </c>
      <c r="L151" s="1148">
        <v>17955</v>
      </c>
      <c r="M151" s="1563">
        <v>11301</v>
      </c>
      <c r="N151" s="1564">
        <v>41730</v>
      </c>
      <c r="O151" s="1564">
        <v>42004</v>
      </c>
      <c r="P151" s="1563">
        <v>1</v>
      </c>
      <c r="Q151" s="1055"/>
      <c r="R151" s="1055"/>
      <c r="S151" s="1055"/>
      <c r="T151" s="1091" t="s">
        <v>158</v>
      </c>
      <c r="U151" s="1146"/>
      <c r="V151" s="1055"/>
      <c r="W151" s="1064"/>
      <c r="X151" s="1146"/>
      <c r="Y151" s="1137"/>
      <c r="Z151" s="1137"/>
      <c r="AA151" s="1138"/>
      <c r="AB151" s="1055"/>
      <c r="AC151" s="1139"/>
      <c r="AD151" s="1139"/>
      <c r="AE151" s="1155">
        <f t="shared" si="2"/>
        <v>17955</v>
      </c>
      <c r="AF151" s="1155">
        <v>0</v>
      </c>
      <c r="AG151" s="1150">
        <f>5985+1995+1995+1995+1995+1995+1995</f>
        <v>17955</v>
      </c>
      <c r="AH151" s="1139">
        <f t="shared" si="1"/>
        <v>17955</v>
      </c>
      <c r="AI151" s="1055"/>
      <c r="AJ151" s="1064"/>
      <c r="AK151" s="1055"/>
      <c r="AL151" s="1133"/>
      <c r="AM151" s="1055"/>
      <c r="AN151" s="1055"/>
      <c r="AO151" s="1064"/>
      <c r="AP151" s="1137"/>
      <c r="AQ151" s="1064"/>
      <c r="AR151" s="1137"/>
      <c r="AS151" s="1055"/>
      <c r="AT151" s="1133"/>
      <c r="AU151" s="1133"/>
      <c r="AV151" s="1133"/>
      <c r="AW151" s="1133"/>
      <c r="AX151" s="1133"/>
      <c r="AY151" s="1133"/>
      <c r="AZ151" s="1133"/>
      <c r="BA151" s="1133"/>
      <c r="BB151" s="1133"/>
      <c r="BC151" s="1133"/>
      <c r="BD151" s="1133"/>
      <c r="BE151" s="1480"/>
      <c r="BF151" s="1480"/>
      <c r="BG151" s="1480"/>
      <c r="BH151" s="1480"/>
      <c r="BI151" s="1480"/>
      <c r="BJ151" s="1480"/>
    </row>
    <row r="152" spans="1:62" s="629" customFormat="1" ht="45" customHeight="1" x14ac:dyDescent="0.2">
      <c r="A152" s="1514">
        <v>38</v>
      </c>
      <c r="B152" s="636" t="s">
        <v>4078</v>
      </c>
      <c r="C152" s="1055" t="s">
        <v>381</v>
      </c>
      <c r="D152" s="1133" t="s">
        <v>4067</v>
      </c>
      <c r="E152" s="1055" t="s">
        <v>584</v>
      </c>
      <c r="F152" s="1055" t="s">
        <v>4086</v>
      </c>
      <c r="G152" s="1133">
        <v>11274</v>
      </c>
      <c r="H152" s="1055" t="s">
        <v>4092</v>
      </c>
      <c r="I152" s="1055" t="s">
        <v>4093</v>
      </c>
      <c r="J152" s="1055" t="s">
        <v>4094</v>
      </c>
      <c r="K152" s="1137">
        <v>41730</v>
      </c>
      <c r="L152" s="1135">
        <v>16200</v>
      </c>
      <c r="M152" s="1133">
        <v>11301</v>
      </c>
      <c r="N152" s="1134">
        <v>41730</v>
      </c>
      <c r="O152" s="1134">
        <v>42004</v>
      </c>
      <c r="P152" s="1133">
        <v>1</v>
      </c>
      <c r="Q152" s="1055"/>
      <c r="R152" s="1055"/>
      <c r="S152" s="1055"/>
      <c r="T152" s="1055" t="s">
        <v>158</v>
      </c>
      <c r="U152" s="1146"/>
      <c r="V152" s="1055"/>
      <c r="W152" s="1064"/>
      <c r="X152" s="1146"/>
      <c r="Y152" s="1137"/>
      <c r="Z152" s="1137"/>
      <c r="AA152" s="1138"/>
      <c r="AB152" s="1055"/>
      <c r="AC152" s="1139"/>
      <c r="AD152" s="1139"/>
      <c r="AE152" s="1155">
        <f t="shared" si="2"/>
        <v>16200</v>
      </c>
      <c r="AF152" s="1155">
        <v>0</v>
      </c>
      <c r="AG152" s="1135">
        <v>16200</v>
      </c>
      <c r="AH152" s="1139">
        <f t="shared" si="1"/>
        <v>16200</v>
      </c>
      <c r="AI152" s="1055"/>
      <c r="AJ152" s="1064"/>
      <c r="AK152" s="1055"/>
      <c r="AL152" s="1133"/>
      <c r="AM152" s="1055"/>
      <c r="AN152" s="1055"/>
      <c r="AO152" s="1064"/>
      <c r="AP152" s="1137"/>
      <c r="AQ152" s="1064"/>
      <c r="AR152" s="1137"/>
      <c r="AS152" s="1055"/>
      <c r="AT152" s="1133"/>
      <c r="AU152" s="1133"/>
      <c r="AV152" s="1133"/>
      <c r="AW152" s="1133"/>
      <c r="AX152" s="1133"/>
      <c r="AY152" s="1133"/>
      <c r="AZ152" s="1133"/>
      <c r="BA152" s="1133"/>
      <c r="BB152" s="1133"/>
      <c r="BC152" s="1133"/>
      <c r="BD152" s="1133"/>
      <c r="BE152" s="1480"/>
      <c r="BF152" s="1480"/>
      <c r="BG152" s="1480"/>
      <c r="BH152" s="1480"/>
      <c r="BI152" s="1480"/>
      <c r="BJ152" s="1480"/>
    </row>
    <row r="153" spans="1:62" s="629" customFormat="1" ht="45" customHeight="1" x14ac:dyDescent="0.2">
      <c r="A153" s="1514">
        <v>39</v>
      </c>
      <c r="B153" s="636" t="s">
        <v>4078</v>
      </c>
      <c r="C153" s="1055" t="s">
        <v>381</v>
      </c>
      <c r="D153" s="1133" t="s">
        <v>4067</v>
      </c>
      <c r="E153" s="1055" t="s">
        <v>584</v>
      </c>
      <c r="F153" s="1055" t="s">
        <v>4086</v>
      </c>
      <c r="G153" s="1133">
        <v>11274</v>
      </c>
      <c r="H153" s="1055" t="s">
        <v>4095</v>
      </c>
      <c r="I153" s="1055" t="s">
        <v>4096</v>
      </c>
      <c r="J153" s="1055" t="s">
        <v>4097</v>
      </c>
      <c r="K153" s="1137">
        <v>41730</v>
      </c>
      <c r="L153" s="1135">
        <v>15750</v>
      </c>
      <c r="M153" s="1133">
        <v>11301</v>
      </c>
      <c r="N153" s="1134">
        <v>41730</v>
      </c>
      <c r="O153" s="1134">
        <v>42004</v>
      </c>
      <c r="P153" s="1133">
        <v>1</v>
      </c>
      <c r="Q153" s="1055"/>
      <c r="R153" s="1055"/>
      <c r="S153" s="1055"/>
      <c r="T153" s="1055" t="s">
        <v>158</v>
      </c>
      <c r="U153" s="1146"/>
      <c r="V153" s="1055"/>
      <c r="W153" s="1064"/>
      <c r="X153" s="1146"/>
      <c r="Y153" s="1137"/>
      <c r="Z153" s="1137"/>
      <c r="AA153" s="1138"/>
      <c r="AB153" s="1055"/>
      <c r="AC153" s="1139"/>
      <c r="AD153" s="1139"/>
      <c r="AE153" s="1135">
        <v>15750</v>
      </c>
      <c r="AF153" s="1155">
        <v>0</v>
      </c>
      <c r="AG153" s="1135">
        <v>15750</v>
      </c>
      <c r="AH153" s="1139">
        <f t="shared" si="1"/>
        <v>15750</v>
      </c>
      <c r="AI153" s="1055"/>
      <c r="AJ153" s="1064"/>
      <c r="AK153" s="1055"/>
      <c r="AL153" s="1133"/>
      <c r="AM153" s="1055"/>
      <c r="AN153" s="1055"/>
      <c r="AO153" s="1064"/>
      <c r="AP153" s="1137"/>
      <c r="AQ153" s="1064"/>
      <c r="AR153" s="1137"/>
      <c r="AS153" s="1055"/>
      <c r="AT153" s="1133"/>
      <c r="AU153" s="1133"/>
      <c r="AV153" s="1133"/>
      <c r="AW153" s="1133"/>
      <c r="AX153" s="1133"/>
      <c r="AY153" s="1133"/>
      <c r="AZ153" s="1133"/>
      <c r="BA153" s="1133"/>
      <c r="BB153" s="1133"/>
      <c r="BC153" s="1133"/>
      <c r="BD153" s="1133"/>
      <c r="BE153" s="1480"/>
      <c r="BF153" s="1480"/>
      <c r="BG153" s="1480"/>
      <c r="BH153" s="1480"/>
      <c r="BI153" s="1480"/>
      <c r="BJ153" s="1480"/>
    </row>
    <row r="154" spans="1:62" s="629" customFormat="1" ht="45" customHeight="1" x14ac:dyDescent="0.2">
      <c r="A154" s="1514">
        <v>40</v>
      </c>
      <c r="B154" s="636" t="s">
        <v>4078</v>
      </c>
      <c r="C154" s="1055" t="s">
        <v>381</v>
      </c>
      <c r="D154" s="1133" t="s">
        <v>3977</v>
      </c>
      <c r="E154" s="1055" t="s">
        <v>584</v>
      </c>
      <c r="F154" s="1055" t="s">
        <v>4086</v>
      </c>
      <c r="G154" s="1133">
        <v>11274</v>
      </c>
      <c r="H154" s="1055" t="s">
        <v>4098</v>
      </c>
      <c r="I154" s="1055" t="s">
        <v>4099</v>
      </c>
      <c r="J154" s="1055" t="s">
        <v>4100</v>
      </c>
      <c r="K154" s="1137">
        <v>41730</v>
      </c>
      <c r="L154" s="1135">
        <v>17946</v>
      </c>
      <c r="M154" s="1133">
        <v>11301</v>
      </c>
      <c r="N154" s="1134">
        <v>41730</v>
      </c>
      <c r="O154" s="1134">
        <v>42004</v>
      </c>
      <c r="P154" s="1133">
        <v>1</v>
      </c>
      <c r="Q154" s="1055"/>
      <c r="R154" s="1055"/>
      <c r="S154" s="1055"/>
      <c r="T154" s="1055" t="s">
        <v>158</v>
      </c>
      <c r="U154" s="1146"/>
      <c r="V154" s="1055"/>
      <c r="W154" s="1064"/>
      <c r="X154" s="1146"/>
      <c r="Y154" s="1137"/>
      <c r="Z154" s="1137"/>
      <c r="AA154" s="1138"/>
      <c r="AB154" s="1055"/>
      <c r="AC154" s="1139"/>
      <c r="AD154" s="1139"/>
      <c r="AE154" s="1135">
        <v>17946</v>
      </c>
      <c r="AF154" s="1155">
        <v>0</v>
      </c>
      <c r="AG154" s="1135">
        <v>17946</v>
      </c>
      <c r="AH154" s="1139">
        <f t="shared" si="1"/>
        <v>17946</v>
      </c>
      <c r="AI154" s="1055"/>
      <c r="AJ154" s="1064"/>
      <c r="AK154" s="1055"/>
      <c r="AL154" s="1133"/>
      <c r="AM154" s="1055"/>
      <c r="AN154" s="1055"/>
      <c r="AO154" s="1064"/>
      <c r="AP154" s="1137"/>
      <c r="AQ154" s="1064"/>
      <c r="AR154" s="1137"/>
      <c r="AS154" s="1055"/>
      <c r="AT154" s="1133"/>
      <c r="AU154" s="1133"/>
      <c r="AV154" s="1133"/>
      <c r="AW154" s="1133"/>
      <c r="AX154" s="1133"/>
      <c r="AY154" s="1133"/>
      <c r="AZ154" s="1133"/>
      <c r="BA154" s="1133"/>
      <c r="BB154" s="1133"/>
      <c r="BC154" s="1133"/>
      <c r="BD154" s="1133"/>
      <c r="BE154" s="1480"/>
      <c r="BF154" s="1480"/>
      <c r="BG154" s="1480"/>
      <c r="BH154" s="1480"/>
      <c r="BI154" s="1480"/>
      <c r="BJ154" s="1480"/>
    </row>
    <row r="155" spans="1:62" s="629" customFormat="1" ht="45" customHeight="1" x14ac:dyDescent="0.2">
      <c r="A155" s="1514">
        <v>41</v>
      </c>
      <c r="B155" s="636" t="s">
        <v>4078</v>
      </c>
      <c r="C155" s="1055" t="s">
        <v>381</v>
      </c>
      <c r="D155" s="1133" t="s">
        <v>4067</v>
      </c>
      <c r="E155" s="1055" t="s">
        <v>584</v>
      </c>
      <c r="F155" s="1055" t="s">
        <v>4086</v>
      </c>
      <c r="G155" s="1133">
        <v>11274</v>
      </c>
      <c r="H155" s="1055" t="s">
        <v>4101</v>
      </c>
      <c r="I155" s="1055" t="s">
        <v>4102</v>
      </c>
      <c r="J155" s="1055" t="s">
        <v>4103</v>
      </c>
      <c r="K155" s="1137">
        <v>41730</v>
      </c>
      <c r="L155" s="1135">
        <v>15579</v>
      </c>
      <c r="M155" s="1133">
        <v>11301</v>
      </c>
      <c r="N155" s="1134">
        <v>41730</v>
      </c>
      <c r="O155" s="1134">
        <v>42004</v>
      </c>
      <c r="P155" s="1133">
        <v>1</v>
      </c>
      <c r="Q155" s="1055"/>
      <c r="R155" s="1055"/>
      <c r="S155" s="1055"/>
      <c r="T155" s="1055" t="s">
        <v>158</v>
      </c>
      <c r="U155" s="1146"/>
      <c r="V155" s="1055"/>
      <c r="W155" s="1064"/>
      <c r="X155" s="1146"/>
      <c r="Y155" s="1137"/>
      <c r="Z155" s="1137"/>
      <c r="AA155" s="1138"/>
      <c r="AB155" s="1055"/>
      <c r="AC155" s="1139"/>
      <c r="AD155" s="1139"/>
      <c r="AE155" s="1155">
        <f t="shared" si="2"/>
        <v>15579</v>
      </c>
      <c r="AF155" s="1155">
        <v>0</v>
      </c>
      <c r="AG155" s="1135">
        <f>1731+1731+1731</f>
        <v>5193</v>
      </c>
      <c r="AH155" s="1139">
        <f t="shared" ref="AH155:AH218" si="3">AF155+AG155</f>
        <v>5193</v>
      </c>
      <c r="AI155" s="1055"/>
      <c r="AJ155" s="1064"/>
      <c r="AK155" s="1055"/>
      <c r="AL155" s="1133"/>
      <c r="AM155" s="1055"/>
      <c r="AN155" s="1055"/>
      <c r="AO155" s="1064"/>
      <c r="AP155" s="1137"/>
      <c r="AQ155" s="1064"/>
      <c r="AR155" s="1137"/>
      <c r="AS155" s="1055"/>
      <c r="AT155" s="1133"/>
      <c r="AU155" s="1133"/>
      <c r="AV155" s="1133"/>
      <c r="AW155" s="1133"/>
      <c r="AX155" s="1133"/>
      <c r="AY155" s="1133"/>
      <c r="AZ155" s="1133"/>
      <c r="BA155" s="1133"/>
      <c r="BB155" s="1133"/>
      <c r="BC155" s="1133"/>
      <c r="BD155" s="1133"/>
      <c r="BE155" s="1480"/>
      <c r="BF155" s="1480"/>
      <c r="BG155" s="1480"/>
      <c r="BH155" s="1480"/>
      <c r="BI155" s="1480"/>
      <c r="BJ155" s="1480"/>
    </row>
    <row r="156" spans="1:62" s="629" customFormat="1" ht="45" customHeight="1" x14ac:dyDescent="0.2">
      <c r="A156" s="1514">
        <v>42</v>
      </c>
      <c r="B156" s="636" t="s">
        <v>4078</v>
      </c>
      <c r="C156" s="1055" t="s">
        <v>381</v>
      </c>
      <c r="D156" s="1133" t="s">
        <v>3977</v>
      </c>
      <c r="E156" s="1055" t="s">
        <v>584</v>
      </c>
      <c r="F156" s="1055" t="s">
        <v>4086</v>
      </c>
      <c r="G156" s="1133">
        <v>11274</v>
      </c>
      <c r="H156" s="1055" t="s">
        <v>4104</v>
      </c>
      <c r="I156" s="1055" t="s">
        <v>4105</v>
      </c>
      <c r="J156" s="1055" t="s">
        <v>4106</v>
      </c>
      <c r="K156" s="1137">
        <v>41730</v>
      </c>
      <c r="L156" s="1135">
        <v>13499.91</v>
      </c>
      <c r="M156" s="1133">
        <v>11301</v>
      </c>
      <c r="N156" s="1134">
        <v>41730</v>
      </c>
      <c r="O156" s="1134">
        <v>42004</v>
      </c>
      <c r="P156" s="1133">
        <v>1</v>
      </c>
      <c r="Q156" s="1055"/>
      <c r="R156" s="1055"/>
      <c r="S156" s="1055"/>
      <c r="T156" s="1055" t="s">
        <v>158</v>
      </c>
      <c r="U156" s="1146"/>
      <c r="V156" s="1055"/>
      <c r="W156" s="1064"/>
      <c r="X156" s="1146"/>
      <c r="Y156" s="1137"/>
      <c r="Z156" s="1137"/>
      <c r="AA156" s="1138"/>
      <c r="AB156" s="1055"/>
      <c r="AC156" s="1139"/>
      <c r="AD156" s="1139"/>
      <c r="AE156" s="1155">
        <f t="shared" si="2"/>
        <v>13499.91</v>
      </c>
      <c r="AF156" s="1155">
        <v>0</v>
      </c>
      <c r="AG156" s="1135">
        <v>13499.91</v>
      </c>
      <c r="AH156" s="1139">
        <f t="shared" si="3"/>
        <v>13499.91</v>
      </c>
      <c r="AI156" s="1055"/>
      <c r="AJ156" s="1064"/>
      <c r="AK156" s="1055"/>
      <c r="AL156" s="1133"/>
      <c r="AM156" s="1055"/>
      <c r="AN156" s="1055"/>
      <c r="AO156" s="1064"/>
      <c r="AP156" s="1137"/>
      <c r="AQ156" s="1064"/>
      <c r="AR156" s="1137"/>
      <c r="AS156" s="1055"/>
      <c r="AT156" s="1133"/>
      <c r="AU156" s="1133"/>
      <c r="AV156" s="1133"/>
      <c r="AW156" s="1133"/>
      <c r="AX156" s="1133"/>
      <c r="AY156" s="1133"/>
      <c r="AZ156" s="1133"/>
      <c r="BA156" s="1133"/>
      <c r="BB156" s="1133"/>
      <c r="BC156" s="1133"/>
      <c r="BD156" s="1133"/>
      <c r="BE156" s="1480"/>
      <c r="BF156" s="1480"/>
      <c r="BG156" s="1480"/>
      <c r="BH156" s="1480"/>
      <c r="BI156" s="1480"/>
      <c r="BJ156" s="1480"/>
    </row>
    <row r="157" spans="1:62" s="629" customFormat="1" ht="45" customHeight="1" x14ac:dyDescent="0.2">
      <c r="A157" s="1514">
        <v>43</v>
      </c>
      <c r="B157" s="636" t="s">
        <v>4078</v>
      </c>
      <c r="C157" s="1055" t="s">
        <v>381</v>
      </c>
      <c r="D157" s="1133" t="s">
        <v>3977</v>
      </c>
      <c r="E157" s="1055" t="s">
        <v>584</v>
      </c>
      <c r="F157" s="1055" t="s">
        <v>4086</v>
      </c>
      <c r="G157" s="1145">
        <v>11274</v>
      </c>
      <c r="H157" s="1055" t="s">
        <v>4107</v>
      </c>
      <c r="I157" s="1055" t="s">
        <v>4108</v>
      </c>
      <c r="J157" s="1055" t="s">
        <v>4109</v>
      </c>
      <c r="K157" s="1137">
        <v>41743</v>
      </c>
      <c r="L157" s="1135">
        <v>14563.39</v>
      </c>
      <c r="M157" s="1145">
        <v>11322</v>
      </c>
      <c r="N157" s="1134">
        <v>41743</v>
      </c>
      <c r="O157" s="1134">
        <v>42004</v>
      </c>
      <c r="P157" s="1133">
        <v>1</v>
      </c>
      <c r="Q157" s="1055"/>
      <c r="R157" s="1055"/>
      <c r="S157" s="1055"/>
      <c r="T157" s="1055" t="s">
        <v>158</v>
      </c>
      <c r="U157" s="1055"/>
      <c r="V157" s="1055"/>
      <c r="W157" s="1064"/>
      <c r="X157" s="1146"/>
      <c r="Y157" s="1137"/>
      <c r="Z157" s="1137"/>
      <c r="AA157" s="1138"/>
      <c r="AB157" s="1055"/>
      <c r="AC157" s="1139"/>
      <c r="AD157" s="1139"/>
      <c r="AE157" s="1155">
        <f t="shared" si="2"/>
        <v>14563.39</v>
      </c>
      <c r="AF157" s="1155">
        <v>0</v>
      </c>
      <c r="AG157" s="1135">
        <v>14563.39</v>
      </c>
      <c r="AH157" s="1139">
        <f t="shared" si="3"/>
        <v>14563.39</v>
      </c>
      <c r="AI157" s="1055"/>
      <c r="AJ157" s="1064"/>
      <c r="AK157" s="1055"/>
      <c r="AL157" s="1133"/>
      <c r="AM157" s="1055"/>
      <c r="AN157" s="1055"/>
      <c r="AO157" s="1064"/>
      <c r="AP157" s="1137"/>
      <c r="AQ157" s="1064"/>
      <c r="AR157" s="1137"/>
      <c r="AS157" s="1055"/>
      <c r="AT157" s="1133"/>
      <c r="AU157" s="1133"/>
      <c r="AV157" s="1133"/>
      <c r="AW157" s="1133"/>
      <c r="AX157" s="1133"/>
      <c r="AY157" s="1133"/>
      <c r="AZ157" s="1133"/>
      <c r="BA157" s="1133"/>
      <c r="BB157" s="1133"/>
      <c r="BC157" s="1133"/>
      <c r="BD157" s="1133"/>
      <c r="BE157" s="1480"/>
      <c r="BF157" s="1480"/>
      <c r="BG157" s="1480"/>
      <c r="BH157" s="1480"/>
      <c r="BI157" s="1480"/>
      <c r="BJ157" s="1480"/>
    </row>
    <row r="158" spans="1:62" s="629" customFormat="1" ht="30" customHeight="1" x14ac:dyDescent="0.2">
      <c r="A158" s="2365">
        <v>44</v>
      </c>
      <c r="B158" s="2366" t="s">
        <v>4046</v>
      </c>
      <c r="C158" s="2023" t="s">
        <v>4047</v>
      </c>
      <c r="D158" s="2023" t="s">
        <v>1548</v>
      </c>
      <c r="E158" s="2023" t="s">
        <v>584</v>
      </c>
      <c r="F158" s="2023" t="s">
        <v>4110</v>
      </c>
      <c r="G158" s="2006">
        <v>10756</v>
      </c>
      <c r="H158" s="2367" t="s">
        <v>4111</v>
      </c>
      <c r="I158" s="2023" t="s">
        <v>4057</v>
      </c>
      <c r="J158" s="2023" t="s">
        <v>197</v>
      </c>
      <c r="K158" s="2347">
        <v>41276</v>
      </c>
      <c r="L158" s="2397">
        <v>451294.44</v>
      </c>
      <c r="M158" s="2373">
        <v>10972</v>
      </c>
      <c r="N158" s="2352">
        <v>41276</v>
      </c>
      <c r="O158" s="2352">
        <v>41639</v>
      </c>
      <c r="P158" s="2023">
        <v>1</v>
      </c>
      <c r="Q158" s="2023"/>
      <c r="R158" s="2023"/>
      <c r="S158" s="2023"/>
      <c r="T158" s="2023" t="s">
        <v>208</v>
      </c>
      <c r="U158" s="1146"/>
      <c r="V158" s="1055"/>
      <c r="W158" s="1064"/>
      <c r="X158" s="1146"/>
      <c r="Y158" s="1055"/>
      <c r="Z158" s="1055"/>
      <c r="AA158" s="1138"/>
      <c r="AB158" s="1055"/>
      <c r="AC158" s="1139"/>
      <c r="AD158" s="1139"/>
      <c r="AE158" s="1155"/>
      <c r="AF158" s="1565">
        <v>458377.8</v>
      </c>
      <c r="AG158" s="1566">
        <f>304787.26+38273.54+38273.54+38273.54+38273.54</f>
        <v>457881.41999999993</v>
      </c>
      <c r="AH158" s="1139">
        <f t="shared" si="3"/>
        <v>916259.22</v>
      </c>
      <c r="AI158" s="1055"/>
      <c r="AJ158" s="1064"/>
      <c r="AK158" s="1055"/>
      <c r="AL158" s="1133"/>
      <c r="AM158" s="1055"/>
      <c r="AN158" s="1055"/>
      <c r="AO158" s="1064"/>
      <c r="AP158" s="1137"/>
      <c r="AQ158" s="1064"/>
      <c r="AR158" s="1137"/>
      <c r="AS158" s="1055"/>
      <c r="AT158" s="1133"/>
      <c r="AU158" s="1133"/>
      <c r="AV158" s="1133"/>
      <c r="AW158" s="1133"/>
      <c r="AX158" s="1133"/>
      <c r="AY158" s="1133"/>
      <c r="AZ158" s="1133"/>
      <c r="BA158" s="1133"/>
      <c r="BB158" s="1133"/>
      <c r="BC158" s="1133"/>
      <c r="BD158" s="1133"/>
      <c r="BE158" s="1480"/>
      <c r="BF158" s="1480"/>
      <c r="BG158" s="1480"/>
      <c r="BH158" s="1480"/>
      <c r="BI158" s="1480"/>
      <c r="BJ158" s="1480"/>
    </row>
    <row r="159" spans="1:62" s="629" customFormat="1" ht="12.75" x14ac:dyDescent="0.2">
      <c r="A159" s="2365"/>
      <c r="B159" s="2366"/>
      <c r="C159" s="2023"/>
      <c r="D159" s="2023"/>
      <c r="E159" s="2023"/>
      <c r="F159" s="2023"/>
      <c r="G159" s="2023"/>
      <c r="H159" s="2367"/>
      <c r="I159" s="2023"/>
      <c r="J159" s="2023"/>
      <c r="K159" s="2023"/>
      <c r="L159" s="2397"/>
      <c r="M159" s="2373"/>
      <c r="N159" s="2352"/>
      <c r="O159" s="2352"/>
      <c r="P159" s="2023"/>
      <c r="Q159" s="2023"/>
      <c r="R159" s="2023"/>
      <c r="S159" s="2023"/>
      <c r="T159" s="2023"/>
      <c r="U159" s="1146" t="s">
        <v>3906</v>
      </c>
      <c r="V159" s="1137">
        <v>41334</v>
      </c>
      <c r="W159" s="1145">
        <v>11055</v>
      </c>
      <c r="X159" s="1146" t="s">
        <v>4112</v>
      </c>
      <c r="Y159" s="1137">
        <v>41334</v>
      </c>
      <c r="Z159" s="1137">
        <v>41639</v>
      </c>
      <c r="AA159" s="1138">
        <f>1/28</f>
        <v>3.5714285714285712E-2</v>
      </c>
      <c r="AB159" s="1138">
        <f>1/28</f>
        <v>3.5714285714285712E-2</v>
      </c>
      <c r="AC159" s="1139">
        <f>1356.11*10</f>
        <v>13561.099999999999</v>
      </c>
      <c r="AD159" s="1139">
        <f>1338.57*10</f>
        <v>13385.699999999999</v>
      </c>
      <c r="AE159" s="1155">
        <f>L158+AC159-AD159</f>
        <v>451469.83999999997</v>
      </c>
      <c r="AF159" s="525">
        <v>0</v>
      </c>
      <c r="AG159" s="525">
        <v>0</v>
      </c>
      <c r="AH159" s="1139">
        <f t="shared" si="3"/>
        <v>0</v>
      </c>
      <c r="AI159" s="1055"/>
      <c r="AJ159" s="1064"/>
      <c r="AK159" s="1055"/>
      <c r="AL159" s="1133"/>
      <c r="AM159" s="1055"/>
      <c r="AN159" s="1055"/>
      <c r="AO159" s="1064"/>
      <c r="AP159" s="1137"/>
      <c r="AQ159" s="1064"/>
      <c r="AR159" s="1137"/>
      <c r="AS159" s="1055"/>
      <c r="AT159" s="1133"/>
      <c r="AU159" s="1133"/>
      <c r="AV159" s="1133"/>
      <c r="AW159" s="1133"/>
      <c r="AX159" s="1133"/>
      <c r="AY159" s="1133"/>
      <c r="AZ159" s="1133"/>
      <c r="BA159" s="1133"/>
      <c r="BB159" s="1133"/>
      <c r="BC159" s="1133"/>
      <c r="BD159" s="1133"/>
      <c r="BE159" s="1480"/>
      <c r="BF159" s="1480"/>
      <c r="BG159" s="1480"/>
      <c r="BH159" s="1480"/>
      <c r="BI159" s="1480"/>
      <c r="BJ159" s="1480"/>
    </row>
    <row r="160" spans="1:62" s="629" customFormat="1" ht="12.75" x14ac:dyDescent="0.2">
      <c r="A160" s="2365"/>
      <c r="B160" s="2366"/>
      <c r="C160" s="2023"/>
      <c r="D160" s="2023"/>
      <c r="E160" s="2023"/>
      <c r="F160" s="2023"/>
      <c r="G160" s="2023"/>
      <c r="H160" s="2367"/>
      <c r="I160" s="2023"/>
      <c r="J160" s="2023"/>
      <c r="K160" s="2023"/>
      <c r="L160" s="2397"/>
      <c r="M160" s="2373"/>
      <c r="N160" s="2352"/>
      <c r="O160" s="2352"/>
      <c r="P160" s="2023"/>
      <c r="Q160" s="2023"/>
      <c r="R160" s="2023"/>
      <c r="S160" s="2023"/>
      <c r="T160" s="2023"/>
      <c r="U160" s="1146" t="s">
        <v>3891</v>
      </c>
      <c r="V160" s="1137">
        <v>41365</v>
      </c>
      <c r="W160" s="1145">
        <v>11055</v>
      </c>
      <c r="X160" s="1146" t="s">
        <v>4112</v>
      </c>
      <c r="Y160" s="1137">
        <v>41365</v>
      </c>
      <c r="Z160" s="1137">
        <v>41639</v>
      </c>
      <c r="AA160" s="1138">
        <f>1/28</f>
        <v>3.5714285714285712E-2</v>
      </c>
      <c r="AB160" s="1138">
        <f>1/28</f>
        <v>3.5714285714285712E-2</v>
      </c>
      <c r="AC160" s="1139">
        <f>1329.71*9</f>
        <v>11967.39</v>
      </c>
      <c r="AD160" s="1139">
        <f>1338.57*9</f>
        <v>12047.13</v>
      </c>
      <c r="AE160" s="1155">
        <f>AE159+AC160-AD160</f>
        <v>451390.1</v>
      </c>
      <c r="AF160" s="525">
        <v>0</v>
      </c>
      <c r="AG160" s="525">
        <v>0</v>
      </c>
      <c r="AH160" s="1139">
        <f t="shared" si="3"/>
        <v>0</v>
      </c>
      <c r="AI160" s="1055"/>
      <c r="AJ160" s="1064"/>
      <c r="AK160" s="1055"/>
      <c r="AL160" s="1133"/>
      <c r="AM160" s="1055"/>
      <c r="AN160" s="1055"/>
      <c r="AO160" s="1064"/>
      <c r="AP160" s="1137"/>
      <c r="AQ160" s="1064"/>
      <c r="AR160" s="1137"/>
      <c r="AS160" s="1055"/>
      <c r="AT160" s="1133"/>
      <c r="AU160" s="1133"/>
      <c r="AV160" s="1133"/>
      <c r="AW160" s="1133"/>
      <c r="AX160" s="1133"/>
      <c r="AY160" s="1133"/>
      <c r="AZ160" s="1133"/>
      <c r="BA160" s="1133"/>
      <c r="BB160" s="1133"/>
      <c r="BC160" s="1133"/>
      <c r="BD160" s="1133"/>
      <c r="BE160" s="1480"/>
      <c r="BF160" s="1480"/>
      <c r="BG160" s="1480"/>
      <c r="BH160" s="1480"/>
      <c r="BI160" s="1480"/>
      <c r="BJ160" s="1480"/>
    </row>
    <row r="161" spans="1:62" s="629" customFormat="1" ht="12.75" x14ac:dyDescent="0.2">
      <c r="A161" s="2365"/>
      <c r="B161" s="2366"/>
      <c r="C161" s="2023"/>
      <c r="D161" s="2023"/>
      <c r="E161" s="2023"/>
      <c r="F161" s="2023"/>
      <c r="G161" s="2023"/>
      <c r="H161" s="2367"/>
      <c r="I161" s="2023"/>
      <c r="J161" s="2023"/>
      <c r="K161" s="2023"/>
      <c r="L161" s="2397"/>
      <c r="M161" s="2373"/>
      <c r="N161" s="2352"/>
      <c r="O161" s="2352"/>
      <c r="P161" s="2023"/>
      <c r="Q161" s="2023"/>
      <c r="R161" s="2023"/>
      <c r="S161" s="2023"/>
      <c r="T161" s="2023"/>
      <c r="U161" s="1146" t="s">
        <v>3908</v>
      </c>
      <c r="V161" s="1137">
        <v>41410</v>
      </c>
      <c r="W161" s="1145">
        <v>11065</v>
      </c>
      <c r="X161" s="1146" t="s">
        <v>4058</v>
      </c>
      <c r="Y161" s="1137">
        <v>41410</v>
      </c>
      <c r="Z161" s="1137">
        <v>41639</v>
      </c>
      <c r="AA161" s="1138"/>
      <c r="AB161" s="1138">
        <f>1/28</f>
        <v>3.5714285714285712E-2</v>
      </c>
      <c r="AC161" s="1139"/>
      <c r="AD161" s="1139">
        <v>10192.700000000001</v>
      </c>
      <c r="AE161" s="1155">
        <f>AE160-AD161</f>
        <v>441197.39999999997</v>
      </c>
      <c r="AF161" s="525">
        <v>0</v>
      </c>
      <c r="AG161" s="525">
        <v>0</v>
      </c>
      <c r="AH161" s="1139">
        <f t="shared" si="3"/>
        <v>0</v>
      </c>
      <c r="AI161" s="1055"/>
      <c r="AJ161" s="1064"/>
      <c r="AK161" s="1055"/>
      <c r="AL161" s="1133"/>
      <c r="AM161" s="1055"/>
      <c r="AN161" s="1055"/>
      <c r="AO161" s="1064"/>
      <c r="AP161" s="1137"/>
      <c r="AQ161" s="1064"/>
      <c r="AR161" s="1137"/>
      <c r="AS161" s="1055"/>
      <c r="AT161" s="1133"/>
      <c r="AU161" s="1133"/>
      <c r="AV161" s="1133"/>
      <c r="AW161" s="1133"/>
      <c r="AX161" s="1133"/>
      <c r="AY161" s="1133"/>
      <c r="AZ161" s="1133"/>
      <c r="BA161" s="1133"/>
      <c r="BB161" s="1133"/>
      <c r="BC161" s="1133"/>
      <c r="BD161" s="1133"/>
      <c r="BE161" s="1480"/>
      <c r="BF161" s="1480"/>
      <c r="BG161" s="1480"/>
      <c r="BH161" s="1480"/>
      <c r="BI161" s="1480"/>
      <c r="BJ161" s="1480"/>
    </row>
    <row r="162" spans="1:62" s="629" customFormat="1" ht="12.75" x14ac:dyDescent="0.2">
      <c r="A162" s="2365"/>
      <c r="B162" s="2366"/>
      <c r="C162" s="2023"/>
      <c r="D162" s="2023"/>
      <c r="E162" s="2023"/>
      <c r="F162" s="2023"/>
      <c r="G162" s="2023"/>
      <c r="H162" s="2367"/>
      <c r="I162" s="2023"/>
      <c r="J162" s="2023"/>
      <c r="K162" s="2023"/>
      <c r="L162" s="2397"/>
      <c r="M162" s="2373"/>
      <c r="N162" s="2352"/>
      <c r="O162" s="2352"/>
      <c r="P162" s="2023"/>
      <c r="Q162" s="2023"/>
      <c r="R162" s="2023"/>
      <c r="S162" s="2023"/>
      <c r="T162" s="2023"/>
      <c r="U162" s="1146" t="s">
        <v>3893</v>
      </c>
      <c r="V162" s="1137">
        <v>41509</v>
      </c>
      <c r="W162" s="1145">
        <v>11130</v>
      </c>
      <c r="X162" s="1146" t="s">
        <v>4113</v>
      </c>
      <c r="Y162" s="1137">
        <v>41487</v>
      </c>
      <c r="Z162" s="1137">
        <v>41639</v>
      </c>
      <c r="AA162" s="1138">
        <f>AC162/L158</f>
        <v>5.3093829385533753E-2</v>
      </c>
      <c r="AB162" s="1138">
        <f>1/28</f>
        <v>3.5714285714285712E-2</v>
      </c>
      <c r="AC162" s="1139">
        <v>23960.95</v>
      </c>
      <c r="AD162" s="1139">
        <f>(1356.11*5)</f>
        <v>6780.5499999999993</v>
      </c>
      <c r="AE162" s="1155">
        <f>AE161-AD162+AC162</f>
        <v>458377.8</v>
      </c>
      <c r="AF162" s="525">
        <v>0</v>
      </c>
      <c r="AG162" s="525">
        <v>0</v>
      </c>
      <c r="AH162" s="1139">
        <f t="shared" si="3"/>
        <v>0</v>
      </c>
      <c r="AI162" s="1055"/>
      <c r="AJ162" s="1064"/>
      <c r="AK162" s="1055"/>
      <c r="AL162" s="1133"/>
      <c r="AM162" s="1055"/>
      <c r="AN162" s="1055"/>
      <c r="AO162" s="1064"/>
      <c r="AP162" s="1137"/>
      <c r="AQ162" s="1064"/>
      <c r="AR162" s="1137"/>
      <c r="AS162" s="1055"/>
      <c r="AT162" s="1133"/>
      <c r="AU162" s="1133"/>
      <c r="AV162" s="1133"/>
      <c r="AW162" s="1133"/>
      <c r="AX162" s="1133"/>
      <c r="AY162" s="1133"/>
      <c r="AZ162" s="1133"/>
      <c r="BA162" s="1133"/>
      <c r="BB162" s="1133"/>
      <c r="BC162" s="1133"/>
      <c r="BD162" s="1133"/>
      <c r="BE162" s="1480"/>
      <c r="BF162" s="1480"/>
      <c r="BG162" s="1480"/>
      <c r="BH162" s="1480"/>
      <c r="BI162" s="1480"/>
      <c r="BJ162" s="1480"/>
    </row>
    <row r="163" spans="1:62" s="629" customFormat="1" ht="25.5" x14ac:dyDescent="0.2">
      <c r="A163" s="2365"/>
      <c r="B163" s="2366"/>
      <c r="C163" s="2023"/>
      <c r="D163" s="2023"/>
      <c r="E163" s="2023"/>
      <c r="F163" s="2023"/>
      <c r="G163" s="2023"/>
      <c r="H163" s="2367"/>
      <c r="I163" s="2023"/>
      <c r="J163" s="2023"/>
      <c r="K163" s="2023"/>
      <c r="L163" s="2397"/>
      <c r="M163" s="2373"/>
      <c r="N163" s="2352"/>
      <c r="O163" s="2352"/>
      <c r="P163" s="2023"/>
      <c r="Q163" s="2023"/>
      <c r="R163" s="2023"/>
      <c r="S163" s="2023"/>
      <c r="T163" s="2023"/>
      <c r="U163" s="1146" t="s">
        <v>3909</v>
      </c>
      <c r="V163" s="1137">
        <v>41631</v>
      </c>
      <c r="W163" s="1145">
        <v>11219</v>
      </c>
      <c r="X163" s="1146" t="s">
        <v>4114</v>
      </c>
      <c r="Y163" s="1134">
        <v>41640</v>
      </c>
      <c r="Z163" s="1134">
        <v>42004</v>
      </c>
      <c r="AA163" s="1138">
        <f>1/28</f>
        <v>3.5714285714285712E-2</v>
      </c>
      <c r="AB163" s="1055"/>
      <c r="AC163" s="1139">
        <f>1401.06*11</f>
        <v>15411.66</v>
      </c>
      <c r="AD163" s="1139"/>
      <c r="AE163" s="1155">
        <f>AE162+AC163+(36872.48*12)</f>
        <v>916259.22</v>
      </c>
      <c r="AF163" s="525">
        <v>0</v>
      </c>
      <c r="AG163" s="525">
        <v>0</v>
      </c>
      <c r="AH163" s="1139">
        <f t="shared" si="3"/>
        <v>0</v>
      </c>
      <c r="AI163" s="1055"/>
      <c r="AJ163" s="1064"/>
      <c r="AK163" s="1055"/>
      <c r="AL163" s="1133"/>
      <c r="AM163" s="1055"/>
      <c r="AN163" s="1055"/>
      <c r="AO163" s="1064"/>
      <c r="AP163" s="1137"/>
      <c r="AQ163" s="1064"/>
      <c r="AR163" s="1137"/>
      <c r="AS163" s="1055"/>
      <c r="AT163" s="1133"/>
      <c r="AU163" s="1133"/>
      <c r="AV163" s="1133"/>
      <c r="AW163" s="1133"/>
      <c r="AX163" s="1133"/>
      <c r="AY163" s="1133"/>
      <c r="AZ163" s="1133"/>
      <c r="BA163" s="1133"/>
      <c r="BB163" s="1133"/>
      <c r="BC163" s="1133"/>
      <c r="BD163" s="1133"/>
      <c r="BE163" s="1480"/>
      <c r="BF163" s="1480"/>
      <c r="BG163" s="1480"/>
      <c r="BH163" s="1480"/>
      <c r="BI163" s="1480"/>
      <c r="BJ163" s="1480"/>
    </row>
    <row r="164" spans="1:62" s="629" customFormat="1" ht="45" customHeight="1" x14ac:dyDescent="0.2">
      <c r="A164" s="1514">
        <v>45</v>
      </c>
      <c r="B164" s="1217" t="s">
        <v>4115</v>
      </c>
      <c r="C164" s="1055" t="s">
        <v>4116</v>
      </c>
      <c r="D164" s="1055" t="s">
        <v>615</v>
      </c>
      <c r="E164" s="1055" t="s">
        <v>584</v>
      </c>
      <c r="F164" s="1055" t="s">
        <v>4117</v>
      </c>
      <c r="G164" s="1064">
        <v>10965</v>
      </c>
      <c r="H164" s="1146" t="s">
        <v>4118</v>
      </c>
      <c r="I164" s="1055" t="s">
        <v>4119</v>
      </c>
      <c r="J164" s="1055" t="s">
        <v>4120</v>
      </c>
      <c r="K164" s="1137">
        <v>41323</v>
      </c>
      <c r="L164" s="1139">
        <v>50040</v>
      </c>
      <c r="M164" s="1064">
        <v>10995</v>
      </c>
      <c r="N164" s="1137">
        <v>41323</v>
      </c>
      <c r="O164" s="1137">
        <v>41639</v>
      </c>
      <c r="P164" s="1146" t="s">
        <v>3905</v>
      </c>
      <c r="Q164" s="1055"/>
      <c r="R164" s="1055"/>
      <c r="S164" s="1055"/>
      <c r="T164" s="1055" t="s">
        <v>208</v>
      </c>
      <c r="U164" s="1055"/>
      <c r="V164" s="1055"/>
      <c r="W164" s="1064"/>
      <c r="X164" s="1146"/>
      <c r="Y164" s="1055"/>
      <c r="Z164" s="1055"/>
      <c r="AA164" s="1138"/>
      <c r="AB164" s="1055"/>
      <c r="AC164" s="1139"/>
      <c r="AD164" s="1139"/>
      <c r="AE164" s="1155">
        <f>L164-AD164+AC164</f>
        <v>50040</v>
      </c>
      <c r="AF164" s="1155">
        <v>44337</v>
      </c>
      <c r="AG164" s="1139">
        <v>5703</v>
      </c>
      <c r="AH164" s="1139">
        <f t="shared" si="3"/>
        <v>50040</v>
      </c>
      <c r="AI164" s="1055"/>
      <c r="AJ164" s="1064"/>
      <c r="AK164" s="1055"/>
      <c r="AL164" s="1133"/>
      <c r="AM164" s="1055"/>
      <c r="AN164" s="1055"/>
      <c r="AO164" s="1064"/>
      <c r="AP164" s="1137"/>
      <c r="AQ164" s="1064"/>
      <c r="AR164" s="1137"/>
      <c r="AS164" s="1055"/>
      <c r="AT164" s="1133"/>
      <c r="AU164" s="1133"/>
      <c r="AV164" s="1133"/>
      <c r="AW164" s="1133"/>
      <c r="AX164" s="1133"/>
      <c r="AY164" s="1133"/>
      <c r="AZ164" s="1133"/>
      <c r="BA164" s="1133"/>
      <c r="BB164" s="1133"/>
      <c r="BC164" s="1133"/>
      <c r="BD164" s="1133"/>
      <c r="BE164" s="1480"/>
      <c r="BF164" s="1480"/>
      <c r="BG164" s="1480"/>
      <c r="BH164" s="1480"/>
      <c r="BI164" s="1480"/>
      <c r="BJ164" s="1480"/>
    </row>
    <row r="165" spans="1:62" s="629" customFormat="1" ht="45" customHeight="1" x14ac:dyDescent="0.2">
      <c r="A165" s="2365">
        <v>46</v>
      </c>
      <c r="B165" s="2366" t="s">
        <v>4121</v>
      </c>
      <c r="C165" s="2023" t="s">
        <v>403</v>
      </c>
      <c r="D165" s="2023" t="s">
        <v>1548</v>
      </c>
      <c r="E165" s="2023" t="s">
        <v>584</v>
      </c>
      <c r="F165" s="2023" t="s">
        <v>4122</v>
      </c>
      <c r="G165" s="2006">
        <v>10991</v>
      </c>
      <c r="H165" s="2367" t="s">
        <v>4123</v>
      </c>
      <c r="I165" s="2023" t="s">
        <v>4124</v>
      </c>
      <c r="J165" s="2023" t="s">
        <v>315</v>
      </c>
      <c r="K165" s="2347">
        <v>41327</v>
      </c>
      <c r="L165" s="2343">
        <v>48813.599999999999</v>
      </c>
      <c r="M165" s="2006">
        <v>10997</v>
      </c>
      <c r="N165" s="2347">
        <v>41327</v>
      </c>
      <c r="O165" s="2023" t="s">
        <v>4125</v>
      </c>
      <c r="P165" s="2367" t="s">
        <v>3905</v>
      </c>
      <c r="Q165" s="2023"/>
      <c r="R165" s="2023"/>
      <c r="S165" s="2023"/>
      <c r="T165" s="2023" t="s">
        <v>4126</v>
      </c>
      <c r="U165" s="1146"/>
      <c r="V165" s="1055"/>
      <c r="W165" s="1064"/>
      <c r="X165" s="1146"/>
      <c r="Y165" s="1055"/>
      <c r="Z165" s="1055"/>
      <c r="AA165" s="1138"/>
      <c r="AB165" s="1055"/>
      <c r="AC165" s="1139"/>
      <c r="AD165" s="1139"/>
      <c r="AE165" s="2368">
        <f>SUM(AC166:AC166)+L165</f>
        <v>61252.6</v>
      </c>
      <c r="AF165" s="1155">
        <v>32637</v>
      </c>
      <c r="AG165" s="1139">
        <v>189.2</v>
      </c>
      <c r="AH165" s="1139">
        <f t="shared" si="3"/>
        <v>32826.199999999997</v>
      </c>
      <c r="AI165" s="1055"/>
      <c r="AJ165" s="1064"/>
      <c r="AK165" s="1055"/>
      <c r="AL165" s="1133"/>
      <c r="AM165" s="1055"/>
      <c r="AN165" s="1055"/>
      <c r="AO165" s="1064"/>
      <c r="AP165" s="1137"/>
      <c r="AQ165" s="1064"/>
      <c r="AR165" s="1137"/>
      <c r="AS165" s="1055"/>
      <c r="AT165" s="1133"/>
      <c r="AU165" s="1133"/>
      <c r="AV165" s="1133"/>
      <c r="AW165" s="1133"/>
      <c r="AX165" s="1133"/>
      <c r="AY165" s="1133"/>
      <c r="AZ165" s="1133"/>
      <c r="BA165" s="1133"/>
      <c r="BB165" s="1133"/>
      <c r="BC165" s="1133"/>
      <c r="BD165" s="1133"/>
      <c r="BE165" s="1480"/>
      <c r="BF165" s="1480"/>
      <c r="BG165" s="1480"/>
      <c r="BH165" s="1480"/>
      <c r="BI165" s="1480"/>
      <c r="BJ165" s="1480"/>
    </row>
    <row r="166" spans="1:62" s="629" customFormat="1" ht="12.75" x14ac:dyDescent="0.2">
      <c r="A166" s="2365"/>
      <c r="B166" s="2366"/>
      <c r="C166" s="2023"/>
      <c r="D166" s="2023"/>
      <c r="E166" s="2023"/>
      <c r="F166" s="2023"/>
      <c r="G166" s="2006"/>
      <c r="H166" s="2367"/>
      <c r="I166" s="2023"/>
      <c r="J166" s="2023"/>
      <c r="K166" s="2023"/>
      <c r="L166" s="2343"/>
      <c r="M166" s="2006"/>
      <c r="N166" s="2347"/>
      <c r="O166" s="2023"/>
      <c r="P166" s="2367"/>
      <c r="Q166" s="2023"/>
      <c r="R166" s="2023"/>
      <c r="S166" s="2023"/>
      <c r="T166" s="2023"/>
      <c r="U166" s="1146" t="s">
        <v>3906</v>
      </c>
      <c r="V166" s="1137">
        <v>41327</v>
      </c>
      <c r="W166" s="1064">
        <v>11221</v>
      </c>
      <c r="X166" s="1146" t="s">
        <v>3922</v>
      </c>
      <c r="Y166" s="1137">
        <v>41327</v>
      </c>
      <c r="Z166" s="1137">
        <v>41639</v>
      </c>
      <c r="AA166" s="542">
        <v>25.5</v>
      </c>
      <c r="AB166" s="1055"/>
      <c r="AC166" s="1139">
        <v>12439</v>
      </c>
      <c r="AD166" s="1139"/>
      <c r="AE166" s="2368"/>
      <c r="AF166" s="525">
        <v>0</v>
      </c>
      <c r="AG166" s="525">
        <v>0</v>
      </c>
      <c r="AH166" s="1139">
        <f t="shared" si="3"/>
        <v>0</v>
      </c>
      <c r="AI166" s="1055"/>
      <c r="AJ166" s="1064"/>
      <c r="AK166" s="1055"/>
      <c r="AL166" s="1133"/>
      <c r="AM166" s="1055"/>
      <c r="AN166" s="1055"/>
      <c r="AO166" s="1064"/>
      <c r="AP166" s="1137"/>
      <c r="AQ166" s="1064"/>
      <c r="AR166" s="1137"/>
      <c r="AS166" s="1055"/>
      <c r="AT166" s="1133"/>
      <c r="AU166" s="1133"/>
      <c r="AV166" s="1133"/>
      <c r="AW166" s="1133"/>
      <c r="AX166" s="1133"/>
      <c r="AY166" s="1133"/>
      <c r="AZ166" s="1133"/>
      <c r="BA166" s="1133"/>
      <c r="BB166" s="1133"/>
      <c r="BC166" s="1133"/>
      <c r="BD166" s="1133"/>
      <c r="BE166" s="1480"/>
      <c r="BF166" s="1480"/>
      <c r="BG166" s="1480"/>
      <c r="BH166" s="1480"/>
      <c r="BI166" s="1480"/>
      <c r="BJ166" s="1480"/>
    </row>
    <row r="167" spans="1:62" s="629" customFormat="1" ht="45" customHeight="1" x14ac:dyDescent="0.2">
      <c r="A167" s="2365">
        <v>47</v>
      </c>
      <c r="B167" s="2366" t="s">
        <v>4127</v>
      </c>
      <c r="C167" s="2023" t="s">
        <v>967</v>
      </c>
      <c r="D167" s="2023" t="s">
        <v>1548</v>
      </c>
      <c r="E167" s="2023" t="s">
        <v>584</v>
      </c>
      <c r="F167" s="2023" t="s">
        <v>4128</v>
      </c>
      <c r="G167" s="2006">
        <v>10991</v>
      </c>
      <c r="H167" s="2367" t="s">
        <v>4129</v>
      </c>
      <c r="I167" s="2023" t="s">
        <v>4130</v>
      </c>
      <c r="J167" s="2023" t="s">
        <v>4131</v>
      </c>
      <c r="K167" s="2347">
        <v>41337</v>
      </c>
      <c r="L167" s="2369">
        <v>37635.4</v>
      </c>
      <c r="M167" s="2006">
        <v>11003</v>
      </c>
      <c r="N167" s="2347">
        <v>41337</v>
      </c>
      <c r="O167" s="2347">
        <v>41639</v>
      </c>
      <c r="P167" s="2367" t="s">
        <v>3905</v>
      </c>
      <c r="Q167" s="2023"/>
      <c r="R167" s="2023"/>
      <c r="S167" s="2023"/>
      <c r="T167" s="2023" t="s">
        <v>316</v>
      </c>
      <c r="U167" s="2023"/>
      <c r="V167" s="2023"/>
      <c r="W167" s="2006"/>
      <c r="X167" s="2367"/>
      <c r="Y167" s="2023"/>
      <c r="Z167" s="2023"/>
      <c r="AA167" s="2363"/>
      <c r="AB167" s="2023"/>
      <c r="AC167" s="2343"/>
      <c r="AD167" s="2343"/>
      <c r="AE167" s="2368">
        <f>L167-AD167+AC167</f>
        <v>37635.4</v>
      </c>
      <c r="AF167" s="525">
        <v>11628.2</v>
      </c>
      <c r="AG167" s="1139">
        <v>896</v>
      </c>
      <c r="AH167" s="1139">
        <f t="shared" si="3"/>
        <v>12524.2</v>
      </c>
      <c r="AI167" s="1055"/>
      <c r="AJ167" s="1064"/>
      <c r="AK167" s="1055"/>
      <c r="AL167" s="1133"/>
      <c r="AM167" s="1055"/>
      <c r="AN167" s="1055"/>
      <c r="AO167" s="1064"/>
      <c r="AP167" s="1137"/>
      <c r="AQ167" s="1064"/>
      <c r="AR167" s="1137"/>
      <c r="AS167" s="1055"/>
      <c r="AT167" s="1133"/>
      <c r="AU167" s="1133"/>
      <c r="AV167" s="1133"/>
      <c r="AW167" s="1133"/>
      <c r="AX167" s="1133"/>
      <c r="AY167" s="1133"/>
      <c r="AZ167" s="1133"/>
      <c r="BA167" s="1133"/>
      <c r="BB167" s="1133"/>
      <c r="BC167" s="1133"/>
      <c r="BD167" s="1133"/>
      <c r="BE167" s="1480"/>
      <c r="BF167" s="1480"/>
      <c r="BG167" s="1480"/>
      <c r="BH167" s="1480"/>
      <c r="BI167" s="1480"/>
      <c r="BJ167" s="1480"/>
    </row>
    <row r="168" spans="1:62" s="629" customFormat="1" ht="12.75" x14ac:dyDescent="0.2">
      <c r="A168" s="2365"/>
      <c r="B168" s="2366"/>
      <c r="C168" s="2023"/>
      <c r="D168" s="2023"/>
      <c r="E168" s="2023"/>
      <c r="F168" s="2023"/>
      <c r="G168" s="2006"/>
      <c r="H168" s="2367"/>
      <c r="I168" s="2023"/>
      <c r="J168" s="2023"/>
      <c r="K168" s="2023"/>
      <c r="L168" s="2369"/>
      <c r="M168" s="2006"/>
      <c r="N168" s="2347"/>
      <c r="O168" s="2347"/>
      <c r="P168" s="2367"/>
      <c r="Q168" s="2023"/>
      <c r="R168" s="2023"/>
      <c r="S168" s="2023"/>
      <c r="T168" s="2023"/>
      <c r="U168" s="2023"/>
      <c r="V168" s="2023"/>
      <c r="W168" s="2006"/>
      <c r="X168" s="2367"/>
      <c r="Y168" s="2023"/>
      <c r="Z168" s="2023"/>
      <c r="AA168" s="2363"/>
      <c r="AB168" s="2023"/>
      <c r="AC168" s="2343"/>
      <c r="AD168" s="2343"/>
      <c r="AE168" s="2368"/>
      <c r="AF168" s="525">
        <v>0</v>
      </c>
      <c r="AG168" s="525">
        <v>0</v>
      </c>
      <c r="AH168" s="1139">
        <f t="shared" si="3"/>
        <v>0</v>
      </c>
      <c r="AI168" s="1055"/>
      <c r="AJ168" s="1064"/>
      <c r="AK168" s="1055"/>
      <c r="AL168" s="1133"/>
      <c r="AM168" s="1055"/>
      <c r="AN168" s="1055"/>
      <c r="AO168" s="1064"/>
      <c r="AP168" s="1137"/>
      <c r="AQ168" s="1064"/>
      <c r="AR168" s="1137"/>
      <c r="AS168" s="1055"/>
      <c r="AT168" s="1133"/>
      <c r="AU168" s="1133"/>
      <c r="AV168" s="1133"/>
      <c r="AW168" s="1133"/>
      <c r="AX168" s="1133"/>
      <c r="AY168" s="1133"/>
      <c r="AZ168" s="1133"/>
      <c r="BA168" s="1133"/>
      <c r="BB168" s="1133"/>
      <c r="BC168" s="1133"/>
      <c r="BD168" s="1133"/>
      <c r="BE168" s="1480"/>
      <c r="BF168" s="1480"/>
      <c r="BG168" s="1480"/>
      <c r="BH168" s="1480"/>
      <c r="BI168" s="1480"/>
      <c r="BJ168" s="1480"/>
    </row>
    <row r="169" spans="1:62" s="629" customFormat="1" ht="12.75" x14ac:dyDescent="0.2">
      <c r="A169" s="2365"/>
      <c r="B169" s="2366"/>
      <c r="C169" s="2023"/>
      <c r="D169" s="2023"/>
      <c r="E169" s="2023"/>
      <c r="F169" s="2023"/>
      <c r="G169" s="2006"/>
      <c r="H169" s="2367"/>
      <c r="I169" s="2023"/>
      <c r="J169" s="2023"/>
      <c r="K169" s="2023"/>
      <c r="L169" s="2369"/>
      <c r="M169" s="2006"/>
      <c r="N169" s="2347"/>
      <c r="O169" s="2347"/>
      <c r="P169" s="1146" t="s">
        <v>3961</v>
      </c>
      <c r="Q169" s="2023"/>
      <c r="R169" s="2023"/>
      <c r="S169" s="2023"/>
      <c r="T169" s="2023"/>
      <c r="U169" s="2023"/>
      <c r="V169" s="2023"/>
      <c r="W169" s="2006"/>
      <c r="X169" s="2367"/>
      <c r="Y169" s="2023"/>
      <c r="Z169" s="2023"/>
      <c r="AA169" s="2363"/>
      <c r="AB169" s="2023"/>
      <c r="AC169" s="2343"/>
      <c r="AD169" s="2343"/>
      <c r="AE169" s="2368"/>
      <c r="AF169" s="525">
        <v>25111.200000000001</v>
      </c>
      <c r="AG169" s="1139">
        <f>159.6+106.4</f>
        <v>266</v>
      </c>
      <c r="AH169" s="1139">
        <f t="shared" si="3"/>
        <v>25377.200000000001</v>
      </c>
      <c r="AI169" s="1055"/>
      <c r="AJ169" s="1064"/>
      <c r="AK169" s="1055"/>
      <c r="AL169" s="1133"/>
      <c r="AM169" s="1055"/>
      <c r="AN169" s="1055"/>
      <c r="AO169" s="1064"/>
      <c r="AP169" s="1137"/>
      <c r="AQ169" s="1064"/>
      <c r="AR169" s="1137"/>
      <c r="AS169" s="1055"/>
      <c r="AT169" s="1133"/>
      <c r="AU169" s="1133"/>
      <c r="AV169" s="1133"/>
      <c r="AW169" s="1133"/>
      <c r="AX169" s="1133"/>
      <c r="AY169" s="1133"/>
      <c r="AZ169" s="1133"/>
      <c r="BA169" s="1133"/>
      <c r="BB169" s="1133"/>
      <c r="BC169" s="1133"/>
      <c r="BD169" s="1133"/>
      <c r="BE169" s="1480"/>
      <c r="BF169" s="1480"/>
      <c r="BG169" s="1480"/>
      <c r="BH169" s="1480"/>
      <c r="BI169" s="1480"/>
      <c r="BJ169" s="1480"/>
    </row>
    <row r="170" spans="1:62" s="629" customFormat="1" ht="45" customHeight="1" x14ac:dyDescent="0.2">
      <c r="A170" s="2365">
        <v>48</v>
      </c>
      <c r="B170" s="2366" t="s">
        <v>4127</v>
      </c>
      <c r="C170" s="2023" t="s">
        <v>967</v>
      </c>
      <c r="D170" s="2023" t="s">
        <v>1548</v>
      </c>
      <c r="E170" s="2023" t="s">
        <v>584</v>
      </c>
      <c r="F170" s="2023" t="s">
        <v>4128</v>
      </c>
      <c r="G170" s="2006">
        <v>10991</v>
      </c>
      <c r="H170" s="2367" t="s">
        <v>4132</v>
      </c>
      <c r="I170" s="2023" t="s">
        <v>4133</v>
      </c>
      <c r="J170" s="2023" t="s">
        <v>4134</v>
      </c>
      <c r="K170" s="2347">
        <v>41337</v>
      </c>
      <c r="L170" s="2343">
        <v>178106.05</v>
      </c>
      <c r="M170" s="2006">
        <v>11003</v>
      </c>
      <c r="N170" s="2347">
        <v>41337</v>
      </c>
      <c r="O170" s="2347">
        <v>41639</v>
      </c>
      <c r="P170" s="1146" t="s">
        <v>3905</v>
      </c>
      <c r="Q170" s="2023"/>
      <c r="R170" s="2023"/>
      <c r="S170" s="2023"/>
      <c r="T170" s="2023" t="s">
        <v>316</v>
      </c>
      <c r="U170" s="2023"/>
      <c r="V170" s="2023"/>
      <c r="W170" s="2006"/>
      <c r="X170" s="2367"/>
      <c r="Y170" s="2023"/>
      <c r="Z170" s="2023"/>
      <c r="AA170" s="2363"/>
      <c r="AB170" s="2023"/>
      <c r="AC170" s="2343"/>
      <c r="AD170" s="2343"/>
      <c r="AE170" s="2368">
        <f>L170-AD170+AC170</f>
        <v>178106.05</v>
      </c>
      <c r="AF170" s="1155">
        <v>81607.5</v>
      </c>
      <c r="AG170" s="1139">
        <v>369.34</v>
      </c>
      <c r="AH170" s="1139">
        <f t="shared" si="3"/>
        <v>81976.84</v>
      </c>
      <c r="AI170" s="1055"/>
      <c r="AJ170" s="1064"/>
      <c r="AK170" s="1055"/>
      <c r="AL170" s="1133"/>
      <c r="AM170" s="1055"/>
      <c r="AN170" s="1055"/>
      <c r="AO170" s="1064"/>
      <c r="AP170" s="1137"/>
      <c r="AQ170" s="1064"/>
      <c r="AR170" s="1137"/>
      <c r="AS170" s="1055"/>
      <c r="AT170" s="1133"/>
      <c r="AU170" s="1133"/>
      <c r="AV170" s="1133"/>
      <c r="AW170" s="1133"/>
      <c r="AX170" s="1133"/>
      <c r="AY170" s="1133"/>
      <c r="AZ170" s="1133"/>
      <c r="BA170" s="1133"/>
      <c r="BB170" s="1133"/>
      <c r="BC170" s="1133"/>
      <c r="BD170" s="1133"/>
      <c r="BE170" s="1480"/>
      <c r="BF170" s="1480"/>
      <c r="BG170" s="1480"/>
      <c r="BH170" s="1480"/>
      <c r="BI170" s="1480"/>
      <c r="BJ170" s="1480"/>
    </row>
    <row r="171" spans="1:62" s="629" customFormat="1" ht="12.75" x14ac:dyDescent="0.2">
      <c r="A171" s="2365"/>
      <c r="B171" s="2366"/>
      <c r="C171" s="2023"/>
      <c r="D171" s="2023"/>
      <c r="E171" s="2023"/>
      <c r="F171" s="2023"/>
      <c r="G171" s="2006"/>
      <c r="H171" s="2367"/>
      <c r="I171" s="2023"/>
      <c r="J171" s="2023"/>
      <c r="K171" s="2347"/>
      <c r="L171" s="2343"/>
      <c r="M171" s="2006"/>
      <c r="N171" s="2347"/>
      <c r="O171" s="2347"/>
      <c r="P171" s="1146" t="s">
        <v>3961</v>
      </c>
      <c r="Q171" s="2023"/>
      <c r="R171" s="2023"/>
      <c r="S171" s="2023"/>
      <c r="T171" s="2023"/>
      <c r="U171" s="2023"/>
      <c r="V171" s="2023"/>
      <c r="W171" s="2006"/>
      <c r="X171" s="2367"/>
      <c r="Y171" s="2023"/>
      <c r="Z171" s="2023"/>
      <c r="AA171" s="2363"/>
      <c r="AB171" s="2023"/>
      <c r="AC171" s="2343"/>
      <c r="AD171" s="2343"/>
      <c r="AE171" s="2368"/>
      <c r="AF171" s="525">
        <v>0</v>
      </c>
      <c r="AG171" s="525">
        <v>0</v>
      </c>
      <c r="AH171" s="1139">
        <f t="shared" si="3"/>
        <v>0</v>
      </c>
      <c r="AI171" s="1055"/>
      <c r="AJ171" s="1064"/>
      <c r="AK171" s="1055"/>
      <c r="AL171" s="1133"/>
      <c r="AM171" s="1055"/>
      <c r="AN171" s="1055"/>
      <c r="AO171" s="1064"/>
      <c r="AP171" s="1137"/>
      <c r="AQ171" s="1064"/>
      <c r="AR171" s="1137"/>
      <c r="AS171" s="1055"/>
      <c r="AT171" s="1133"/>
      <c r="AU171" s="1133"/>
      <c r="AV171" s="1133"/>
      <c r="AW171" s="1133"/>
      <c r="AX171" s="1133"/>
      <c r="AY171" s="1133"/>
      <c r="AZ171" s="1133"/>
      <c r="BA171" s="1133"/>
      <c r="BB171" s="1133"/>
      <c r="BC171" s="1133"/>
      <c r="BD171" s="1133"/>
      <c r="BE171" s="1480"/>
      <c r="BF171" s="1480"/>
      <c r="BG171" s="1480"/>
      <c r="BH171" s="1480"/>
      <c r="BI171" s="1480"/>
      <c r="BJ171" s="1480"/>
    </row>
    <row r="172" spans="1:62" s="629" customFormat="1" ht="12.75" x14ac:dyDescent="0.2">
      <c r="A172" s="2365"/>
      <c r="B172" s="2366"/>
      <c r="C172" s="2023"/>
      <c r="D172" s="2023"/>
      <c r="E172" s="2023"/>
      <c r="F172" s="2023"/>
      <c r="G172" s="2006"/>
      <c r="H172" s="2367"/>
      <c r="I172" s="2023"/>
      <c r="J172" s="2023"/>
      <c r="K172" s="2023"/>
      <c r="L172" s="2343"/>
      <c r="M172" s="2006"/>
      <c r="N172" s="2347"/>
      <c r="O172" s="2347"/>
      <c r="P172" s="1146" t="s">
        <v>4071</v>
      </c>
      <c r="Q172" s="2023"/>
      <c r="R172" s="2023"/>
      <c r="S172" s="2023"/>
      <c r="T172" s="2023"/>
      <c r="U172" s="2023"/>
      <c r="V172" s="2023"/>
      <c r="W172" s="2006"/>
      <c r="X172" s="2367"/>
      <c r="Y172" s="2023"/>
      <c r="Z172" s="2023"/>
      <c r="AA172" s="2363"/>
      <c r="AB172" s="2023"/>
      <c r="AC172" s="2343"/>
      <c r="AD172" s="2343"/>
      <c r="AE172" s="2368"/>
      <c r="AF172" s="1155">
        <v>95559.360000000001</v>
      </c>
      <c r="AG172" s="1139">
        <v>569.85</v>
      </c>
      <c r="AH172" s="1139">
        <f t="shared" si="3"/>
        <v>96129.21</v>
      </c>
      <c r="AI172" s="1055"/>
      <c r="AJ172" s="1064"/>
      <c r="AK172" s="1055"/>
      <c r="AL172" s="1133"/>
      <c r="AM172" s="1055"/>
      <c r="AN172" s="1055"/>
      <c r="AO172" s="1064"/>
      <c r="AP172" s="1137"/>
      <c r="AQ172" s="1064"/>
      <c r="AR172" s="1137"/>
      <c r="AS172" s="1055"/>
      <c r="AT172" s="1133"/>
      <c r="AU172" s="1133"/>
      <c r="AV172" s="1133"/>
      <c r="AW172" s="1133"/>
      <c r="AX172" s="1133"/>
      <c r="AY172" s="1133"/>
      <c r="AZ172" s="1133"/>
      <c r="BA172" s="1133"/>
      <c r="BB172" s="1133"/>
      <c r="BC172" s="1133"/>
      <c r="BD172" s="1133"/>
      <c r="BE172" s="1480"/>
      <c r="BF172" s="1480"/>
      <c r="BG172" s="1480"/>
      <c r="BH172" s="1480"/>
      <c r="BI172" s="1480"/>
      <c r="BJ172" s="1480"/>
    </row>
    <row r="173" spans="1:62" s="629" customFormat="1" ht="45" customHeight="1" x14ac:dyDescent="0.2">
      <c r="A173" s="2365">
        <v>49</v>
      </c>
      <c r="B173" s="2366" t="s">
        <v>4127</v>
      </c>
      <c r="C173" s="2023" t="s">
        <v>967</v>
      </c>
      <c r="D173" s="2023" t="s">
        <v>1548</v>
      </c>
      <c r="E173" s="2023" t="s">
        <v>584</v>
      </c>
      <c r="F173" s="2023" t="s">
        <v>4128</v>
      </c>
      <c r="G173" s="2006">
        <v>10991</v>
      </c>
      <c r="H173" s="2367" t="s">
        <v>4135</v>
      </c>
      <c r="I173" s="2023" t="s">
        <v>4136</v>
      </c>
      <c r="J173" s="2023" t="s">
        <v>4137</v>
      </c>
      <c r="K173" s="2023"/>
      <c r="L173" s="2343">
        <v>241751.3</v>
      </c>
      <c r="M173" s="2006">
        <v>11003</v>
      </c>
      <c r="N173" s="2347">
        <v>41337</v>
      </c>
      <c r="O173" s="2347">
        <v>41639</v>
      </c>
      <c r="P173" s="1146" t="s">
        <v>3905</v>
      </c>
      <c r="Q173" s="2023"/>
      <c r="R173" s="2023"/>
      <c r="S173" s="2023"/>
      <c r="T173" s="2023" t="s">
        <v>316</v>
      </c>
      <c r="U173" s="2023"/>
      <c r="V173" s="2023"/>
      <c r="W173" s="2006"/>
      <c r="X173" s="2367"/>
      <c r="Y173" s="2023"/>
      <c r="Z173" s="2023"/>
      <c r="AA173" s="2363"/>
      <c r="AB173" s="2023"/>
      <c r="AC173" s="2343"/>
      <c r="AD173" s="2343"/>
      <c r="AE173" s="2368">
        <f>L173-AD173+AC173</f>
        <v>241751.3</v>
      </c>
      <c r="AF173" s="1155">
        <v>210722.78</v>
      </c>
      <c r="AG173" s="1139">
        <v>1477.38</v>
      </c>
      <c r="AH173" s="1139">
        <f t="shared" si="3"/>
        <v>212200.16</v>
      </c>
      <c r="AI173" s="1055"/>
      <c r="AJ173" s="1064"/>
      <c r="AK173" s="1055"/>
      <c r="AL173" s="1133"/>
      <c r="AM173" s="1055"/>
      <c r="AN173" s="1055"/>
      <c r="AO173" s="1064"/>
      <c r="AP173" s="1137"/>
      <c r="AQ173" s="1064"/>
      <c r="AR173" s="1137"/>
      <c r="AS173" s="1055"/>
      <c r="AT173" s="1133"/>
      <c r="AU173" s="1133"/>
      <c r="AV173" s="1133"/>
      <c r="AW173" s="1133"/>
      <c r="AX173" s="1133"/>
      <c r="AY173" s="1133"/>
      <c r="AZ173" s="1133"/>
      <c r="BA173" s="1133"/>
      <c r="BB173" s="1133"/>
      <c r="BC173" s="1133"/>
      <c r="BD173" s="1133"/>
      <c r="BE173" s="1480"/>
      <c r="BF173" s="1480"/>
      <c r="BG173" s="1480"/>
      <c r="BH173" s="1480"/>
      <c r="BI173" s="1480"/>
      <c r="BJ173" s="1480"/>
    </row>
    <row r="174" spans="1:62" s="629" customFormat="1" ht="12.75" x14ac:dyDescent="0.2">
      <c r="A174" s="2365"/>
      <c r="B174" s="2366"/>
      <c r="C174" s="2023"/>
      <c r="D174" s="2023"/>
      <c r="E174" s="2023"/>
      <c r="F174" s="2023"/>
      <c r="G174" s="2006"/>
      <c r="H174" s="2367"/>
      <c r="I174" s="2023"/>
      <c r="J174" s="2023"/>
      <c r="K174" s="2023"/>
      <c r="L174" s="2343"/>
      <c r="M174" s="2006"/>
      <c r="N174" s="2347"/>
      <c r="O174" s="2347"/>
      <c r="P174" s="1146" t="s">
        <v>3961</v>
      </c>
      <c r="Q174" s="2023"/>
      <c r="R174" s="2023"/>
      <c r="S174" s="2023"/>
      <c r="T174" s="2023"/>
      <c r="U174" s="2023"/>
      <c r="V174" s="2023"/>
      <c r="W174" s="2006"/>
      <c r="X174" s="2367"/>
      <c r="Y174" s="2023"/>
      <c r="Z174" s="2023"/>
      <c r="AA174" s="2363"/>
      <c r="AB174" s="2023"/>
      <c r="AC174" s="2343"/>
      <c r="AD174" s="2343"/>
      <c r="AE174" s="2368"/>
      <c r="AF174" s="525">
        <v>0</v>
      </c>
      <c r="AG174" s="1139">
        <f>26.04+200.6+200.6</f>
        <v>427.24</v>
      </c>
      <c r="AH174" s="1139">
        <f t="shared" si="3"/>
        <v>427.24</v>
      </c>
      <c r="AI174" s="1055"/>
      <c r="AJ174" s="1064"/>
      <c r="AK174" s="1055"/>
      <c r="AL174" s="1133"/>
      <c r="AM174" s="1055"/>
      <c r="AN174" s="1055"/>
      <c r="AO174" s="1064"/>
      <c r="AP174" s="1137"/>
      <c r="AQ174" s="1064"/>
      <c r="AR174" s="1137"/>
      <c r="AS174" s="1055"/>
      <c r="AT174" s="1133"/>
      <c r="AU174" s="1133"/>
      <c r="AV174" s="1133"/>
      <c r="AW174" s="1133"/>
      <c r="AX174" s="1133"/>
      <c r="AY174" s="1133"/>
      <c r="AZ174" s="1133"/>
      <c r="BA174" s="1133"/>
      <c r="BB174" s="1133"/>
      <c r="BC174" s="1133"/>
      <c r="BD174" s="1133"/>
      <c r="BE174" s="1480"/>
      <c r="BF174" s="1480"/>
      <c r="BG174" s="1480"/>
      <c r="BH174" s="1480"/>
      <c r="BI174" s="1480"/>
      <c r="BJ174" s="1480"/>
    </row>
    <row r="175" spans="1:62" s="629" customFormat="1" ht="12.75" x14ac:dyDescent="0.2">
      <c r="A175" s="2365"/>
      <c r="B175" s="2366"/>
      <c r="C175" s="2023"/>
      <c r="D175" s="2023"/>
      <c r="E175" s="2023"/>
      <c r="F175" s="2023"/>
      <c r="G175" s="2006"/>
      <c r="H175" s="2367"/>
      <c r="I175" s="2023"/>
      <c r="J175" s="2023"/>
      <c r="K175" s="2023"/>
      <c r="L175" s="2343"/>
      <c r="M175" s="2006"/>
      <c r="N175" s="2347"/>
      <c r="O175" s="2347"/>
      <c r="P175" s="1146" t="s">
        <v>4071</v>
      </c>
      <c r="Q175" s="2023"/>
      <c r="R175" s="2023"/>
      <c r="S175" s="2023"/>
      <c r="T175" s="2023"/>
      <c r="U175" s="2023"/>
      <c r="V175" s="2023"/>
      <c r="W175" s="2006"/>
      <c r="X175" s="2367"/>
      <c r="Y175" s="2023"/>
      <c r="Z175" s="2023"/>
      <c r="AA175" s="2363"/>
      <c r="AB175" s="2023"/>
      <c r="AC175" s="2343"/>
      <c r="AD175" s="2343"/>
      <c r="AE175" s="2368"/>
      <c r="AF175" s="1155">
        <v>28733.66</v>
      </c>
      <c r="AG175" s="1139"/>
      <c r="AH175" s="1139">
        <f t="shared" si="3"/>
        <v>28733.66</v>
      </c>
      <c r="AI175" s="1055"/>
      <c r="AJ175" s="1064"/>
      <c r="AK175" s="1055"/>
      <c r="AL175" s="1133"/>
      <c r="AM175" s="1055"/>
      <c r="AN175" s="1055"/>
      <c r="AO175" s="1064"/>
      <c r="AP175" s="1137"/>
      <c r="AQ175" s="1064"/>
      <c r="AR175" s="1137"/>
      <c r="AS175" s="1055"/>
      <c r="AT175" s="1133"/>
      <c r="AU175" s="1133"/>
      <c r="AV175" s="1133"/>
      <c r="AW175" s="1133"/>
      <c r="AX175" s="1133"/>
      <c r="AY175" s="1133"/>
      <c r="AZ175" s="1133"/>
      <c r="BA175" s="1133"/>
      <c r="BB175" s="1133"/>
      <c r="BC175" s="1133"/>
      <c r="BD175" s="1133"/>
      <c r="BE175" s="1480"/>
      <c r="BF175" s="1480"/>
      <c r="BG175" s="1480"/>
      <c r="BH175" s="1480"/>
      <c r="BI175" s="1480"/>
      <c r="BJ175" s="1480"/>
    </row>
    <row r="176" spans="1:62" s="629" customFormat="1" ht="45" customHeight="1" x14ac:dyDescent="0.2">
      <c r="A176" s="2365">
        <v>50</v>
      </c>
      <c r="B176" s="2366" t="s">
        <v>4127</v>
      </c>
      <c r="C176" s="2023" t="s">
        <v>967</v>
      </c>
      <c r="D176" s="2023" t="s">
        <v>1548</v>
      </c>
      <c r="E176" s="2023" t="s">
        <v>584</v>
      </c>
      <c r="F176" s="2023" t="s">
        <v>4128</v>
      </c>
      <c r="G176" s="2006">
        <v>10991</v>
      </c>
      <c r="H176" s="2367" t="s">
        <v>4138</v>
      </c>
      <c r="I176" s="2023" t="s">
        <v>4139</v>
      </c>
      <c r="J176" s="2023" t="s">
        <v>4140</v>
      </c>
      <c r="K176" s="2347">
        <v>41337</v>
      </c>
      <c r="L176" s="2343">
        <v>342192.95</v>
      </c>
      <c r="M176" s="2006">
        <v>11003</v>
      </c>
      <c r="N176" s="2347">
        <v>41337</v>
      </c>
      <c r="O176" s="2347">
        <v>41639</v>
      </c>
      <c r="P176" s="1146" t="s">
        <v>3905</v>
      </c>
      <c r="Q176" s="2023"/>
      <c r="R176" s="2023"/>
      <c r="S176" s="2023"/>
      <c r="T176" s="2023" t="s">
        <v>316</v>
      </c>
      <c r="U176" s="2023"/>
      <c r="V176" s="2023"/>
      <c r="W176" s="2006"/>
      <c r="X176" s="2367"/>
      <c r="Y176" s="2023"/>
      <c r="Z176" s="2023"/>
      <c r="AA176" s="2363"/>
      <c r="AB176" s="2023"/>
      <c r="AC176" s="2343"/>
      <c r="AD176" s="2343"/>
      <c r="AE176" s="2368">
        <f>L176-AD176+AC176</f>
        <v>342192.95</v>
      </c>
      <c r="AF176" s="1155">
        <v>178879.7</v>
      </c>
      <c r="AG176" s="1139">
        <f>101.66+251.16+35.88</f>
        <v>388.7</v>
      </c>
      <c r="AH176" s="1139">
        <f t="shared" si="3"/>
        <v>179268.40000000002</v>
      </c>
      <c r="AI176" s="1055"/>
      <c r="AJ176" s="1064"/>
      <c r="AK176" s="1055"/>
      <c r="AL176" s="1133"/>
      <c r="AM176" s="1055"/>
      <c r="AN176" s="1055"/>
      <c r="AO176" s="1064"/>
      <c r="AP176" s="1137"/>
      <c r="AQ176" s="1064"/>
      <c r="AR176" s="1137"/>
      <c r="AS176" s="1055"/>
      <c r="AT176" s="1133"/>
      <c r="AU176" s="1133"/>
      <c r="AV176" s="1133"/>
      <c r="AW176" s="1133"/>
      <c r="AX176" s="1133"/>
      <c r="AY176" s="1133"/>
      <c r="AZ176" s="1133"/>
      <c r="BA176" s="1133"/>
      <c r="BB176" s="1133"/>
      <c r="BC176" s="1133"/>
      <c r="BD176" s="1133"/>
      <c r="BE176" s="1480"/>
      <c r="BF176" s="1480"/>
      <c r="BG176" s="1480"/>
      <c r="BH176" s="1480"/>
      <c r="BI176" s="1480"/>
      <c r="BJ176" s="1480"/>
    </row>
    <row r="177" spans="1:62" s="629" customFormat="1" ht="12.75" x14ac:dyDescent="0.2">
      <c r="A177" s="2365"/>
      <c r="B177" s="2366"/>
      <c r="C177" s="2023"/>
      <c r="D177" s="2023"/>
      <c r="E177" s="2023"/>
      <c r="F177" s="2023"/>
      <c r="G177" s="2006"/>
      <c r="H177" s="2367"/>
      <c r="I177" s="2023"/>
      <c r="J177" s="2023"/>
      <c r="K177" s="2023"/>
      <c r="L177" s="2343"/>
      <c r="M177" s="2006"/>
      <c r="N177" s="2023"/>
      <c r="O177" s="2023"/>
      <c r="P177" s="1146" t="s">
        <v>4071</v>
      </c>
      <c r="Q177" s="2023"/>
      <c r="R177" s="2023"/>
      <c r="S177" s="2023"/>
      <c r="T177" s="2023"/>
      <c r="U177" s="2023"/>
      <c r="V177" s="2023"/>
      <c r="W177" s="2006"/>
      <c r="X177" s="2367"/>
      <c r="Y177" s="2023"/>
      <c r="Z177" s="2023"/>
      <c r="AA177" s="2363"/>
      <c r="AB177" s="2023"/>
      <c r="AC177" s="2343"/>
      <c r="AD177" s="2343"/>
      <c r="AE177" s="2368"/>
      <c r="AF177" s="1155">
        <v>159612.67000000001</v>
      </c>
      <c r="AG177" s="1139">
        <v>3311.88</v>
      </c>
      <c r="AH177" s="1139">
        <f t="shared" si="3"/>
        <v>162924.55000000002</v>
      </c>
      <c r="AI177" s="1055"/>
      <c r="AJ177" s="1064"/>
      <c r="AK177" s="1055"/>
      <c r="AL177" s="1133"/>
      <c r="AM177" s="1055"/>
      <c r="AN177" s="1055"/>
      <c r="AO177" s="1064"/>
      <c r="AP177" s="1137"/>
      <c r="AQ177" s="1064"/>
      <c r="AR177" s="1137"/>
      <c r="AS177" s="1055"/>
      <c r="AT177" s="1133"/>
      <c r="AU177" s="1133"/>
      <c r="AV177" s="1133"/>
      <c r="AW177" s="1133"/>
      <c r="AX177" s="1133"/>
      <c r="AY177" s="1133"/>
      <c r="AZ177" s="1133"/>
      <c r="BA177" s="1133"/>
      <c r="BB177" s="1133"/>
      <c r="BC177" s="1133"/>
      <c r="BD177" s="1133"/>
      <c r="BE177" s="1480"/>
      <c r="BF177" s="1480"/>
      <c r="BG177" s="1480"/>
      <c r="BH177" s="1480"/>
      <c r="BI177" s="1480"/>
      <c r="BJ177" s="1480"/>
    </row>
    <row r="178" spans="1:62" s="629" customFormat="1" ht="45" customHeight="1" x14ac:dyDescent="0.2">
      <c r="A178" s="2365">
        <v>51</v>
      </c>
      <c r="B178" s="2366" t="s">
        <v>4127</v>
      </c>
      <c r="C178" s="2387" t="s">
        <v>967</v>
      </c>
      <c r="D178" s="2023" t="s">
        <v>1548</v>
      </c>
      <c r="E178" s="2023" t="s">
        <v>584</v>
      </c>
      <c r="F178" s="2023" t="s">
        <v>4128</v>
      </c>
      <c r="G178" s="2006">
        <v>10991</v>
      </c>
      <c r="H178" s="2367" t="s">
        <v>4141</v>
      </c>
      <c r="I178" s="2023" t="s">
        <v>4142</v>
      </c>
      <c r="J178" s="2023" t="s">
        <v>225</v>
      </c>
      <c r="K178" s="2347">
        <v>41337</v>
      </c>
      <c r="L178" s="2343">
        <v>140434</v>
      </c>
      <c r="M178" s="2006">
        <v>11003</v>
      </c>
      <c r="N178" s="2347">
        <v>41337</v>
      </c>
      <c r="O178" s="2347">
        <v>41639</v>
      </c>
      <c r="P178" s="2367" t="s">
        <v>3905</v>
      </c>
      <c r="Q178" s="2023"/>
      <c r="R178" s="2023"/>
      <c r="S178" s="2023"/>
      <c r="T178" s="2023" t="s">
        <v>316</v>
      </c>
      <c r="U178" s="2023"/>
      <c r="V178" s="2023"/>
      <c r="W178" s="2006"/>
      <c r="X178" s="2367"/>
      <c r="Y178" s="2023"/>
      <c r="Z178" s="2023"/>
      <c r="AA178" s="2363"/>
      <c r="AB178" s="2023"/>
      <c r="AC178" s="2343"/>
      <c r="AD178" s="2343"/>
      <c r="AE178" s="2368">
        <f>L178-AD178+AC178</f>
        <v>140434</v>
      </c>
      <c r="AF178" s="1155">
        <v>73896.100000000006</v>
      </c>
      <c r="AG178" s="1139">
        <v>82.35</v>
      </c>
      <c r="AH178" s="1139">
        <f t="shared" si="3"/>
        <v>73978.450000000012</v>
      </c>
      <c r="AI178" s="1055"/>
      <c r="AJ178" s="1064"/>
      <c r="AK178" s="1055"/>
      <c r="AL178" s="1133"/>
      <c r="AM178" s="1055"/>
      <c r="AN178" s="1055"/>
      <c r="AO178" s="1064"/>
      <c r="AP178" s="1137"/>
      <c r="AQ178" s="1064"/>
      <c r="AR178" s="1137"/>
      <c r="AS178" s="1055"/>
      <c r="AT178" s="1133"/>
      <c r="AU178" s="1133"/>
      <c r="AV178" s="1133"/>
      <c r="AW178" s="1133"/>
      <c r="AX178" s="1133"/>
      <c r="AY178" s="1133"/>
      <c r="AZ178" s="1133"/>
      <c r="BA178" s="1133"/>
      <c r="BB178" s="1133"/>
      <c r="BC178" s="1133"/>
      <c r="BD178" s="1133"/>
      <c r="BE178" s="1480"/>
      <c r="BF178" s="1480"/>
      <c r="BG178" s="1480"/>
      <c r="BH178" s="1480"/>
      <c r="BI178" s="1480"/>
      <c r="BJ178" s="1480"/>
    </row>
    <row r="179" spans="1:62" s="629" customFormat="1" ht="12.75" x14ac:dyDescent="0.2">
      <c r="A179" s="2365"/>
      <c r="B179" s="2366"/>
      <c r="C179" s="2387"/>
      <c r="D179" s="2023"/>
      <c r="E179" s="2023"/>
      <c r="F179" s="2023"/>
      <c r="G179" s="2006"/>
      <c r="H179" s="2367"/>
      <c r="I179" s="2023"/>
      <c r="J179" s="2023"/>
      <c r="K179" s="2347"/>
      <c r="L179" s="2343"/>
      <c r="M179" s="2006"/>
      <c r="N179" s="2347"/>
      <c r="O179" s="2347"/>
      <c r="P179" s="2367"/>
      <c r="Q179" s="2023"/>
      <c r="R179" s="2023"/>
      <c r="S179" s="2023"/>
      <c r="T179" s="2023"/>
      <c r="U179" s="2023"/>
      <c r="V179" s="2023"/>
      <c r="W179" s="2006"/>
      <c r="X179" s="2367"/>
      <c r="Y179" s="2023"/>
      <c r="Z179" s="2023"/>
      <c r="AA179" s="2363"/>
      <c r="AB179" s="2023"/>
      <c r="AC179" s="2343"/>
      <c r="AD179" s="2343"/>
      <c r="AE179" s="2368"/>
      <c r="AF179" s="525">
        <v>0</v>
      </c>
      <c r="AG179" s="525">
        <v>0</v>
      </c>
      <c r="AH179" s="1139">
        <f t="shared" si="3"/>
        <v>0</v>
      </c>
      <c r="AI179" s="1055"/>
      <c r="AJ179" s="1064"/>
      <c r="AK179" s="1055"/>
      <c r="AL179" s="1133"/>
      <c r="AM179" s="1055"/>
      <c r="AN179" s="1055"/>
      <c r="AO179" s="1064"/>
      <c r="AP179" s="1137"/>
      <c r="AQ179" s="1064"/>
      <c r="AR179" s="1137"/>
      <c r="AS179" s="1055"/>
      <c r="AT179" s="1133"/>
      <c r="AU179" s="1133"/>
      <c r="AV179" s="1133"/>
      <c r="AW179" s="1133"/>
      <c r="AX179" s="1133"/>
      <c r="AY179" s="1133"/>
      <c r="AZ179" s="1133"/>
      <c r="BA179" s="1133"/>
      <c r="BB179" s="1133"/>
      <c r="BC179" s="1133"/>
      <c r="BD179" s="1133"/>
      <c r="BE179" s="1480"/>
      <c r="BF179" s="1480"/>
      <c r="BG179" s="1480"/>
      <c r="BH179" s="1480"/>
      <c r="BI179" s="1480"/>
      <c r="BJ179" s="1480"/>
    </row>
    <row r="180" spans="1:62" s="629" customFormat="1" ht="12.75" x14ac:dyDescent="0.2">
      <c r="A180" s="2365"/>
      <c r="B180" s="2366"/>
      <c r="C180" s="2387"/>
      <c r="D180" s="2023"/>
      <c r="E180" s="2023"/>
      <c r="F180" s="2023"/>
      <c r="G180" s="2006"/>
      <c r="H180" s="2367"/>
      <c r="I180" s="2023"/>
      <c r="J180" s="2023"/>
      <c r="K180" s="2023"/>
      <c r="L180" s="2343"/>
      <c r="M180" s="2006"/>
      <c r="N180" s="2347"/>
      <c r="O180" s="2347"/>
      <c r="P180" s="1146" t="s">
        <v>3961</v>
      </c>
      <c r="Q180" s="2023"/>
      <c r="R180" s="2023"/>
      <c r="S180" s="2023"/>
      <c r="T180" s="2023"/>
      <c r="U180" s="2023"/>
      <c r="V180" s="2023"/>
      <c r="W180" s="2006"/>
      <c r="X180" s="2367"/>
      <c r="Y180" s="2023"/>
      <c r="Z180" s="2023"/>
      <c r="AA180" s="2363"/>
      <c r="AB180" s="2023"/>
      <c r="AC180" s="2343"/>
      <c r="AD180" s="2343"/>
      <c r="AE180" s="2368"/>
      <c r="AF180" s="1155">
        <v>65698.8</v>
      </c>
      <c r="AG180" s="1139">
        <v>756.75</v>
      </c>
      <c r="AH180" s="1139">
        <f t="shared" si="3"/>
        <v>66455.55</v>
      </c>
      <c r="AI180" s="1055"/>
      <c r="AJ180" s="1064"/>
      <c r="AK180" s="1055"/>
      <c r="AL180" s="1133"/>
      <c r="AM180" s="1055"/>
      <c r="AN180" s="1055"/>
      <c r="AO180" s="1064"/>
      <c r="AP180" s="1137"/>
      <c r="AQ180" s="1064"/>
      <c r="AR180" s="1137"/>
      <c r="AS180" s="1055"/>
      <c r="AT180" s="1133"/>
      <c r="AU180" s="1133"/>
      <c r="AV180" s="1133"/>
      <c r="AW180" s="1133"/>
      <c r="AX180" s="1133"/>
      <c r="AY180" s="1133"/>
      <c r="AZ180" s="1133"/>
      <c r="BA180" s="1133"/>
      <c r="BB180" s="1133"/>
      <c r="BC180" s="1133"/>
      <c r="BD180" s="1133"/>
      <c r="BE180" s="1480"/>
      <c r="BF180" s="1480"/>
      <c r="BG180" s="1480"/>
      <c r="BH180" s="1480"/>
      <c r="BI180" s="1480"/>
      <c r="BJ180" s="1480"/>
    </row>
    <row r="181" spans="1:62" s="629" customFormat="1" ht="45" customHeight="1" x14ac:dyDescent="0.2">
      <c r="A181" s="2365">
        <v>52</v>
      </c>
      <c r="B181" s="2366" t="s">
        <v>4127</v>
      </c>
      <c r="C181" s="2023" t="s">
        <v>4143</v>
      </c>
      <c r="D181" s="2023" t="s">
        <v>1548</v>
      </c>
      <c r="E181" s="2023" t="s">
        <v>584</v>
      </c>
      <c r="F181" s="2023" t="s">
        <v>4128</v>
      </c>
      <c r="G181" s="2006">
        <v>10991</v>
      </c>
      <c r="H181" s="2367" t="s">
        <v>4144</v>
      </c>
      <c r="I181" s="2023" t="s">
        <v>4145</v>
      </c>
      <c r="J181" s="2023" t="s">
        <v>4146</v>
      </c>
      <c r="K181" s="2347">
        <v>41337</v>
      </c>
      <c r="L181" s="2343">
        <v>46617.5</v>
      </c>
      <c r="M181" s="2006">
        <v>11003</v>
      </c>
      <c r="N181" s="2347">
        <v>41337</v>
      </c>
      <c r="O181" s="2347">
        <v>41639</v>
      </c>
      <c r="P181" s="2367" t="s">
        <v>3905</v>
      </c>
      <c r="Q181" s="2023"/>
      <c r="R181" s="2023"/>
      <c r="S181" s="2023"/>
      <c r="T181" s="2023" t="s">
        <v>316</v>
      </c>
      <c r="U181" s="2023"/>
      <c r="V181" s="2023"/>
      <c r="W181" s="2006"/>
      <c r="X181" s="2367"/>
      <c r="Y181" s="2023"/>
      <c r="Z181" s="2023"/>
      <c r="AA181" s="2363"/>
      <c r="AB181" s="2023"/>
      <c r="AC181" s="2343"/>
      <c r="AD181" s="2343"/>
      <c r="AE181" s="2368">
        <f>L181-AD181+AC181</f>
        <v>46617.5</v>
      </c>
      <c r="AF181" s="1155">
        <v>23135</v>
      </c>
      <c r="AG181" s="525">
        <v>0</v>
      </c>
      <c r="AH181" s="1139">
        <f t="shared" si="3"/>
        <v>23135</v>
      </c>
      <c r="AI181" s="1055"/>
      <c r="AJ181" s="1064"/>
      <c r="AK181" s="1055"/>
      <c r="AL181" s="1133"/>
      <c r="AM181" s="1055"/>
      <c r="AN181" s="1055"/>
      <c r="AO181" s="1064"/>
      <c r="AP181" s="1137"/>
      <c r="AQ181" s="1064"/>
      <c r="AR181" s="1137"/>
      <c r="AS181" s="1055"/>
      <c r="AT181" s="1133"/>
      <c r="AU181" s="1133"/>
      <c r="AV181" s="1133"/>
      <c r="AW181" s="1133"/>
      <c r="AX181" s="1133"/>
      <c r="AY181" s="1133"/>
      <c r="AZ181" s="1133"/>
      <c r="BA181" s="1133"/>
      <c r="BB181" s="1133"/>
      <c r="BC181" s="1133"/>
      <c r="BD181" s="1133"/>
      <c r="BE181" s="1480"/>
      <c r="BF181" s="1480"/>
      <c r="BG181" s="1480"/>
      <c r="BH181" s="1480"/>
      <c r="BI181" s="1480"/>
      <c r="BJ181" s="1480"/>
    </row>
    <row r="182" spans="1:62" s="629" customFormat="1" ht="12.75" x14ac:dyDescent="0.2">
      <c r="A182" s="2365"/>
      <c r="B182" s="2366"/>
      <c r="C182" s="2023"/>
      <c r="D182" s="2023"/>
      <c r="E182" s="2023"/>
      <c r="F182" s="2023"/>
      <c r="G182" s="2006"/>
      <c r="H182" s="2367"/>
      <c r="I182" s="2023"/>
      <c r="J182" s="2023"/>
      <c r="K182" s="2023"/>
      <c r="L182" s="2343"/>
      <c r="M182" s="2006"/>
      <c r="N182" s="2347"/>
      <c r="O182" s="2347"/>
      <c r="P182" s="2367"/>
      <c r="Q182" s="2023"/>
      <c r="R182" s="2023"/>
      <c r="S182" s="2023"/>
      <c r="T182" s="2023"/>
      <c r="U182" s="2023"/>
      <c r="V182" s="2023"/>
      <c r="W182" s="2006"/>
      <c r="X182" s="2367"/>
      <c r="Y182" s="2023"/>
      <c r="Z182" s="2023"/>
      <c r="AA182" s="2363"/>
      <c r="AB182" s="2023"/>
      <c r="AC182" s="2343"/>
      <c r="AD182" s="2343"/>
      <c r="AE182" s="2368"/>
      <c r="AF182" s="525">
        <v>0</v>
      </c>
      <c r="AG182" s="525">
        <v>0</v>
      </c>
      <c r="AH182" s="1139">
        <f t="shared" si="3"/>
        <v>0</v>
      </c>
      <c r="AI182" s="1055"/>
      <c r="AJ182" s="1064"/>
      <c r="AK182" s="1055"/>
      <c r="AL182" s="1133"/>
      <c r="AM182" s="1055"/>
      <c r="AN182" s="1055"/>
      <c r="AO182" s="1064"/>
      <c r="AP182" s="1137"/>
      <c r="AQ182" s="1064"/>
      <c r="AR182" s="1137"/>
      <c r="AS182" s="1055"/>
      <c r="AT182" s="1133"/>
      <c r="AU182" s="1133"/>
      <c r="AV182" s="1133"/>
      <c r="AW182" s="1133"/>
      <c r="AX182" s="1133"/>
      <c r="AY182" s="1133"/>
      <c r="AZ182" s="1133"/>
      <c r="BA182" s="1133"/>
      <c r="BB182" s="1133"/>
      <c r="BC182" s="1133"/>
      <c r="BD182" s="1133"/>
      <c r="BE182" s="1480"/>
      <c r="BF182" s="1480"/>
      <c r="BG182" s="1480"/>
      <c r="BH182" s="1480"/>
      <c r="BI182" s="1480"/>
      <c r="BJ182" s="1480"/>
    </row>
    <row r="183" spans="1:62" s="629" customFormat="1" ht="12.75" x14ac:dyDescent="0.2">
      <c r="A183" s="2365"/>
      <c r="B183" s="2366"/>
      <c r="C183" s="2023"/>
      <c r="D183" s="2023"/>
      <c r="E183" s="2023"/>
      <c r="F183" s="2023"/>
      <c r="G183" s="2006"/>
      <c r="H183" s="2367"/>
      <c r="I183" s="2023"/>
      <c r="J183" s="2023"/>
      <c r="K183" s="2023"/>
      <c r="L183" s="2343"/>
      <c r="M183" s="2006"/>
      <c r="N183" s="2347"/>
      <c r="O183" s="2347"/>
      <c r="P183" s="1146" t="s">
        <v>3961</v>
      </c>
      <c r="Q183" s="2023"/>
      <c r="R183" s="2023"/>
      <c r="S183" s="2023"/>
      <c r="T183" s="2023"/>
      <c r="U183" s="2023"/>
      <c r="V183" s="2023"/>
      <c r="W183" s="2006"/>
      <c r="X183" s="2367"/>
      <c r="Y183" s="2023"/>
      <c r="Z183" s="2023"/>
      <c r="AA183" s="2363"/>
      <c r="AB183" s="2023"/>
      <c r="AC183" s="2343"/>
      <c r="AD183" s="2343"/>
      <c r="AE183" s="2368"/>
      <c r="AF183" s="525">
        <v>23344</v>
      </c>
      <c r="AG183" s="1139">
        <f>38.5+40+60</f>
        <v>138.5</v>
      </c>
      <c r="AH183" s="1139">
        <f t="shared" si="3"/>
        <v>23482.5</v>
      </c>
      <c r="AI183" s="1055"/>
      <c r="AJ183" s="1064"/>
      <c r="AK183" s="1055"/>
      <c r="AL183" s="1133"/>
      <c r="AM183" s="1055"/>
      <c r="AN183" s="1055"/>
      <c r="AO183" s="1064"/>
      <c r="AP183" s="1137"/>
      <c r="AQ183" s="1064"/>
      <c r="AR183" s="1137"/>
      <c r="AS183" s="1055"/>
      <c r="AT183" s="1133"/>
      <c r="AU183" s="1133"/>
      <c r="AV183" s="1133"/>
      <c r="AW183" s="1133"/>
      <c r="AX183" s="1133"/>
      <c r="AY183" s="1133"/>
      <c r="AZ183" s="1133"/>
      <c r="BA183" s="1133"/>
      <c r="BB183" s="1133"/>
      <c r="BC183" s="1133"/>
      <c r="BD183" s="1133"/>
      <c r="BE183" s="1480"/>
      <c r="BF183" s="1480"/>
      <c r="BG183" s="1480"/>
      <c r="BH183" s="1480"/>
      <c r="BI183" s="1480"/>
      <c r="BJ183" s="1480"/>
    </row>
    <row r="184" spans="1:62" s="629" customFormat="1" ht="45" customHeight="1" x14ac:dyDescent="0.2">
      <c r="A184" s="2365">
        <v>53</v>
      </c>
      <c r="B184" s="2366" t="s">
        <v>4127</v>
      </c>
      <c r="C184" s="2023" t="s">
        <v>967</v>
      </c>
      <c r="D184" s="2023" t="s">
        <v>1548</v>
      </c>
      <c r="E184" s="2023" t="s">
        <v>4147</v>
      </c>
      <c r="F184" s="2023" t="s">
        <v>4128</v>
      </c>
      <c r="G184" s="2006">
        <v>10991</v>
      </c>
      <c r="H184" s="2367" t="s">
        <v>4148</v>
      </c>
      <c r="I184" s="2023" t="s">
        <v>4149</v>
      </c>
      <c r="J184" s="2023" t="s">
        <v>4150</v>
      </c>
      <c r="K184" s="2347">
        <v>41337</v>
      </c>
      <c r="L184" s="2343">
        <v>58546.1</v>
      </c>
      <c r="M184" s="2006">
        <v>11003</v>
      </c>
      <c r="N184" s="2347">
        <v>41337</v>
      </c>
      <c r="O184" s="2347">
        <v>41639</v>
      </c>
      <c r="P184" s="2367" t="s">
        <v>3905</v>
      </c>
      <c r="Q184" s="2023"/>
      <c r="R184" s="2023"/>
      <c r="S184" s="2023"/>
      <c r="T184" s="2023" t="s">
        <v>316</v>
      </c>
      <c r="U184" s="2023"/>
      <c r="V184" s="2023"/>
      <c r="W184" s="2006"/>
      <c r="X184" s="2367"/>
      <c r="Y184" s="2023"/>
      <c r="Z184" s="2023"/>
      <c r="AA184" s="2363"/>
      <c r="AB184" s="2023"/>
      <c r="AC184" s="2343"/>
      <c r="AD184" s="2343"/>
      <c r="AE184" s="2368">
        <f>L184-AD184+AC184</f>
        <v>58546.1</v>
      </c>
      <c r="AF184" s="1155">
        <v>29170.799999999999</v>
      </c>
      <c r="AG184" s="525">
        <v>0</v>
      </c>
      <c r="AH184" s="1139">
        <f t="shared" si="3"/>
        <v>29170.799999999999</v>
      </c>
      <c r="AI184" s="1055"/>
      <c r="AJ184" s="1064"/>
      <c r="AK184" s="1055"/>
      <c r="AL184" s="1133"/>
      <c r="AM184" s="1055"/>
      <c r="AN184" s="1055"/>
      <c r="AO184" s="1064"/>
      <c r="AP184" s="1137"/>
      <c r="AQ184" s="1064"/>
      <c r="AR184" s="1137"/>
      <c r="AS184" s="1055"/>
      <c r="AT184" s="1133"/>
      <c r="AU184" s="1133"/>
      <c r="AV184" s="1133"/>
      <c r="AW184" s="1133"/>
      <c r="AX184" s="1133"/>
      <c r="AY184" s="1133"/>
      <c r="AZ184" s="1133"/>
      <c r="BA184" s="1133"/>
      <c r="BB184" s="1133"/>
      <c r="BC184" s="1133"/>
      <c r="BD184" s="1133"/>
      <c r="BE184" s="1480"/>
      <c r="BF184" s="1480"/>
      <c r="BG184" s="1480"/>
      <c r="BH184" s="1480"/>
      <c r="BI184" s="1480"/>
      <c r="BJ184" s="1480"/>
    </row>
    <row r="185" spans="1:62" s="629" customFormat="1" ht="12.75" x14ac:dyDescent="0.2">
      <c r="A185" s="2365"/>
      <c r="B185" s="2366"/>
      <c r="C185" s="2023"/>
      <c r="D185" s="2023"/>
      <c r="E185" s="2023"/>
      <c r="F185" s="2023"/>
      <c r="G185" s="2006"/>
      <c r="H185" s="2367"/>
      <c r="I185" s="2023"/>
      <c r="J185" s="2023"/>
      <c r="K185" s="2347"/>
      <c r="L185" s="2343"/>
      <c r="M185" s="2006"/>
      <c r="N185" s="2347"/>
      <c r="O185" s="2347"/>
      <c r="P185" s="2367"/>
      <c r="Q185" s="2023"/>
      <c r="R185" s="2023"/>
      <c r="S185" s="2023"/>
      <c r="T185" s="2023"/>
      <c r="U185" s="2023"/>
      <c r="V185" s="2023"/>
      <c r="W185" s="2006"/>
      <c r="X185" s="2367"/>
      <c r="Y185" s="2023"/>
      <c r="Z185" s="2023"/>
      <c r="AA185" s="2363"/>
      <c r="AB185" s="2023"/>
      <c r="AC185" s="2343"/>
      <c r="AD185" s="2343"/>
      <c r="AE185" s="2368"/>
      <c r="AF185" s="525">
        <v>0</v>
      </c>
      <c r="AG185" s="525">
        <v>0</v>
      </c>
      <c r="AH185" s="1139">
        <f t="shared" si="3"/>
        <v>0</v>
      </c>
      <c r="AI185" s="1055"/>
      <c r="AJ185" s="1064"/>
      <c r="AK185" s="1055"/>
      <c r="AL185" s="1133"/>
      <c r="AM185" s="1055"/>
      <c r="AN185" s="1055"/>
      <c r="AO185" s="1064"/>
      <c r="AP185" s="1137"/>
      <c r="AQ185" s="1064"/>
      <c r="AR185" s="1137"/>
      <c r="AS185" s="1055"/>
      <c r="AT185" s="1133"/>
      <c r="AU185" s="1133"/>
      <c r="AV185" s="1133"/>
      <c r="AW185" s="1133"/>
      <c r="AX185" s="1133"/>
      <c r="AY185" s="1133"/>
      <c r="AZ185" s="1133"/>
      <c r="BA185" s="1133"/>
      <c r="BB185" s="1133"/>
      <c r="BC185" s="1133"/>
      <c r="BD185" s="1133"/>
      <c r="BE185" s="1480"/>
      <c r="BF185" s="1480"/>
      <c r="BG185" s="1480"/>
      <c r="BH185" s="1480"/>
      <c r="BI185" s="1480"/>
      <c r="BJ185" s="1480"/>
    </row>
    <row r="186" spans="1:62" s="629" customFormat="1" ht="12.75" x14ac:dyDescent="0.2">
      <c r="A186" s="2365"/>
      <c r="B186" s="2366"/>
      <c r="C186" s="2023"/>
      <c r="D186" s="2023"/>
      <c r="E186" s="2023"/>
      <c r="F186" s="2023"/>
      <c r="G186" s="2006"/>
      <c r="H186" s="2367"/>
      <c r="I186" s="2023"/>
      <c r="J186" s="2023"/>
      <c r="K186" s="2023"/>
      <c r="L186" s="2343"/>
      <c r="M186" s="2006"/>
      <c r="N186" s="2347"/>
      <c r="O186" s="2347"/>
      <c r="P186" s="1146" t="s">
        <v>3961</v>
      </c>
      <c r="Q186" s="2023"/>
      <c r="R186" s="2023"/>
      <c r="S186" s="2023"/>
      <c r="T186" s="2023"/>
      <c r="U186" s="2023"/>
      <c r="V186" s="2023"/>
      <c r="W186" s="2006"/>
      <c r="X186" s="2367"/>
      <c r="Y186" s="2023"/>
      <c r="Z186" s="2023"/>
      <c r="AA186" s="2363"/>
      <c r="AB186" s="2023"/>
      <c r="AC186" s="2343"/>
      <c r="AD186" s="2343"/>
      <c r="AE186" s="2368"/>
      <c r="AF186" s="1155">
        <v>28319.200000000001</v>
      </c>
      <c r="AG186" s="1139">
        <v>1056.0999999999999</v>
      </c>
      <c r="AH186" s="1139">
        <f t="shared" si="3"/>
        <v>29375.3</v>
      </c>
      <c r="AI186" s="1055"/>
      <c r="AJ186" s="1064"/>
      <c r="AK186" s="1055"/>
      <c r="AL186" s="1133"/>
      <c r="AM186" s="1055"/>
      <c r="AN186" s="1055"/>
      <c r="AO186" s="1064"/>
      <c r="AP186" s="1137"/>
      <c r="AQ186" s="1064"/>
      <c r="AR186" s="1137"/>
      <c r="AS186" s="1055"/>
      <c r="AT186" s="1133"/>
      <c r="AU186" s="1133"/>
      <c r="AV186" s="1133"/>
      <c r="AW186" s="1133"/>
      <c r="AX186" s="1133"/>
      <c r="AY186" s="1133"/>
      <c r="AZ186" s="1133"/>
      <c r="BA186" s="1133"/>
      <c r="BB186" s="1133"/>
      <c r="BC186" s="1133"/>
      <c r="BD186" s="1133"/>
      <c r="BE186" s="1480"/>
      <c r="BF186" s="1480"/>
      <c r="BG186" s="1480"/>
      <c r="BH186" s="1480"/>
      <c r="BI186" s="1480"/>
      <c r="BJ186" s="1480"/>
    </row>
    <row r="187" spans="1:62" s="629" customFormat="1" ht="45" customHeight="1" x14ac:dyDescent="0.2">
      <c r="A187" s="2365">
        <v>54</v>
      </c>
      <c r="B187" s="2366" t="s">
        <v>4127</v>
      </c>
      <c r="C187" s="2023" t="s">
        <v>967</v>
      </c>
      <c r="D187" s="2023" t="s">
        <v>1548</v>
      </c>
      <c r="E187" s="2023" t="s">
        <v>584</v>
      </c>
      <c r="F187" s="2023" t="s">
        <v>4128</v>
      </c>
      <c r="G187" s="2006">
        <v>10991</v>
      </c>
      <c r="H187" s="2367" t="s">
        <v>4151</v>
      </c>
      <c r="I187" s="2023" t="s">
        <v>4152</v>
      </c>
      <c r="J187" s="2023" t="s">
        <v>4153</v>
      </c>
      <c r="K187" s="2347">
        <v>41337</v>
      </c>
      <c r="L187" s="2343">
        <v>27959</v>
      </c>
      <c r="M187" s="2006">
        <v>11003</v>
      </c>
      <c r="N187" s="2347">
        <v>41337</v>
      </c>
      <c r="O187" s="2347">
        <v>41639</v>
      </c>
      <c r="P187" s="2367" t="s">
        <v>3905</v>
      </c>
      <c r="Q187" s="2023"/>
      <c r="R187" s="2023"/>
      <c r="S187" s="2023"/>
      <c r="T187" s="2023" t="s">
        <v>316</v>
      </c>
      <c r="U187" s="2023"/>
      <c r="V187" s="2023"/>
      <c r="W187" s="2006"/>
      <c r="X187" s="2367"/>
      <c r="Y187" s="2023"/>
      <c r="Z187" s="2023"/>
      <c r="AA187" s="2363"/>
      <c r="AB187" s="2023"/>
      <c r="AC187" s="2343"/>
      <c r="AD187" s="2343"/>
      <c r="AE187" s="2368">
        <f>L187-AD187+AC187</f>
        <v>27959</v>
      </c>
      <c r="AF187" s="1155">
        <v>14611.45</v>
      </c>
      <c r="AG187" s="1139">
        <v>134.05000000000001</v>
      </c>
      <c r="AH187" s="1139">
        <f t="shared" si="3"/>
        <v>14745.5</v>
      </c>
      <c r="AI187" s="1055"/>
      <c r="AJ187" s="1064"/>
      <c r="AK187" s="1055"/>
      <c r="AL187" s="1133"/>
      <c r="AM187" s="1055"/>
      <c r="AN187" s="1055"/>
      <c r="AO187" s="1064"/>
      <c r="AP187" s="1137"/>
      <c r="AQ187" s="1064"/>
      <c r="AR187" s="1137"/>
      <c r="AS187" s="1055"/>
      <c r="AT187" s="1133"/>
      <c r="AU187" s="1133"/>
      <c r="AV187" s="1133"/>
      <c r="AW187" s="1133"/>
      <c r="AX187" s="1133"/>
      <c r="AY187" s="1133"/>
      <c r="AZ187" s="1133"/>
      <c r="BA187" s="1133"/>
      <c r="BB187" s="1133"/>
      <c r="BC187" s="1133"/>
      <c r="BD187" s="1133"/>
      <c r="BE187" s="1480"/>
      <c r="BF187" s="1480"/>
      <c r="BG187" s="1480"/>
      <c r="BH187" s="1480"/>
      <c r="BI187" s="1480"/>
      <c r="BJ187" s="1480"/>
    </row>
    <row r="188" spans="1:62" s="629" customFormat="1" ht="12.75" x14ac:dyDescent="0.2">
      <c r="A188" s="2365"/>
      <c r="B188" s="2366"/>
      <c r="C188" s="2023"/>
      <c r="D188" s="2023"/>
      <c r="E188" s="2023"/>
      <c r="F188" s="2023"/>
      <c r="G188" s="2006"/>
      <c r="H188" s="2367"/>
      <c r="I188" s="2023"/>
      <c r="J188" s="2023"/>
      <c r="K188" s="2023"/>
      <c r="L188" s="2343"/>
      <c r="M188" s="2006"/>
      <c r="N188" s="2347"/>
      <c r="O188" s="2347"/>
      <c r="P188" s="2367"/>
      <c r="Q188" s="2023"/>
      <c r="R188" s="2023"/>
      <c r="S188" s="2023"/>
      <c r="T188" s="2023"/>
      <c r="U188" s="2023"/>
      <c r="V188" s="2023"/>
      <c r="W188" s="2006"/>
      <c r="X188" s="2367"/>
      <c r="Y188" s="2023"/>
      <c r="Z188" s="2023"/>
      <c r="AA188" s="2363"/>
      <c r="AB188" s="2023"/>
      <c r="AC188" s="2343"/>
      <c r="AD188" s="2343"/>
      <c r="AE188" s="2368"/>
      <c r="AF188" s="525">
        <v>0</v>
      </c>
      <c r="AG188" s="525">
        <v>0</v>
      </c>
      <c r="AH188" s="1139">
        <f t="shared" si="3"/>
        <v>0</v>
      </c>
      <c r="AI188" s="1055"/>
      <c r="AJ188" s="1064"/>
      <c r="AK188" s="1055"/>
      <c r="AL188" s="1133"/>
      <c r="AM188" s="1055"/>
      <c r="AN188" s="1055"/>
      <c r="AO188" s="1064"/>
      <c r="AP188" s="1137"/>
      <c r="AQ188" s="1064"/>
      <c r="AR188" s="1137"/>
      <c r="AS188" s="1055"/>
      <c r="AT188" s="1133"/>
      <c r="AU188" s="1133"/>
      <c r="AV188" s="1133"/>
      <c r="AW188" s="1133"/>
      <c r="AX188" s="1133"/>
      <c r="AY188" s="1133"/>
      <c r="AZ188" s="1133"/>
      <c r="BA188" s="1133"/>
      <c r="BB188" s="1133"/>
      <c r="BC188" s="1133"/>
      <c r="BD188" s="1133"/>
      <c r="BE188" s="1480"/>
      <c r="BF188" s="1480"/>
      <c r="BG188" s="1480"/>
      <c r="BH188" s="1480"/>
      <c r="BI188" s="1480"/>
      <c r="BJ188" s="1480"/>
    </row>
    <row r="189" spans="1:62" s="629" customFormat="1" ht="12.75" x14ac:dyDescent="0.2">
      <c r="A189" s="2365"/>
      <c r="B189" s="2366"/>
      <c r="C189" s="2023"/>
      <c r="D189" s="2023"/>
      <c r="E189" s="2023"/>
      <c r="F189" s="2023"/>
      <c r="G189" s="2006"/>
      <c r="H189" s="2367"/>
      <c r="I189" s="2023"/>
      <c r="J189" s="2023"/>
      <c r="K189" s="2023"/>
      <c r="L189" s="2343"/>
      <c r="M189" s="2006"/>
      <c r="N189" s="2347"/>
      <c r="O189" s="2347"/>
      <c r="P189" s="1146" t="s">
        <v>3961</v>
      </c>
      <c r="Q189" s="2023"/>
      <c r="R189" s="2023"/>
      <c r="S189" s="2023"/>
      <c r="T189" s="2023"/>
      <c r="U189" s="2023"/>
      <c r="V189" s="2023"/>
      <c r="W189" s="2006"/>
      <c r="X189" s="2367"/>
      <c r="Y189" s="2023"/>
      <c r="Z189" s="2023"/>
      <c r="AA189" s="2363"/>
      <c r="AB189" s="2023"/>
      <c r="AC189" s="2343"/>
      <c r="AD189" s="2343"/>
      <c r="AE189" s="2368"/>
      <c r="AF189" s="1155">
        <v>13213.5</v>
      </c>
      <c r="AG189" s="1139"/>
      <c r="AH189" s="1139">
        <f t="shared" si="3"/>
        <v>13213.5</v>
      </c>
      <c r="AI189" s="1055"/>
      <c r="AJ189" s="1064"/>
      <c r="AK189" s="1055"/>
      <c r="AL189" s="1133"/>
      <c r="AM189" s="1055"/>
      <c r="AN189" s="1055"/>
      <c r="AO189" s="1064"/>
      <c r="AP189" s="1137"/>
      <c r="AQ189" s="1064"/>
      <c r="AR189" s="1137"/>
      <c r="AS189" s="1055"/>
      <c r="AT189" s="1133"/>
      <c r="AU189" s="1133"/>
      <c r="AV189" s="1133"/>
      <c r="AW189" s="1133"/>
      <c r="AX189" s="1133"/>
      <c r="AY189" s="1133"/>
      <c r="AZ189" s="1133"/>
      <c r="BA189" s="1133"/>
      <c r="BB189" s="1133"/>
      <c r="BC189" s="1133"/>
      <c r="BD189" s="1133"/>
      <c r="BE189" s="1480"/>
      <c r="BF189" s="1480"/>
      <c r="BG189" s="1480"/>
      <c r="BH189" s="1480"/>
      <c r="BI189" s="1480"/>
      <c r="BJ189" s="1480"/>
    </row>
    <row r="190" spans="1:62" s="629" customFormat="1" ht="32.25" customHeight="1" x14ac:dyDescent="0.2">
      <c r="A190" s="2365">
        <v>55</v>
      </c>
      <c r="B190" s="2366" t="s">
        <v>4154</v>
      </c>
      <c r="C190" s="2023" t="s">
        <v>4047</v>
      </c>
      <c r="D190" s="2023" t="s">
        <v>1548</v>
      </c>
      <c r="E190" s="2023" t="s">
        <v>4155</v>
      </c>
      <c r="F190" s="2023" t="s">
        <v>4156</v>
      </c>
      <c r="G190" s="2006">
        <v>10756</v>
      </c>
      <c r="H190" s="2367" t="s">
        <v>4157</v>
      </c>
      <c r="I190" s="2023" t="s">
        <v>4158</v>
      </c>
      <c r="J190" s="2023" t="s">
        <v>197</v>
      </c>
      <c r="K190" s="2347">
        <v>41337</v>
      </c>
      <c r="L190" s="2369">
        <v>114179.64</v>
      </c>
      <c r="M190" s="2006">
        <v>11224</v>
      </c>
      <c r="N190" s="2347">
        <v>41337</v>
      </c>
      <c r="O190" s="2347">
        <v>41639</v>
      </c>
      <c r="P190" s="2367" t="s">
        <v>3905</v>
      </c>
      <c r="Q190" s="2023"/>
      <c r="R190" s="2023"/>
      <c r="S190" s="2023"/>
      <c r="T190" s="2023" t="s">
        <v>208</v>
      </c>
      <c r="U190" s="1146"/>
      <c r="V190" s="1055"/>
      <c r="W190" s="1064"/>
      <c r="X190" s="1146"/>
      <c r="Y190" s="1055"/>
      <c r="Z190" s="1055"/>
      <c r="AA190" s="1138"/>
      <c r="AB190" s="1055"/>
      <c r="AC190" s="1139"/>
      <c r="AD190" s="1139"/>
      <c r="AE190" s="1155"/>
      <c r="AF190" s="525">
        <v>119585.31</v>
      </c>
      <c r="AG190" s="1150">
        <f>96603.12+12075.39+12075.39+12075.39</f>
        <v>132829.28999999998</v>
      </c>
      <c r="AH190" s="1139">
        <f t="shared" si="3"/>
        <v>252414.59999999998</v>
      </c>
      <c r="AI190" s="1055"/>
      <c r="AJ190" s="1064"/>
      <c r="AK190" s="1055"/>
      <c r="AL190" s="1133"/>
      <c r="AM190" s="1055"/>
      <c r="AN190" s="1055"/>
      <c r="AO190" s="1064"/>
      <c r="AP190" s="1137"/>
      <c r="AQ190" s="1064"/>
      <c r="AR190" s="1137"/>
      <c r="AS190" s="1055"/>
      <c r="AT190" s="1133"/>
      <c r="AU190" s="1133"/>
      <c r="AV190" s="1133"/>
      <c r="AW190" s="1133"/>
      <c r="AX190" s="1133"/>
      <c r="AY190" s="1133"/>
      <c r="AZ190" s="1133"/>
      <c r="BA190" s="1133"/>
      <c r="BB190" s="1133"/>
      <c r="BC190" s="1133"/>
      <c r="BD190" s="1133"/>
      <c r="BE190" s="1480"/>
      <c r="BF190" s="1480"/>
      <c r="BG190" s="1480"/>
      <c r="BH190" s="1480"/>
      <c r="BI190" s="1480"/>
      <c r="BJ190" s="1480"/>
    </row>
    <row r="191" spans="1:62" s="629" customFormat="1" ht="12.75" x14ac:dyDescent="0.2">
      <c r="A191" s="2365"/>
      <c r="B191" s="2366"/>
      <c r="C191" s="2023"/>
      <c r="D191" s="2023"/>
      <c r="E191" s="2023"/>
      <c r="F191" s="2023"/>
      <c r="G191" s="2006"/>
      <c r="H191" s="2367"/>
      <c r="I191" s="2023"/>
      <c r="J191" s="2023"/>
      <c r="K191" s="2023"/>
      <c r="L191" s="2369"/>
      <c r="M191" s="2006"/>
      <c r="N191" s="2347"/>
      <c r="O191" s="2347"/>
      <c r="P191" s="2367"/>
      <c r="Q191" s="2023"/>
      <c r="R191" s="2023"/>
      <c r="S191" s="2023"/>
      <c r="T191" s="2023"/>
      <c r="U191" s="1146" t="s">
        <v>3972</v>
      </c>
      <c r="V191" s="1137">
        <v>41509</v>
      </c>
      <c r="W191" s="1064">
        <v>11130</v>
      </c>
      <c r="X191" s="1146" t="s">
        <v>4013</v>
      </c>
      <c r="Y191" s="1137">
        <v>41337</v>
      </c>
      <c r="Z191" s="1137">
        <v>41639</v>
      </c>
      <c r="AA191" s="1138">
        <f>AC191/L190</f>
        <v>4.7343554420034954E-2</v>
      </c>
      <c r="AB191" s="1055"/>
      <c r="AC191" s="1139">
        <f>5405.67</f>
        <v>5405.67</v>
      </c>
      <c r="AD191" s="1139"/>
      <c r="AE191" s="1155">
        <f>AC191+L190</f>
        <v>119585.31</v>
      </c>
      <c r="AF191" s="525">
        <v>0</v>
      </c>
      <c r="AG191" s="525">
        <v>0</v>
      </c>
      <c r="AH191" s="1139">
        <f t="shared" si="3"/>
        <v>0</v>
      </c>
      <c r="AI191" s="1055"/>
      <c r="AJ191" s="1064"/>
      <c r="AK191" s="1055"/>
      <c r="AL191" s="1133"/>
      <c r="AM191" s="1055"/>
      <c r="AN191" s="1055"/>
      <c r="AO191" s="1064"/>
      <c r="AP191" s="1137"/>
      <c r="AQ191" s="1064"/>
      <c r="AR191" s="1137"/>
      <c r="AS191" s="1055"/>
      <c r="AT191" s="1133"/>
      <c r="AU191" s="1133"/>
      <c r="AV191" s="1133"/>
      <c r="AW191" s="1133"/>
      <c r="AX191" s="1133"/>
      <c r="AY191" s="1133"/>
      <c r="AZ191" s="1133"/>
      <c r="BA191" s="1133"/>
      <c r="BB191" s="1133"/>
      <c r="BC191" s="1133"/>
      <c r="BD191" s="1133"/>
      <c r="BE191" s="1480"/>
      <c r="BF191" s="1480"/>
      <c r="BG191" s="1480"/>
      <c r="BH191" s="1480"/>
      <c r="BI191" s="1480"/>
      <c r="BJ191" s="1480"/>
    </row>
    <row r="192" spans="1:62" s="629" customFormat="1" ht="12.75" x14ac:dyDescent="0.2">
      <c r="A192" s="2365"/>
      <c r="B192" s="2366"/>
      <c r="C192" s="2023"/>
      <c r="D192" s="2023"/>
      <c r="E192" s="2023"/>
      <c r="F192" s="2023"/>
      <c r="G192" s="2006"/>
      <c r="H192" s="2367"/>
      <c r="I192" s="2023"/>
      <c r="J192" s="2023"/>
      <c r="K192" s="2023"/>
      <c r="L192" s="2369"/>
      <c r="M192" s="2006"/>
      <c r="N192" s="2347"/>
      <c r="O192" s="2347"/>
      <c r="P192" s="2367"/>
      <c r="Q192" s="2023"/>
      <c r="R192" s="2023"/>
      <c r="S192" s="2023"/>
      <c r="T192" s="2023"/>
      <c r="U192" s="1146" t="s">
        <v>3891</v>
      </c>
      <c r="V192" s="1137">
        <v>41631</v>
      </c>
      <c r="W192" s="1064">
        <v>11219</v>
      </c>
      <c r="X192" s="1146" t="s">
        <v>3955</v>
      </c>
      <c r="Y192" s="1137">
        <v>41640</v>
      </c>
      <c r="Z192" s="1137">
        <v>42004</v>
      </c>
      <c r="AA192" s="542"/>
      <c r="AB192" s="1055"/>
      <c r="AC192" s="1139"/>
      <c r="AD192" s="1139"/>
      <c r="AE192" s="1155">
        <f>(12075.39*12)+AE191</f>
        <v>264489.99</v>
      </c>
      <c r="AF192" s="525">
        <v>0</v>
      </c>
      <c r="AG192" s="525">
        <v>0</v>
      </c>
      <c r="AH192" s="1139">
        <f t="shared" si="3"/>
        <v>0</v>
      </c>
      <c r="AI192" s="1055"/>
      <c r="AJ192" s="1064"/>
      <c r="AK192" s="1055"/>
      <c r="AL192" s="1133"/>
      <c r="AM192" s="1055"/>
      <c r="AN192" s="1055"/>
      <c r="AO192" s="1064"/>
      <c r="AP192" s="1137"/>
      <c r="AQ192" s="1064"/>
      <c r="AR192" s="1137"/>
      <c r="AS192" s="1055"/>
      <c r="AT192" s="1133"/>
      <c r="AU192" s="1133"/>
      <c r="AV192" s="1133"/>
      <c r="AW192" s="1133"/>
      <c r="AX192" s="1133"/>
      <c r="AY192" s="1133"/>
      <c r="AZ192" s="1133"/>
      <c r="BA192" s="1133"/>
      <c r="BB192" s="1133"/>
      <c r="BC192" s="1133"/>
      <c r="BD192" s="1133"/>
      <c r="BE192" s="1480"/>
      <c r="BF192" s="1480"/>
      <c r="BG192" s="1480"/>
      <c r="BH192" s="1480"/>
      <c r="BI192" s="1480"/>
      <c r="BJ192" s="1480"/>
    </row>
    <row r="193" spans="1:62" s="629" customFormat="1" ht="45" customHeight="1" x14ac:dyDescent="0.2">
      <c r="A193" s="2365">
        <v>56</v>
      </c>
      <c r="B193" s="2366" t="s">
        <v>4159</v>
      </c>
      <c r="C193" s="2386">
        <v>41579</v>
      </c>
      <c r="D193" s="2023" t="s">
        <v>1548</v>
      </c>
      <c r="E193" s="2023" t="s">
        <v>584</v>
      </c>
      <c r="F193" s="2023" t="s">
        <v>4160</v>
      </c>
      <c r="G193" s="2006">
        <v>10996</v>
      </c>
      <c r="H193" s="2367" t="s">
        <v>4161</v>
      </c>
      <c r="I193" s="2023" t="s">
        <v>2117</v>
      </c>
      <c r="J193" s="2023" t="s">
        <v>1011</v>
      </c>
      <c r="K193" s="2347">
        <v>41344</v>
      </c>
      <c r="L193" s="2343">
        <v>381535</v>
      </c>
      <c r="M193" s="2006">
        <v>11022</v>
      </c>
      <c r="N193" s="2347">
        <v>41344</v>
      </c>
      <c r="O193" s="2347">
        <v>41639</v>
      </c>
      <c r="P193" s="2367" t="s">
        <v>3905</v>
      </c>
      <c r="Q193" s="2023"/>
      <c r="R193" s="2023"/>
      <c r="S193" s="2023"/>
      <c r="T193" s="2023" t="s">
        <v>316</v>
      </c>
      <c r="U193" s="1146"/>
      <c r="V193" s="1055"/>
      <c r="W193" s="1064"/>
      <c r="X193" s="1146"/>
      <c r="Y193" s="1055"/>
      <c r="Z193" s="1055"/>
      <c r="AA193" s="1138"/>
      <c r="AB193" s="1055"/>
      <c r="AC193" s="1139"/>
      <c r="AD193" s="1139"/>
      <c r="AE193" s="1155"/>
      <c r="AF193" s="1155">
        <v>340582.03</v>
      </c>
      <c r="AG193" s="1139">
        <v>27472.03</v>
      </c>
      <c r="AH193" s="1139">
        <f t="shared" si="3"/>
        <v>368054.06000000006</v>
      </c>
      <c r="AI193" s="1055"/>
      <c r="AJ193" s="1064"/>
      <c r="AK193" s="1055"/>
      <c r="AL193" s="1133"/>
      <c r="AM193" s="1055"/>
      <c r="AN193" s="1055"/>
      <c r="AO193" s="1064"/>
      <c r="AP193" s="1137"/>
      <c r="AQ193" s="1064"/>
      <c r="AR193" s="1137"/>
      <c r="AS193" s="1055"/>
      <c r="AT193" s="1133"/>
      <c r="AU193" s="1133"/>
      <c r="AV193" s="1133"/>
      <c r="AW193" s="1133"/>
      <c r="AX193" s="1133"/>
      <c r="AY193" s="1133"/>
      <c r="AZ193" s="1133"/>
      <c r="BA193" s="1133"/>
      <c r="BB193" s="1133"/>
      <c r="BC193" s="1133"/>
      <c r="BD193" s="1133"/>
      <c r="BE193" s="1480"/>
      <c r="BF193" s="1480"/>
      <c r="BG193" s="1480"/>
      <c r="BH193" s="1480"/>
      <c r="BI193" s="1480"/>
      <c r="BJ193" s="1480"/>
    </row>
    <row r="194" spans="1:62" s="629" customFormat="1" ht="12.75" x14ac:dyDescent="0.2">
      <c r="A194" s="2365"/>
      <c r="B194" s="2366"/>
      <c r="C194" s="2023"/>
      <c r="D194" s="2023"/>
      <c r="E194" s="2023"/>
      <c r="F194" s="2023"/>
      <c r="G194" s="2006"/>
      <c r="H194" s="2367"/>
      <c r="I194" s="2023"/>
      <c r="J194" s="2023"/>
      <c r="K194" s="2023"/>
      <c r="L194" s="2343"/>
      <c r="M194" s="2006"/>
      <c r="N194" s="2347"/>
      <c r="O194" s="2347"/>
      <c r="P194" s="2367"/>
      <c r="Q194" s="2023"/>
      <c r="R194" s="2023"/>
      <c r="S194" s="2023"/>
      <c r="T194" s="2023"/>
      <c r="U194" s="1146" t="s">
        <v>3906</v>
      </c>
      <c r="V194" s="1137">
        <v>41631</v>
      </c>
      <c r="W194" s="1064">
        <v>11221</v>
      </c>
      <c r="X194" s="1146" t="s">
        <v>3923</v>
      </c>
      <c r="Y194" s="1137">
        <v>41344</v>
      </c>
      <c r="Z194" s="1137">
        <v>41639</v>
      </c>
      <c r="AA194" s="1138"/>
      <c r="AB194" s="1138">
        <f>AD194/L193</f>
        <v>3.5333429436355777E-2</v>
      </c>
      <c r="AC194" s="1139"/>
      <c r="AD194" s="1139">
        <v>13480.94</v>
      </c>
      <c r="AE194" s="1155">
        <f>L193-AD194+AC194</f>
        <v>368054.06</v>
      </c>
      <c r="AF194" s="525">
        <v>0</v>
      </c>
      <c r="AG194" s="525">
        <v>0</v>
      </c>
      <c r="AH194" s="1139">
        <f t="shared" si="3"/>
        <v>0</v>
      </c>
      <c r="AI194" s="1055"/>
      <c r="AJ194" s="1064"/>
      <c r="AK194" s="1055"/>
      <c r="AL194" s="1133"/>
      <c r="AM194" s="1055"/>
      <c r="AN194" s="1055"/>
      <c r="AO194" s="1064"/>
      <c r="AP194" s="1137"/>
      <c r="AQ194" s="1064"/>
      <c r="AR194" s="1137"/>
      <c r="AS194" s="1055"/>
      <c r="AT194" s="1133"/>
      <c r="AU194" s="1133"/>
      <c r="AV194" s="1133"/>
      <c r="AW194" s="1133"/>
      <c r="AX194" s="1133"/>
      <c r="AY194" s="1133"/>
      <c r="AZ194" s="1133"/>
      <c r="BA194" s="1133"/>
      <c r="BB194" s="1133"/>
      <c r="BC194" s="1133"/>
      <c r="BD194" s="1133"/>
      <c r="BE194" s="1480"/>
      <c r="BF194" s="1480"/>
      <c r="BG194" s="1480"/>
      <c r="BH194" s="1480"/>
      <c r="BI194" s="1480"/>
      <c r="BJ194" s="1480"/>
    </row>
    <row r="195" spans="1:62" s="629" customFormat="1" ht="27" customHeight="1" x14ac:dyDescent="0.2">
      <c r="A195" s="2365">
        <v>57</v>
      </c>
      <c r="B195" s="2366" t="s">
        <v>4162</v>
      </c>
      <c r="C195" s="2023" t="s">
        <v>4163</v>
      </c>
      <c r="D195" s="2023" t="s">
        <v>1548</v>
      </c>
      <c r="E195" s="2023" t="s">
        <v>584</v>
      </c>
      <c r="F195" s="2023" t="s">
        <v>4164</v>
      </c>
      <c r="G195" s="2006">
        <v>11016</v>
      </c>
      <c r="H195" s="2367" t="s">
        <v>4165</v>
      </c>
      <c r="I195" s="2023" t="s">
        <v>4166</v>
      </c>
      <c r="J195" s="2023" t="s">
        <v>4167</v>
      </c>
      <c r="K195" s="2347">
        <v>41347</v>
      </c>
      <c r="L195" s="2343">
        <v>30000</v>
      </c>
      <c r="M195" s="2006">
        <v>11031</v>
      </c>
      <c r="N195" s="2347">
        <v>41347</v>
      </c>
      <c r="O195" s="2347">
        <v>41639</v>
      </c>
      <c r="P195" s="2367" t="s">
        <v>3905</v>
      </c>
      <c r="Q195" s="2023"/>
      <c r="R195" s="2023"/>
      <c r="S195" s="2023"/>
      <c r="T195" s="2023" t="s">
        <v>208</v>
      </c>
      <c r="U195" s="1146"/>
      <c r="V195" s="1055"/>
      <c r="W195" s="1064"/>
      <c r="X195" s="1146"/>
      <c r="Y195" s="1055"/>
      <c r="Z195" s="1055"/>
      <c r="AA195" s="1138"/>
      <c r="AB195" s="1055"/>
      <c r="AC195" s="1139"/>
      <c r="AD195" s="1139"/>
      <c r="AE195" s="1155"/>
      <c r="AF195" s="1155">
        <v>8745</v>
      </c>
      <c r="AG195" s="1139">
        <v>4230</v>
      </c>
      <c r="AH195" s="1139">
        <f t="shared" si="3"/>
        <v>12975</v>
      </c>
      <c r="AI195" s="1055"/>
      <c r="AJ195" s="1064"/>
      <c r="AK195" s="1055"/>
      <c r="AL195" s="1133"/>
      <c r="AM195" s="1055"/>
      <c r="AN195" s="1055"/>
      <c r="AO195" s="1064"/>
      <c r="AP195" s="1137"/>
      <c r="AQ195" s="1064"/>
      <c r="AR195" s="1137"/>
      <c r="AS195" s="1055"/>
      <c r="AT195" s="1133"/>
      <c r="AU195" s="1133"/>
      <c r="AV195" s="1133"/>
      <c r="AW195" s="1133"/>
      <c r="AX195" s="1133"/>
      <c r="AY195" s="1133"/>
      <c r="AZ195" s="1133"/>
      <c r="BA195" s="1133"/>
      <c r="BB195" s="1133"/>
      <c r="BC195" s="1133"/>
      <c r="BD195" s="1133"/>
      <c r="BE195" s="1480"/>
      <c r="BF195" s="1480"/>
      <c r="BG195" s="1480"/>
      <c r="BH195" s="1480"/>
      <c r="BI195" s="1480"/>
      <c r="BJ195" s="1480"/>
    </row>
    <row r="196" spans="1:62" s="629" customFormat="1" ht="27" customHeight="1" x14ac:dyDescent="0.2">
      <c r="A196" s="2365"/>
      <c r="B196" s="2366"/>
      <c r="C196" s="2023"/>
      <c r="D196" s="2023"/>
      <c r="E196" s="2023"/>
      <c r="F196" s="2023"/>
      <c r="G196" s="2006"/>
      <c r="H196" s="2367"/>
      <c r="I196" s="2023"/>
      <c r="J196" s="2023"/>
      <c r="K196" s="2023"/>
      <c r="L196" s="2343"/>
      <c r="M196" s="2006"/>
      <c r="N196" s="2347"/>
      <c r="O196" s="2347"/>
      <c r="P196" s="2367"/>
      <c r="Q196" s="2023"/>
      <c r="R196" s="2023"/>
      <c r="S196" s="2023"/>
      <c r="T196" s="2023"/>
      <c r="U196" s="1146" t="s">
        <v>3906</v>
      </c>
      <c r="V196" s="1137">
        <v>41631</v>
      </c>
      <c r="W196" s="1064">
        <v>11221</v>
      </c>
      <c r="X196" s="1146" t="s">
        <v>3923</v>
      </c>
      <c r="Y196" s="1055"/>
      <c r="Z196" s="1055"/>
      <c r="AA196" s="1138"/>
      <c r="AB196" s="1138">
        <f>AD196/L195</f>
        <v>0.5675</v>
      </c>
      <c r="AC196" s="1139"/>
      <c r="AD196" s="1139">
        <v>17025</v>
      </c>
      <c r="AE196" s="1155">
        <f>L195-AD196</f>
        <v>12975</v>
      </c>
      <c r="AF196" s="525">
        <v>0</v>
      </c>
      <c r="AG196" s="525">
        <v>0</v>
      </c>
      <c r="AH196" s="1139">
        <f t="shared" si="3"/>
        <v>0</v>
      </c>
      <c r="AI196" s="1055"/>
      <c r="AJ196" s="1064"/>
      <c r="AK196" s="1055"/>
      <c r="AL196" s="1133"/>
      <c r="AM196" s="1055"/>
      <c r="AN196" s="1055"/>
      <c r="AO196" s="1064"/>
      <c r="AP196" s="1137"/>
      <c r="AQ196" s="1064"/>
      <c r="AR196" s="1137"/>
      <c r="AS196" s="1055"/>
      <c r="AT196" s="1133"/>
      <c r="AU196" s="1133"/>
      <c r="AV196" s="1133"/>
      <c r="AW196" s="1133"/>
      <c r="AX196" s="1133"/>
      <c r="AY196" s="1133"/>
      <c r="AZ196" s="1133"/>
      <c r="BA196" s="1133"/>
      <c r="BB196" s="1133"/>
      <c r="BC196" s="1133"/>
      <c r="BD196" s="1133"/>
      <c r="BE196" s="1480"/>
      <c r="BF196" s="1480"/>
      <c r="BG196" s="1480"/>
      <c r="BH196" s="1480"/>
      <c r="BI196" s="1480"/>
      <c r="BJ196" s="1480"/>
    </row>
    <row r="197" spans="1:62" s="629" customFormat="1" ht="20.25" customHeight="1" x14ac:dyDescent="0.2">
      <c r="A197" s="2365">
        <v>58</v>
      </c>
      <c r="B197" s="2361" t="s">
        <v>4168</v>
      </c>
      <c r="C197" s="2023" t="s">
        <v>4169</v>
      </c>
      <c r="D197" s="2023" t="s">
        <v>1548</v>
      </c>
      <c r="E197" s="2023" t="s">
        <v>584</v>
      </c>
      <c r="F197" s="2023" t="s">
        <v>4170</v>
      </c>
      <c r="G197" s="2373">
        <v>10888</v>
      </c>
      <c r="H197" s="2367" t="s">
        <v>4171</v>
      </c>
      <c r="I197" s="2023" t="s">
        <v>4172</v>
      </c>
      <c r="J197" s="2023" t="s">
        <v>4064</v>
      </c>
      <c r="K197" s="2347">
        <v>41365</v>
      </c>
      <c r="L197" s="2397">
        <v>18900</v>
      </c>
      <c r="M197" s="2373">
        <v>11055</v>
      </c>
      <c r="N197" s="2352">
        <v>41365</v>
      </c>
      <c r="O197" s="2352">
        <v>41639</v>
      </c>
      <c r="P197" s="2354" t="s">
        <v>3905</v>
      </c>
      <c r="Q197" s="2023"/>
      <c r="R197" s="2023"/>
      <c r="S197" s="2023"/>
      <c r="T197" s="2354" t="s">
        <v>208</v>
      </c>
      <c r="U197" s="1146"/>
      <c r="V197" s="1055"/>
      <c r="W197" s="1064"/>
      <c r="X197" s="1146"/>
      <c r="Y197" s="1055"/>
      <c r="Z197" s="1055"/>
      <c r="AA197" s="1138"/>
      <c r="AB197" s="1055"/>
      <c r="AC197" s="1139"/>
      <c r="AD197" s="1139"/>
      <c r="AE197" s="525"/>
      <c r="AF197" s="550">
        <v>14190.4</v>
      </c>
      <c r="AG197" s="562">
        <v>7728</v>
      </c>
      <c r="AH197" s="1139">
        <f t="shared" si="3"/>
        <v>21918.400000000001</v>
      </c>
      <c r="AI197" s="1055"/>
      <c r="AJ197" s="1064"/>
      <c r="AK197" s="1055"/>
      <c r="AL197" s="1133"/>
      <c r="AM197" s="1055"/>
      <c r="AN197" s="1055"/>
      <c r="AO197" s="1064"/>
      <c r="AP197" s="1137"/>
      <c r="AQ197" s="1064"/>
      <c r="AR197" s="1137"/>
      <c r="AS197" s="1055"/>
      <c r="AT197" s="1133"/>
      <c r="AU197" s="1133"/>
      <c r="AV197" s="1133"/>
      <c r="AW197" s="1133"/>
      <c r="AX197" s="1133"/>
      <c r="AY197" s="1133"/>
      <c r="AZ197" s="1133"/>
      <c r="BA197" s="1133"/>
      <c r="BB197" s="1133"/>
      <c r="BC197" s="1133"/>
      <c r="BD197" s="1133"/>
      <c r="BE197" s="1480"/>
      <c r="BF197" s="1480"/>
      <c r="BG197" s="1480"/>
      <c r="BH197" s="1480"/>
      <c r="BI197" s="1480"/>
      <c r="BJ197" s="1480"/>
    </row>
    <row r="198" spans="1:62" s="629" customFormat="1" ht="21" customHeight="1" x14ac:dyDescent="0.2">
      <c r="A198" s="2365"/>
      <c r="B198" s="2361"/>
      <c r="C198" s="2023"/>
      <c r="D198" s="2023"/>
      <c r="E198" s="2023"/>
      <c r="F198" s="2023"/>
      <c r="G198" s="2355"/>
      <c r="H198" s="2367"/>
      <c r="I198" s="2023"/>
      <c r="J198" s="2023"/>
      <c r="K198" s="2023"/>
      <c r="L198" s="2397"/>
      <c r="M198" s="2373"/>
      <c r="N198" s="2352"/>
      <c r="O198" s="2352"/>
      <c r="P198" s="2354"/>
      <c r="Q198" s="2023"/>
      <c r="R198" s="2023"/>
      <c r="S198" s="2023"/>
      <c r="T198" s="2354"/>
      <c r="U198" s="1146" t="s">
        <v>3906</v>
      </c>
      <c r="V198" s="1137">
        <v>41514</v>
      </c>
      <c r="W198" s="1145">
        <v>11139</v>
      </c>
      <c r="X198" s="1146" t="s">
        <v>4033</v>
      </c>
      <c r="Y198" s="1137">
        <v>41514</v>
      </c>
      <c r="Z198" s="1137">
        <v>41639</v>
      </c>
      <c r="AA198" s="537">
        <f>AC198/L197</f>
        <v>3.6698412698412702E-2</v>
      </c>
      <c r="AB198" s="1055"/>
      <c r="AC198" s="1139">
        <v>693.6</v>
      </c>
      <c r="AD198" s="1139"/>
      <c r="AE198" s="1155">
        <f>AC198+L197</f>
        <v>19593.599999999999</v>
      </c>
      <c r="AF198" s="525">
        <v>0</v>
      </c>
      <c r="AG198" s="525">
        <v>0</v>
      </c>
      <c r="AH198" s="1139">
        <f t="shared" si="3"/>
        <v>0</v>
      </c>
      <c r="AI198" s="1055"/>
      <c r="AJ198" s="1064"/>
      <c r="AK198" s="1055"/>
      <c r="AL198" s="1133"/>
      <c r="AM198" s="1055"/>
      <c r="AN198" s="1055"/>
      <c r="AO198" s="1064"/>
      <c r="AP198" s="1137"/>
      <c r="AQ198" s="1064"/>
      <c r="AR198" s="1137"/>
      <c r="AS198" s="1055"/>
      <c r="AT198" s="1133"/>
      <c r="AU198" s="1133"/>
      <c r="AV198" s="1133"/>
      <c r="AW198" s="1133"/>
      <c r="AX198" s="1133"/>
      <c r="AY198" s="1133"/>
      <c r="AZ198" s="1133"/>
      <c r="BA198" s="1133"/>
      <c r="BB198" s="1133"/>
      <c r="BC198" s="1133"/>
      <c r="BD198" s="1133"/>
      <c r="BE198" s="1480"/>
      <c r="BF198" s="1480"/>
      <c r="BG198" s="1480"/>
      <c r="BH198" s="1480"/>
      <c r="BI198" s="1480"/>
      <c r="BJ198" s="1480"/>
    </row>
    <row r="199" spans="1:62" s="629" customFormat="1" ht="25.5" x14ac:dyDescent="0.2">
      <c r="A199" s="2365"/>
      <c r="B199" s="2361"/>
      <c r="C199" s="2023"/>
      <c r="D199" s="2023"/>
      <c r="E199" s="2023"/>
      <c r="F199" s="2023"/>
      <c r="G199" s="2355"/>
      <c r="H199" s="2367"/>
      <c r="I199" s="2023"/>
      <c r="J199" s="2023"/>
      <c r="K199" s="2023"/>
      <c r="L199" s="2397"/>
      <c r="M199" s="2373"/>
      <c r="N199" s="2352"/>
      <c r="O199" s="2352"/>
      <c r="P199" s="2354"/>
      <c r="Q199" s="2023"/>
      <c r="R199" s="2023"/>
      <c r="S199" s="2023"/>
      <c r="T199" s="2354"/>
      <c r="U199" s="1146" t="s">
        <v>3891</v>
      </c>
      <c r="V199" s="1137">
        <v>41631</v>
      </c>
      <c r="W199" s="1145">
        <v>11513</v>
      </c>
      <c r="X199" s="1146" t="s">
        <v>4173</v>
      </c>
      <c r="Y199" s="1134">
        <v>41640</v>
      </c>
      <c r="Z199" s="1134">
        <v>42004</v>
      </c>
      <c r="AA199" s="1138"/>
      <c r="AB199" s="1138">
        <f>AD199/AE198</f>
        <v>5.1445369916707499E-2</v>
      </c>
      <c r="AC199" s="1139">
        <f>((27*84)*12)-AE198</f>
        <v>7622.4000000000015</v>
      </c>
      <c r="AD199" s="1139">
        <v>1008</v>
      </c>
      <c r="AE199" s="1155">
        <f>AE198+AC199-AD199</f>
        <v>26208</v>
      </c>
      <c r="AF199" s="525">
        <v>0</v>
      </c>
      <c r="AG199" s="525">
        <v>0</v>
      </c>
      <c r="AH199" s="1139">
        <f t="shared" si="3"/>
        <v>0</v>
      </c>
      <c r="AI199" s="1055"/>
      <c r="AJ199" s="1064"/>
      <c r="AK199" s="1055"/>
      <c r="AL199" s="1133"/>
      <c r="AM199" s="1055"/>
      <c r="AN199" s="1055"/>
      <c r="AO199" s="1064"/>
      <c r="AP199" s="1137"/>
      <c r="AQ199" s="1064"/>
      <c r="AR199" s="1137"/>
      <c r="AS199" s="1055"/>
      <c r="AT199" s="1133"/>
      <c r="AU199" s="1133"/>
      <c r="AV199" s="1133"/>
      <c r="AW199" s="1133"/>
      <c r="AX199" s="1133"/>
      <c r="AY199" s="1133"/>
      <c r="AZ199" s="1133"/>
      <c r="BA199" s="1133"/>
      <c r="BB199" s="1133"/>
      <c r="BC199" s="1133"/>
      <c r="BD199" s="1133"/>
      <c r="BE199" s="1480"/>
      <c r="BF199" s="1480"/>
      <c r="BG199" s="1480"/>
      <c r="BH199" s="1480"/>
      <c r="BI199" s="1480"/>
      <c r="BJ199" s="1480"/>
    </row>
    <row r="200" spans="1:62" s="629" customFormat="1" ht="45" customHeight="1" x14ac:dyDescent="0.2">
      <c r="A200" s="2365">
        <v>59</v>
      </c>
      <c r="B200" s="2366" t="s">
        <v>4174</v>
      </c>
      <c r="C200" s="2023" t="s">
        <v>4175</v>
      </c>
      <c r="D200" s="2023" t="s">
        <v>1548</v>
      </c>
      <c r="E200" s="2023" t="s">
        <v>584</v>
      </c>
      <c r="F200" s="2023" t="s">
        <v>4176</v>
      </c>
      <c r="G200" s="2006">
        <v>10965</v>
      </c>
      <c r="H200" s="2367" t="s">
        <v>4177</v>
      </c>
      <c r="I200" s="2023" t="s">
        <v>4178</v>
      </c>
      <c r="J200" s="2023" t="s">
        <v>4179</v>
      </c>
      <c r="K200" s="2347">
        <v>41382</v>
      </c>
      <c r="L200" s="2343">
        <v>409045</v>
      </c>
      <c r="M200" s="2006">
        <v>11039</v>
      </c>
      <c r="N200" s="2347">
        <v>41382</v>
      </c>
      <c r="O200" s="2347">
        <v>41639</v>
      </c>
      <c r="P200" s="2367" t="s">
        <v>3905</v>
      </c>
      <c r="Q200" s="2023"/>
      <c r="R200" s="2023"/>
      <c r="S200" s="2023"/>
      <c r="T200" s="2023" t="s">
        <v>316</v>
      </c>
      <c r="U200" s="1146"/>
      <c r="V200" s="1055"/>
      <c r="W200" s="1064"/>
      <c r="X200" s="1146"/>
      <c r="Y200" s="1055"/>
      <c r="Z200" s="1055"/>
      <c r="AA200" s="1138"/>
      <c r="AB200" s="1055"/>
      <c r="AC200" s="1139"/>
      <c r="AD200" s="1139"/>
      <c r="AE200" s="1133"/>
      <c r="AF200" s="1155">
        <v>348047.85</v>
      </c>
      <c r="AG200" s="1139">
        <v>42963.21</v>
      </c>
      <c r="AH200" s="1139">
        <f t="shared" si="3"/>
        <v>391011.06</v>
      </c>
      <c r="AI200" s="1055"/>
      <c r="AJ200" s="1064"/>
      <c r="AK200" s="1055"/>
      <c r="AL200" s="1133"/>
      <c r="AM200" s="1055"/>
      <c r="AN200" s="1055"/>
      <c r="AO200" s="1064"/>
      <c r="AP200" s="1137"/>
      <c r="AQ200" s="1064"/>
      <c r="AR200" s="1137"/>
      <c r="AS200" s="1055"/>
      <c r="AT200" s="1133"/>
      <c r="AU200" s="1133"/>
      <c r="AV200" s="1133"/>
      <c r="AW200" s="1133"/>
      <c r="AX200" s="1133"/>
      <c r="AY200" s="1133"/>
      <c r="AZ200" s="1133"/>
      <c r="BA200" s="1133"/>
      <c r="BB200" s="1133"/>
      <c r="BC200" s="1133"/>
      <c r="BD200" s="1133"/>
      <c r="BE200" s="1480"/>
      <c r="BF200" s="1480"/>
      <c r="BG200" s="1480"/>
      <c r="BH200" s="1480"/>
      <c r="BI200" s="1480"/>
      <c r="BJ200" s="1480"/>
    </row>
    <row r="201" spans="1:62" s="629" customFormat="1" ht="12.75" x14ac:dyDescent="0.2">
      <c r="A201" s="2365"/>
      <c r="B201" s="2366"/>
      <c r="C201" s="2023"/>
      <c r="D201" s="2023"/>
      <c r="E201" s="2023"/>
      <c r="F201" s="2023"/>
      <c r="G201" s="2006"/>
      <c r="H201" s="2367"/>
      <c r="I201" s="2023"/>
      <c r="J201" s="2023"/>
      <c r="K201" s="2023"/>
      <c r="L201" s="2343"/>
      <c r="M201" s="2006"/>
      <c r="N201" s="2347"/>
      <c r="O201" s="2347"/>
      <c r="P201" s="2367"/>
      <c r="Q201" s="2023"/>
      <c r="R201" s="2023"/>
      <c r="S201" s="2023"/>
      <c r="T201" s="2023"/>
      <c r="U201" s="1146" t="s">
        <v>3906</v>
      </c>
      <c r="V201" s="1055"/>
      <c r="W201" s="1064">
        <v>11221</v>
      </c>
      <c r="X201" s="1146" t="s">
        <v>3923</v>
      </c>
      <c r="Y201" s="1137">
        <v>41382</v>
      </c>
      <c r="Z201" s="1137">
        <v>41639</v>
      </c>
      <c r="AA201" s="1138"/>
      <c r="AB201" s="1055"/>
      <c r="AC201" s="1139"/>
      <c r="AD201" s="1139">
        <v>18033.939999999999</v>
      </c>
      <c r="AE201" s="1155">
        <f>L200-AD201+AC200</f>
        <v>391011.06</v>
      </c>
      <c r="AF201" s="525">
        <v>0</v>
      </c>
      <c r="AG201" s="525">
        <v>0</v>
      </c>
      <c r="AH201" s="1139">
        <f t="shared" si="3"/>
        <v>0</v>
      </c>
      <c r="AI201" s="1055"/>
      <c r="AJ201" s="1064"/>
      <c r="AK201" s="1055"/>
      <c r="AL201" s="1133"/>
      <c r="AM201" s="1055"/>
      <c r="AN201" s="1055"/>
      <c r="AO201" s="1064"/>
      <c r="AP201" s="1137"/>
      <c r="AQ201" s="1064"/>
      <c r="AR201" s="1137"/>
      <c r="AS201" s="1055"/>
      <c r="AT201" s="1133"/>
      <c r="AU201" s="1133"/>
      <c r="AV201" s="1133"/>
      <c r="AW201" s="1133"/>
      <c r="AX201" s="1133"/>
      <c r="AY201" s="1133"/>
      <c r="AZ201" s="1133"/>
      <c r="BA201" s="1133"/>
      <c r="BB201" s="1133"/>
      <c r="BC201" s="1133"/>
      <c r="BD201" s="1133"/>
      <c r="BE201" s="1480"/>
      <c r="BF201" s="1480"/>
      <c r="BG201" s="1480"/>
      <c r="BH201" s="1480"/>
      <c r="BI201" s="1480"/>
      <c r="BJ201" s="1480"/>
    </row>
    <row r="202" spans="1:62" s="629" customFormat="1" ht="45" customHeight="1" x14ac:dyDescent="0.2">
      <c r="A202" s="1514">
        <v>60</v>
      </c>
      <c r="B202" s="1217" t="s">
        <v>4115</v>
      </c>
      <c r="C202" s="1055" t="s">
        <v>4116</v>
      </c>
      <c r="D202" s="1055" t="s">
        <v>1548</v>
      </c>
      <c r="E202" s="1055" t="s">
        <v>584</v>
      </c>
      <c r="F202" s="1055" t="s">
        <v>4180</v>
      </c>
      <c r="G202" s="1064">
        <v>10991</v>
      </c>
      <c r="H202" s="1146" t="s">
        <v>4181</v>
      </c>
      <c r="I202" s="1055" t="s">
        <v>4182</v>
      </c>
      <c r="J202" s="1055" t="s">
        <v>4120</v>
      </c>
      <c r="K202" s="1137">
        <v>41409</v>
      </c>
      <c r="L202" s="1139">
        <v>1718.76</v>
      </c>
      <c r="M202" s="1064">
        <v>11056</v>
      </c>
      <c r="N202" s="1137">
        <v>41409</v>
      </c>
      <c r="O202" s="1137">
        <v>41639</v>
      </c>
      <c r="P202" s="1146" t="s">
        <v>3961</v>
      </c>
      <c r="Q202" s="1055"/>
      <c r="R202" s="1055"/>
      <c r="S202" s="1055"/>
      <c r="T202" s="1055" t="s">
        <v>208</v>
      </c>
      <c r="U202" s="1055"/>
      <c r="V202" s="1055"/>
      <c r="W202" s="1064"/>
      <c r="X202" s="1146"/>
      <c r="Y202" s="1055"/>
      <c r="Z202" s="1055"/>
      <c r="AA202" s="1138"/>
      <c r="AB202" s="1055"/>
      <c r="AC202" s="1139"/>
      <c r="AD202" s="1139"/>
      <c r="AE202" s="1155">
        <f>L202-AD202+AC202</f>
        <v>1718.76</v>
      </c>
      <c r="AF202" s="1155">
        <v>451.92</v>
      </c>
      <c r="AG202" s="1139">
        <f>511.08+755.76</f>
        <v>1266.8399999999999</v>
      </c>
      <c r="AH202" s="1139">
        <f t="shared" si="3"/>
        <v>1718.76</v>
      </c>
      <c r="AI202" s="1055"/>
      <c r="AJ202" s="1064"/>
      <c r="AK202" s="1055"/>
      <c r="AL202" s="1133"/>
      <c r="AM202" s="1055"/>
      <c r="AN202" s="1055"/>
      <c r="AO202" s="1064"/>
      <c r="AP202" s="1137"/>
      <c r="AQ202" s="1064"/>
      <c r="AR202" s="1137"/>
      <c r="AS202" s="1055"/>
      <c r="AT202" s="1133"/>
      <c r="AU202" s="1133"/>
      <c r="AV202" s="1133"/>
      <c r="AW202" s="1133"/>
      <c r="AX202" s="1133"/>
      <c r="AY202" s="1133"/>
      <c r="AZ202" s="1133"/>
      <c r="BA202" s="1133"/>
      <c r="BB202" s="1133"/>
      <c r="BC202" s="1133"/>
      <c r="BD202" s="1133"/>
      <c r="BE202" s="1480"/>
      <c r="BF202" s="1480"/>
      <c r="BG202" s="1480"/>
      <c r="BH202" s="1480"/>
      <c r="BI202" s="1480"/>
      <c r="BJ202" s="1480"/>
    </row>
    <row r="203" spans="1:62" s="629" customFormat="1" ht="45" customHeight="1" x14ac:dyDescent="0.2">
      <c r="A203" s="2365">
        <v>61</v>
      </c>
      <c r="B203" s="2366" t="s">
        <v>4127</v>
      </c>
      <c r="C203" s="2023" t="s">
        <v>967</v>
      </c>
      <c r="D203" s="2023" t="s">
        <v>1548</v>
      </c>
      <c r="E203" s="2023" t="s">
        <v>584</v>
      </c>
      <c r="F203" s="2023" t="s">
        <v>4183</v>
      </c>
      <c r="G203" s="2006">
        <v>10965</v>
      </c>
      <c r="H203" s="2367" t="s">
        <v>4184</v>
      </c>
      <c r="I203" s="2023" t="s">
        <v>4149</v>
      </c>
      <c r="J203" s="2023" t="s">
        <v>4185</v>
      </c>
      <c r="K203" s="2347">
        <v>41416</v>
      </c>
      <c r="L203" s="2343">
        <v>76669</v>
      </c>
      <c r="M203" s="2006">
        <v>11062</v>
      </c>
      <c r="N203" s="2347">
        <v>41416</v>
      </c>
      <c r="O203" s="2347">
        <v>41639</v>
      </c>
      <c r="P203" s="2367" t="s">
        <v>3961</v>
      </c>
      <c r="Q203" s="2023"/>
      <c r="R203" s="2023"/>
      <c r="S203" s="2023"/>
      <c r="T203" s="2023" t="s">
        <v>316</v>
      </c>
      <c r="U203" s="2023"/>
      <c r="V203" s="2023"/>
      <c r="W203" s="2006"/>
      <c r="X203" s="2367"/>
      <c r="Y203" s="1055"/>
      <c r="Z203" s="1055"/>
      <c r="AA203" s="1138"/>
      <c r="AB203" s="1055"/>
      <c r="AC203" s="1139"/>
      <c r="AD203" s="1139"/>
      <c r="AE203" s="2345">
        <f>L203-AD203+AC203</f>
        <v>76669</v>
      </c>
      <c r="AF203" s="1155">
        <v>76375.7</v>
      </c>
      <c r="AG203" s="1139">
        <v>293.3</v>
      </c>
      <c r="AH203" s="1139">
        <f t="shared" si="3"/>
        <v>76669</v>
      </c>
      <c r="AI203" s="1055"/>
      <c r="AJ203" s="1064"/>
      <c r="AK203" s="1055"/>
      <c r="AL203" s="1133"/>
      <c r="AM203" s="1055"/>
      <c r="AN203" s="1055"/>
      <c r="AO203" s="1064"/>
      <c r="AP203" s="1137"/>
      <c r="AQ203" s="1064"/>
      <c r="AR203" s="1137"/>
      <c r="AS203" s="1055"/>
      <c r="AT203" s="1133"/>
      <c r="AU203" s="1133"/>
      <c r="AV203" s="1133"/>
      <c r="AW203" s="1133"/>
      <c r="AX203" s="1133"/>
      <c r="AY203" s="1133"/>
      <c r="AZ203" s="1133"/>
      <c r="BA203" s="1133"/>
      <c r="BB203" s="1133"/>
      <c r="BC203" s="1133"/>
      <c r="BD203" s="1133"/>
      <c r="BE203" s="1480"/>
      <c r="BF203" s="1480"/>
      <c r="BG203" s="1480"/>
      <c r="BH203" s="1480"/>
      <c r="BI203" s="1480"/>
      <c r="BJ203" s="1480"/>
    </row>
    <row r="204" spans="1:62" s="629" customFormat="1" ht="23.25" customHeight="1" x14ac:dyDescent="0.2">
      <c r="A204" s="2365"/>
      <c r="B204" s="2366"/>
      <c r="C204" s="2023"/>
      <c r="D204" s="2023"/>
      <c r="E204" s="2023"/>
      <c r="F204" s="2023"/>
      <c r="G204" s="2006"/>
      <c r="H204" s="2367"/>
      <c r="I204" s="2023"/>
      <c r="J204" s="2023"/>
      <c r="K204" s="2023"/>
      <c r="L204" s="2343"/>
      <c r="M204" s="2006"/>
      <c r="N204" s="2347"/>
      <c r="O204" s="2347"/>
      <c r="P204" s="2367"/>
      <c r="Q204" s="2023"/>
      <c r="R204" s="2023"/>
      <c r="S204" s="2023"/>
      <c r="T204" s="2023"/>
      <c r="U204" s="2023"/>
      <c r="V204" s="2023"/>
      <c r="W204" s="2006"/>
      <c r="X204" s="2367"/>
      <c r="Y204" s="1055"/>
      <c r="Z204" s="1055"/>
      <c r="AA204" s="1138"/>
      <c r="AB204" s="1055"/>
      <c r="AC204" s="1139"/>
      <c r="AD204" s="1139"/>
      <c r="AE204" s="2371"/>
      <c r="AF204" s="525">
        <v>0</v>
      </c>
      <c r="AG204" s="525">
        <v>0</v>
      </c>
      <c r="AH204" s="1139">
        <f t="shared" si="3"/>
        <v>0</v>
      </c>
      <c r="AI204" s="1055"/>
      <c r="AJ204" s="1064"/>
      <c r="AK204" s="1055"/>
      <c r="AL204" s="1133"/>
      <c r="AM204" s="1055"/>
      <c r="AN204" s="1055"/>
      <c r="AO204" s="1064"/>
      <c r="AP204" s="1137"/>
      <c r="AQ204" s="1064"/>
      <c r="AR204" s="1137"/>
      <c r="AS204" s="1055"/>
      <c r="AT204" s="1133"/>
      <c r="AU204" s="1133"/>
      <c r="AV204" s="1133"/>
      <c r="AW204" s="1133"/>
      <c r="AX204" s="1133"/>
      <c r="AY204" s="1133"/>
      <c r="AZ204" s="1133"/>
      <c r="BA204" s="1133"/>
      <c r="BB204" s="1133"/>
      <c r="BC204" s="1133"/>
      <c r="BD204" s="1133"/>
      <c r="BE204" s="1480"/>
      <c r="BF204" s="1480"/>
      <c r="BG204" s="1480"/>
      <c r="BH204" s="1480"/>
      <c r="BI204" s="1480"/>
      <c r="BJ204" s="1480"/>
    </row>
    <row r="205" spans="1:62" s="629" customFormat="1" ht="52.5" customHeight="1" x14ac:dyDescent="0.2">
      <c r="A205" s="2365">
        <v>62</v>
      </c>
      <c r="B205" s="2366" t="s">
        <v>4154</v>
      </c>
      <c r="C205" s="2023" t="s">
        <v>4047</v>
      </c>
      <c r="D205" s="2023" t="s">
        <v>1548</v>
      </c>
      <c r="E205" s="2023" t="s">
        <v>584</v>
      </c>
      <c r="F205" s="2023" t="s">
        <v>4186</v>
      </c>
      <c r="G205" s="2006">
        <v>10828</v>
      </c>
      <c r="H205" s="2367" t="s">
        <v>4187</v>
      </c>
      <c r="I205" s="2023" t="s">
        <v>4188</v>
      </c>
      <c r="J205" s="2023" t="s">
        <v>4189</v>
      </c>
      <c r="K205" s="2347">
        <v>41435</v>
      </c>
      <c r="L205" s="2369">
        <v>50687.34</v>
      </c>
      <c r="M205" s="2006">
        <v>11073</v>
      </c>
      <c r="N205" s="2347">
        <v>41435</v>
      </c>
      <c r="O205" s="2347">
        <v>41639</v>
      </c>
      <c r="P205" s="2367" t="s">
        <v>3905</v>
      </c>
      <c r="Q205" s="2023"/>
      <c r="R205" s="2023"/>
      <c r="S205" s="2023"/>
      <c r="T205" s="2023" t="s">
        <v>208</v>
      </c>
      <c r="U205" s="1055"/>
      <c r="V205" s="1055"/>
      <c r="W205" s="1064"/>
      <c r="X205" s="1146"/>
      <c r="Y205" s="1055"/>
      <c r="Z205" s="1055"/>
      <c r="AA205" s="1138"/>
      <c r="AB205" s="1055"/>
      <c r="AC205" s="1139"/>
      <c r="AD205" s="1139"/>
      <c r="AE205" s="1155"/>
      <c r="AF205" s="525">
        <v>50687.34</v>
      </c>
      <c r="AG205" s="1139">
        <f>60551.69+5851.46+5851.46+5851.46+8777.19</f>
        <v>86883.260000000024</v>
      </c>
      <c r="AH205" s="1139">
        <f t="shared" si="3"/>
        <v>137570.60000000003</v>
      </c>
      <c r="AI205" s="1055"/>
      <c r="AJ205" s="1064"/>
      <c r="AK205" s="1055"/>
      <c r="AL205" s="1133"/>
      <c r="AM205" s="1055"/>
      <c r="AN205" s="1055"/>
      <c r="AO205" s="1064"/>
      <c r="AP205" s="1137"/>
      <c r="AQ205" s="1064"/>
      <c r="AR205" s="1137"/>
      <c r="AS205" s="1055"/>
      <c r="AT205" s="1133"/>
      <c r="AU205" s="1133"/>
      <c r="AV205" s="1133"/>
      <c r="AW205" s="1133"/>
      <c r="AX205" s="1133"/>
      <c r="AY205" s="1133"/>
      <c r="AZ205" s="1133"/>
      <c r="BA205" s="1133"/>
      <c r="BB205" s="1133"/>
      <c r="BC205" s="1133"/>
      <c r="BD205" s="1133"/>
      <c r="BE205" s="1480"/>
      <c r="BF205" s="1480"/>
      <c r="BG205" s="1480"/>
      <c r="BH205" s="1480"/>
      <c r="BI205" s="1480"/>
      <c r="BJ205" s="1480"/>
    </row>
    <row r="206" spans="1:62" s="629" customFormat="1" ht="29.25" customHeight="1" x14ac:dyDescent="0.2">
      <c r="A206" s="2365"/>
      <c r="B206" s="2366"/>
      <c r="C206" s="2023"/>
      <c r="D206" s="2023"/>
      <c r="E206" s="2023"/>
      <c r="F206" s="2023"/>
      <c r="G206" s="2006"/>
      <c r="H206" s="2367"/>
      <c r="I206" s="2023"/>
      <c r="J206" s="2023"/>
      <c r="K206" s="2347"/>
      <c r="L206" s="2369"/>
      <c r="M206" s="2006"/>
      <c r="N206" s="2347"/>
      <c r="O206" s="2347"/>
      <c r="P206" s="2367"/>
      <c r="Q206" s="2023"/>
      <c r="R206" s="2023"/>
      <c r="S206" s="2023"/>
      <c r="T206" s="2023"/>
      <c r="U206" s="1055" t="s">
        <v>4190</v>
      </c>
      <c r="V206" s="1137">
        <v>41627</v>
      </c>
      <c r="W206" s="1064">
        <v>11227</v>
      </c>
      <c r="X206" s="1146" t="s">
        <v>4191</v>
      </c>
      <c r="Y206" s="1137">
        <v>41640</v>
      </c>
      <c r="Z206" s="1137">
        <v>42004</v>
      </c>
      <c r="AA206" s="1138"/>
      <c r="AB206" s="1055"/>
      <c r="AC206" s="1139">
        <f>(7565.26*12)-L205</f>
        <v>40095.78</v>
      </c>
      <c r="AD206" s="1139"/>
      <c r="AE206" s="1155">
        <f>AC206+L205</f>
        <v>90783.12</v>
      </c>
      <c r="AF206" s="525">
        <v>0</v>
      </c>
      <c r="AG206" s="525">
        <v>0</v>
      </c>
      <c r="AH206" s="1139">
        <f t="shared" si="3"/>
        <v>0</v>
      </c>
      <c r="AI206" s="1055"/>
      <c r="AJ206" s="1064"/>
      <c r="AK206" s="1055"/>
      <c r="AL206" s="1133"/>
      <c r="AM206" s="1055"/>
      <c r="AN206" s="1055"/>
      <c r="AO206" s="1064"/>
      <c r="AP206" s="1137"/>
      <c r="AQ206" s="1064"/>
      <c r="AR206" s="1137"/>
      <c r="AS206" s="1055"/>
      <c r="AT206" s="1133"/>
      <c r="AU206" s="1133"/>
      <c r="AV206" s="1133"/>
      <c r="AW206" s="1133"/>
      <c r="AX206" s="1133"/>
      <c r="AY206" s="1133"/>
      <c r="AZ206" s="1133"/>
      <c r="BA206" s="1133"/>
      <c r="BB206" s="1133"/>
      <c r="BC206" s="1133"/>
      <c r="BD206" s="1133"/>
      <c r="BE206" s="1480"/>
      <c r="BF206" s="1480"/>
      <c r="BG206" s="1480"/>
      <c r="BH206" s="1480"/>
      <c r="BI206" s="1480"/>
      <c r="BJ206" s="1480"/>
    </row>
    <row r="207" spans="1:62" s="629" customFormat="1" ht="29.25" customHeight="1" x14ac:dyDescent="0.2">
      <c r="A207" s="2365"/>
      <c r="B207" s="2366"/>
      <c r="C207" s="2023"/>
      <c r="D207" s="2023"/>
      <c r="E207" s="2023"/>
      <c r="F207" s="2023"/>
      <c r="G207" s="2006"/>
      <c r="H207" s="2367"/>
      <c r="I207" s="2023"/>
      <c r="J207" s="2023"/>
      <c r="K207" s="2347"/>
      <c r="L207" s="2369"/>
      <c r="M207" s="2006"/>
      <c r="N207" s="2347"/>
      <c r="O207" s="2347"/>
      <c r="P207" s="2367"/>
      <c r="Q207" s="2023"/>
      <c r="R207" s="2023"/>
      <c r="S207" s="2023"/>
      <c r="T207" s="2023"/>
      <c r="U207" s="1055" t="s">
        <v>4192</v>
      </c>
      <c r="V207" s="1137">
        <v>41635</v>
      </c>
      <c r="W207" s="1064">
        <v>11302</v>
      </c>
      <c r="X207" s="1146" t="s">
        <v>4193</v>
      </c>
      <c r="Y207" s="1137">
        <v>41640</v>
      </c>
      <c r="Z207" s="1137">
        <v>42004</v>
      </c>
      <c r="AA207" s="1138">
        <f>AC207/AE206</f>
        <v>0.14358627462902795</v>
      </c>
      <c r="AB207" s="1055"/>
      <c r="AC207" s="1139">
        <v>13035.21</v>
      </c>
      <c r="AD207" s="1139"/>
      <c r="AE207" s="1155">
        <f>AE206+AC207-AD207</f>
        <v>103818.32999999999</v>
      </c>
      <c r="AF207" s="525">
        <v>0</v>
      </c>
      <c r="AG207" s="525">
        <v>0</v>
      </c>
      <c r="AH207" s="1139">
        <f t="shared" si="3"/>
        <v>0</v>
      </c>
      <c r="AI207" s="1055"/>
      <c r="AJ207" s="1064"/>
      <c r="AK207" s="1055"/>
      <c r="AL207" s="1133"/>
      <c r="AM207" s="1055"/>
      <c r="AN207" s="1055"/>
      <c r="AO207" s="1064"/>
      <c r="AP207" s="1137"/>
      <c r="AQ207" s="1064"/>
      <c r="AR207" s="1137"/>
      <c r="AS207" s="1055"/>
      <c r="AT207" s="1133"/>
      <c r="AU207" s="1133"/>
      <c r="AV207" s="1133"/>
      <c r="AW207" s="1133"/>
      <c r="AX207" s="1133"/>
      <c r="AY207" s="1133"/>
      <c r="AZ207" s="1133"/>
      <c r="BA207" s="1133"/>
      <c r="BB207" s="1133"/>
      <c r="BC207" s="1133"/>
      <c r="BD207" s="1133"/>
      <c r="BE207" s="1480"/>
      <c r="BF207" s="1480"/>
      <c r="BG207" s="1480"/>
      <c r="BH207" s="1480"/>
      <c r="BI207" s="1480"/>
      <c r="BJ207" s="1480"/>
    </row>
    <row r="208" spans="1:62" s="629" customFormat="1" ht="29.25" customHeight="1" x14ac:dyDescent="0.2">
      <c r="A208" s="2365"/>
      <c r="B208" s="2366"/>
      <c r="C208" s="2023"/>
      <c r="D208" s="2023"/>
      <c r="E208" s="2023"/>
      <c r="F208" s="2023"/>
      <c r="G208" s="2006"/>
      <c r="H208" s="2367"/>
      <c r="I208" s="2023"/>
      <c r="J208" s="2023"/>
      <c r="K208" s="2347"/>
      <c r="L208" s="2369"/>
      <c r="M208" s="2006"/>
      <c r="N208" s="2347"/>
      <c r="O208" s="2347"/>
      <c r="P208" s="2367"/>
      <c r="Q208" s="2023"/>
      <c r="R208" s="2023"/>
      <c r="S208" s="2023"/>
      <c r="T208" s="2023"/>
      <c r="U208" s="1055" t="s">
        <v>4194</v>
      </c>
      <c r="V208" s="1137">
        <v>41757</v>
      </c>
      <c r="W208" s="1064">
        <v>11304</v>
      </c>
      <c r="X208" s="1146" t="s">
        <v>4193</v>
      </c>
      <c r="Y208" s="1137">
        <v>41757</v>
      </c>
      <c r="Z208" s="1137">
        <v>42004</v>
      </c>
      <c r="AA208" s="1138">
        <f>AC208/AE207</f>
        <v>5.9508566550820076E-2</v>
      </c>
      <c r="AB208" s="1055"/>
      <c r="AC208" s="1139">
        <v>6178.08</v>
      </c>
      <c r="AD208" s="1139"/>
      <c r="AE208" s="1155">
        <f>AE207+AC208-AD208</f>
        <v>109996.40999999999</v>
      </c>
      <c r="AF208" s="525">
        <v>0</v>
      </c>
      <c r="AG208" s="525">
        <v>0</v>
      </c>
      <c r="AH208" s="1139">
        <f t="shared" si="3"/>
        <v>0</v>
      </c>
      <c r="AI208" s="1055"/>
      <c r="AJ208" s="1064"/>
      <c r="AK208" s="1055"/>
      <c r="AL208" s="1133"/>
      <c r="AM208" s="1055"/>
      <c r="AN208" s="1055"/>
      <c r="AO208" s="1064"/>
      <c r="AP208" s="1137"/>
      <c r="AQ208" s="1064"/>
      <c r="AR208" s="1137"/>
      <c r="AS208" s="1055"/>
      <c r="AT208" s="1133"/>
      <c r="AU208" s="1133"/>
      <c r="AV208" s="1133"/>
      <c r="AW208" s="1133"/>
      <c r="AX208" s="1133"/>
      <c r="AY208" s="1133"/>
      <c r="AZ208" s="1133"/>
      <c r="BA208" s="1133"/>
      <c r="BB208" s="1133"/>
      <c r="BC208" s="1133"/>
      <c r="BD208" s="1133"/>
      <c r="BE208" s="1480"/>
      <c r="BF208" s="1480"/>
      <c r="BG208" s="1480"/>
      <c r="BH208" s="1480"/>
      <c r="BI208" s="1480"/>
      <c r="BJ208" s="1480"/>
    </row>
    <row r="209" spans="1:62" s="629" customFormat="1" ht="45" customHeight="1" x14ac:dyDescent="0.2">
      <c r="A209" s="2365">
        <v>63</v>
      </c>
      <c r="B209" s="2366" t="s">
        <v>4127</v>
      </c>
      <c r="C209" s="2023" t="s">
        <v>967</v>
      </c>
      <c r="D209" s="2023" t="s">
        <v>1548</v>
      </c>
      <c r="E209" s="2023" t="s">
        <v>584</v>
      </c>
      <c r="F209" s="2023" t="s">
        <v>4195</v>
      </c>
      <c r="G209" s="2006">
        <v>10967</v>
      </c>
      <c r="H209" s="2367" t="s">
        <v>4196</v>
      </c>
      <c r="I209" s="2023" t="s">
        <v>4149</v>
      </c>
      <c r="J209" s="2023" t="s">
        <v>4150</v>
      </c>
      <c r="K209" s="2347">
        <v>41514</v>
      </c>
      <c r="L209" s="2343">
        <v>16127.9</v>
      </c>
      <c r="M209" s="2006">
        <v>11133</v>
      </c>
      <c r="N209" s="2347">
        <v>41514</v>
      </c>
      <c r="O209" s="2347">
        <v>41639</v>
      </c>
      <c r="P209" s="2367" t="s">
        <v>3905</v>
      </c>
      <c r="Q209" s="2023"/>
      <c r="R209" s="2023"/>
      <c r="S209" s="2023"/>
      <c r="T209" s="2023" t="s">
        <v>316</v>
      </c>
      <c r="U209" s="2023"/>
      <c r="V209" s="2023"/>
      <c r="W209" s="2006"/>
      <c r="X209" s="2367"/>
      <c r="Y209" s="2023"/>
      <c r="Z209" s="2023"/>
      <c r="AA209" s="2363"/>
      <c r="AB209" s="2023"/>
      <c r="AC209" s="2343"/>
      <c r="AD209" s="2343"/>
      <c r="AE209" s="2345">
        <f>L209-AD209+AC209</f>
        <v>16127.9</v>
      </c>
      <c r="AF209" s="525">
        <v>0</v>
      </c>
      <c r="AG209" s="525">
        <v>0</v>
      </c>
      <c r="AH209" s="1139">
        <f t="shared" si="3"/>
        <v>0</v>
      </c>
      <c r="AI209" s="1055"/>
      <c r="AJ209" s="1064"/>
      <c r="AK209" s="1055"/>
      <c r="AL209" s="1133"/>
      <c r="AM209" s="1055"/>
      <c r="AN209" s="1055"/>
      <c r="AO209" s="1064"/>
      <c r="AP209" s="1137"/>
      <c r="AQ209" s="1064"/>
      <c r="AR209" s="1137"/>
      <c r="AS209" s="1055"/>
      <c r="AT209" s="1133"/>
      <c r="AU209" s="1133"/>
      <c r="AV209" s="1133"/>
      <c r="AW209" s="1133"/>
      <c r="AX209" s="1133"/>
      <c r="AY209" s="1133"/>
      <c r="AZ209" s="1133"/>
      <c r="BA209" s="1133"/>
      <c r="BB209" s="1133"/>
      <c r="BC209" s="1133"/>
      <c r="BD209" s="1133"/>
      <c r="BE209" s="1480"/>
      <c r="BF209" s="1480"/>
      <c r="BG209" s="1480"/>
      <c r="BH209" s="1480"/>
      <c r="BI209" s="1480"/>
      <c r="BJ209" s="1480"/>
    </row>
    <row r="210" spans="1:62" s="629" customFormat="1" ht="12.75" x14ac:dyDescent="0.2">
      <c r="A210" s="2365"/>
      <c r="B210" s="2366"/>
      <c r="C210" s="2023"/>
      <c r="D210" s="2023"/>
      <c r="E210" s="2023"/>
      <c r="F210" s="2023"/>
      <c r="G210" s="2006"/>
      <c r="H210" s="2367"/>
      <c r="I210" s="2023"/>
      <c r="J210" s="2023"/>
      <c r="K210" s="2347"/>
      <c r="L210" s="2343"/>
      <c r="M210" s="2006"/>
      <c r="N210" s="2347"/>
      <c r="O210" s="2347"/>
      <c r="P210" s="2367"/>
      <c r="Q210" s="2023"/>
      <c r="R210" s="2023"/>
      <c r="S210" s="2023"/>
      <c r="T210" s="2023"/>
      <c r="U210" s="2023"/>
      <c r="V210" s="2023"/>
      <c r="W210" s="2006"/>
      <c r="X210" s="2367"/>
      <c r="Y210" s="2023"/>
      <c r="Z210" s="2023"/>
      <c r="AA210" s="2363"/>
      <c r="AB210" s="2023"/>
      <c r="AC210" s="2343"/>
      <c r="AD210" s="2343"/>
      <c r="AE210" s="2346"/>
      <c r="AF210" s="525">
        <v>0</v>
      </c>
      <c r="AG210" s="525">
        <v>0</v>
      </c>
      <c r="AH210" s="1139">
        <f t="shared" si="3"/>
        <v>0</v>
      </c>
      <c r="AI210" s="1055"/>
      <c r="AJ210" s="1064"/>
      <c r="AK210" s="1055"/>
      <c r="AL210" s="1133"/>
      <c r="AM210" s="1055"/>
      <c r="AN210" s="1055"/>
      <c r="AO210" s="1064"/>
      <c r="AP210" s="1137"/>
      <c r="AQ210" s="1064"/>
      <c r="AR210" s="1137"/>
      <c r="AS210" s="1055"/>
      <c r="AT210" s="1133"/>
      <c r="AU210" s="1133"/>
      <c r="AV210" s="1133"/>
      <c r="AW210" s="1133"/>
      <c r="AX210" s="1133"/>
      <c r="AY210" s="1133"/>
      <c r="AZ210" s="1133"/>
      <c r="BA210" s="1133"/>
      <c r="BB210" s="1133"/>
      <c r="BC210" s="1133"/>
      <c r="BD210" s="1133"/>
      <c r="BE210" s="1480"/>
      <c r="BF210" s="1480"/>
      <c r="BG210" s="1480"/>
      <c r="BH210" s="1480"/>
      <c r="BI210" s="1480"/>
      <c r="BJ210" s="1480"/>
    </row>
    <row r="211" spans="1:62" s="629" customFormat="1" ht="12.75" x14ac:dyDescent="0.2">
      <c r="A211" s="2365"/>
      <c r="B211" s="2366"/>
      <c r="C211" s="2023"/>
      <c r="D211" s="2023"/>
      <c r="E211" s="2023"/>
      <c r="F211" s="2023"/>
      <c r="G211" s="2006"/>
      <c r="H211" s="2367"/>
      <c r="I211" s="2023"/>
      <c r="J211" s="2023"/>
      <c r="K211" s="2023"/>
      <c r="L211" s="2343"/>
      <c r="M211" s="2006"/>
      <c r="N211" s="2347"/>
      <c r="O211" s="2347"/>
      <c r="P211" s="1146" t="s">
        <v>3961</v>
      </c>
      <c r="Q211" s="2023"/>
      <c r="R211" s="2023"/>
      <c r="S211" s="2023"/>
      <c r="T211" s="2023"/>
      <c r="U211" s="2023"/>
      <c r="V211" s="2023"/>
      <c r="W211" s="2006"/>
      <c r="X211" s="2367"/>
      <c r="Y211" s="2023"/>
      <c r="Z211" s="2023"/>
      <c r="AA211" s="2363"/>
      <c r="AB211" s="2023"/>
      <c r="AC211" s="2343"/>
      <c r="AD211" s="2343"/>
      <c r="AE211" s="2371"/>
      <c r="AF211" s="1155">
        <v>125.8</v>
      </c>
      <c r="AG211" s="1139">
        <f>257.42+641.5+5774.69</f>
        <v>6673.61</v>
      </c>
      <c r="AH211" s="1139">
        <f t="shared" si="3"/>
        <v>6799.41</v>
      </c>
      <c r="AI211" s="1055"/>
      <c r="AJ211" s="1064"/>
      <c r="AK211" s="1055"/>
      <c r="AL211" s="1133"/>
      <c r="AM211" s="1055"/>
      <c r="AN211" s="1055"/>
      <c r="AO211" s="1064"/>
      <c r="AP211" s="1137"/>
      <c r="AQ211" s="1064"/>
      <c r="AR211" s="1137"/>
      <c r="AS211" s="1055"/>
      <c r="AT211" s="1133"/>
      <c r="AU211" s="1133"/>
      <c r="AV211" s="1133"/>
      <c r="AW211" s="1133"/>
      <c r="AX211" s="1133"/>
      <c r="AY211" s="1133"/>
      <c r="AZ211" s="1133"/>
      <c r="BA211" s="1133"/>
      <c r="BB211" s="1133"/>
      <c r="BC211" s="1133"/>
      <c r="BD211" s="1133"/>
      <c r="BE211" s="1480"/>
      <c r="BF211" s="1480"/>
      <c r="BG211" s="1480"/>
      <c r="BH211" s="1480"/>
      <c r="BI211" s="1480"/>
      <c r="BJ211" s="1480"/>
    </row>
    <row r="212" spans="1:62" s="629" customFormat="1" ht="25.5" customHeight="1" x14ac:dyDescent="0.2">
      <c r="A212" s="2365">
        <v>64</v>
      </c>
      <c r="B212" s="2366" t="s">
        <v>4127</v>
      </c>
      <c r="C212" s="2023" t="s">
        <v>967</v>
      </c>
      <c r="D212" s="2023" t="s">
        <v>1548</v>
      </c>
      <c r="E212" s="2023" t="s">
        <v>584</v>
      </c>
      <c r="F212" s="2023" t="s">
        <v>4197</v>
      </c>
      <c r="G212" s="2006">
        <v>10991</v>
      </c>
      <c r="H212" s="2367" t="s">
        <v>4198</v>
      </c>
      <c r="I212" s="2023" t="s">
        <v>4199</v>
      </c>
      <c r="J212" s="2023" t="s">
        <v>4140</v>
      </c>
      <c r="K212" s="2347">
        <v>41514</v>
      </c>
      <c r="L212" s="2343">
        <v>277347.5</v>
      </c>
      <c r="M212" s="2006">
        <v>11133</v>
      </c>
      <c r="N212" s="2347">
        <v>41514</v>
      </c>
      <c r="O212" s="2347">
        <v>41639</v>
      </c>
      <c r="P212" s="1146" t="s">
        <v>3905</v>
      </c>
      <c r="Q212" s="2023"/>
      <c r="R212" s="2023"/>
      <c r="S212" s="2023"/>
      <c r="T212" s="2023" t="s">
        <v>316</v>
      </c>
      <c r="U212" s="1055"/>
      <c r="V212" s="1055"/>
      <c r="W212" s="1064"/>
      <c r="X212" s="1146"/>
      <c r="Y212" s="1055"/>
      <c r="Z212" s="1055"/>
      <c r="AA212" s="1138"/>
      <c r="AB212" s="1055"/>
      <c r="AC212" s="1139"/>
      <c r="AD212" s="1139"/>
      <c r="AE212" s="1155"/>
      <c r="AF212" s="1155">
        <v>10768.62</v>
      </c>
      <c r="AG212" s="1139">
        <v>8799.4500000000007</v>
      </c>
      <c r="AH212" s="1139">
        <f t="shared" si="3"/>
        <v>19568.07</v>
      </c>
      <c r="AI212" s="1055"/>
      <c r="AJ212" s="1064"/>
      <c r="AK212" s="1055"/>
      <c r="AL212" s="1133"/>
      <c r="AM212" s="1055"/>
      <c r="AN212" s="1055"/>
      <c r="AO212" s="1064"/>
      <c r="AP212" s="1137"/>
      <c r="AQ212" s="1064"/>
      <c r="AR212" s="1137"/>
      <c r="AS212" s="1055"/>
      <c r="AT212" s="1133"/>
      <c r="AU212" s="1133"/>
      <c r="AV212" s="1133"/>
      <c r="AW212" s="1133"/>
      <c r="AX212" s="1133"/>
      <c r="AY212" s="1133"/>
      <c r="AZ212" s="1133"/>
      <c r="BA212" s="1133"/>
      <c r="BB212" s="1133"/>
      <c r="BC212" s="1133"/>
      <c r="BD212" s="1133"/>
      <c r="BE212" s="1480"/>
      <c r="BF212" s="1480"/>
      <c r="BG212" s="1480"/>
      <c r="BH212" s="1480"/>
      <c r="BI212" s="1480"/>
      <c r="BJ212" s="1480"/>
    </row>
    <row r="213" spans="1:62" s="629" customFormat="1" ht="23.25" customHeight="1" x14ac:dyDescent="0.2">
      <c r="A213" s="2365"/>
      <c r="B213" s="2366"/>
      <c r="C213" s="2023"/>
      <c r="D213" s="2023"/>
      <c r="E213" s="2023"/>
      <c r="F213" s="2023"/>
      <c r="G213" s="2006"/>
      <c r="H213" s="2367"/>
      <c r="I213" s="2023"/>
      <c r="J213" s="2023"/>
      <c r="K213" s="2023"/>
      <c r="L213" s="2343"/>
      <c r="M213" s="2006"/>
      <c r="N213" s="2347"/>
      <c r="O213" s="2347"/>
      <c r="P213" s="1146" t="s">
        <v>3961</v>
      </c>
      <c r="Q213" s="2023"/>
      <c r="R213" s="2023"/>
      <c r="S213" s="2023"/>
      <c r="T213" s="2023"/>
      <c r="U213" s="1146" t="s">
        <v>3906</v>
      </c>
      <c r="V213" s="1137">
        <v>41631</v>
      </c>
      <c r="W213" s="1064">
        <v>11221</v>
      </c>
      <c r="X213" s="1146" t="s">
        <v>3923</v>
      </c>
      <c r="Y213" s="1137">
        <v>41333</v>
      </c>
      <c r="Z213" s="1137">
        <v>41639</v>
      </c>
      <c r="AA213" s="1138"/>
      <c r="AB213" s="1138">
        <f>AD213/L212</f>
        <v>6.958779148901649E-2</v>
      </c>
      <c r="AC213" s="1139"/>
      <c r="AD213" s="1139">
        <v>19300</v>
      </c>
      <c r="AE213" s="1155">
        <f>L212-AD213+AC213</f>
        <v>258047.5</v>
      </c>
      <c r="AF213" s="1155">
        <v>171060.35</v>
      </c>
      <c r="AG213" s="1139">
        <f>2394+31233.57</f>
        <v>33627.57</v>
      </c>
      <c r="AH213" s="1139">
        <f t="shared" si="3"/>
        <v>204687.92</v>
      </c>
      <c r="AI213" s="1055"/>
      <c r="AJ213" s="1064"/>
      <c r="AK213" s="1055"/>
      <c r="AL213" s="1133"/>
      <c r="AM213" s="1055"/>
      <c r="AN213" s="1055"/>
      <c r="AO213" s="1064"/>
      <c r="AP213" s="1137"/>
      <c r="AQ213" s="1064"/>
      <c r="AR213" s="1137"/>
      <c r="AS213" s="1055"/>
      <c r="AT213" s="1133"/>
      <c r="AU213" s="1133"/>
      <c r="AV213" s="1133"/>
      <c r="AW213" s="1133"/>
      <c r="AX213" s="1133"/>
      <c r="AY213" s="1133"/>
      <c r="AZ213" s="1133"/>
      <c r="BA213" s="1133"/>
      <c r="BB213" s="1133"/>
      <c r="BC213" s="1133"/>
      <c r="BD213" s="1133"/>
      <c r="BE213" s="1480"/>
      <c r="BF213" s="1480"/>
      <c r="BG213" s="1480"/>
      <c r="BH213" s="1480"/>
      <c r="BI213" s="1480"/>
      <c r="BJ213" s="1480"/>
    </row>
    <row r="214" spans="1:62" s="629" customFormat="1" ht="45" customHeight="1" x14ac:dyDescent="0.2">
      <c r="A214" s="2365">
        <v>65</v>
      </c>
      <c r="B214" s="2366" t="s">
        <v>4127</v>
      </c>
      <c r="C214" s="2023" t="s">
        <v>967</v>
      </c>
      <c r="D214" s="2023" t="s">
        <v>1548</v>
      </c>
      <c r="E214" s="2023" t="s">
        <v>584</v>
      </c>
      <c r="F214" s="2023" t="s">
        <v>4197</v>
      </c>
      <c r="G214" s="2006">
        <v>10967</v>
      </c>
      <c r="H214" s="2367" t="s">
        <v>4200</v>
      </c>
      <c r="I214" s="2023" t="s">
        <v>4201</v>
      </c>
      <c r="J214" s="2023" t="s">
        <v>4134</v>
      </c>
      <c r="K214" s="2347">
        <v>41514</v>
      </c>
      <c r="L214" s="2343">
        <v>90504.14</v>
      </c>
      <c r="M214" s="2006">
        <v>11133</v>
      </c>
      <c r="N214" s="2347">
        <v>41514</v>
      </c>
      <c r="O214" s="2347">
        <v>41639</v>
      </c>
      <c r="P214" s="1146" t="s">
        <v>3905</v>
      </c>
      <c r="Q214" s="2023"/>
      <c r="R214" s="2023"/>
      <c r="S214" s="2023"/>
      <c r="T214" s="2023" t="s">
        <v>316</v>
      </c>
      <c r="U214" s="2023"/>
      <c r="V214" s="2023"/>
      <c r="W214" s="2006"/>
      <c r="X214" s="2355"/>
      <c r="Y214" s="2023"/>
      <c r="Z214" s="2023"/>
      <c r="AA214" s="2363"/>
      <c r="AB214" s="2023"/>
      <c r="AC214" s="2343"/>
      <c r="AD214" s="2343"/>
      <c r="AE214" s="2345">
        <f>L214-AD214+AC214</f>
        <v>90504.14</v>
      </c>
      <c r="AF214" s="1155">
        <v>9096.57</v>
      </c>
      <c r="AG214" s="1139">
        <v>1051.9000000000001</v>
      </c>
      <c r="AH214" s="1139">
        <f t="shared" si="3"/>
        <v>10148.469999999999</v>
      </c>
      <c r="AI214" s="1055"/>
      <c r="AJ214" s="1064"/>
      <c r="AK214" s="1055"/>
      <c r="AL214" s="1133"/>
      <c r="AM214" s="1055"/>
      <c r="AN214" s="1055"/>
      <c r="AO214" s="1064"/>
      <c r="AP214" s="1137"/>
      <c r="AQ214" s="1064"/>
      <c r="AR214" s="1137"/>
      <c r="AS214" s="1055"/>
      <c r="AT214" s="1133"/>
      <c r="AU214" s="1133"/>
      <c r="AV214" s="1133"/>
      <c r="AW214" s="1133"/>
      <c r="AX214" s="1133"/>
      <c r="AY214" s="1133"/>
      <c r="AZ214" s="1133"/>
      <c r="BA214" s="1133"/>
      <c r="BB214" s="1133"/>
      <c r="BC214" s="1133"/>
      <c r="BD214" s="1133"/>
      <c r="BE214" s="1480"/>
      <c r="BF214" s="1480"/>
      <c r="BG214" s="1480"/>
      <c r="BH214" s="1480"/>
      <c r="BI214" s="1480"/>
      <c r="BJ214" s="1480"/>
    </row>
    <row r="215" spans="1:62" s="629" customFormat="1" ht="12.75" x14ac:dyDescent="0.2">
      <c r="A215" s="2365"/>
      <c r="B215" s="2366"/>
      <c r="C215" s="2023"/>
      <c r="D215" s="2023"/>
      <c r="E215" s="2023"/>
      <c r="F215" s="2023"/>
      <c r="G215" s="2006"/>
      <c r="H215" s="2367"/>
      <c r="I215" s="2023"/>
      <c r="J215" s="2023"/>
      <c r="K215" s="2023"/>
      <c r="L215" s="2343"/>
      <c r="M215" s="2006"/>
      <c r="N215" s="2347"/>
      <c r="O215" s="2347"/>
      <c r="P215" s="1146" t="s">
        <v>3961</v>
      </c>
      <c r="Q215" s="2023"/>
      <c r="R215" s="2023"/>
      <c r="S215" s="2023"/>
      <c r="T215" s="2023"/>
      <c r="U215" s="2023"/>
      <c r="V215" s="2023"/>
      <c r="W215" s="2006"/>
      <c r="X215" s="2355"/>
      <c r="Y215" s="2023"/>
      <c r="Z215" s="2023"/>
      <c r="AA215" s="2363"/>
      <c r="AB215" s="2023"/>
      <c r="AC215" s="2343"/>
      <c r="AD215" s="2343"/>
      <c r="AE215" s="2371"/>
      <c r="AF215" s="1155">
        <v>58729.82</v>
      </c>
      <c r="AG215" s="1150">
        <f>107.37+1009.2+64.66+29.85+772.23+171.24+12546.53</f>
        <v>14701.080000000002</v>
      </c>
      <c r="AH215" s="1139">
        <f t="shared" si="3"/>
        <v>73430.899999999994</v>
      </c>
      <c r="AI215" s="1055"/>
      <c r="AJ215" s="1064"/>
      <c r="AK215" s="1055"/>
      <c r="AL215" s="1133"/>
      <c r="AM215" s="1055"/>
      <c r="AN215" s="1055"/>
      <c r="AO215" s="1064"/>
      <c r="AP215" s="1137"/>
      <c r="AQ215" s="1064"/>
      <c r="AR215" s="1137"/>
      <c r="AS215" s="1055"/>
      <c r="AT215" s="1133"/>
      <c r="AU215" s="1133"/>
      <c r="AV215" s="1133"/>
      <c r="AW215" s="1133"/>
      <c r="AX215" s="1133"/>
      <c r="AY215" s="1133"/>
      <c r="AZ215" s="1133"/>
      <c r="BA215" s="1133"/>
      <c r="BB215" s="1133"/>
      <c r="BC215" s="1133"/>
      <c r="BD215" s="1133"/>
      <c r="BE215" s="1480"/>
      <c r="BF215" s="1480"/>
      <c r="BG215" s="1480"/>
      <c r="BH215" s="1480"/>
      <c r="BI215" s="1480"/>
      <c r="BJ215" s="1480"/>
    </row>
    <row r="216" spans="1:62" s="629" customFormat="1" ht="45" customHeight="1" x14ac:dyDescent="0.2">
      <c r="A216" s="2365">
        <v>66</v>
      </c>
      <c r="B216" s="2366" t="s">
        <v>4127</v>
      </c>
      <c r="C216" s="2023" t="s">
        <v>967</v>
      </c>
      <c r="D216" s="2023" t="s">
        <v>1548</v>
      </c>
      <c r="E216" s="2023" t="s">
        <v>584</v>
      </c>
      <c r="F216" s="2023" t="s">
        <v>4197</v>
      </c>
      <c r="G216" s="2006">
        <v>10967</v>
      </c>
      <c r="H216" s="2367" t="s">
        <v>4202</v>
      </c>
      <c r="I216" s="2023" t="s">
        <v>4203</v>
      </c>
      <c r="J216" s="2023" t="s">
        <v>225</v>
      </c>
      <c r="K216" s="2347">
        <v>41514</v>
      </c>
      <c r="L216" s="2343">
        <v>91315.77</v>
      </c>
      <c r="M216" s="2006">
        <v>11133</v>
      </c>
      <c r="N216" s="2347">
        <v>41514</v>
      </c>
      <c r="O216" s="2347">
        <v>41639</v>
      </c>
      <c r="P216" s="1146" t="s">
        <v>3905</v>
      </c>
      <c r="Q216" s="2023"/>
      <c r="R216" s="2023"/>
      <c r="S216" s="2023"/>
      <c r="T216" s="2023" t="s">
        <v>316</v>
      </c>
      <c r="U216" s="2023"/>
      <c r="V216" s="2023"/>
      <c r="W216" s="2006"/>
      <c r="X216" s="2367"/>
      <c r="Y216" s="2023"/>
      <c r="Z216" s="2023"/>
      <c r="AA216" s="2363"/>
      <c r="AB216" s="2023"/>
      <c r="AC216" s="2343"/>
      <c r="AD216" s="2343"/>
      <c r="AE216" s="2345">
        <f>L216-AD216+AC216</f>
        <v>91315.77</v>
      </c>
      <c r="AF216" s="1155">
        <v>2907.27</v>
      </c>
      <c r="AG216" s="1139">
        <f>1008.63</f>
        <v>1008.63</v>
      </c>
      <c r="AH216" s="1139">
        <f t="shared" si="3"/>
        <v>3915.9</v>
      </c>
      <c r="AI216" s="1055"/>
      <c r="AJ216" s="1064"/>
      <c r="AK216" s="1055"/>
      <c r="AL216" s="1133"/>
      <c r="AM216" s="1055"/>
      <c r="AN216" s="1055"/>
      <c r="AO216" s="1064"/>
      <c r="AP216" s="1137"/>
      <c r="AQ216" s="1064"/>
      <c r="AR216" s="1137"/>
      <c r="AS216" s="1055"/>
      <c r="AT216" s="1133"/>
      <c r="AU216" s="1133"/>
      <c r="AV216" s="1133"/>
      <c r="AW216" s="1133"/>
      <c r="AX216" s="1133"/>
      <c r="AY216" s="1133"/>
      <c r="AZ216" s="1133"/>
      <c r="BA216" s="1133"/>
      <c r="BB216" s="1133"/>
      <c r="BC216" s="1133"/>
      <c r="BD216" s="1133"/>
      <c r="BE216" s="1480"/>
      <c r="BF216" s="1480"/>
      <c r="BG216" s="1480"/>
      <c r="BH216" s="1480"/>
      <c r="BI216" s="1480"/>
      <c r="BJ216" s="1480"/>
    </row>
    <row r="217" spans="1:62" s="629" customFormat="1" ht="12.75" x14ac:dyDescent="0.2">
      <c r="A217" s="2365"/>
      <c r="B217" s="2366"/>
      <c r="C217" s="2023"/>
      <c r="D217" s="2023"/>
      <c r="E217" s="2023"/>
      <c r="F217" s="2023"/>
      <c r="G217" s="2006"/>
      <c r="H217" s="2367"/>
      <c r="I217" s="2023"/>
      <c r="J217" s="2023"/>
      <c r="K217" s="2023"/>
      <c r="L217" s="2343"/>
      <c r="M217" s="2006"/>
      <c r="N217" s="2347"/>
      <c r="O217" s="2347"/>
      <c r="P217" s="1146" t="s">
        <v>3961</v>
      </c>
      <c r="Q217" s="2023"/>
      <c r="R217" s="2023"/>
      <c r="S217" s="2023"/>
      <c r="T217" s="2023"/>
      <c r="U217" s="2023"/>
      <c r="V217" s="2023"/>
      <c r="W217" s="2006"/>
      <c r="X217" s="2367"/>
      <c r="Y217" s="2023"/>
      <c r="Z217" s="2023"/>
      <c r="AA217" s="2363"/>
      <c r="AB217" s="2023"/>
      <c r="AC217" s="2343"/>
      <c r="AD217" s="2343"/>
      <c r="AE217" s="2371"/>
      <c r="AF217" s="1155">
        <v>61020.02</v>
      </c>
      <c r="AG217" s="1139">
        <v>19420.91</v>
      </c>
      <c r="AH217" s="1139">
        <f t="shared" si="3"/>
        <v>80440.929999999993</v>
      </c>
      <c r="AI217" s="1055"/>
      <c r="AJ217" s="1064"/>
      <c r="AK217" s="1055"/>
      <c r="AL217" s="1133"/>
      <c r="AM217" s="1055"/>
      <c r="AN217" s="1055"/>
      <c r="AO217" s="1064"/>
      <c r="AP217" s="1137"/>
      <c r="AQ217" s="1064"/>
      <c r="AR217" s="1137"/>
      <c r="AS217" s="1055"/>
      <c r="AT217" s="1133"/>
      <c r="AU217" s="1133"/>
      <c r="AV217" s="1133"/>
      <c r="AW217" s="1133"/>
      <c r="AX217" s="1133"/>
      <c r="AY217" s="1133"/>
      <c r="AZ217" s="1133"/>
      <c r="BA217" s="1133"/>
      <c r="BB217" s="1133"/>
      <c r="BC217" s="1133"/>
      <c r="BD217" s="1133"/>
      <c r="BE217" s="1480"/>
      <c r="BF217" s="1480"/>
      <c r="BG217" s="1480"/>
      <c r="BH217" s="1480"/>
      <c r="BI217" s="1480"/>
      <c r="BJ217" s="1480"/>
    </row>
    <row r="218" spans="1:62" s="629" customFormat="1" ht="28.5" customHeight="1" x14ac:dyDescent="0.2">
      <c r="A218" s="2365">
        <v>67</v>
      </c>
      <c r="B218" s="2366" t="s">
        <v>4204</v>
      </c>
      <c r="C218" s="2023" t="s">
        <v>967</v>
      </c>
      <c r="D218" s="2023" t="s">
        <v>1548</v>
      </c>
      <c r="E218" s="2023" t="s">
        <v>584</v>
      </c>
      <c r="F218" s="2023" t="s">
        <v>4205</v>
      </c>
      <c r="G218" s="2006">
        <v>10991</v>
      </c>
      <c r="H218" s="2367" t="s">
        <v>4206</v>
      </c>
      <c r="I218" s="2023" t="s">
        <v>4207</v>
      </c>
      <c r="J218" s="2023" t="s">
        <v>4208</v>
      </c>
      <c r="K218" s="2347">
        <v>41514</v>
      </c>
      <c r="L218" s="2343">
        <v>35207.599999999999</v>
      </c>
      <c r="M218" s="2006">
        <v>11137</v>
      </c>
      <c r="N218" s="2347">
        <v>41514</v>
      </c>
      <c r="O218" s="2347">
        <v>41639</v>
      </c>
      <c r="P218" s="1146" t="s">
        <v>3905</v>
      </c>
      <c r="Q218" s="2023"/>
      <c r="R218" s="2023"/>
      <c r="S218" s="2023"/>
      <c r="T218" s="2023" t="s">
        <v>316</v>
      </c>
      <c r="U218" s="2023"/>
      <c r="V218" s="2023"/>
      <c r="W218" s="2006"/>
      <c r="X218" s="2367"/>
      <c r="Y218" s="2023"/>
      <c r="Z218" s="2023"/>
      <c r="AA218" s="2363"/>
      <c r="AB218" s="2023"/>
      <c r="AC218" s="2343"/>
      <c r="AD218" s="2343"/>
      <c r="AE218" s="2345">
        <f>L218-AD218+AC218</f>
        <v>35207.599999999999</v>
      </c>
      <c r="AF218" s="1155">
        <v>6936.5</v>
      </c>
      <c r="AG218" s="1139"/>
      <c r="AH218" s="1139">
        <f t="shared" si="3"/>
        <v>6936.5</v>
      </c>
      <c r="AI218" s="1055"/>
      <c r="AJ218" s="1064"/>
      <c r="AK218" s="1055"/>
      <c r="AL218" s="1133"/>
      <c r="AM218" s="1055"/>
      <c r="AN218" s="1055"/>
      <c r="AO218" s="1064"/>
      <c r="AP218" s="1137"/>
      <c r="AQ218" s="1064"/>
      <c r="AR218" s="1137"/>
      <c r="AS218" s="1055"/>
      <c r="AT218" s="1133"/>
      <c r="AU218" s="1133"/>
      <c r="AV218" s="1133"/>
      <c r="AW218" s="1133"/>
      <c r="AX218" s="1133"/>
      <c r="AY218" s="1133"/>
      <c r="AZ218" s="1133"/>
      <c r="BA218" s="1133"/>
      <c r="BB218" s="1133"/>
      <c r="BC218" s="1133"/>
      <c r="BD218" s="1133"/>
      <c r="BE218" s="1480"/>
      <c r="BF218" s="1480"/>
      <c r="BG218" s="1480"/>
      <c r="BH218" s="1480"/>
      <c r="BI218" s="1480"/>
      <c r="BJ218" s="1480"/>
    </row>
    <row r="219" spans="1:62" s="629" customFormat="1" ht="12.75" x14ac:dyDescent="0.2">
      <c r="A219" s="2365"/>
      <c r="B219" s="2366"/>
      <c r="C219" s="2023"/>
      <c r="D219" s="2023"/>
      <c r="E219" s="2023"/>
      <c r="F219" s="2023"/>
      <c r="G219" s="2006"/>
      <c r="H219" s="2367"/>
      <c r="I219" s="2023"/>
      <c r="J219" s="2023"/>
      <c r="K219" s="2023"/>
      <c r="L219" s="2343"/>
      <c r="M219" s="2006"/>
      <c r="N219" s="2347"/>
      <c r="O219" s="2347"/>
      <c r="P219" s="1146" t="s">
        <v>3961</v>
      </c>
      <c r="Q219" s="2023"/>
      <c r="R219" s="2023"/>
      <c r="S219" s="2023"/>
      <c r="T219" s="2023"/>
      <c r="U219" s="2023"/>
      <c r="V219" s="2023"/>
      <c r="W219" s="2006"/>
      <c r="X219" s="2367"/>
      <c r="Y219" s="2023"/>
      <c r="Z219" s="2023"/>
      <c r="AA219" s="2363"/>
      <c r="AB219" s="2023"/>
      <c r="AC219" s="2343"/>
      <c r="AD219" s="2343"/>
      <c r="AE219" s="2371"/>
      <c r="AF219" s="1155">
        <f>14158.2+361.6+266</f>
        <v>14785.800000000001</v>
      </c>
      <c r="AG219" s="1139">
        <v>4622.8</v>
      </c>
      <c r="AH219" s="1139">
        <f t="shared" ref="AH219:AH282" si="4">AF219+AG219</f>
        <v>19408.600000000002</v>
      </c>
      <c r="AI219" s="1055"/>
      <c r="AJ219" s="1064"/>
      <c r="AK219" s="1055"/>
      <c r="AL219" s="1133"/>
      <c r="AM219" s="1055"/>
      <c r="AN219" s="1055"/>
      <c r="AO219" s="1064"/>
      <c r="AP219" s="1137"/>
      <c r="AQ219" s="1064"/>
      <c r="AR219" s="1137"/>
      <c r="AS219" s="1055"/>
      <c r="AT219" s="1133"/>
      <c r="AU219" s="1133"/>
      <c r="AV219" s="1133"/>
      <c r="AW219" s="1133"/>
      <c r="AX219" s="1133"/>
      <c r="AY219" s="1133"/>
      <c r="AZ219" s="1133"/>
      <c r="BA219" s="1133"/>
      <c r="BB219" s="1133"/>
      <c r="BC219" s="1133"/>
      <c r="BD219" s="1133"/>
      <c r="BE219" s="1480"/>
      <c r="BF219" s="1480"/>
      <c r="BG219" s="1480"/>
      <c r="BH219" s="1480"/>
      <c r="BI219" s="1480"/>
      <c r="BJ219" s="1480"/>
    </row>
    <row r="220" spans="1:62" s="629" customFormat="1" ht="71.25" customHeight="1" x14ac:dyDescent="0.2">
      <c r="A220" s="2365">
        <v>68</v>
      </c>
      <c r="B220" s="2366" t="s">
        <v>4204</v>
      </c>
      <c r="C220" s="2023" t="s">
        <v>967</v>
      </c>
      <c r="D220" s="2023" t="s">
        <v>1548</v>
      </c>
      <c r="E220" s="2023" t="s">
        <v>584</v>
      </c>
      <c r="F220" s="2023" t="s">
        <v>4205</v>
      </c>
      <c r="G220" s="2006">
        <v>10985</v>
      </c>
      <c r="H220" s="2367" t="s">
        <v>4209</v>
      </c>
      <c r="I220" s="2023" t="s">
        <v>4136</v>
      </c>
      <c r="J220" s="2023" t="s">
        <v>4137</v>
      </c>
      <c r="K220" s="2347">
        <v>41514</v>
      </c>
      <c r="L220" s="2343">
        <v>155792.12</v>
      </c>
      <c r="M220" s="2006">
        <v>11137</v>
      </c>
      <c r="N220" s="2347">
        <v>41514</v>
      </c>
      <c r="O220" s="2347">
        <v>41639</v>
      </c>
      <c r="P220" s="1146" t="s">
        <v>3905</v>
      </c>
      <c r="Q220" s="2023"/>
      <c r="R220" s="2023"/>
      <c r="S220" s="2023"/>
      <c r="T220" s="2023" t="s">
        <v>316</v>
      </c>
      <c r="U220" s="2023"/>
      <c r="V220" s="2023"/>
      <c r="W220" s="2006"/>
      <c r="X220" s="2367"/>
      <c r="Y220" s="2023"/>
      <c r="Z220" s="2023"/>
      <c r="AA220" s="2363"/>
      <c r="AB220" s="2023"/>
      <c r="AC220" s="2343"/>
      <c r="AD220" s="1139"/>
      <c r="AE220" s="2345">
        <f>L220-AD220+AC220</f>
        <v>155792.12</v>
      </c>
      <c r="AF220" s="1155">
        <v>44080.480000000003</v>
      </c>
      <c r="AG220" s="1139">
        <v>14771.64</v>
      </c>
      <c r="AH220" s="1139">
        <f t="shared" si="4"/>
        <v>58852.12</v>
      </c>
      <c r="AI220" s="1055"/>
      <c r="AJ220" s="1064"/>
      <c r="AK220" s="1055"/>
      <c r="AL220" s="1133"/>
      <c r="AM220" s="1055"/>
      <c r="AN220" s="1055"/>
      <c r="AO220" s="1064"/>
      <c r="AP220" s="1137"/>
      <c r="AQ220" s="1064"/>
      <c r="AR220" s="1137"/>
      <c r="AS220" s="1055"/>
      <c r="AT220" s="1133"/>
      <c r="AU220" s="1133"/>
      <c r="AV220" s="1133"/>
      <c r="AW220" s="1133"/>
      <c r="AX220" s="1133"/>
      <c r="AY220" s="1133"/>
      <c r="AZ220" s="1133"/>
      <c r="BA220" s="1133"/>
      <c r="BB220" s="1133"/>
      <c r="BC220" s="1133"/>
      <c r="BD220" s="1133"/>
      <c r="BE220" s="1480"/>
      <c r="BF220" s="1480"/>
      <c r="BG220" s="1480"/>
      <c r="BH220" s="1480"/>
      <c r="BI220" s="1480"/>
      <c r="BJ220" s="1480"/>
    </row>
    <row r="221" spans="1:62" s="629" customFormat="1" ht="12.75" x14ac:dyDescent="0.2">
      <c r="A221" s="2365"/>
      <c r="B221" s="2366"/>
      <c r="C221" s="2023"/>
      <c r="D221" s="2023"/>
      <c r="E221" s="2023"/>
      <c r="F221" s="2023"/>
      <c r="G221" s="2006"/>
      <c r="H221" s="2367"/>
      <c r="I221" s="2023"/>
      <c r="J221" s="2023"/>
      <c r="K221" s="2023"/>
      <c r="L221" s="2343"/>
      <c r="M221" s="2006"/>
      <c r="N221" s="2347"/>
      <c r="O221" s="2347"/>
      <c r="P221" s="1146" t="s">
        <v>3961</v>
      </c>
      <c r="Q221" s="2023"/>
      <c r="R221" s="2023"/>
      <c r="S221" s="2023"/>
      <c r="T221" s="2023"/>
      <c r="U221" s="2023"/>
      <c r="V221" s="2023"/>
      <c r="W221" s="2006"/>
      <c r="X221" s="2367"/>
      <c r="Y221" s="2023"/>
      <c r="Z221" s="2023"/>
      <c r="AA221" s="2363"/>
      <c r="AB221" s="2023"/>
      <c r="AC221" s="2343"/>
      <c r="AD221" s="1139"/>
      <c r="AE221" s="2371"/>
      <c r="AF221" s="1155">
        <v>60346.64</v>
      </c>
      <c r="AG221" s="1139">
        <v>27189.46</v>
      </c>
      <c r="AH221" s="1139">
        <f t="shared" si="4"/>
        <v>87536.1</v>
      </c>
      <c r="AI221" s="1055"/>
      <c r="AJ221" s="1064"/>
      <c r="AK221" s="1055"/>
      <c r="AL221" s="1133"/>
      <c r="AM221" s="1055"/>
      <c r="AN221" s="1055"/>
      <c r="AO221" s="1064"/>
      <c r="AP221" s="1137"/>
      <c r="AQ221" s="1064"/>
      <c r="AR221" s="1137"/>
      <c r="AS221" s="1055"/>
      <c r="AT221" s="1133"/>
      <c r="AU221" s="1133"/>
      <c r="AV221" s="1133"/>
      <c r="AW221" s="1133"/>
      <c r="AX221" s="1133"/>
      <c r="AY221" s="1133"/>
      <c r="AZ221" s="1133"/>
      <c r="BA221" s="1133"/>
      <c r="BB221" s="1133"/>
      <c r="BC221" s="1133"/>
      <c r="BD221" s="1133"/>
      <c r="BE221" s="1480"/>
      <c r="BF221" s="1480"/>
      <c r="BG221" s="1480"/>
      <c r="BH221" s="1480"/>
      <c r="BI221" s="1480"/>
      <c r="BJ221" s="1480"/>
    </row>
    <row r="222" spans="1:62" s="629" customFormat="1" ht="45" customHeight="1" x14ac:dyDescent="0.2">
      <c r="A222" s="2365">
        <v>69</v>
      </c>
      <c r="B222" s="2366" t="s">
        <v>4127</v>
      </c>
      <c r="C222" s="2023" t="s">
        <v>967</v>
      </c>
      <c r="D222" s="2023" t="s">
        <v>1548</v>
      </c>
      <c r="E222" s="2023" t="s">
        <v>584</v>
      </c>
      <c r="F222" s="2023" t="s">
        <v>4197</v>
      </c>
      <c r="G222" s="2006">
        <v>10991</v>
      </c>
      <c r="H222" s="2367" t="s">
        <v>4210</v>
      </c>
      <c r="I222" s="2023" t="s">
        <v>4211</v>
      </c>
      <c r="J222" s="2023" t="s">
        <v>4153</v>
      </c>
      <c r="K222" s="2347">
        <v>41514</v>
      </c>
      <c r="L222" s="2343">
        <v>29734.5</v>
      </c>
      <c r="M222" s="2006">
        <v>11137</v>
      </c>
      <c r="N222" s="2347">
        <v>41514</v>
      </c>
      <c r="O222" s="2347">
        <v>41639</v>
      </c>
      <c r="P222" s="1146" t="s">
        <v>3905</v>
      </c>
      <c r="Q222" s="2023"/>
      <c r="R222" s="2023"/>
      <c r="S222" s="2023"/>
      <c r="T222" s="2023" t="s">
        <v>316</v>
      </c>
      <c r="U222" s="2023"/>
      <c r="V222" s="2023"/>
      <c r="W222" s="2006"/>
      <c r="X222" s="2367"/>
      <c r="Y222" s="2023"/>
      <c r="Z222" s="2023"/>
      <c r="AA222" s="2363"/>
      <c r="AB222" s="2023"/>
      <c r="AC222" s="2343"/>
      <c r="AD222" s="2343"/>
      <c r="AE222" s="2345">
        <f>L222-AD222+AC222</f>
        <v>29734.5</v>
      </c>
      <c r="AF222" s="1155">
        <v>2719.3</v>
      </c>
      <c r="AG222" s="1139"/>
      <c r="AH222" s="1139">
        <f t="shared" si="4"/>
        <v>2719.3</v>
      </c>
      <c r="AI222" s="1055"/>
      <c r="AJ222" s="1064"/>
      <c r="AK222" s="1055"/>
      <c r="AL222" s="1133"/>
      <c r="AM222" s="1055"/>
      <c r="AN222" s="1055"/>
      <c r="AO222" s="1064"/>
      <c r="AP222" s="1137"/>
      <c r="AQ222" s="1064"/>
      <c r="AR222" s="1137"/>
      <c r="AS222" s="1055"/>
      <c r="AT222" s="1133"/>
      <c r="AU222" s="1133"/>
      <c r="AV222" s="1133"/>
      <c r="AW222" s="1133"/>
      <c r="AX222" s="1133"/>
      <c r="AY222" s="1133"/>
      <c r="AZ222" s="1133"/>
      <c r="BA222" s="1133"/>
      <c r="BB222" s="1133"/>
      <c r="BC222" s="1133"/>
      <c r="BD222" s="1133"/>
      <c r="BE222" s="1480"/>
      <c r="BF222" s="1480"/>
      <c r="BG222" s="1480"/>
      <c r="BH222" s="1480"/>
      <c r="BI222" s="1480"/>
      <c r="BJ222" s="1480"/>
    </row>
    <row r="223" spans="1:62" s="629" customFormat="1" ht="12.75" x14ac:dyDescent="0.2">
      <c r="A223" s="2365"/>
      <c r="B223" s="2366"/>
      <c r="C223" s="2023"/>
      <c r="D223" s="2023"/>
      <c r="E223" s="2023"/>
      <c r="F223" s="2023"/>
      <c r="G223" s="2006"/>
      <c r="H223" s="2367"/>
      <c r="I223" s="2023"/>
      <c r="J223" s="2023"/>
      <c r="K223" s="2023"/>
      <c r="L223" s="2343"/>
      <c r="M223" s="2006"/>
      <c r="N223" s="2347"/>
      <c r="O223" s="2347"/>
      <c r="P223" s="1146" t="s">
        <v>3961</v>
      </c>
      <c r="Q223" s="2023"/>
      <c r="R223" s="2023"/>
      <c r="S223" s="2023"/>
      <c r="T223" s="2023"/>
      <c r="U223" s="2023"/>
      <c r="V223" s="2023"/>
      <c r="W223" s="2006"/>
      <c r="X223" s="2367"/>
      <c r="Y223" s="2023"/>
      <c r="Z223" s="2023"/>
      <c r="AA223" s="2363"/>
      <c r="AB223" s="2023"/>
      <c r="AC223" s="2343"/>
      <c r="AD223" s="2343"/>
      <c r="AE223" s="2371"/>
      <c r="AF223" s="1155">
        <v>14286</v>
      </c>
      <c r="AG223" s="1139">
        <v>356</v>
      </c>
      <c r="AH223" s="1139">
        <f t="shared" si="4"/>
        <v>14642</v>
      </c>
      <c r="AI223" s="1055"/>
      <c r="AJ223" s="1064"/>
      <c r="AK223" s="1055"/>
      <c r="AL223" s="1133"/>
      <c r="AM223" s="1055"/>
      <c r="AN223" s="1055"/>
      <c r="AO223" s="1064"/>
      <c r="AP223" s="1137"/>
      <c r="AQ223" s="1064"/>
      <c r="AR223" s="1137"/>
      <c r="AS223" s="1055"/>
      <c r="AT223" s="1133"/>
      <c r="AU223" s="1133"/>
      <c r="AV223" s="1133"/>
      <c r="AW223" s="1133"/>
      <c r="AX223" s="1133"/>
      <c r="AY223" s="1133"/>
      <c r="AZ223" s="1133"/>
      <c r="BA223" s="1133"/>
      <c r="BB223" s="1133"/>
      <c r="BC223" s="1133"/>
      <c r="BD223" s="1133"/>
      <c r="BE223" s="1480"/>
      <c r="BF223" s="1480"/>
      <c r="BG223" s="1480"/>
      <c r="BH223" s="1480"/>
      <c r="BI223" s="1480"/>
      <c r="BJ223" s="1480"/>
    </row>
    <row r="224" spans="1:62" s="629" customFormat="1" ht="45" customHeight="1" x14ac:dyDescent="0.2">
      <c r="A224" s="2365">
        <v>70</v>
      </c>
      <c r="B224" s="2366" t="s">
        <v>4127</v>
      </c>
      <c r="C224" s="2023" t="s">
        <v>967</v>
      </c>
      <c r="D224" s="2023" t="s">
        <v>1548</v>
      </c>
      <c r="E224" s="2023" t="s">
        <v>584</v>
      </c>
      <c r="F224" s="2023" t="s">
        <v>4197</v>
      </c>
      <c r="G224" s="2006">
        <v>10991</v>
      </c>
      <c r="H224" s="2367" t="s">
        <v>4212</v>
      </c>
      <c r="I224" s="2023" t="s">
        <v>4145</v>
      </c>
      <c r="J224" s="2023" t="s">
        <v>4146</v>
      </c>
      <c r="K224" s="2347">
        <v>41514</v>
      </c>
      <c r="L224" s="2343">
        <v>5690</v>
      </c>
      <c r="M224" s="2006">
        <v>11137</v>
      </c>
      <c r="N224" s="2347">
        <v>41514</v>
      </c>
      <c r="O224" s="2347">
        <v>41639</v>
      </c>
      <c r="P224" s="2367" t="s">
        <v>3961</v>
      </c>
      <c r="Q224" s="2023"/>
      <c r="R224" s="2023"/>
      <c r="S224" s="2023"/>
      <c r="T224" s="2028" t="s">
        <v>316</v>
      </c>
      <c r="U224" s="2023"/>
      <c r="V224" s="2023"/>
      <c r="W224" s="2006"/>
      <c r="X224" s="2367"/>
      <c r="Y224" s="2023"/>
      <c r="Z224" s="2023"/>
      <c r="AA224" s="2363"/>
      <c r="AB224" s="2023"/>
      <c r="AC224" s="2343"/>
      <c r="AD224" s="2343"/>
      <c r="AE224" s="2345">
        <f>L224-AD224+AC224</f>
        <v>5690</v>
      </c>
      <c r="AF224" s="1155">
        <v>715.5</v>
      </c>
      <c r="AG224" s="1139">
        <v>3369.5</v>
      </c>
      <c r="AH224" s="1139">
        <f t="shared" si="4"/>
        <v>4085</v>
      </c>
      <c r="AI224" s="1055"/>
      <c r="AJ224" s="1064"/>
      <c r="AK224" s="1055"/>
      <c r="AL224" s="1133"/>
      <c r="AM224" s="1055"/>
      <c r="AN224" s="1055"/>
      <c r="AO224" s="1064"/>
      <c r="AP224" s="1137"/>
      <c r="AQ224" s="1064"/>
      <c r="AR224" s="1137"/>
      <c r="AS224" s="1055"/>
      <c r="AT224" s="1133"/>
      <c r="AU224" s="1133"/>
      <c r="AV224" s="1133"/>
      <c r="AW224" s="1133"/>
      <c r="AX224" s="1133"/>
      <c r="AY224" s="1133"/>
      <c r="AZ224" s="1133"/>
      <c r="BA224" s="1133"/>
      <c r="BB224" s="1133"/>
      <c r="BC224" s="1133"/>
      <c r="BD224" s="1133"/>
      <c r="BE224" s="1480"/>
      <c r="BF224" s="1480"/>
      <c r="BG224" s="1480"/>
      <c r="BH224" s="1480"/>
      <c r="BI224" s="1480"/>
      <c r="BJ224" s="1480"/>
    </row>
    <row r="225" spans="1:62" s="629" customFormat="1" ht="12.75" x14ac:dyDescent="0.2">
      <c r="A225" s="2365"/>
      <c r="B225" s="2366"/>
      <c r="C225" s="2023"/>
      <c r="D225" s="2023"/>
      <c r="E225" s="2023"/>
      <c r="F225" s="2023"/>
      <c r="G225" s="2006"/>
      <c r="H225" s="2367"/>
      <c r="I225" s="2023"/>
      <c r="J225" s="2023"/>
      <c r="K225" s="2023"/>
      <c r="L225" s="2343"/>
      <c r="M225" s="2006"/>
      <c r="N225" s="2347"/>
      <c r="O225" s="2347"/>
      <c r="P225" s="2367"/>
      <c r="Q225" s="2023"/>
      <c r="R225" s="2023"/>
      <c r="S225" s="2023"/>
      <c r="T225" s="2030"/>
      <c r="U225" s="2023"/>
      <c r="V225" s="2023"/>
      <c r="W225" s="2006"/>
      <c r="X225" s="2367"/>
      <c r="Y225" s="2023"/>
      <c r="Z225" s="2023"/>
      <c r="AA225" s="2363"/>
      <c r="AB225" s="2023"/>
      <c r="AC225" s="2343"/>
      <c r="AD225" s="2343"/>
      <c r="AE225" s="2371"/>
      <c r="AF225" s="525">
        <v>0</v>
      </c>
      <c r="AG225" s="525">
        <v>0</v>
      </c>
      <c r="AH225" s="1139">
        <f t="shared" si="4"/>
        <v>0</v>
      </c>
      <c r="AI225" s="1055"/>
      <c r="AJ225" s="1064"/>
      <c r="AK225" s="1055"/>
      <c r="AL225" s="1133"/>
      <c r="AM225" s="1055"/>
      <c r="AN225" s="1055"/>
      <c r="AO225" s="1064"/>
      <c r="AP225" s="1137"/>
      <c r="AQ225" s="1064"/>
      <c r="AR225" s="1137"/>
      <c r="AS225" s="1055"/>
      <c r="AT225" s="1133"/>
      <c r="AU225" s="1133"/>
      <c r="AV225" s="1133"/>
      <c r="AW225" s="1133"/>
      <c r="AX225" s="1133"/>
      <c r="AY225" s="1133"/>
      <c r="AZ225" s="1133"/>
      <c r="BA225" s="1133"/>
      <c r="BB225" s="1133"/>
      <c r="BC225" s="1133"/>
      <c r="BD225" s="1133"/>
      <c r="BE225" s="1480"/>
      <c r="BF225" s="1480"/>
      <c r="BG225" s="1480"/>
      <c r="BH225" s="1480"/>
      <c r="BI225" s="1480"/>
      <c r="BJ225" s="1480"/>
    </row>
    <row r="226" spans="1:62" s="629" customFormat="1" ht="45" customHeight="1" x14ac:dyDescent="0.2">
      <c r="A226" s="1514">
        <v>71</v>
      </c>
      <c r="B226" s="1217" t="s">
        <v>1330</v>
      </c>
      <c r="C226" s="1055" t="s">
        <v>4116</v>
      </c>
      <c r="D226" s="1055" t="s">
        <v>1548</v>
      </c>
      <c r="E226" s="1055" t="s">
        <v>584</v>
      </c>
      <c r="F226" s="1055" t="s">
        <v>4213</v>
      </c>
      <c r="G226" s="1064">
        <v>10978</v>
      </c>
      <c r="H226" s="1146" t="s">
        <v>4214</v>
      </c>
      <c r="I226" s="1055" t="s">
        <v>4215</v>
      </c>
      <c r="J226" s="1055" t="s">
        <v>4216</v>
      </c>
      <c r="K226" s="1137">
        <v>41537</v>
      </c>
      <c r="L226" s="1139">
        <v>7375.07</v>
      </c>
      <c r="M226" s="1064">
        <v>11142</v>
      </c>
      <c r="N226" s="1137">
        <v>41537</v>
      </c>
      <c r="O226" s="1137">
        <v>41612</v>
      </c>
      <c r="P226" s="1146" t="s">
        <v>3905</v>
      </c>
      <c r="Q226" s="1055"/>
      <c r="R226" s="1055"/>
      <c r="S226" s="1055"/>
      <c r="T226" s="1055" t="s">
        <v>316</v>
      </c>
      <c r="U226" s="1055"/>
      <c r="V226" s="1055"/>
      <c r="W226" s="1064"/>
      <c r="X226" s="1146"/>
      <c r="Y226" s="1055"/>
      <c r="Z226" s="1055"/>
      <c r="AA226" s="1138"/>
      <c r="AB226" s="1055"/>
      <c r="AC226" s="1139"/>
      <c r="AD226" s="1139"/>
      <c r="AE226" s="1155">
        <f t="shared" ref="AE226:AE272" si="5">L226-AD226+AC226</f>
        <v>7375.07</v>
      </c>
      <c r="AF226" s="1155">
        <v>0</v>
      </c>
      <c r="AG226" s="1139">
        <v>7375.07</v>
      </c>
      <c r="AH226" s="1139">
        <f t="shared" si="4"/>
        <v>7375.07</v>
      </c>
      <c r="AI226" s="1055"/>
      <c r="AJ226" s="1064"/>
      <c r="AK226" s="1055"/>
      <c r="AL226" s="1133"/>
      <c r="AM226" s="1055"/>
      <c r="AN226" s="1055"/>
      <c r="AO226" s="1064"/>
      <c r="AP226" s="1137"/>
      <c r="AQ226" s="1064"/>
      <c r="AR226" s="1137"/>
      <c r="AS226" s="1055"/>
      <c r="AT226" s="1133"/>
      <c r="AU226" s="1133"/>
      <c r="AV226" s="1133"/>
      <c r="AW226" s="1133"/>
      <c r="AX226" s="1133"/>
      <c r="AY226" s="1133"/>
      <c r="AZ226" s="1133"/>
      <c r="BA226" s="1133"/>
      <c r="BB226" s="1133"/>
      <c r="BC226" s="1133"/>
      <c r="BD226" s="1133"/>
      <c r="BE226" s="1480"/>
      <c r="BF226" s="1480"/>
      <c r="BG226" s="1480"/>
      <c r="BH226" s="1480"/>
      <c r="BI226" s="1480"/>
      <c r="BJ226" s="1480"/>
    </row>
    <row r="227" spans="1:62" s="629" customFormat="1" ht="45" customHeight="1" x14ac:dyDescent="0.2">
      <c r="A227" s="1514">
        <v>72</v>
      </c>
      <c r="B227" s="1217" t="s">
        <v>1330</v>
      </c>
      <c r="C227" s="1055" t="s">
        <v>4116</v>
      </c>
      <c r="D227" s="1055" t="s">
        <v>1548</v>
      </c>
      <c r="E227" s="1055" t="s">
        <v>584</v>
      </c>
      <c r="F227" s="1055" t="s">
        <v>4213</v>
      </c>
      <c r="G227" s="1064">
        <v>11026</v>
      </c>
      <c r="H227" s="1146" t="s">
        <v>4217</v>
      </c>
      <c r="I227" s="1055" t="s">
        <v>4218</v>
      </c>
      <c r="J227" s="1055" t="s">
        <v>4219</v>
      </c>
      <c r="K227" s="1137">
        <v>41537</v>
      </c>
      <c r="L227" s="1139">
        <v>3040.3</v>
      </c>
      <c r="M227" s="1064">
        <v>11179</v>
      </c>
      <c r="N227" s="1137">
        <v>41537</v>
      </c>
      <c r="O227" s="1137">
        <v>41582</v>
      </c>
      <c r="P227" s="1146" t="s">
        <v>3905</v>
      </c>
      <c r="Q227" s="1055"/>
      <c r="R227" s="1055"/>
      <c r="S227" s="1055"/>
      <c r="T227" s="1055" t="s">
        <v>316</v>
      </c>
      <c r="U227" s="1055"/>
      <c r="V227" s="1055"/>
      <c r="W227" s="1064"/>
      <c r="X227" s="1146"/>
      <c r="Y227" s="1055"/>
      <c r="Z227" s="1055"/>
      <c r="AA227" s="1138"/>
      <c r="AB227" s="1055"/>
      <c r="AC227" s="1139"/>
      <c r="AD227" s="1139"/>
      <c r="AE227" s="1155">
        <f t="shared" si="5"/>
        <v>3040.3</v>
      </c>
      <c r="AF227" s="1155">
        <v>0</v>
      </c>
      <c r="AG227" s="1139">
        <v>3040.3</v>
      </c>
      <c r="AH227" s="1139">
        <f t="shared" si="4"/>
        <v>3040.3</v>
      </c>
      <c r="AI227" s="1055"/>
      <c r="AJ227" s="1064"/>
      <c r="AK227" s="1055"/>
      <c r="AL227" s="1133"/>
      <c r="AM227" s="1055"/>
      <c r="AN227" s="1055"/>
      <c r="AO227" s="1064"/>
      <c r="AP227" s="1137"/>
      <c r="AQ227" s="1064"/>
      <c r="AR227" s="1137"/>
      <c r="AS227" s="1055"/>
      <c r="AT227" s="1133"/>
      <c r="AU227" s="1133"/>
      <c r="AV227" s="1133"/>
      <c r="AW227" s="1133"/>
      <c r="AX227" s="1133"/>
      <c r="AY227" s="1133"/>
      <c r="AZ227" s="1133"/>
      <c r="BA227" s="1133"/>
      <c r="BB227" s="1133"/>
      <c r="BC227" s="1133"/>
      <c r="BD227" s="1133"/>
      <c r="BE227" s="1480"/>
      <c r="BF227" s="1480"/>
      <c r="BG227" s="1480"/>
      <c r="BH227" s="1480"/>
      <c r="BI227" s="1480"/>
      <c r="BJ227" s="1480"/>
    </row>
    <row r="228" spans="1:62" s="629" customFormat="1" ht="45" customHeight="1" x14ac:dyDescent="0.2">
      <c r="A228" s="1514">
        <v>73</v>
      </c>
      <c r="B228" s="1217" t="s">
        <v>1330</v>
      </c>
      <c r="C228" s="1055" t="s">
        <v>4116</v>
      </c>
      <c r="D228" s="1055" t="s">
        <v>1548</v>
      </c>
      <c r="E228" s="1055" t="s">
        <v>584</v>
      </c>
      <c r="F228" s="1055" t="s">
        <v>4213</v>
      </c>
      <c r="G228" s="1064">
        <v>11026</v>
      </c>
      <c r="H228" s="1146" t="s">
        <v>4220</v>
      </c>
      <c r="I228" s="1055" t="s">
        <v>4221</v>
      </c>
      <c r="J228" s="1055" t="s">
        <v>455</v>
      </c>
      <c r="K228" s="1137">
        <v>41537</v>
      </c>
      <c r="L228" s="1139">
        <v>4279.53</v>
      </c>
      <c r="M228" s="1064">
        <v>11179</v>
      </c>
      <c r="N228" s="1137">
        <v>41537</v>
      </c>
      <c r="O228" s="1137">
        <v>41612</v>
      </c>
      <c r="P228" s="1146" t="s">
        <v>3905</v>
      </c>
      <c r="Q228" s="1055"/>
      <c r="R228" s="1055"/>
      <c r="S228" s="1055"/>
      <c r="T228" s="1055" t="s">
        <v>316</v>
      </c>
      <c r="U228" s="1055"/>
      <c r="V228" s="1055"/>
      <c r="W228" s="1064"/>
      <c r="X228" s="1146"/>
      <c r="Y228" s="1055"/>
      <c r="Z228" s="1055"/>
      <c r="AA228" s="1138"/>
      <c r="AB228" s="1055"/>
      <c r="AC228" s="1139"/>
      <c r="AD228" s="1139"/>
      <c r="AE228" s="1155">
        <f t="shared" si="5"/>
        <v>4279.53</v>
      </c>
      <c r="AF228" s="1155">
        <v>0</v>
      </c>
      <c r="AG228" s="1139">
        <v>4279.53</v>
      </c>
      <c r="AH228" s="1139">
        <f t="shared" si="4"/>
        <v>4279.53</v>
      </c>
      <c r="AI228" s="1055"/>
      <c r="AJ228" s="1064"/>
      <c r="AK228" s="1055"/>
      <c r="AL228" s="1133"/>
      <c r="AM228" s="1055"/>
      <c r="AN228" s="1055"/>
      <c r="AO228" s="1064"/>
      <c r="AP228" s="1137"/>
      <c r="AQ228" s="1064"/>
      <c r="AR228" s="1137"/>
      <c r="AS228" s="1055"/>
      <c r="AT228" s="1133"/>
      <c r="AU228" s="1133"/>
      <c r="AV228" s="1133"/>
      <c r="AW228" s="1133"/>
      <c r="AX228" s="1133"/>
      <c r="AY228" s="1133"/>
      <c r="AZ228" s="1133"/>
      <c r="BA228" s="1133"/>
      <c r="BB228" s="1133"/>
      <c r="BC228" s="1133"/>
      <c r="BD228" s="1133"/>
      <c r="BE228" s="1480"/>
      <c r="BF228" s="1480"/>
      <c r="BG228" s="1480"/>
      <c r="BH228" s="1480"/>
      <c r="BI228" s="1480"/>
      <c r="BJ228" s="1480"/>
    </row>
    <row r="229" spans="1:62" s="629" customFormat="1" ht="45" customHeight="1" x14ac:dyDescent="0.2">
      <c r="A229" s="2365">
        <v>74</v>
      </c>
      <c r="B229" s="2366" t="s">
        <v>1330</v>
      </c>
      <c r="C229" s="2023" t="s">
        <v>4116</v>
      </c>
      <c r="D229" s="2023" t="s">
        <v>1548</v>
      </c>
      <c r="E229" s="2023" t="s">
        <v>584</v>
      </c>
      <c r="F229" s="2023" t="s">
        <v>4213</v>
      </c>
      <c r="G229" s="2006">
        <v>11026</v>
      </c>
      <c r="H229" s="2367" t="s">
        <v>4222</v>
      </c>
      <c r="I229" s="2023" t="s">
        <v>4223</v>
      </c>
      <c r="J229" s="2023" t="s">
        <v>4216</v>
      </c>
      <c r="K229" s="2347">
        <v>41591</v>
      </c>
      <c r="L229" s="2343">
        <v>3719.52</v>
      </c>
      <c r="M229" s="2006">
        <v>11185</v>
      </c>
      <c r="N229" s="2347">
        <v>41591</v>
      </c>
      <c r="O229" s="2347">
        <v>41639</v>
      </c>
      <c r="P229" s="2367" t="s">
        <v>3905</v>
      </c>
      <c r="Q229" s="2023"/>
      <c r="R229" s="2023"/>
      <c r="S229" s="2023"/>
      <c r="T229" s="2023" t="s">
        <v>316</v>
      </c>
      <c r="U229" s="2023"/>
      <c r="V229" s="2023"/>
      <c r="W229" s="2006"/>
      <c r="X229" s="2367"/>
      <c r="Y229" s="2023"/>
      <c r="Z229" s="2023"/>
      <c r="AA229" s="2363"/>
      <c r="AB229" s="2023"/>
      <c r="AC229" s="2343"/>
      <c r="AD229" s="2343"/>
      <c r="AE229" s="2345">
        <f t="shared" si="5"/>
        <v>3719.52</v>
      </c>
      <c r="AF229" s="1155">
        <v>0</v>
      </c>
      <c r="AG229" s="1139">
        <v>903.66</v>
      </c>
      <c r="AH229" s="1139">
        <f t="shared" si="4"/>
        <v>903.66</v>
      </c>
      <c r="AI229" s="1055"/>
      <c r="AJ229" s="1064"/>
      <c r="AK229" s="1055"/>
      <c r="AL229" s="1133"/>
      <c r="AM229" s="1055"/>
      <c r="AN229" s="1055"/>
      <c r="AO229" s="1064"/>
      <c r="AP229" s="1137"/>
      <c r="AQ229" s="1064"/>
      <c r="AR229" s="1137"/>
      <c r="AS229" s="1055"/>
      <c r="AT229" s="1133"/>
      <c r="AU229" s="1133"/>
      <c r="AV229" s="1133"/>
      <c r="AW229" s="1133"/>
      <c r="AX229" s="1133"/>
      <c r="AY229" s="1133"/>
      <c r="AZ229" s="1133"/>
      <c r="BA229" s="1133"/>
      <c r="BB229" s="1133"/>
      <c r="BC229" s="1133"/>
      <c r="BD229" s="1133"/>
      <c r="BE229" s="1480"/>
      <c r="BF229" s="1480"/>
      <c r="BG229" s="1480"/>
      <c r="BH229" s="1480"/>
      <c r="BI229" s="1480"/>
      <c r="BJ229" s="1480"/>
    </row>
    <row r="230" spans="1:62" s="629" customFormat="1" ht="12.75" x14ac:dyDescent="0.2">
      <c r="A230" s="2365"/>
      <c r="B230" s="2366"/>
      <c r="C230" s="2023"/>
      <c r="D230" s="2023"/>
      <c r="E230" s="2023"/>
      <c r="F230" s="2023"/>
      <c r="G230" s="2006"/>
      <c r="H230" s="2367"/>
      <c r="I230" s="2023"/>
      <c r="J230" s="2023"/>
      <c r="K230" s="2347"/>
      <c r="L230" s="2343"/>
      <c r="M230" s="2006"/>
      <c r="N230" s="2347"/>
      <c r="O230" s="2347"/>
      <c r="P230" s="2367"/>
      <c r="Q230" s="2023"/>
      <c r="R230" s="2023"/>
      <c r="S230" s="2023"/>
      <c r="T230" s="2023"/>
      <c r="U230" s="2023"/>
      <c r="V230" s="2023"/>
      <c r="W230" s="2006"/>
      <c r="X230" s="2367"/>
      <c r="Y230" s="2023"/>
      <c r="Z230" s="2023"/>
      <c r="AA230" s="2363"/>
      <c r="AB230" s="2023"/>
      <c r="AC230" s="2343"/>
      <c r="AD230" s="2343"/>
      <c r="AE230" s="2346"/>
      <c r="AF230" s="525">
        <v>0</v>
      </c>
      <c r="AG230" s="525">
        <v>0</v>
      </c>
      <c r="AH230" s="1139">
        <f t="shared" si="4"/>
        <v>0</v>
      </c>
      <c r="AI230" s="1055"/>
      <c r="AJ230" s="1064"/>
      <c r="AK230" s="1055"/>
      <c r="AL230" s="1133"/>
      <c r="AM230" s="1055"/>
      <c r="AN230" s="1055"/>
      <c r="AO230" s="1064"/>
      <c r="AP230" s="1137"/>
      <c r="AQ230" s="1064"/>
      <c r="AR230" s="1137"/>
      <c r="AS230" s="1055"/>
      <c r="AT230" s="1133"/>
      <c r="AU230" s="1133"/>
      <c r="AV230" s="1133"/>
      <c r="AW230" s="1133"/>
      <c r="AX230" s="1133"/>
      <c r="AY230" s="1133"/>
      <c r="AZ230" s="1133"/>
      <c r="BA230" s="1133"/>
      <c r="BB230" s="1133"/>
      <c r="BC230" s="1133"/>
      <c r="BD230" s="1133"/>
      <c r="BE230" s="1480"/>
      <c r="BF230" s="1480"/>
      <c r="BG230" s="1480"/>
      <c r="BH230" s="1480"/>
      <c r="BI230" s="1480"/>
      <c r="BJ230" s="1480"/>
    </row>
    <row r="231" spans="1:62" s="629" customFormat="1" ht="12.75" x14ac:dyDescent="0.2">
      <c r="A231" s="2365"/>
      <c r="B231" s="2366"/>
      <c r="C231" s="2023"/>
      <c r="D231" s="2023"/>
      <c r="E231" s="2023"/>
      <c r="F231" s="2023"/>
      <c r="G231" s="2006"/>
      <c r="H231" s="2367"/>
      <c r="I231" s="2023"/>
      <c r="J231" s="2023"/>
      <c r="K231" s="2023"/>
      <c r="L231" s="2343"/>
      <c r="M231" s="2006"/>
      <c r="N231" s="2347"/>
      <c r="O231" s="2347"/>
      <c r="P231" s="1146" t="s">
        <v>3961</v>
      </c>
      <c r="Q231" s="2023"/>
      <c r="R231" s="2023"/>
      <c r="S231" s="2023"/>
      <c r="T231" s="2023"/>
      <c r="U231" s="2023"/>
      <c r="V231" s="2023"/>
      <c r="W231" s="2006"/>
      <c r="X231" s="2367"/>
      <c r="Y231" s="2023"/>
      <c r="Z231" s="2023"/>
      <c r="AA231" s="2363"/>
      <c r="AB231" s="2023"/>
      <c r="AC231" s="2343"/>
      <c r="AD231" s="2343"/>
      <c r="AE231" s="2371"/>
      <c r="AF231" s="1155">
        <v>0</v>
      </c>
      <c r="AG231" s="1139">
        <v>2815.86</v>
      </c>
      <c r="AH231" s="1139">
        <f t="shared" si="4"/>
        <v>2815.86</v>
      </c>
      <c r="AI231" s="1055"/>
      <c r="AJ231" s="1064"/>
      <c r="AK231" s="1055"/>
      <c r="AL231" s="1133"/>
      <c r="AM231" s="1055"/>
      <c r="AN231" s="1055"/>
      <c r="AO231" s="1064"/>
      <c r="AP231" s="1137"/>
      <c r="AQ231" s="1064"/>
      <c r="AR231" s="1137"/>
      <c r="AS231" s="1055"/>
      <c r="AT231" s="1133"/>
      <c r="AU231" s="1133"/>
      <c r="AV231" s="1133"/>
      <c r="AW231" s="1133"/>
      <c r="AX231" s="1133"/>
      <c r="AY231" s="1133"/>
      <c r="AZ231" s="1133"/>
      <c r="BA231" s="1133"/>
      <c r="BB231" s="1133"/>
      <c r="BC231" s="1133"/>
      <c r="BD231" s="1133"/>
      <c r="BE231" s="1480"/>
      <c r="BF231" s="1480"/>
      <c r="BG231" s="1480"/>
      <c r="BH231" s="1480"/>
      <c r="BI231" s="1480"/>
      <c r="BJ231" s="1480"/>
    </row>
    <row r="232" spans="1:62" s="629" customFormat="1" ht="45" customHeight="1" x14ac:dyDescent="0.2">
      <c r="A232" s="1514">
        <v>75</v>
      </c>
      <c r="B232" s="1217" t="s">
        <v>1330</v>
      </c>
      <c r="C232" s="1055" t="s">
        <v>4116</v>
      </c>
      <c r="D232" s="1055" t="s">
        <v>1548</v>
      </c>
      <c r="E232" s="1055" t="s">
        <v>584</v>
      </c>
      <c r="F232" s="1055" t="s">
        <v>4213</v>
      </c>
      <c r="G232" s="1064">
        <v>11026</v>
      </c>
      <c r="H232" s="1146" t="s">
        <v>4224</v>
      </c>
      <c r="I232" s="1055" t="s">
        <v>4218</v>
      </c>
      <c r="J232" s="1055" t="s">
        <v>4219</v>
      </c>
      <c r="K232" s="1137">
        <v>41591</v>
      </c>
      <c r="L232" s="1139">
        <v>2280</v>
      </c>
      <c r="M232" s="1064">
        <v>11185</v>
      </c>
      <c r="N232" s="1137">
        <v>41591</v>
      </c>
      <c r="O232" s="1137">
        <v>41639</v>
      </c>
      <c r="P232" s="1146" t="s">
        <v>3961</v>
      </c>
      <c r="Q232" s="1055"/>
      <c r="R232" s="1055"/>
      <c r="S232" s="1055"/>
      <c r="T232" s="1055" t="s">
        <v>316</v>
      </c>
      <c r="U232" s="1055"/>
      <c r="V232" s="1055"/>
      <c r="W232" s="1064"/>
      <c r="X232" s="1146"/>
      <c r="Y232" s="1055"/>
      <c r="Z232" s="1055"/>
      <c r="AA232" s="1138"/>
      <c r="AB232" s="1055"/>
      <c r="AC232" s="1139"/>
      <c r="AD232" s="1139"/>
      <c r="AE232" s="1155">
        <f t="shared" si="5"/>
        <v>2280</v>
      </c>
      <c r="AF232" s="1155">
        <v>0</v>
      </c>
      <c r="AG232" s="1139">
        <v>2280</v>
      </c>
      <c r="AH232" s="1139">
        <f t="shared" si="4"/>
        <v>2280</v>
      </c>
      <c r="AI232" s="1055"/>
      <c r="AJ232" s="1064"/>
      <c r="AK232" s="1055"/>
      <c r="AL232" s="1133"/>
      <c r="AM232" s="1055"/>
      <c r="AN232" s="1055"/>
      <c r="AO232" s="1064"/>
      <c r="AP232" s="1137"/>
      <c r="AQ232" s="1064"/>
      <c r="AR232" s="1137"/>
      <c r="AS232" s="1055"/>
      <c r="AT232" s="1133"/>
      <c r="AU232" s="1133"/>
      <c r="AV232" s="1133"/>
      <c r="AW232" s="1133"/>
      <c r="AX232" s="1133"/>
      <c r="AY232" s="1133"/>
      <c r="AZ232" s="1133"/>
      <c r="BA232" s="1133"/>
      <c r="BB232" s="1133"/>
      <c r="BC232" s="1133"/>
      <c r="BD232" s="1133"/>
      <c r="BE232" s="1480"/>
      <c r="BF232" s="1480"/>
      <c r="BG232" s="1480"/>
      <c r="BH232" s="1480"/>
      <c r="BI232" s="1480"/>
      <c r="BJ232" s="1480"/>
    </row>
    <row r="233" spans="1:62" s="629" customFormat="1" ht="45" customHeight="1" x14ac:dyDescent="0.2">
      <c r="A233" s="2365">
        <v>76</v>
      </c>
      <c r="B233" s="2366" t="s">
        <v>671</v>
      </c>
      <c r="C233" s="2023" t="s">
        <v>4225</v>
      </c>
      <c r="D233" s="2023" t="s">
        <v>1548</v>
      </c>
      <c r="E233" s="2023" t="s">
        <v>584</v>
      </c>
      <c r="F233" s="2023" t="s">
        <v>4226</v>
      </c>
      <c r="G233" s="2006">
        <v>11097</v>
      </c>
      <c r="H233" s="2367" t="s">
        <v>4227</v>
      </c>
      <c r="I233" s="2023" t="s">
        <v>4228</v>
      </c>
      <c r="J233" s="2023" t="s">
        <v>1740</v>
      </c>
      <c r="K233" s="2347">
        <v>41537</v>
      </c>
      <c r="L233" s="2343">
        <v>63368</v>
      </c>
      <c r="M233" s="2006">
        <v>11157</v>
      </c>
      <c r="N233" s="2347">
        <v>41537</v>
      </c>
      <c r="O233" s="2347">
        <v>41582</v>
      </c>
      <c r="P233" s="1146" t="s">
        <v>3905</v>
      </c>
      <c r="Q233" s="2023"/>
      <c r="R233" s="2023"/>
      <c r="S233" s="2023"/>
      <c r="T233" s="2023" t="s">
        <v>316</v>
      </c>
      <c r="U233" s="2023"/>
      <c r="V233" s="2023"/>
      <c r="W233" s="2006"/>
      <c r="X233" s="2367"/>
      <c r="Y233" s="2023"/>
      <c r="Z233" s="2023"/>
      <c r="AA233" s="2363"/>
      <c r="AB233" s="2023"/>
      <c r="AC233" s="2343"/>
      <c r="AD233" s="2344"/>
      <c r="AE233" s="2345">
        <f t="shared" si="5"/>
        <v>63368</v>
      </c>
      <c r="AF233" s="1155">
        <v>20498</v>
      </c>
      <c r="AG233" s="1139">
        <v>0</v>
      </c>
      <c r="AH233" s="1139">
        <f t="shared" si="4"/>
        <v>20498</v>
      </c>
      <c r="AI233" s="1055"/>
      <c r="AJ233" s="1064"/>
      <c r="AK233" s="1055"/>
      <c r="AL233" s="1133"/>
      <c r="AM233" s="1055"/>
      <c r="AN233" s="1055"/>
      <c r="AO233" s="1064"/>
      <c r="AP233" s="1137"/>
      <c r="AQ233" s="1064"/>
      <c r="AR233" s="1137"/>
      <c r="AS233" s="1055"/>
      <c r="AT233" s="1133"/>
      <c r="AU233" s="1133"/>
      <c r="AV233" s="1133"/>
      <c r="AW233" s="1133"/>
      <c r="AX233" s="1133"/>
      <c r="AY233" s="1133"/>
      <c r="AZ233" s="1133"/>
      <c r="BA233" s="1133"/>
      <c r="BB233" s="1133"/>
      <c r="BC233" s="1133"/>
      <c r="BD233" s="1133"/>
      <c r="BE233" s="1480"/>
      <c r="BF233" s="1480"/>
      <c r="BG233" s="1480"/>
      <c r="BH233" s="1480"/>
      <c r="BI233" s="1480"/>
      <c r="BJ233" s="1480"/>
    </row>
    <row r="234" spans="1:62" s="629" customFormat="1" ht="12.75" x14ac:dyDescent="0.2">
      <c r="A234" s="2365"/>
      <c r="B234" s="2366"/>
      <c r="C234" s="2023"/>
      <c r="D234" s="2023"/>
      <c r="E234" s="2023"/>
      <c r="F234" s="2023"/>
      <c r="G234" s="2006"/>
      <c r="H234" s="2367"/>
      <c r="I234" s="2023"/>
      <c r="J234" s="2023"/>
      <c r="K234" s="2023"/>
      <c r="L234" s="2343"/>
      <c r="M234" s="2006"/>
      <c r="N234" s="2347"/>
      <c r="O234" s="2347"/>
      <c r="P234" s="1146" t="s">
        <v>3961</v>
      </c>
      <c r="Q234" s="2023"/>
      <c r="R234" s="2023"/>
      <c r="S234" s="2023"/>
      <c r="T234" s="2023"/>
      <c r="U234" s="2023"/>
      <c r="V234" s="2023"/>
      <c r="W234" s="2006"/>
      <c r="X234" s="2367"/>
      <c r="Y234" s="2023"/>
      <c r="Z234" s="2023"/>
      <c r="AA234" s="2363"/>
      <c r="AB234" s="2023"/>
      <c r="AC234" s="2343"/>
      <c r="AD234" s="2383"/>
      <c r="AE234" s="2371"/>
      <c r="AF234" s="1155">
        <v>0</v>
      </c>
      <c r="AG234" s="1139">
        <v>33890</v>
      </c>
      <c r="AH234" s="1139">
        <f t="shared" si="4"/>
        <v>33890</v>
      </c>
      <c r="AI234" s="1055"/>
      <c r="AJ234" s="1064"/>
      <c r="AK234" s="1055"/>
      <c r="AL234" s="1133"/>
      <c r="AM234" s="1055"/>
      <c r="AN234" s="1055"/>
      <c r="AO234" s="1064"/>
      <c r="AP234" s="1137"/>
      <c r="AQ234" s="1064"/>
      <c r="AR234" s="1137"/>
      <c r="AS234" s="1055"/>
      <c r="AT234" s="1133"/>
      <c r="AU234" s="1133"/>
      <c r="AV234" s="1133"/>
      <c r="AW234" s="1133"/>
      <c r="AX234" s="1133"/>
      <c r="AY234" s="1133"/>
      <c r="AZ234" s="1133"/>
      <c r="BA234" s="1133"/>
      <c r="BB234" s="1133"/>
      <c r="BC234" s="1133"/>
      <c r="BD234" s="1133"/>
      <c r="BE234" s="1480"/>
      <c r="BF234" s="1480"/>
      <c r="BG234" s="1480"/>
      <c r="BH234" s="1480"/>
      <c r="BI234" s="1480"/>
      <c r="BJ234" s="1480"/>
    </row>
    <row r="235" spans="1:62" s="629" customFormat="1" ht="45" customHeight="1" x14ac:dyDescent="0.2">
      <c r="A235" s="1514">
        <v>77</v>
      </c>
      <c r="B235" s="1217" t="s">
        <v>4229</v>
      </c>
      <c r="C235" s="1055" t="s">
        <v>4230</v>
      </c>
      <c r="D235" s="1055" t="s">
        <v>1548</v>
      </c>
      <c r="E235" s="1055" t="s">
        <v>584</v>
      </c>
      <c r="F235" s="1055" t="s">
        <v>4213</v>
      </c>
      <c r="G235" s="1064">
        <v>11145</v>
      </c>
      <c r="H235" s="1146" t="s">
        <v>4231</v>
      </c>
      <c r="I235" s="1055" t="s">
        <v>4232</v>
      </c>
      <c r="J235" s="1055" t="s">
        <v>4233</v>
      </c>
      <c r="K235" s="1137">
        <v>41583</v>
      </c>
      <c r="L235" s="1139">
        <v>5346</v>
      </c>
      <c r="M235" s="1064">
        <v>11185</v>
      </c>
      <c r="N235" s="1137">
        <v>41583</v>
      </c>
      <c r="O235" s="1137">
        <v>41639</v>
      </c>
      <c r="P235" s="1146" t="s">
        <v>3905</v>
      </c>
      <c r="Q235" s="1055"/>
      <c r="R235" s="1055"/>
      <c r="S235" s="1055"/>
      <c r="T235" s="1055" t="s">
        <v>316</v>
      </c>
      <c r="U235" s="1055"/>
      <c r="V235" s="1055"/>
      <c r="W235" s="1064"/>
      <c r="X235" s="1146"/>
      <c r="Y235" s="1055"/>
      <c r="Z235" s="1055"/>
      <c r="AA235" s="1138"/>
      <c r="AB235" s="1055"/>
      <c r="AC235" s="1139"/>
      <c r="AD235" s="1139"/>
      <c r="AE235" s="1155">
        <f t="shared" si="5"/>
        <v>5346</v>
      </c>
      <c r="AF235" s="1155">
        <v>0</v>
      </c>
      <c r="AG235" s="1139">
        <v>5346</v>
      </c>
      <c r="AH235" s="1139">
        <f t="shared" si="4"/>
        <v>5346</v>
      </c>
      <c r="AI235" s="1055"/>
      <c r="AJ235" s="1064"/>
      <c r="AK235" s="1055"/>
      <c r="AL235" s="1133"/>
      <c r="AM235" s="1055"/>
      <c r="AN235" s="1055"/>
      <c r="AO235" s="1064"/>
      <c r="AP235" s="1137"/>
      <c r="AQ235" s="1064"/>
      <c r="AR235" s="1137"/>
      <c r="AS235" s="1055"/>
      <c r="AT235" s="1133"/>
      <c r="AU235" s="1133"/>
      <c r="AV235" s="1133"/>
      <c r="AW235" s="1133"/>
      <c r="AX235" s="1133"/>
      <c r="AY235" s="1133"/>
      <c r="AZ235" s="1133"/>
      <c r="BA235" s="1133"/>
      <c r="BB235" s="1133"/>
      <c r="BC235" s="1133"/>
      <c r="BD235" s="1133"/>
      <c r="BE235" s="1480"/>
      <c r="BF235" s="1480"/>
      <c r="BG235" s="1480"/>
      <c r="BH235" s="1480"/>
      <c r="BI235" s="1480"/>
      <c r="BJ235" s="1480"/>
    </row>
    <row r="236" spans="1:62" s="629" customFormat="1" ht="66" customHeight="1" x14ac:dyDescent="0.2">
      <c r="A236" s="1514">
        <v>78</v>
      </c>
      <c r="B236" s="1217" t="s">
        <v>4234</v>
      </c>
      <c r="C236" s="1055" t="s">
        <v>4235</v>
      </c>
      <c r="D236" s="1055" t="s">
        <v>615</v>
      </c>
      <c r="E236" s="1055" t="s">
        <v>584</v>
      </c>
      <c r="F236" s="1055" t="s">
        <v>4236</v>
      </c>
      <c r="G236" s="1064">
        <v>11192</v>
      </c>
      <c r="H236" s="1146" t="s">
        <v>4237</v>
      </c>
      <c r="I236" s="1055" t="s">
        <v>4238</v>
      </c>
      <c r="J236" s="1055" t="s">
        <v>639</v>
      </c>
      <c r="K236" s="1137">
        <v>41610</v>
      </c>
      <c r="L236" s="1567">
        <v>550</v>
      </c>
      <c r="M236" s="1064">
        <v>11199</v>
      </c>
      <c r="N236" s="1137">
        <v>41610</v>
      </c>
      <c r="O236" s="1137">
        <v>41639</v>
      </c>
      <c r="P236" s="1146" t="s">
        <v>3905</v>
      </c>
      <c r="Q236" s="1055"/>
      <c r="R236" s="1055"/>
      <c r="S236" s="1055"/>
      <c r="T236" s="1055" t="s">
        <v>208</v>
      </c>
      <c r="U236" s="1055"/>
      <c r="V236" s="1055"/>
      <c r="W236" s="1064"/>
      <c r="X236" s="1146"/>
      <c r="Y236" s="1055"/>
      <c r="Z236" s="1055"/>
      <c r="AA236" s="1138"/>
      <c r="AB236" s="1055"/>
      <c r="AC236" s="1139"/>
      <c r="AD236" s="1139"/>
      <c r="AE236" s="1155">
        <f t="shared" si="5"/>
        <v>550</v>
      </c>
      <c r="AF236" s="1568">
        <v>0</v>
      </c>
      <c r="AG236" s="1567">
        <v>550</v>
      </c>
      <c r="AH236" s="1139">
        <f t="shared" si="4"/>
        <v>550</v>
      </c>
      <c r="AI236" s="1055"/>
      <c r="AJ236" s="1064"/>
      <c r="AK236" s="1055"/>
      <c r="AL236" s="1133"/>
      <c r="AM236" s="1055"/>
      <c r="AN236" s="1055"/>
      <c r="AO236" s="1064"/>
      <c r="AP236" s="1137"/>
      <c r="AQ236" s="1064"/>
      <c r="AR236" s="1137"/>
      <c r="AS236" s="1055"/>
      <c r="AT236" s="1133"/>
      <c r="AU236" s="1133"/>
      <c r="AV236" s="1133"/>
      <c r="AW236" s="1133"/>
      <c r="AX236" s="1133"/>
      <c r="AY236" s="1133"/>
      <c r="AZ236" s="1133"/>
      <c r="BA236" s="1133"/>
      <c r="BB236" s="1133"/>
      <c r="BC236" s="1133"/>
      <c r="BD236" s="1133"/>
      <c r="BE236" s="1480"/>
      <c r="BF236" s="1480"/>
      <c r="BG236" s="1480"/>
      <c r="BH236" s="1480"/>
      <c r="BI236" s="1480"/>
      <c r="BJ236" s="1480"/>
    </row>
    <row r="237" spans="1:62" s="629" customFormat="1" ht="45" customHeight="1" x14ac:dyDescent="0.2">
      <c r="A237" s="1514">
        <v>79</v>
      </c>
      <c r="B237" s="636" t="s">
        <v>4239</v>
      </c>
      <c r="C237" s="1149" t="s">
        <v>986</v>
      </c>
      <c r="D237" s="1055" t="s">
        <v>1548</v>
      </c>
      <c r="E237" s="1055" t="s">
        <v>584</v>
      </c>
      <c r="F237" s="1133" t="s">
        <v>4240</v>
      </c>
      <c r="G237" s="1145">
        <v>11001</v>
      </c>
      <c r="H237" s="1055" t="s">
        <v>4241</v>
      </c>
      <c r="I237" s="1146" t="s">
        <v>4242</v>
      </c>
      <c r="J237" s="1055" t="s">
        <v>1740</v>
      </c>
      <c r="K237" s="1137">
        <v>41999</v>
      </c>
      <c r="L237" s="1156">
        <v>1103.7</v>
      </c>
      <c r="M237" s="1133"/>
      <c r="N237" s="1133"/>
      <c r="O237" s="1133"/>
      <c r="P237" s="1132" t="s">
        <v>3905</v>
      </c>
      <c r="Q237" s="1055"/>
      <c r="R237" s="1055"/>
      <c r="S237" s="1055"/>
      <c r="T237" s="1133" t="s">
        <v>316</v>
      </c>
      <c r="U237" s="1055"/>
      <c r="V237" s="1055"/>
      <c r="W237" s="1064"/>
      <c r="X237" s="1133"/>
      <c r="Y237" s="1055"/>
      <c r="Z237" s="1055"/>
      <c r="AA237" s="1138"/>
      <c r="AB237" s="1055"/>
      <c r="AC237" s="1139"/>
      <c r="AD237" s="1139"/>
      <c r="AE237" s="1155">
        <f t="shared" si="5"/>
        <v>1103.7</v>
      </c>
      <c r="AF237" s="561">
        <v>0</v>
      </c>
      <c r="AG237" s="1156">
        <v>1103.7</v>
      </c>
      <c r="AH237" s="1139">
        <f t="shared" si="4"/>
        <v>1103.7</v>
      </c>
      <c r="AI237" s="1055"/>
      <c r="AJ237" s="1064"/>
      <c r="AK237" s="1055"/>
      <c r="AL237" s="1133"/>
      <c r="AM237" s="1055"/>
      <c r="AN237" s="1055"/>
      <c r="AO237" s="1064"/>
      <c r="AP237" s="1137"/>
      <c r="AQ237" s="1064"/>
      <c r="AR237" s="1137"/>
      <c r="AS237" s="1055"/>
      <c r="AT237" s="1133"/>
      <c r="AU237" s="1133"/>
      <c r="AV237" s="1133"/>
      <c r="AW237" s="1133"/>
      <c r="AX237" s="1133"/>
      <c r="AY237" s="1133"/>
      <c r="AZ237" s="1133"/>
      <c r="BA237" s="1133"/>
      <c r="BB237" s="1133"/>
      <c r="BC237" s="1133"/>
      <c r="BD237" s="1133"/>
      <c r="BE237" s="1480"/>
      <c r="BF237" s="1480"/>
      <c r="BG237" s="1480"/>
      <c r="BH237" s="1480"/>
      <c r="BI237" s="1480"/>
      <c r="BJ237" s="1480"/>
    </row>
    <row r="238" spans="1:62" s="629" customFormat="1" ht="45" customHeight="1" x14ac:dyDescent="0.2">
      <c r="A238" s="1514">
        <v>80</v>
      </c>
      <c r="B238" s="636" t="s">
        <v>4239</v>
      </c>
      <c r="C238" s="1149" t="s">
        <v>986</v>
      </c>
      <c r="D238" s="1055" t="s">
        <v>1548</v>
      </c>
      <c r="E238" s="1055" t="s">
        <v>584</v>
      </c>
      <c r="F238" s="1133" t="s">
        <v>4240</v>
      </c>
      <c r="G238" s="1145">
        <v>11001</v>
      </c>
      <c r="H238" s="1055" t="s">
        <v>4241</v>
      </c>
      <c r="I238" s="1146" t="s">
        <v>4242</v>
      </c>
      <c r="J238" s="1055" t="s">
        <v>1740</v>
      </c>
      <c r="K238" s="1137">
        <v>41999</v>
      </c>
      <c r="L238" s="1156">
        <v>1018.8</v>
      </c>
      <c r="M238" s="1133"/>
      <c r="N238" s="1133"/>
      <c r="O238" s="1133"/>
      <c r="P238" s="1132" t="s">
        <v>3905</v>
      </c>
      <c r="Q238" s="1055"/>
      <c r="R238" s="1055"/>
      <c r="S238" s="1055"/>
      <c r="T238" s="1133" t="s">
        <v>316</v>
      </c>
      <c r="U238" s="1055"/>
      <c r="V238" s="1055"/>
      <c r="W238" s="1064"/>
      <c r="X238" s="1133"/>
      <c r="Y238" s="1055"/>
      <c r="Z238" s="1055"/>
      <c r="AA238" s="1138"/>
      <c r="AB238" s="1055"/>
      <c r="AC238" s="1139"/>
      <c r="AD238" s="1139"/>
      <c r="AE238" s="1155">
        <f t="shared" si="5"/>
        <v>1018.8</v>
      </c>
      <c r="AF238" s="561">
        <v>0</v>
      </c>
      <c r="AG238" s="1156">
        <v>1018.8</v>
      </c>
      <c r="AH238" s="1139">
        <f t="shared" si="4"/>
        <v>1018.8</v>
      </c>
      <c r="AI238" s="1055"/>
      <c r="AJ238" s="1064"/>
      <c r="AK238" s="1055"/>
      <c r="AL238" s="1133"/>
      <c r="AM238" s="1055"/>
      <c r="AN238" s="1055"/>
      <c r="AO238" s="1064"/>
      <c r="AP238" s="1137"/>
      <c r="AQ238" s="1064"/>
      <c r="AR238" s="1137"/>
      <c r="AS238" s="1055"/>
      <c r="AT238" s="1133"/>
      <c r="AU238" s="1133"/>
      <c r="AV238" s="1133"/>
      <c r="AW238" s="1133"/>
      <c r="AX238" s="1133"/>
      <c r="AY238" s="1133"/>
      <c r="AZ238" s="1133"/>
      <c r="BA238" s="1133"/>
      <c r="BB238" s="1133"/>
      <c r="BC238" s="1133"/>
      <c r="BD238" s="1133"/>
      <c r="BE238" s="1480"/>
      <c r="BF238" s="1480"/>
      <c r="BG238" s="1480"/>
      <c r="BH238" s="1480"/>
      <c r="BI238" s="1480"/>
      <c r="BJ238" s="1480"/>
    </row>
    <row r="239" spans="1:62" s="629" customFormat="1" ht="45" customHeight="1" x14ac:dyDescent="0.2">
      <c r="A239" s="1514">
        <v>81</v>
      </c>
      <c r="B239" s="636" t="s">
        <v>4239</v>
      </c>
      <c r="C239" s="1149" t="s">
        <v>986</v>
      </c>
      <c r="D239" s="1055" t="s">
        <v>1548</v>
      </c>
      <c r="E239" s="1055" t="s">
        <v>584</v>
      </c>
      <c r="F239" s="1133" t="s">
        <v>4240</v>
      </c>
      <c r="G239" s="1145">
        <v>11001</v>
      </c>
      <c r="H239" s="1055" t="s">
        <v>4241</v>
      </c>
      <c r="I239" s="1146" t="s">
        <v>4242</v>
      </c>
      <c r="J239" s="1055" t="s">
        <v>1740</v>
      </c>
      <c r="K239" s="1137">
        <v>41999</v>
      </c>
      <c r="L239" s="1156">
        <v>849</v>
      </c>
      <c r="M239" s="1133"/>
      <c r="N239" s="1133"/>
      <c r="O239" s="1133"/>
      <c r="P239" s="1132" t="s">
        <v>3905</v>
      </c>
      <c r="Q239" s="1055"/>
      <c r="R239" s="1055"/>
      <c r="S239" s="1055"/>
      <c r="T239" s="1133" t="s">
        <v>316</v>
      </c>
      <c r="U239" s="1055"/>
      <c r="V239" s="1055"/>
      <c r="W239" s="1064"/>
      <c r="X239" s="1133"/>
      <c r="Y239" s="1055"/>
      <c r="Z239" s="1055"/>
      <c r="AA239" s="1138"/>
      <c r="AB239" s="1055"/>
      <c r="AC239" s="1139"/>
      <c r="AD239" s="1139"/>
      <c r="AE239" s="1155">
        <f t="shared" si="5"/>
        <v>849</v>
      </c>
      <c r="AF239" s="561">
        <v>0</v>
      </c>
      <c r="AG239" s="1156">
        <v>849</v>
      </c>
      <c r="AH239" s="1139">
        <f t="shared" si="4"/>
        <v>849</v>
      </c>
      <c r="AI239" s="1055"/>
      <c r="AJ239" s="1064"/>
      <c r="AK239" s="1055"/>
      <c r="AL239" s="1133"/>
      <c r="AM239" s="1055"/>
      <c r="AN239" s="1055"/>
      <c r="AO239" s="1064"/>
      <c r="AP239" s="1137"/>
      <c r="AQ239" s="1064"/>
      <c r="AR239" s="1137"/>
      <c r="AS239" s="1055"/>
      <c r="AT239" s="1133"/>
      <c r="AU239" s="1133"/>
      <c r="AV239" s="1133"/>
      <c r="AW239" s="1133"/>
      <c r="AX239" s="1133"/>
      <c r="AY239" s="1133"/>
      <c r="AZ239" s="1133"/>
      <c r="BA239" s="1133"/>
      <c r="BB239" s="1133"/>
      <c r="BC239" s="1133"/>
      <c r="BD239" s="1133"/>
      <c r="BE239" s="1480"/>
      <c r="BF239" s="1480"/>
      <c r="BG239" s="1480"/>
      <c r="BH239" s="1480"/>
      <c r="BI239" s="1480"/>
      <c r="BJ239" s="1480"/>
    </row>
    <row r="240" spans="1:62" s="629" customFormat="1" ht="45" customHeight="1" x14ac:dyDescent="0.2">
      <c r="A240" s="1514">
        <v>82</v>
      </c>
      <c r="B240" s="636" t="s">
        <v>3595</v>
      </c>
      <c r="C240" s="1055" t="s">
        <v>4243</v>
      </c>
      <c r="D240" s="1055" t="s">
        <v>1548</v>
      </c>
      <c r="E240" s="1055" t="s">
        <v>584</v>
      </c>
      <c r="F240" s="1133" t="s">
        <v>4213</v>
      </c>
      <c r="G240" s="1145">
        <v>11053</v>
      </c>
      <c r="H240" s="1055" t="s">
        <v>4241</v>
      </c>
      <c r="I240" s="1146" t="s">
        <v>4244</v>
      </c>
      <c r="J240" s="1055" t="s">
        <v>1021</v>
      </c>
      <c r="K240" s="1137">
        <v>41717</v>
      </c>
      <c r="L240" s="1156">
        <v>804.8</v>
      </c>
      <c r="M240" s="1133"/>
      <c r="N240" s="1133"/>
      <c r="O240" s="1133"/>
      <c r="P240" s="1132" t="s">
        <v>3905</v>
      </c>
      <c r="Q240" s="1055"/>
      <c r="R240" s="1055"/>
      <c r="S240" s="1055"/>
      <c r="T240" s="1133" t="s">
        <v>316</v>
      </c>
      <c r="U240" s="1055"/>
      <c r="V240" s="1055"/>
      <c r="W240" s="1064"/>
      <c r="X240" s="1133"/>
      <c r="Y240" s="1055"/>
      <c r="Z240" s="1055"/>
      <c r="AA240" s="1138"/>
      <c r="AB240" s="1055"/>
      <c r="AC240" s="1139"/>
      <c r="AD240" s="1139"/>
      <c r="AE240" s="1155">
        <f t="shared" si="5"/>
        <v>804.8</v>
      </c>
      <c r="AF240" s="561">
        <v>0</v>
      </c>
      <c r="AG240" s="1156">
        <v>804.8</v>
      </c>
      <c r="AH240" s="1139">
        <f t="shared" si="4"/>
        <v>804.8</v>
      </c>
      <c r="AI240" s="1055"/>
      <c r="AJ240" s="1064"/>
      <c r="AK240" s="1055"/>
      <c r="AL240" s="1133"/>
      <c r="AM240" s="1055"/>
      <c r="AN240" s="1055"/>
      <c r="AO240" s="1064"/>
      <c r="AP240" s="1137"/>
      <c r="AQ240" s="1064"/>
      <c r="AR240" s="1137"/>
      <c r="AS240" s="1055"/>
      <c r="AT240" s="1133"/>
      <c r="AU240" s="1133"/>
      <c r="AV240" s="1133"/>
      <c r="AW240" s="1133"/>
      <c r="AX240" s="1133"/>
      <c r="AY240" s="1133"/>
      <c r="AZ240" s="1133"/>
      <c r="BA240" s="1133"/>
      <c r="BB240" s="1133"/>
      <c r="BC240" s="1133"/>
      <c r="BD240" s="1133"/>
      <c r="BE240" s="1480"/>
      <c r="BF240" s="1480"/>
      <c r="BG240" s="1480"/>
      <c r="BH240" s="1480"/>
      <c r="BI240" s="1480"/>
      <c r="BJ240" s="1480"/>
    </row>
    <row r="241" spans="1:62" s="629" customFormat="1" ht="45" customHeight="1" x14ac:dyDescent="0.2">
      <c r="A241" s="1514">
        <v>83</v>
      </c>
      <c r="B241" s="636" t="s">
        <v>3595</v>
      </c>
      <c r="C241" s="1055" t="s">
        <v>4243</v>
      </c>
      <c r="D241" s="1055" t="s">
        <v>1548</v>
      </c>
      <c r="E241" s="1055" t="s">
        <v>584</v>
      </c>
      <c r="F241" s="1133" t="s">
        <v>4213</v>
      </c>
      <c r="G241" s="1145">
        <v>11016</v>
      </c>
      <c r="H241" s="1055" t="s">
        <v>4241</v>
      </c>
      <c r="I241" s="1146" t="s">
        <v>4245</v>
      </c>
      <c r="J241" s="1055" t="s">
        <v>1740</v>
      </c>
      <c r="K241" s="1137">
        <v>41999</v>
      </c>
      <c r="L241" s="1156">
        <v>1031.67</v>
      </c>
      <c r="M241" s="1133"/>
      <c r="N241" s="1133"/>
      <c r="O241" s="1133"/>
      <c r="P241" s="1132" t="s">
        <v>3905</v>
      </c>
      <c r="Q241" s="1055"/>
      <c r="R241" s="1055"/>
      <c r="S241" s="1055"/>
      <c r="T241" s="1133" t="s">
        <v>316</v>
      </c>
      <c r="U241" s="1055"/>
      <c r="V241" s="1055"/>
      <c r="W241" s="1064"/>
      <c r="X241" s="1133"/>
      <c r="Y241" s="1055"/>
      <c r="Z241" s="1055"/>
      <c r="AA241" s="1138"/>
      <c r="AB241" s="1055"/>
      <c r="AC241" s="1139"/>
      <c r="AD241" s="1139"/>
      <c r="AE241" s="1155">
        <f t="shared" si="5"/>
        <v>1031.67</v>
      </c>
      <c r="AF241" s="561">
        <v>0</v>
      </c>
      <c r="AG241" s="1156">
        <v>1031.67</v>
      </c>
      <c r="AH241" s="1139">
        <f t="shared" si="4"/>
        <v>1031.67</v>
      </c>
      <c r="AI241" s="1055"/>
      <c r="AJ241" s="1064"/>
      <c r="AK241" s="1055"/>
      <c r="AL241" s="1133"/>
      <c r="AM241" s="1055"/>
      <c r="AN241" s="1055"/>
      <c r="AO241" s="1064"/>
      <c r="AP241" s="1137"/>
      <c r="AQ241" s="1064"/>
      <c r="AR241" s="1137"/>
      <c r="AS241" s="1055"/>
      <c r="AT241" s="1133"/>
      <c r="AU241" s="1133"/>
      <c r="AV241" s="1133"/>
      <c r="AW241" s="1133"/>
      <c r="AX241" s="1133"/>
      <c r="AY241" s="1133"/>
      <c r="AZ241" s="1133"/>
      <c r="BA241" s="1133"/>
      <c r="BB241" s="1133"/>
      <c r="BC241" s="1133"/>
      <c r="BD241" s="1133"/>
      <c r="BE241" s="1480"/>
      <c r="BF241" s="1480"/>
      <c r="BG241" s="1480"/>
      <c r="BH241" s="1480"/>
      <c r="BI241" s="1480"/>
      <c r="BJ241" s="1480"/>
    </row>
    <row r="242" spans="1:62" s="629" customFormat="1" ht="45" customHeight="1" x14ac:dyDescent="0.2">
      <c r="A242" s="1514">
        <v>84</v>
      </c>
      <c r="B242" s="636" t="s">
        <v>3595</v>
      </c>
      <c r="C242" s="1055" t="s">
        <v>4243</v>
      </c>
      <c r="D242" s="1055" t="s">
        <v>1548</v>
      </c>
      <c r="E242" s="1055" t="s">
        <v>584</v>
      </c>
      <c r="F242" s="1133" t="s">
        <v>4213</v>
      </c>
      <c r="G242" s="1145">
        <v>11016</v>
      </c>
      <c r="H242" s="1055" t="s">
        <v>4241</v>
      </c>
      <c r="I242" s="1146" t="s">
        <v>4245</v>
      </c>
      <c r="J242" s="1055" t="s">
        <v>1740</v>
      </c>
      <c r="K242" s="1137">
        <v>41999</v>
      </c>
      <c r="L242" s="1156">
        <v>3154.28</v>
      </c>
      <c r="M242" s="1133"/>
      <c r="N242" s="1133"/>
      <c r="O242" s="1133"/>
      <c r="P242" s="1132" t="s">
        <v>3905</v>
      </c>
      <c r="Q242" s="1055"/>
      <c r="R242" s="1055"/>
      <c r="S242" s="1055"/>
      <c r="T242" s="1133" t="s">
        <v>316</v>
      </c>
      <c r="U242" s="1055"/>
      <c r="V242" s="1055"/>
      <c r="W242" s="1064"/>
      <c r="X242" s="1133"/>
      <c r="Y242" s="1055"/>
      <c r="Z242" s="1055"/>
      <c r="AA242" s="1138"/>
      <c r="AB242" s="1055"/>
      <c r="AC242" s="1139"/>
      <c r="AD242" s="1139"/>
      <c r="AE242" s="1155">
        <f t="shared" si="5"/>
        <v>3154.28</v>
      </c>
      <c r="AF242" s="561">
        <v>0</v>
      </c>
      <c r="AG242" s="1156">
        <v>3154.28</v>
      </c>
      <c r="AH242" s="1139">
        <f t="shared" si="4"/>
        <v>3154.28</v>
      </c>
      <c r="AI242" s="1055"/>
      <c r="AJ242" s="1064"/>
      <c r="AK242" s="1055"/>
      <c r="AL242" s="1133"/>
      <c r="AM242" s="1055"/>
      <c r="AN242" s="1055"/>
      <c r="AO242" s="1064"/>
      <c r="AP242" s="1137"/>
      <c r="AQ242" s="1064"/>
      <c r="AR242" s="1137"/>
      <c r="AS242" s="1055"/>
      <c r="AT242" s="1133"/>
      <c r="AU242" s="1133"/>
      <c r="AV242" s="1133"/>
      <c r="AW242" s="1133"/>
      <c r="AX242" s="1133"/>
      <c r="AY242" s="1133"/>
      <c r="AZ242" s="1133"/>
      <c r="BA242" s="1133"/>
      <c r="BB242" s="1133"/>
      <c r="BC242" s="1133"/>
      <c r="BD242" s="1133"/>
      <c r="BE242" s="1480"/>
      <c r="BF242" s="1480"/>
      <c r="BG242" s="1480"/>
      <c r="BH242" s="1480"/>
      <c r="BI242" s="1480"/>
      <c r="BJ242" s="1480"/>
    </row>
    <row r="243" spans="1:62" s="629" customFormat="1" ht="45" customHeight="1" x14ac:dyDescent="0.2">
      <c r="A243" s="1514">
        <v>85</v>
      </c>
      <c r="B243" s="636" t="s">
        <v>3595</v>
      </c>
      <c r="C243" s="1055" t="s">
        <v>4243</v>
      </c>
      <c r="D243" s="1055" t="s">
        <v>1548</v>
      </c>
      <c r="E243" s="1055" t="s">
        <v>584</v>
      </c>
      <c r="F243" s="1133" t="s">
        <v>4226</v>
      </c>
      <c r="G243" s="1145">
        <v>11053</v>
      </c>
      <c r="H243" s="1055" t="s">
        <v>4241</v>
      </c>
      <c r="I243" s="1146" t="s">
        <v>4246</v>
      </c>
      <c r="J243" s="1055" t="s">
        <v>315</v>
      </c>
      <c r="K243" s="1137">
        <v>41775</v>
      </c>
      <c r="L243" s="1156">
        <v>5115</v>
      </c>
      <c r="M243" s="1133"/>
      <c r="N243" s="1133"/>
      <c r="O243" s="1133"/>
      <c r="P243" s="1132" t="s">
        <v>3905</v>
      </c>
      <c r="Q243" s="1055"/>
      <c r="R243" s="1055"/>
      <c r="S243" s="1055"/>
      <c r="T243" s="1133" t="s">
        <v>316</v>
      </c>
      <c r="U243" s="1055"/>
      <c r="V243" s="1055"/>
      <c r="W243" s="1064"/>
      <c r="X243" s="1133"/>
      <c r="Y243" s="1055"/>
      <c r="Z243" s="1055"/>
      <c r="AA243" s="1138"/>
      <c r="AB243" s="1055"/>
      <c r="AC243" s="1139"/>
      <c r="AD243" s="1139"/>
      <c r="AE243" s="1155">
        <f t="shared" si="5"/>
        <v>5115</v>
      </c>
      <c r="AF243" s="561">
        <v>0</v>
      </c>
      <c r="AG243" s="1156">
        <v>5115</v>
      </c>
      <c r="AH243" s="1139">
        <f t="shared" si="4"/>
        <v>5115</v>
      </c>
      <c r="AI243" s="1055"/>
      <c r="AJ243" s="1064"/>
      <c r="AK243" s="1055"/>
      <c r="AL243" s="1133"/>
      <c r="AM243" s="1055"/>
      <c r="AN243" s="1055"/>
      <c r="AO243" s="1064"/>
      <c r="AP243" s="1137"/>
      <c r="AQ243" s="1064"/>
      <c r="AR243" s="1137"/>
      <c r="AS243" s="1055"/>
      <c r="AT243" s="1133"/>
      <c r="AU243" s="1133"/>
      <c r="AV243" s="1133"/>
      <c r="AW243" s="1133"/>
      <c r="AX243" s="1133"/>
      <c r="AY243" s="1133"/>
      <c r="AZ243" s="1133"/>
      <c r="BA243" s="1133"/>
      <c r="BB243" s="1133"/>
      <c r="BC243" s="1133"/>
      <c r="BD243" s="1133"/>
      <c r="BE243" s="1480"/>
      <c r="BF243" s="1480"/>
      <c r="BG243" s="1480"/>
      <c r="BH243" s="1480"/>
      <c r="BI243" s="1480"/>
      <c r="BJ243" s="1480"/>
    </row>
    <row r="244" spans="1:62" s="629" customFormat="1" ht="45" customHeight="1" x14ac:dyDescent="0.2">
      <c r="A244" s="1514">
        <v>86</v>
      </c>
      <c r="B244" s="636" t="s">
        <v>3595</v>
      </c>
      <c r="C244" s="1055" t="s">
        <v>4243</v>
      </c>
      <c r="D244" s="1055" t="s">
        <v>1548</v>
      </c>
      <c r="E244" s="1055" t="s">
        <v>584</v>
      </c>
      <c r="F244" s="1133" t="s">
        <v>4226</v>
      </c>
      <c r="G244" s="1145">
        <v>11016</v>
      </c>
      <c r="H244" s="1055" t="s">
        <v>4241</v>
      </c>
      <c r="I244" s="1146" t="s">
        <v>4246</v>
      </c>
      <c r="J244" s="1055" t="s">
        <v>315</v>
      </c>
      <c r="K244" s="1137">
        <v>41535</v>
      </c>
      <c r="L244" s="1156">
        <v>200</v>
      </c>
      <c r="M244" s="1133"/>
      <c r="N244" s="1133"/>
      <c r="O244" s="1133"/>
      <c r="P244" s="1132" t="s">
        <v>3905</v>
      </c>
      <c r="Q244" s="1055"/>
      <c r="R244" s="1055"/>
      <c r="S244" s="1055"/>
      <c r="T244" s="1133" t="s">
        <v>408</v>
      </c>
      <c r="U244" s="1055"/>
      <c r="V244" s="1055"/>
      <c r="W244" s="1064"/>
      <c r="X244" s="1133"/>
      <c r="Y244" s="1055"/>
      <c r="Z244" s="1055"/>
      <c r="AA244" s="1138"/>
      <c r="AB244" s="1055"/>
      <c r="AC244" s="1139"/>
      <c r="AD244" s="1139"/>
      <c r="AE244" s="1155">
        <f t="shared" si="5"/>
        <v>200</v>
      </c>
      <c r="AF244" s="561">
        <v>0</v>
      </c>
      <c r="AG244" s="1156">
        <v>200</v>
      </c>
      <c r="AH244" s="1139">
        <f t="shared" si="4"/>
        <v>200</v>
      </c>
      <c r="AI244" s="1055"/>
      <c r="AJ244" s="1064"/>
      <c r="AK244" s="1055"/>
      <c r="AL244" s="1133"/>
      <c r="AM244" s="1055"/>
      <c r="AN244" s="1055"/>
      <c r="AO244" s="1064"/>
      <c r="AP244" s="1137"/>
      <c r="AQ244" s="1064"/>
      <c r="AR244" s="1137"/>
      <c r="AS244" s="1055"/>
      <c r="AT244" s="1133"/>
      <c r="AU244" s="1133"/>
      <c r="AV244" s="1133"/>
      <c r="AW244" s="1133"/>
      <c r="AX244" s="1133"/>
      <c r="AY244" s="1133"/>
      <c r="AZ244" s="1133"/>
      <c r="BA244" s="1133"/>
      <c r="BB244" s="1133"/>
      <c r="BC244" s="1133"/>
      <c r="BD244" s="1133"/>
      <c r="BE244" s="1480"/>
      <c r="BF244" s="1480"/>
      <c r="BG244" s="1480"/>
      <c r="BH244" s="1480"/>
      <c r="BI244" s="1480"/>
      <c r="BJ244" s="1480"/>
    </row>
    <row r="245" spans="1:62" s="629" customFormat="1" ht="45" customHeight="1" x14ac:dyDescent="0.2">
      <c r="A245" s="1514">
        <v>87</v>
      </c>
      <c r="B245" s="636" t="s">
        <v>3595</v>
      </c>
      <c r="C245" s="1055" t="s">
        <v>4243</v>
      </c>
      <c r="D245" s="1055" t="s">
        <v>1548</v>
      </c>
      <c r="E245" s="1055" t="s">
        <v>584</v>
      </c>
      <c r="F245" s="1133" t="s">
        <v>4213</v>
      </c>
      <c r="G245" s="1145">
        <v>11016</v>
      </c>
      <c r="H245" s="1055" t="s">
        <v>4241</v>
      </c>
      <c r="I245" s="1146" t="s">
        <v>4245</v>
      </c>
      <c r="J245" s="1055" t="s">
        <v>1740</v>
      </c>
      <c r="K245" s="1137">
        <v>41999</v>
      </c>
      <c r="L245" s="1156">
        <v>2350.23</v>
      </c>
      <c r="M245" s="1133"/>
      <c r="N245" s="1133"/>
      <c r="O245" s="1133"/>
      <c r="P245" s="1132" t="s">
        <v>3961</v>
      </c>
      <c r="Q245" s="1055"/>
      <c r="R245" s="1055"/>
      <c r="S245" s="1055"/>
      <c r="T245" s="1133" t="s">
        <v>316</v>
      </c>
      <c r="U245" s="1055"/>
      <c r="V245" s="1055"/>
      <c r="W245" s="1064"/>
      <c r="X245" s="1133"/>
      <c r="Y245" s="1055"/>
      <c r="Z245" s="1055"/>
      <c r="AA245" s="1138"/>
      <c r="AB245" s="1055"/>
      <c r="AC245" s="1139"/>
      <c r="AD245" s="1139"/>
      <c r="AE245" s="1155">
        <f t="shared" si="5"/>
        <v>2350.23</v>
      </c>
      <c r="AF245" s="561">
        <v>0</v>
      </c>
      <c r="AG245" s="1156">
        <v>2350.23</v>
      </c>
      <c r="AH245" s="1139">
        <f t="shared" si="4"/>
        <v>2350.23</v>
      </c>
      <c r="AI245" s="1055"/>
      <c r="AJ245" s="1064"/>
      <c r="AK245" s="1055"/>
      <c r="AL245" s="1133"/>
      <c r="AM245" s="1055"/>
      <c r="AN245" s="1055"/>
      <c r="AO245" s="1064"/>
      <c r="AP245" s="1137"/>
      <c r="AQ245" s="1064"/>
      <c r="AR245" s="1137"/>
      <c r="AS245" s="1055"/>
      <c r="AT245" s="1133"/>
      <c r="AU245" s="1133"/>
      <c r="AV245" s="1133"/>
      <c r="AW245" s="1133"/>
      <c r="AX245" s="1133"/>
      <c r="AY245" s="1133"/>
      <c r="AZ245" s="1133"/>
      <c r="BA245" s="1133"/>
      <c r="BB245" s="1133"/>
      <c r="BC245" s="1133"/>
      <c r="BD245" s="1133"/>
      <c r="BE245" s="1480"/>
      <c r="BF245" s="1480"/>
      <c r="BG245" s="1480"/>
      <c r="BH245" s="1480"/>
      <c r="BI245" s="1480"/>
      <c r="BJ245" s="1480"/>
    </row>
    <row r="246" spans="1:62" s="629" customFormat="1" ht="45" customHeight="1" x14ac:dyDescent="0.2">
      <c r="A246" s="1514">
        <v>88</v>
      </c>
      <c r="B246" s="636" t="s">
        <v>1330</v>
      </c>
      <c r="C246" s="1055" t="s">
        <v>4243</v>
      </c>
      <c r="D246" s="1055" t="s">
        <v>1548</v>
      </c>
      <c r="E246" s="1055" t="s">
        <v>584</v>
      </c>
      <c r="F246" s="1133" t="s">
        <v>4247</v>
      </c>
      <c r="G246" s="1145">
        <v>10998</v>
      </c>
      <c r="H246" s="1055" t="s">
        <v>4241</v>
      </c>
      <c r="I246" s="1146" t="s">
        <v>4248</v>
      </c>
      <c r="J246" s="1055" t="s">
        <v>4249</v>
      </c>
      <c r="K246" s="1137">
        <v>41997</v>
      </c>
      <c r="L246" s="1156">
        <v>558</v>
      </c>
      <c r="M246" s="1133"/>
      <c r="N246" s="1133"/>
      <c r="O246" s="1133"/>
      <c r="P246" s="1132" t="s">
        <v>3905</v>
      </c>
      <c r="Q246" s="1055"/>
      <c r="R246" s="1055"/>
      <c r="S246" s="1055"/>
      <c r="T246" s="1133" t="s">
        <v>316</v>
      </c>
      <c r="U246" s="1055"/>
      <c r="V246" s="1055"/>
      <c r="W246" s="1064"/>
      <c r="X246" s="1133"/>
      <c r="Y246" s="1055"/>
      <c r="Z246" s="1055"/>
      <c r="AA246" s="1138"/>
      <c r="AB246" s="1055"/>
      <c r="AC246" s="1139"/>
      <c r="AD246" s="1139"/>
      <c r="AE246" s="1155">
        <f t="shared" si="5"/>
        <v>558</v>
      </c>
      <c r="AF246" s="561">
        <v>0</v>
      </c>
      <c r="AG246" s="1156">
        <v>558</v>
      </c>
      <c r="AH246" s="1139">
        <f t="shared" si="4"/>
        <v>558</v>
      </c>
      <c r="AI246" s="1055"/>
      <c r="AJ246" s="1064"/>
      <c r="AK246" s="1055"/>
      <c r="AL246" s="1133"/>
      <c r="AM246" s="1055"/>
      <c r="AN246" s="1055"/>
      <c r="AO246" s="1064"/>
      <c r="AP246" s="1137"/>
      <c r="AQ246" s="1064"/>
      <c r="AR246" s="1137"/>
      <c r="AS246" s="1055"/>
      <c r="AT246" s="1133"/>
      <c r="AU246" s="1133"/>
      <c r="AV246" s="1133"/>
      <c r="AW246" s="1133"/>
      <c r="AX246" s="1133"/>
      <c r="AY246" s="1133"/>
      <c r="AZ246" s="1133"/>
      <c r="BA246" s="1133"/>
      <c r="BB246" s="1133"/>
      <c r="BC246" s="1133"/>
      <c r="BD246" s="1133"/>
      <c r="BE246" s="1480"/>
      <c r="BF246" s="1480"/>
      <c r="BG246" s="1480"/>
      <c r="BH246" s="1480"/>
      <c r="BI246" s="1480"/>
      <c r="BJ246" s="1480"/>
    </row>
    <row r="247" spans="1:62" s="629" customFormat="1" ht="45" customHeight="1" x14ac:dyDescent="0.2">
      <c r="A247" s="1514">
        <v>89</v>
      </c>
      <c r="B247" s="636" t="s">
        <v>1330</v>
      </c>
      <c r="C247" s="1055" t="s">
        <v>4243</v>
      </c>
      <c r="D247" s="1090" t="s">
        <v>1548</v>
      </c>
      <c r="E247" s="1090" t="s">
        <v>584</v>
      </c>
      <c r="F247" s="1133" t="s">
        <v>4213</v>
      </c>
      <c r="G247" s="1145">
        <v>10998</v>
      </c>
      <c r="H247" s="1090" t="s">
        <v>4241</v>
      </c>
      <c r="I247" s="1090" t="s">
        <v>4250</v>
      </c>
      <c r="J247" s="1055" t="s">
        <v>4216</v>
      </c>
      <c r="K247" s="1137">
        <v>41537</v>
      </c>
      <c r="L247" s="1156">
        <v>864.93</v>
      </c>
      <c r="M247" s="1140"/>
      <c r="N247" s="1140"/>
      <c r="O247" s="1140"/>
      <c r="P247" s="1132" t="s">
        <v>3905</v>
      </c>
      <c r="Q247" s="1055"/>
      <c r="R247" s="1055"/>
      <c r="S247" s="1055"/>
      <c r="T247" s="1133" t="s">
        <v>316</v>
      </c>
      <c r="U247" s="1055"/>
      <c r="V247" s="1055"/>
      <c r="W247" s="1064"/>
      <c r="X247" s="1140"/>
      <c r="Y247" s="1055"/>
      <c r="Z247" s="1055"/>
      <c r="AA247" s="1138"/>
      <c r="AB247" s="1055"/>
      <c r="AC247" s="1139"/>
      <c r="AD247" s="1139"/>
      <c r="AE247" s="1155">
        <f t="shared" si="5"/>
        <v>864.93</v>
      </c>
      <c r="AF247" s="561">
        <v>0</v>
      </c>
      <c r="AG247" s="1156">
        <v>864.93</v>
      </c>
      <c r="AH247" s="1139">
        <f t="shared" si="4"/>
        <v>864.93</v>
      </c>
      <c r="AI247" s="1055"/>
      <c r="AJ247" s="1064"/>
      <c r="AK247" s="1055"/>
      <c r="AL247" s="1133"/>
      <c r="AM247" s="1055"/>
      <c r="AN247" s="1055"/>
      <c r="AO247" s="1064"/>
      <c r="AP247" s="1137"/>
      <c r="AQ247" s="1064"/>
      <c r="AR247" s="1137"/>
      <c r="AS247" s="1055"/>
      <c r="AT247" s="1133"/>
      <c r="AU247" s="1133"/>
      <c r="AV247" s="1133"/>
      <c r="AW247" s="1133"/>
      <c r="AX247" s="1133"/>
      <c r="AY247" s="1133"/>
      <c r="AZ247" s="1133"/>
      <c r="BA247" s="1133"/>
      <c r="BB247" s="1133"/>
      <c r="BC247" s="1133"/>
      <c r="BD247" s="1133"/>
      <c r="BE247" s="1480"/>
      <c r="BF247" s="1480"/>
      <c r="BG247" s="1480"/>
      <c r="BH247" s="1480"/>
      <c r="BI247" s="1480"/>
      <c r="BJ247" s="1480"/>
    </row>
    <row r="248" spans="1:62" s="629" customFormat="1" ht="45" customHeight="1" x14ac:dyDescent="0.2">
      <c r="A248" s="1514">
        <v>90</v>
      </c>
      <c r="B248" s="636" t="s">
        <v>1330</v>
      </c>
      <c r="C248" s="1055" t="s">
        <v>4243</v>
      </c>
      <c r="D248" s="1090" t="s">
        <v>1548</v>
      </c>
      <c r="E248" s="1090" t="s">
        <v>584</v>
      </c>
      <c r="F248" s="1133" t="s">
        <v>4213</v>
      </c>
      <c r="G248" s="1145">
        <v>10998</v>
      </c>
      <c r="H248" s="1090" t="s">
        <v>4241</v>
      </c>
      <c r="I248" s="1090" t="s">
        <v>4246</v>
      </c>
      <c r="J248" s="1055" t="s">
        <v>315</v>
      </c>
      <c r="K248" s="1137">
        <v>41535</v>
      </c>
      <c r="L248" s="1156">
        <v>1088.79</v>
      </c>
      <c r="M248" s="1140"/>
      <c r="N248" s="1140"/>
      <c r="O248" s="1140"/>
      <c r="P248" s="1132" t="s">
        <v>3905</v>
      </c>
      <c r="Q248" s="1055"/>
      <c r="R248" s="1055"/>
      <c r="S248" s="1055"/>
      <c r="T248" s="1133" t="s">
        <v>316</v>
      </c>
      <c r="U248" s="1055"/>
      <c r="V248" s="1055"/>
      <c r="W248" s="1064"/>
      <c r="X248" s="1140"/>
      <c r="Y248" s="1055"/>
      <c r="Z248" s="1055"/>
      <c r="AA248" s="1138"/>
      <c r="AB248" s="1055"/>
      <c r="AC248" s="1139"/>
      <c r="AD248" s="1139"/>
      <c r="AE248" s="1155">
        <f t="shared" si="5"/>
        <v>1088.79</v>
      </c>
      <c r="AF248" s="561">
        <v>0</v>
      </c>
      <c r="AG248" s="1156">
        <v>1088.28</v>
      </c>
      <c r="AH248" s="1139">
        <f t="shared" si="4"/>
        <v>1088.28</v>
      </c>
      <c r="AI248" s="1055"/>
      <c r="AJ248" s="1064"/>
      <c r="AK248" s="1055"/>
      <c r="AL248" s="1133"/>
      <c r="AM248" s="1055"/>
      <c r="AN248" s="1055"/>
      <c r="AO248" s="1064"/>
      <c r="AP248" s="1137"/>
      <c r="AQ248" s="1064"/>
      <c r="AR248" s="1137"/>
      <c r="AS248" s="1055"/>
      <c r="AT248" s="1133"/>
      <c r="AU248" s="1133"/>
      <c r="AV248" s="1133"/>
      <c r="AW248" s="1133"/>
      <c r="AX248" s="1133"/>
      <c r="AY248" s="1133"/>
      <c r="AZ248" s="1133"/>
      <c r="BA248" s="1133"/>
      <c r="BB248" s="1133"/>
      <c r="BC248" s="1133"/>
      <c r="BD248" s="1133"/>
      <c r="BE248" s="1480"/>
      <c r="BF248" s="1480"/>
      <c r="BG248" s="1480"/>
      <c r="BH248" s="1480"/>
      <c r="BI248" s="1480"/>
      <c r="BJ248" s="1480"/>
    </row>
    <row r="249" spans="1:62" s="629" customFormat="1" ht="45" customHeight="1" x14ac:dyDescent="0.2">
      <c r="A249" s="1514">
        <v>91</v>
      </c>
      <c r="B249" s="636" t="s">
        <v>1330</v>
      </c>
      <c r="C249" s="1055" t="s">
        <v>1070</v>
      </c>
      <c r="D249" s="1090" t="s">
        <v>1548</v>
      </c>
      <c r="E249" s="1090" t="s">
        <v>584</v>
      </c>
      <c r="F249" s="1133" t="s">
        <v>4213</v>
      </c>
      <c r="G249" s="1145">
        <v>10998</v>
      </c>
      <c r="H249" s="1090" t="s">
        <v>4241</v>
      </c>
      <c r="I249" s="1090" t="s">
        <v>4251</v>
      </c>
      <c r="J249" s="1055" t="s">
        <v>4219</v>
      </c>
      <c r="K249" s="1137">
        <v>41591</v>
      </c>
      <c r="L249" s="1156">
        <v>811.28</v>
      </c>
      <c r="M249" s="1140"/>
      <c r="N249" s="1140"/>
      <c r="O249" s="1140"/>
      <c r="P249" s="1132" t="s">
        <v>3905</v>
      </c>
      <c r="Q249" s="1055"/>
      <c r="R249" s="1055"/>
      <c r="S249" s="1055"/>
      <c r="T249" s="1133" t="s">
        <v>316</v>
      </c>
      <c r="U249" s="1055"/>
      <c r="V249" s="1055"/>
      <c r="W249" s="1064"/>
      <c r="X249" s="1140"/>
      <c r="Y249" s="1055"/>
      <c r="Z249" s="1055"/>
      <c r="AA249" s="1138"/>
      <c r="AB249" s="1055"/>
      <c r="AC249" s="1139"/>
      <c r="AD249" s="1139"/>
      <c r="AE249" s="1155">
        <f t="shared" si="5"/>
        <v>811.28</v>
      </c>
      <c r="AF249" s="561">
        <v>0</v>
      </c>
      <c r="AG249" s="1156">
        <v>811.28</v>
      </c>
      <c r="AH249" s="1139">
        <f t="shared" si="4"/>
        <v>811.28</v>
      </c>
      <c r="AI249" s="1055"/>
      <c r="AJ249" s="1064"/>
      <c r="AK249" s="1055"/>
      <c r="AL249" s="1133"/>
      <c r="AM249" s="1055"/>
      <c r="AN249" s="1055"/>
      <c r="AO249" s="1064"/>
      <c r="AP249" s="1137"/>
      <c r="AQ249" s="1064"/>
      <c r="AR249" s="1137"/>
      <c r="AS249" s="1055"/>
      <c r="AT249" s="1133"/>
      <c r="AU249" s="1133"/>
      <c r="AV249" s="1133"/>
      <c r="AW249" s="1133"/>
      <c r="AX249" s="1133"/>
      <c r="AY249" s="1133"/>
      <c r="AZ249" s="1133"/>
      <c r="BA249" s="1133"/>
      <c r="BB249" s="1133"/>
      <c r="BC249" s="1133"/>
      <c r="BD249" s="1133"/>
      <c r="BE249" s="1480"/>
      <c r="BF249" s="1480"/>
      <c r="BG249" s="1480"/>
      <c r="BH249" s="1480"/>
      <c r="BI249" s="1480"/>
      <c r="BJ249" s="1480"/>
    </row>
    <row r="250" spans="1:62" s="629" customFormat="1" ht="45" customHeight="1" x14ac:dyDescent="0.2">
      <c r="A250" s="1514">
        <v>92</v>
      </c>
      <c r="B250" s="636" t="s">
        <v>1330</v>
      </c>
      <c r="C250" s="1055" t="s">
        <v>1070</v>
      </c>
      <c r="D250" s="1090" t="s">
        <v>1548</v>
      </c>
      <c r="E250" s="1090" t="s">
        <v>584</v>
      </c>
      <c r="F250" s="1133" t="s">
        <v>4213</v>
      </c>
      <c r="G250" s="1145">
        <v>11026</v>
      </c>
      <c r="H250" s="1090" t="s">
        <v>4241</v>
      </c>
      <c r="I250" s="1090" t="s">
        <v>4252</v>
      </c>
      <c r="J250" s="1055" t="s">
        <v>437</v>
      </c>
      <c r="K250" s="1137">
        <v>41722</v>
      </c>
      <c r="L250" s="1156">
        <v>2815.15</v>
      </c>
      <c r="M250" s="1140"/>
      <c r="N250" s="1140"/>
      <c r="O250" s="1140"/>
      <c r="P250" s="1132" t="s">
        <v>3905</v>
      </c>
      <c r="Q250" s="1055"/>
      <c r="R250" s="1055"/>
      <c r="S250" s="1055"/>
      <c r="T250" s="1133" t="s">
        <v>316</v>
      </c>
      <c r="U250" s="1055"/>
      <c r="V250" s="1055"/>
      <c r="W250" s="1064"/>
      <c r="X250" s="1140"/>
      <c r="Y250" s="1055"/>
      <c r="Z250" s="1055"/>
      <c r="AA250" s="1138"/>
      <c r="AB250" s="1055"/>
      <c r="AC250" s="1139"/>
      <c r="AD250" s="1139"/>
      <c r="AE250" s="1155">
        <f t="shared" si="5"/>
        <v>2815.15</v>
      </c>
      <c r="AF250" s="561">
        <v>0</v>
      </c>
      <c r="AG250" s="1156">
        <v>2815.15</v>
      </c>
      <c r="AH250" s="1139">
        <f t="shared" si="4"/>
        <v>2815.15</v>
      </c>
      <c r="AI250" s="1055"/>
      <c r="AJ250" s="1064"/>
      <c r="AK250" s="1055"/>
      <c r="AL250" s="1133"/>
      <c r="AM250" s="1055"/>
      <c r="AN250" s="1055"/>
      <c r="AO250" s="1064"/>
      <c r="AP250" s="1137"/>
      <c r="AQ250" s="1064"/>
      <c r="AR250" s="1137"/>
      <c r="AS250" s="1055"/>
      <c r="AT250" s="1133"/>
      <c r="AU250" s="1133"/>
      <c r="AV250" s="1133"/>
      <c r="AW250" s="1133"/>
      <c r="AX250" s="1133"/>
      <c r="AY250" s="1133"/>
      <c r="AZ250" s="1133"/>
      <c r="BA250" s="1133"/>
      <c r="BB250" s="1133"/>
      <c r="BC250" s="1133"/>
      <c r="BD250" s="1133"/>
      <c r="BE250" s="1480"/>
      <c r="BF250" s="1480"/>
      <c r="BG250" s="1480"/>
      <c r="BH250" s="1480"/>
      <c r="BI250" s="1480"/>
      <c r="BJ250" s="1480"/>
    </row>
    <row r="251" spans="1:62" s="629" customFormat="1" ht="45" customHeight="1" x14ac:dyDescent="0.2">
      <c r="A251" s="1514">
        <v>93</v>
      </c>
      <c r="B251" s="636" t="s">
        <v>1330</v>
      </c>
      <c r="C251" s="1055" t="s">
        <v>1070</v>
      </c>
      <c r="D251" s="1090" t="s">
        <v>1548</v>
      </c>
      <c r="E251" s="1090" t="s">
        <v>584</v>
      </c>
      <c r="F251" s="1133" t="s">
        <v>4213</v>
      </c>
      <c r="G251" s="1145">
        <v>10998</v>
      </c>
      <c r="H251" s="1090" t="s">
        <v>4241</v>
      </c>
      <c r="I251" s="1090" t="s">
        <v>4250</v>
      </c>
      <c r="J251" s="1055" t="s">
        <v>4216</v>
      </c>
      <c r="K251" s="1137">
        <v>41537</v>
      </c>
      <c r="L251" s="1156">
        <v>37</v>
      </c>
      <c r="M251" s="1140"/>
      <c r="N251" s="1140"/>
      <c r="O251" s="1140"/>
      <c r="P251" s="1132" t="s">
        <v>3905</v>
      </c>
      <c r="Q251" s="1055"/>
      <c r="R251" s="1055"/>
      <c r="S251" s="1055"/>
      <c r="T251" s="1133" t="s">
        <v>316</v>
      </c>
      <c r="U251" s="1055"/>
      <c r="V251" s="1055"/>
      <c r="W251" s="1064"/>
      <c r="X251" s="1140"/>
      <c r="Y251" s="1055"/>
      <c r="Z251" s="1055"/>
      <c r="AA251" s="1138"/>
      <c r="AB251" s="1055"/>
      <c r="AC251" s="1139"/>
      <c r="AD251" s="1139"/>
      <c r="AE251" s="1155">
        <f t="shared" si="5"/>
        <v>37</v>
      </c>
      <c r="AF251" s="561">
        <v>0</v>
      </c>
      <c r="AG251" s="1156">
        <v>37</v>
      </c>
      <c r="AH251" s="1139">
        <f t="shared" si="4"/>
        <v>37</v>
      </c>
      <c r="AI251" s="1055"/>
      <c r="AJ251" s="1064"/>
      <c r="AK251" s="1055"/>
      <c r="AL251" s="1133"/>
      <c r="AM251" s="1055"/>
      <c r="AN251" s="1055"/>
      <c r="AO251" s="1064"/>
      <c r="AP251" s="1137"/>
      <c r="AQ251" s="1064"/>
      <c r="AR251" s="1137"/>
      <c r="AS251" s="1055"/>
      <c r="AT251" s="1133"/>
      <c r="AU251" s="1133"/>
      <c r="AV251" s="1133"/>
      <c r="AW251" s="1133"/>
      <c r="AX251" s="1133"/>
      <c r="AY251" s="1133"/>
      <c r="AZ251" s="1133"/>
      <c r="BA251" s="1133"/>
      <c r="BB251" s="1133"/>
      <c r="BC251" s="1133"/>
      <c r="BD251" s="1133"/>
      <c r="BE251" s="1480"/>
      <c r="BF251" s="1480"/>
      <c r="BG251" s="1480"/>
      <c r="BH251" s="1480"/>
      <c r="BI251" s="1480"/>
      <c r="BJ251" s="1480"/>
    </row>
    <row r="252" spans="1:62" s="629" customFormat="1" ht="45" customHeight="1" x14ac:dyDescent="0.2">
      <c r="A252" s="1514">
        <v>94</v>
      </c>
      <c r="B252" s="636" t="s">
        <v>1330</v>
      </c>
      <c r="C252" s="1055" t="s">
        <v>1070</v>
      </c>
      <c r="D252" s="1090" t="s">
        <v>1548</v>
      </c>
      <c r="E252" s="1090" t="s">
        <v>584</v>
      </c>
      <c r="F252" s="1133" t="s">
        <v>4213</v>
      </c>
      <c r="G252" s="1145">
        <v>10998</v>
      </c>
      <c r="H252" s="1090" t="s">
        <v>4241</v>
      </c>
      <c r="I252" s="1090" t="s">
        <v>4251</v>
      </c>
      <c r="J252" s="1055" t="s">
        <v>4219</v>
      </c>
      <c r="K252" s="1137">
        <v>41591</v>
      </c>
      <c r="L252" s="1156">
        <v>130.1</v>
      </c>
      <c r="M252" s="1140"/>
      <c r="N252" s="1140"/>
      <c r="O252" s="1140"/>
      <c r="P252" s="1132" t="s">
        <v>3961</v>
      </c>
      <c r="Q252" s="1055"/>
      <c r="R252" s="1055"/>
      <c r="S252" s="1055"/>
      <c r="T252" s="1133" t="s">
        <v>316</v>
      </c>
      <c r="U252" s="1055"/>
      <c r="V252" s="1055"/>
      <c r="W252" s="1064"/>
      <c r="X252" s="1140"/>
      <c r="Y252" s="1055"/>
      <c r="Z252" s="1055"/>
      <c r="AA252" s="1138"/>
      <c r="AB252" s="1055"/>
      <c r="AC252" s="1139"/>
      <c r="AD252" s="1139"/>
      <c r="AE252" s="1155">
        <f t="shared" si="5"/>
        <v>130.1</v>
      </c>
      <c r="AF252" s="561">
        <v>0</v>
      </c>
      <c r="AG252" s="1156">
        <v>130.1</v>
      </c>
      <c r="AH252" s="1139">
        <f t="shared" si="4"/>
        <v>130.1</v>
      </c>
      <c r="AI252" s="1055"/>
      <c r="AJ252" s="1064"/>
      <c r="AK252" s="1055"/>
      <c r="AL252" s="1133"/>
      <c r="AM252" s="1055"/>
      <c r="AN252" s="1055"/>
      <c r="AO252" s="1064"/>
      <c r="AP252" s="1137"/>
      <c r="AQ252" s="1064"/>
      <c r="AR252" s="1137"/>
      <c r="AS252" s="1055"/>
      <c r="AT252" s="1133"/>
      <c r="AU252" s="1133"/>
      <c r="AV252" s="1133"/>
      <c r="AW252" s="1133"/>
      <c r="AX252" s="1133"/>
      <c r="AY252" s="1133"/>
      <c r="AZ252" s="1133"/>
      <c r="BA252" s="1133"/>
      <c r="BB252" s="1133"/>
      <c r="BC252" s="1133"/>
      <c r="BD252" s="1133"/>
      <c r="BE252" s="1480"/>
      <c r="BF252" s="1480"/>
      <c r="BG252" s="1480"/>
      <c r="BH252" s="1480"/>
      <c r="BI252" s="1480"/>
      <c r="BJ252" s="1480"/>
    </row>
    <row r="253" spans="1:62" s="1537" customFormat="1" ht="45" customHeight="1" x14ac:dyDescent="0.2">
      <c r="A253" s="1514">
        <v>95</v>
      </c>
      <c r="B253" s="636" t="s">
        <v>1330</v>
      </c>
      <c r="C253" s="1055" t="s">
        <v>1070</v>
      </c>
      <c r="D253" s="1090" t="s">
        <v>1548</v>
      </c>
      <c r="E253" s="1090" t="s">
        <v>584</v>
      </c>
      <c r="F253" s="1133" t="s">
        <v>4213</v>
      </c>
      <c r="G253" s="1145">
        <v>10998</v>
      </c>
      <c r="H253" s="1090" t="s">
        <v>4241</v>
      </c>
      <c r="I253" s="1090" t="s">
        <v>3852</v>
      </c>
      <c r="J253" s="1055" t="s">
        <v>437</v>
      </c>
      <c r="K253" s="1137">
        <v>41722</v>
      </c>
      <c r="L253" s="1569">
        <v>4563.79</v>
      </c>
      <c r="M253" s="1140"/>
      <c r="N253" s="1140"/>
      <c r="O253" s="1140"/>
      <c r="P253" s="1132" t="s">
        <v>4071</v>
      </c>
      <c r="Q253" s="1055"/>
      <c r="R253" s="1055"/>
      <c r="S253" s="1055"/>
      <c r="T253" s="1133" t="s">
        <v>316</v>
      </c>
      <c r="U253" s="1055"/>
      <c r="V253" s="1055"/>
      <c r="W253" s="1064"/>
      <c r="X253" s="1140"/>
      <c r="Y253" s="1055"/>
      <c r="Z253" s="1055"/>
      <c r="AA253" s="1138"/>
      <c r="AB253" s="1055"/>
      <c r="AC253" s="1139"/>
      <c r="AD253" s="1139"/>
      <c r="AE253" s="1155">
        <f t="shared" si="5"/>
        <v>4563.79</v>
      </c>
      <c r="AF253" s="1570">
        <v>0</v>
      </c>
      <c r="AG253" s="1156">
        <v>1748.64</v>
      </c>
      <c r="AH253" s="1139">
        <f t="shared" si="4"/>
        <v>1748.64</v>
      </c>
      <c r="AI253" s="1055"/>
      <c r="AJ253" s="1064"/>
      <c r="AK253" s="1055"/>
      <c r="AL253" s="1133"/>
      <c r="AM253" s="1055"/>
      <c r="AN253" s="1055"/>
      <c r="AO253" s="1064"/>
      <c r="AP253" s="1137"/>
      <c r="AQ253" s="1064"/>
      <c r="AR253" s="1137"/>
      <c r="AS253" s="1055"/>
      <c r="AT253" s="1133"/>
      <c r="AU253" s="1133"/>
      <c r="AV253" s="1133"/>
      <c r="AW253" s="1133"/>
      <c r="AX253" s="1133"/>
      <c r="AY253" s="1133"/>
      <c r="AZ253" s="1133"/>
      <c r="BA253" s="1133"/>
      <c r="BB253" s="1133"/>
      <c r="BC253" s="1133"/>
      <c r="BD253" s="1133"/>
      <c r="BE253" s="1535"/>
      <c r="BF253" s="1535"/>
      <c r="BG253" s="1535"/>
      <c r="BH253" s="1535"/>
      <c r="BI253" s="1535"/>
      <c r="BJ253" s="1536"/>
    </row>
    <row r="254" spans="1:62" s="629" customFormat="1" ht="45" customHeight="1" x14ac:dyDescent="0.2">
      <c r="A254" s="1514">
        <v>96</v>
      </c>
      <c r="B254" s="636" t="s">
        <v>1330</v>
      </c>
      <c r="C254" s="1055" t="s">
        <v>1070</v>
      </c>
      <c r="D254" s="1090" t="s">
        <v>1548</v>
      </c>
      <c r="E254" s="1090" t="s">
        <v>584</v>
      </c>
      <c r="F254" s="1133" t="s">
        <v>4213</v>
      </c>
      <c r="G254" s="1145">
        <v>11026</v>
      </c>
      <c r="H254" s="1090" t="s">
        <v>4241</v>
      </c>
      <c r="I254" s="1090" t="s">
        <v>4253</v>
      </c>
      <c r="J254" s="1055" t="s">
        <v>455</v>
      </c>
      <c r="K254" s="1137">
        <v>41722</v>
      </c>
      <c r="L254" s="1156">
        <v>1478.55</v>
      </c>
      <c r="M254" s="1140"/>
      <c r="N254" s="1140"/>
      <c r="O254" s="1140"/>
      <c r="P254" s="1132" t="s">
        <v>3905</v>
      </c>
      <c r="Q254" s="1055"/>
      <c r="R254" s="1055"/>
      <c r="S254" s="1055"/>
      <c r="T254" s="1133" t="s">
        <v>316</v>
      </c>
      <c r="U254" s="1055"/>
      <c r="V254" s="1055"/>
      <c r="W254" s="1064"/>
      <c r="X254" s="1140"/>
      <c r="Y254" s="1055"/>
      <c r="Z254" s="1055"/>
      <c r="AA254" s="1138"/>
      <c r="AB254" s="1055"/>
      <c r="AC254" s="1139"/>
      <c r="AD254" s="1139"/>
      <c r="AE254" s="1155">
        <f t="shared" si="5"/>
        <v>1478.55</v>
      </c>
      <c r="AF254" s="561">
        <v>0</v>
      </c>
      <c r="AG254" s="1156">
        <v>1478.55</v>
      </c>
      <c r="AH254" s="1139">
        <f t="shared" si="4"/>
        <v>1478.55</v>
      </c>
      <c r="AI254" s="1055"/>
      <c r="AJ254" s="1064"/>
      <c r="AK254" s="1055"/>
      <c r="AL254" s="1133"/>
      <c r="AM254" s="1055"/>
      <c r="AN254" s="1055"/>
      <c r="AO254" s="1064"/>
      <c r="AP254" s="1137"/>
      <c r="AQ254" s="1064"/>
      <c r="AR254" s="1137"/>
      <c r="AS254" s="1055"/>
      <c r="AT254" s="1133"/>
      <c r="AU254" s="1133"/>
      <c r="AV254" s="1133"/>
      <c r="AW254" s="1133"/>
      <c r="AX254" s="1133"/>
      <c r="AY254" s="1133"/>
      <c r="AZ254" s="1133"/>
      <c r="BA254" s="1133"/>
      <c r="BB254" s="1133"/>
      <c r="BC254" s="1133"/>
      <c r="BD254" s="1133"/>
      <c r="BE254" s="1480"/>
      <c r="BF254" s="1480"/>
      <c r="BG254" s="1480"/>
      <c r="BH254" s="1480"/>
      <c r="BI254" s="1480"/>
      <c r="BJ254" s="1480"/>
    </row>
    <row r="255" spans="1:62" s="629" customFormat="1" ht="45" customHeight="1" x14ac:dyDescent="0.2">
      <c r="A255" s="1514">
        <v>97</v>
      </c>
      <c r="B255" s="636" t="s">
        <v>1330</v>
      </c>
      <c r="C255" s="1055" t="s">
        <v>1070</v>
      </c>
      <c r="D255" s="1090" t="s">
        <v>1548</v>
      </c>
      <c r="E255" s="1090" t="s">
        <v>584</v>
      </c>
      <c r="F255" s="1133" t="s">
        <v>4213</v>
      </c>
      <c r="G255" s="1145">
        <v>10998</v>
      </c>
      <c r="H255" s="1090" t="s">
        <v>4241</v>
      </c>
      <c r="I255" s="1090" t="s">
        <v>4250</v>
      </c>
      <c r="J255" s="1055" t="s">
        <v>4216</v>
      </c>
      <c r="K255" s="1137">
        <v>41537</v>
      </c>
      <c r="L255" s="1156">
        <v>50.4</v>
      </c>
      <c r="M255" s="1140"/>
      <c r="N255" s="1140"/>
      <c r="O255" s="1140"/>
      <c r="P255" s="1132" t="s">
        <v>3961</v>
      </c>
      <c r="Q255" s="1055"/>
      <c r="R255" s="1055"/>
      <c r="S255" s="1055"/>
      <c r="T255" s="1133" t="s">
        <v>316</v>
      </c>
      <c r="U255" s="1055"/>
      <c r="V255" s="1055"/>
      <c r="W255" s="1064"/>
      <c r="X255" s="1140"/>
      <c r="Y255" s="1055"/>
      <c r="Z255" s="1055"/>
      <c r="AA255" s="1138"/>
      <c r="AB255" s="1055"/>
      <c r="AC255" s="1139"/>
      <c r="AD255" s="1139"/>
      <c r="AE255" s="1155">
        <f t="shared" si="5"/>
        <v>50.4</v>
      </c>
      <c r="AF255" s="561">
        <v>0</v>
      </c>
      <c r="AG255" s="1156">
        <v>50.4</v>
      </c>
      <c r="AH255" s="1139">
        <f t="shared" si="4"/>
        <v>50.4</v>
      </c>
      <c r="AI255" s="1055"/>
      <c r="AJ255" s="1064"/>
      <c r="AK255" s="1055"/>
      <c r="AL255" s="1133"/>
      <c r="AM255" s="1055"/>
      <c r="AN255" s="1055"/>
      <c r="AO255" s="1064"/>
      <c r="AP255" s="1137"/>
      <c r="AQ255" s="1064"/>
      <c r="AR255" s="1137"/>
      <c r="AS255" s="1055"/>
      <c r="AT255" s="1133"/>
      <c r="AU255" s="1133"/>
      <c r="AV255" s="1133"/>
      <c r="AW255" s="1133"/>
      <c r="AX255" s="1133"/>
      <c r="AY255" s="1133"/>
      <c r="AZ255" s="1133"/>
      <c r="BA255" s="1133"/>
      <c r="BB255" s="1133"/>
      <c r="BC255" s="1133"/>
      <c r="BD255" s="1133"/>
      <c r="BE255" s="1480"/>
      <c r="BF255" s="1480"/>
      <c r="BG255" s="1480"/>
      <c r="BH255" s="1480"/>
      <c r="BI255" s="1480"/>
      <c r="BJ255" s="1480"/>
    </row>
    <row r="256" spans="1:62" s="629" customFormat="1" ht="45" customHeight="1" x14ac:dyDescent="0.2">
      <c r="A256" s="1514">
        <v>98</v>
      </c>
      <c r="B256" s="636" t="s">
        <v>1330</v>
      </c>
      <c r="C256" s="1055" t="s">
        <v>4116</v>
      </c>
      <c r="D256" s="1090" t="s">
        <v>1548</v>
      </c>
      <c r="E256" s="1090" t="s">
        <v>584</v>
      </c>
      <c r="F256" s="1133" t="s">
        <v>4213</v>
      </c>
      <c r="G256" s="1145">
        <v>10998</v>
      </c>
      <c r="H256" s="1090" t="s">
        <v>4241</v>
      </c>
      <c r="I256" s="1090" t="s">
        <v>4254</v>
      </c>
      <c r="J256" s="1055" t="s">
        <v>834</v>
      </c>
      <c r="K256" s="1137">
        <v>41500</v>
      </c>
      <c r="L256" s="1156">
        <v>361.6</v>
      </c>
      <c r="M256" s="1140"/>
      <c r="N256" s="1140"/>
      <c r="O256" s="1140"/>
      <c r="P256" s="1132" t="s">
        <v>3961</v>
      </c>
      <c r="Q256" s="1055"/>
      <c r="R256" s="1055"/>
      <c r="S256" s="1055"/>
      <c r="T256" s="1133" t="s">
        <v>316</v>
      </c>
      <c r="U256" s="1055"/>
      <c r="V256" s="1055"/>
      <c r="W256" s="1064"/>
      <c r="X256" s="1140"/>
      <c r="Y256" s="1055"/>
      <c r="Z256" s="1055"/>
      <c r="AA256" s="1138"/>
      <c r="AB256" s="1055"/>
      <c r="AC256" s="1139"/>
      <c r="AD256" s="1139"/>
      <c r="AE256" s="1155">
        <f t="shared" si="5"/>
        <v>361.6</v>
      </c>
      <c r="AF256" s="561">
        <v>0</v>
      </c>
      <c r="AG256" s="1156">
        <v>361.6</v>
      </c>
      <c r="AH256" s="1139">
        <f t="shared" si="4"/>
        <v>361.6</v>
      </c>
      <c r="AI256" s="1055"/>
      <c r="AJ256" s="1064"/>
      <c r="AK256" s="1055"/>
      <c r="AL256" s="1133"/>
      <c r="AM256" s="1055"/>
      <c r="AN256" s="1055"/>
      <c r="AO256" s="1064"/>
      <c r="AP256" s="1137"/>
      <c r="AQ256" s="1064"/>
      <c r="AR256" s="1137"/>
      <c r="AS256" s="1055"/>
      <c r="AT256" s="1133"/>
      <c r="AU256" s="1133"/>
      <c r="AV256" s="1133"/>
      <c r="AW256" s="1133"/>
      <c r="AX256" s="1133"/>
      <c r="AY256" s="1133"/>
      <c r="AZ256" s="1133"/>
      <c r="BA256" s="1133"/>
      <c r="BB256" s="1133"/>
      <c r="BC256" s="1133"/>
      <c r="BD256" s="1133"/>
      <c r="BE256" s="1480"/>
      <c r="BF256" s="1480"/>
      <c r="BG256" s="1480"/>
      <c r="BH256" s="1480"/>
      <c r="BI256" s="1480"/>
      <c r="BJ256" s="1480"/>
    </row>
    <row r="257" spans="1:62" s="629" customFormat="1" ht="45" customHeight="1" x14ac:dyDescent="0.2">
      <c r="A257" s="1514">
        <v>99</v>
      </c>
      <c r="B257" s="636" t="s">
        <v>1330</v>
      </c>
      <c r="C257" s="1055" t="s">
        <v>4116</v>
      </c>
      <c r="D257" s="1090" t="s">
        <v>1548</v>
      </c>
      <c r="E257" s="1090" t="s">
        <v>584</v>
      </c>
      <c r="F257" s="1133" t="s">
        <v>4213</v>
      </c>
      <c r="G257" s="1140"/>
      <c r="H257" s="1090" t="s">
        <v>4241</v>
      </c>
      <c r="I257" s="1090" t="s">
        <v>4255</v>
      </c>
      <c r="J257" s="1055" t="s">
        <v>718</v>
      </c>
      <c r="K257" s="1137">
        <v>41611</v>
      </c>
      <c r="L257" s="1156">
        <v>100</v>
      </c>
      <c r="M257" s="1140"/>
      <c r="N257" s="1140"/>
      <c r="O257" s="1140"/>
      <c r="P257" s="1132" t="s">
        <v>3905</v>
      </c>
      <c r="Q257" s="1055"/>
      <c r="R257" s="1055"/>
      <c r="S257" s="1055"/>
      <c r="T257" s="1133" t="s">
        <v>316</v>
      </c>
      <c r="U257" s="1055"/>
      <c r="V257" s="1055"/>
      <c r="W257" s="1064"/>
      <c r="X257" s="1140"/>
      <c r="Y257" s="1055"/>
      <c r="Z257" s="1055"/>
      <c r="AA257" s="1138"/>
      <c r="AB257" s="1055"/>
      <c r="AC257" s="1139"/>
      <c r="AD257" s="1139"/>
      <c r="AE257" s="1155">
        <f t="shared" si="5"/>
        <v>100</v>
      </c>
      <c r="AF257" s="561">
        <v>0</v>
      </c>
      <c r="AG257" s="1156">
        <v>100</v>
      </c>
      <c r="AH257" s="1139">
        <f t="shared" si="4"/>
        <v>100</v>
      </c>
      <c r="AI257" s="1055"/>
      <c r="AJ257" s="1064"/>
      <c r="AK257" s="1055"/>
      <c r="AL257" s="1133"/>
      <c r="AM257" s="1055"/>
      <c r="AN257" s="1055"/>
      <c r="AO257" s="1064"/>
      <c r="AP257" s="1137"/>
      <c r="AQ257" s="1064"/>
      <c r="AR257" s="1137"/>
      <c r="AS257" s="1055"/>
      <c r="AT257" s="1133"/>
      <c r="AU257" s="1133"/>
      <c r="AV257" s="1133"/>
      <c r="AW257" s="1133"/>
      <c r="AX257" s="1133"/>
      <c r="AY257" s="1133"/>
      <c r="AZ257" s="1133"/>
      <c r="BA257" s="1133"/>
      <c r="BB257" s="1133"/>
      <c r="BC257" s="1133"/>
      <c r="BD257" s="1133"/>
      <c r="BE257" s="1480"/>
      <c r="BF257" s="1480"/>
      <c r="BG257" s="1480"/>
      <c r="BH257" s="1480"/>
      <c r="BI257" s="1480"/>
      <c r="BJ257" s="1480"/>
    </row>
    <row r="258" spans="1:62" s="1537" customFormat="1" ht="45" customHeight="1" x14ac:dyDescent="0.2">
      <c r="A258" s="1514">
        <v>100</v>
      </c>
      <c r="B258" s="636" t="s">
        <v>4256</v>
      </c>
      <c r="C258" s="1055" t="s">
        <v>757</v>
      </c>
      <c r="D258" s="1090" t="s">
        <v>1331</v>
      </c>
      <c r="E258" s="1090" t="s">
        <v>584</v>
      </c>
      <c r="F258" s="1090" t="s">
        <v>4257</v>
      </c>
      <c r="G258" s="1145"/>
      <c r="H258" s="1090" t="s">
        <v>4241</v>
      </c>
      <c r="I258" s="1090" t="s">
        <v>4258</v>
      </c>
      <c r="J258" s="1055" t="s">
        <v>4259</v>
      </c>
      <c r="K258" s="1137">
        <v>41709</v>
      </c>
      <c r="L258" s="1569">
        <v>1176</v>
      </c>
      <c r="M258" s="1140"/>
      <c r="N258" s="1140"/>
      <c r="O258" s="1140"/>
      <c r="P258" s="1132" t="s">
        <v>3905</v>
      </c>
      <c r="Q258" s="1055"/>
      <c r="R258" s="1055"/>
      <c r="S258" s="1055"/>
      <c r="T258" s="1133" t="s">
        <v>316</v>
      </c>
      <c r="U258" s="1055"/>
      <c r="V258" s="1055"/>
      <c r="W258" s="1064"/>
      <c r="X258" s="1140"/>
      <c r="Y258" s="1055"/>
      <c r="Z258" s="1055"/>
      <c r="AA258" s="1138"/>
      <c r="AB258" s="1055"/>
      <c r="AC258" s="1139"/>
      <c r="AD258" s="1139"/>
      <c r="AE258" s="1155">
        <f t="shared" si="5"/>
        <v>1176</v>
      </c>
      <c r="AF258" s="1570">
        <v>0</v>
      </c>
      <c r="AG258" s="1569">
        <v>1176</v>
      </c>
      <c r="AH258" s="1139">
        <f t="shared" si="4"/>
        <v>1176</v>
      </c>
      <c r="AI258" s="1055"/>
      <c r="AJ258" s="1064"/>
      <c r="AK258" s="1055"/>
      <c r="AL258" s="1133"/>
      <c r="AM258" s="1055"/>
      <c r="AN258" s="1055"/>
      <c r="AO258" s="1064"/>
      <c r="AP258" s="1137"/>
      <c r="AQ258" s="1064"/>
      <c r="AR258" s="1137"/>
      <c r="AS258" s="1055"/>
      <c r="AT258" s="1133"/>
      <c r="AU258" s="1133"/>
      <c r="AV258" s="1133"/>
      <c r="AW258" s="1133"/>
      <c r="AX258" s="1133"/>
      <c r="AY258" s="1133"/>
      <c r="AZ258" s="1133"/>
      <c r="BA258" s="1133"/>
      <c r="BB258" s="1133"/>
      <c r="BC258" s="1133"/>
      <c r="BD258" s="1133"/>
      <c r="BE258" s="1535"/>
      <c r="BF258" s="1535"/>
      <c r="BG258" s="1535"/>
      <c r="BH258" s="1535"/>
      <c r="BI258" s="1535"/>
      <c r="BJ258" s="1536"/>
    </row>
    <row r="259" spans="1:62" s="629" customFormat="1" ht="45" customHeight="1" x14ac:dyDescent="0.2">
      <c r="A259" s="1514">
        <v>101</v>
      </c>
      <c r="B259" s="636" t="s">
        <v>4256</v>
      </c>
      <c r="C259" s="1055" t="s">
        <v>1705</v>
      </c>
      <c r="D259" s="1090" t="s">
        <v>1548</v>
      </c>
      <c r="E259" s="1090" t="s">
        <v>584</v>
      </c>
      <c r="F259" s="1090" t="s">
        <v>4257</v>
      </c>
      <c r="G259" s="1145">
        <v>11264</v>
      </c>
      <c r="H259" s="1090" t="s">
        <v>4241</v>
      </c>
      <c r="I259" s="1090" t="s">
        <v>4258</v>
      </c>
      <c r="J259" s="1055" t="s">
        <v>4259</v>
      </c>
      <c r="K259" s="1137">
        <v>41709</v>
      </c>
      <c r="L259" s="1156">
        <v>238</v>
      </c>
      <c r="M259" s="1140"/>
      <c r="N259" s="1140"/>
      <c r="O259" s="1140"/>
      <c r="P259" s="1132" t="s">
        <v>3905</v>
      </c>
      <c r="Q259" s="1055"/>
      <c r="R259" s="1055"/>
      <c r="S259" s="1055"/>
      <c r="T259" s="1133" t="s">
        <v>316</v>
      </c>
      <c r="U259" s="1055"/>
      <c r="V259" s="1055"/>
      <c r="W259" s="1064"/>
      <c r="X259" s="1140"/>
      <c r="Y259" s="1055"/>
      <c r="Z259" s="1055"/>
      <c r="AA259" s="1138"/>
      <c r="AB259" s="1055"/>
      <c r="AC259" s="1139"/>
      <c r="AD259" s="1139"/>
      <c r="AE259" s="1155">
        <f t="shared" si="5"/>
        <v>238</v>
      </c>
      <c r="AF259" s="561">
        <v>0</v>
      </c>
      <c r="AG259" s="1156">
        <v>238</v>
      </c>
      <c r="AH259" s="1139">
        <f t="shared" si="4"/>
        <v>238</v>
      </c>
      <c r="AI259" s="1055"/>
      <c r="AJ259" s="1064"/>
      <c r="AK259" s="1055"/>
      <c r="AL259" s="1133"/>
      <c r="AM259" s="1055"/>
      <c r="AN259" s="1055"/>
      <c r="AO259" s="1064"/>
      <c r="AP259" s="1137"/>
      <c r="AQ259" s="1064"/>
      <c r="AR259" s="1137"/>
      <c r="AS259" s="1055"/>
      <c r="AT259" s="1133"/>
      <c r="AU259" s="1133"/>
      <c r="AV259" s="1133"/>
      <c r="AW259" s="1133"/>
      <c r="AX259" s="1133"/>
      <c r="AY259" s="1133"/>
      <c r="AZ259" s="1133"/>
      <c r="BA259" s="1133"/>
      <c r="BB259" s="1133"/>
      <c r="BC259" s="1133"/>
      <c r="BD259" s="1133"/>
      <c r="BE259" s="1480"/>
      <c r="BF259" s="1480"/>
      <c r="BG259" s="1480"/>
      <c r="BH259" s="1480"/>
      <c r="BI259" s="1480"/>
      <c r="BJ259" s="1480"/>
    </row>
    <row r="260" spans="1:62" s="629" customFormat="1" ht="45" customHeight="1" x14ac:dyDescent="0.2">
      <c r="A260" s="2365">
        <v>102</v>
      </c>
      <c r="B260" s="2361" t="s">
        <v>4239</v>
      </c>
      <c r="C260" s="2023" t="s">
        <v>986</v>
      </c>
      <c r="D260" s="2149" t="s">
        <v>4260</v>
      </c>
      <c r="E260" s="2149" t="s">
        <v>584</v>
      </c>
      <c r="F260" s="2149" t="s">
        <v>4261</v>
      </c>
      <c r="G260" s="2373">
        <v>11001</v>
      </c>
      <c r="H260" s="1090" t="s">
        <v>4241</v>
      </c>
      <c r="I260" s="2149" t="s">
        <v>4262</v>
      </c>
      <c r="J260" s="2023" t="s">
        <v>4263</v>
      </c>
      <c r="K260" s="2347">
        <v>41696</v>
      </c>
      <c r="L260" s="1156">
        <v>548.79999999999995</v>
      </c>
      <c r="M260" s="1140"/>
      <c r="N260" s="1140"/>
      <c r="O260" s="1140"/>
      <c r="P260" s="2354" t="s">
        <v>3905</v>
      </c>
      <c r="Q260" s="1055"/>
      <c r="R260" s="1055"/>
      <c r="S260" s="1055"/>
      <c r="T260" s="2355" t="s">
        <v>316</v>
      </c>
      <c r="U260" s="1055"/>
      <c r="V260" s="1055"/>
      <c r="W260" s="1064"/>
      <c r="X260" s="1140"/>
      <c r="Y260" s="1055"/>
      <c r="Z260" s="1055"/>
      <c r="AA260" s="1138"/>
      <c r="AB260" s="1055"/>
      <c r="AC260" s="1139"/>
      <c r="AD260" s="1139"/>
      <c r="AE260" s="1155">
        <f t="shared" si="5"/>
        <v>548.79999999999995</v>
      </c>
      <c r="AF260" s="561">
        <v>0</v>
      </c>
      <c r="AG260" s="1156">
        <v>548.29999999999995</v>
      </c>
      <c r="AH260" s="1139">
        <f t="shared" si="4"/>
        <v>548.29999999999995</v>
      </c>
      <c r="AI260" s="1055"/>
      <c r="AJ260" s="1064"/>
      <c r="AK260" s="1055"/>
      <c r="AL260" s="1133"/>
      <c r="AM260" s="1055"/>
      <c r="AN260" s="1055"/>
      <c r="AO260" s="1064"/>
      <c r="AP260" s="1137"/>
      <c r="AQ260" s="1064"/>
      <c r="AR260" s="1137"/>
      <c r="AS260" s="1055"/>
      <c r="AT260" s="1133"/>
      <c r="AU260" s="1133"/>
      <c r="AV260" s="1133"/>
      <c r="AW260" s="1133"/>
      <c r="AX260" s="1133"/>
      <c r="AY260" s="1133"/>
      <c r="AZ260" s="1133"/>
      <c r="BA260" s="1133"/>
      <c r="BB260" s="1133"/>
      <c r="BC260" s="1133"/>
      <c r="BD260" s="1133"/>
      <c r="BE260" s="1480"/>
      <c r="BF260" s="1480"/>
      <c r="BG260" s="1480"/>
      <c r="BH260" s="1480"/>
      <c r="BI260" s="1480"/>
      <c r="BJ260" s="1480"/>
    </row>
    <row r="261" spans="1:62" s="629" customFormat="1" ht="51" x14ac:dyDescent="0.2">
      <c r="A261" s="2365"/>
      <c r="B261" s="2361"/>
      <c r="C261" s="2023"/>
      <c r="D261" s="2149"/>
      <c r="E261" s="2149"/>
      <c r="F261" s="2149"/>
      <c r="G261" s="2373"/>
      <c r="H261" s="1090" t="s">
        <v>4241</v>
      </c>
      <c r="I261" s="2149"/>
      <c r="J261" s="2023"/>
      <c r="K261" s="2347"/>
      <c r="L261" s="1156">
        <v>103.4</v>
      </c>
      <c r="M261" s="1140"/>
      <c r="N261" s="1140"/>
      <c r="O261" s="1140"/>
      <c r="P261" s="2354"/>
      <c r="Q261" s="1055"/>
      <c r="R261" s="1055"/>
      <c r="S261" s="1055"/>
      <c r="T261" s="2355"/>
      <c r="U261" s="1055"/>
      <c r="V261" s="1055"/>
      <c r="W261" s="1064"/>
      <c r="X261" s="1140"/>
      <c r="Y261" s="1055"/>
      <c r="Z261" s="1055"/>
      <c r="AA261" s="1138"/>
      <c r="AB261" s="1055"/>
      <c r="AC261" s="1139"/>
      <c r="AD261" s="1139"/>
      <c r="AE261" s="1155">
        <f t="shared" si="5"/>
        <v>103.4</v>
      </c>
      <c r="AF261" s="561">
        <v>0</v>
      </c>
      <c r="AG261" s="1156">
        <v>103.4</v>
      </c>
      <c r="AH261" s="1139">
        <f t="shared" si="4"/>
        <v>103.4</v>
      </c>
      <c r="AI261" s="1055"/>
      <c r="AJ261" s="1064"/>
      <c r="AK261" s="1055"/>
      <c r="AL261" s="1133"/>
      <c r="AM261" s="1055"/>
      <c r="AN261" s="1055"/>
      <c r="AO261" s="1064"/>
      <c r="AP261" s="1137"/>
      <c r="AQ261" s="1064"/>
      <c r="AR261" s="1137"/>
      <c r="AS261" s="1055"/>
      <c r="AT261" s="1133"/>
      <c r="AU261" s="1133"/>
      <c r="AV261" s="1133"/>
      <c r="AW261" s="1133"/>
      <c r="AX261" s="1133"/>
      <c r="AY261" s="1133"/>
      <c r="AZ261" s="1133"/>
      <c r="BA261" s="1133"/>
      <c r="BB261" s="1133"/>
      <c r="BC261" s="1133"/>
      <c r="BD261" s="1133"/>
      <c r="BE261" s="1480"/>
      <c r="BF261" s="1480"/>
      <c r="BG261" s="1480"/>
      <c r="BH261" s="1480"/>
      <c r="BI261" s="1480"/>
      <c r="BJ261" s="1480"/>
    </row>
    <row r="262" spans="1:62" s="629" customFormat="1" ht="51" x14ac:dyDescent="0.2">
      <c r="A262" s="2365"/>
      <c r="B262" s="2361"/>
      <c r="C262" s="2023"/>
      <c r="D262" s="2149"/>
      <c r="E262" s="2149"/>
      <c r="F262" s="2149"/>
      <c r="G262" s="2373"/>
      <c r="H262" s="1090" t="s">
        <v>4241</v>
      </c>
      <c r="I262" s="2149"/>
      <c r="J262" s="2023"/>
      <c r="K262" s="2347"/>
      <c r="L262" s="1156">
        <v>354.2</v>
      </c>
      <c r="M262" s="1140"/>
      <c r="N262" s="1140"/>
      <c r="O262" s="1140"/>
      <c r="P262" s="2354"/>
      <c r="Q262" s="1055"/>
      <c r="R262" s="1055"/>
      <c r="S262" s="1055"/>
      <c r="T262" s="2355"/>
      <c r="U262" s="1055"/>
      <c r="V262" s="1055"/>
      <c r="W262" s="1064"/>
      <c r="X262" s="1140"/>
      <c r="Y262" s="1055"/>
      <c r="Z262" s="1055"/>
      <c r="AA262" s="1138"/>
      <c r="AB262" s="1055"/>
      <c r="AC262" s="1139"/>
      <c r="AD262" s="1139"/>
      <c r="AE262" s="1155">
        <f t="shared" si="5"/>
        <v>354.2</v>
      </c>
      <c r="AF262" s="561">
        <v>0</v>
      </c>
      <c r="AG262" s="1156">
        <v>354.2</v>
      </c>
      <c r="AH262" s="1139">
        <f t="shared" si="4"/>
        <v>354.2</v>
      </c>
      <c r="AI262" s="1055"/>
      <c r="AJ262" s="1064"/>
      <c r="AK262" s="1055"/>
      <c r="AL262" s="1133"/>
      <c r="AM262" s="1055"/>
      <c r="AN262" s="1055"/>
      <c r="AO262" s="1064"/>
      <c r="AP262" s="1137"/>
      <c r="AQ262" s="1064"/>
      <c r="AR262" s="1137"/>
      <c r="AS262" s="1055"/>
      <c r="AT262" s="1133"/>
      <c r="AU262" s="1133"/>
      <c r="AV262" s="1133"/>
      <c r="AW262" s="1133"/>
      <c r="AX262" s="1133"/>
      <c r="AY262" s="1133"/>
      <c r="AZ262" s="1133"/>
      <c r="BA262" s="1133"/>
      <c r="BB262" s="1133"/>
      <c r="BC262" s="1133"/>
      <c r="BD262" s="1133"/>
      <c r="BE262" s="1480"/>
      <c r="BF262" s="1480"/>
      <c r="BG262" s="1480"/>
      <c r="BH262" s="1480"/>
      <c r="BI262" s="1480"/>
      <c r="BJ262" s="1480"/>
    </row>
    <row r="263" spans="1:62" s="629" customFormat="1" ht="26.25" customHeight="1" x14ac:dyDescent="0.2">
      <c r="A263" s="2365"/>
      <c r="B263" s="2361"/>
      <c r="C263" s="2023"/>
      <c r="D263" s="2149"/>
      <c r="E263" s="2149"/>
      <c r="F263" s="2149"/>
      <c r="G263" s="2373"/>
      <c r="H263" s="1090" t="s">
        <v>4241</v>
      </c>
      <c r="I263" s="2149"/>
      <c r="J263" s="2023"/>
      <c r="K263" s="2347"/>
      <c r="L263" s="1156">
        <v>83.72</v>
      </c>
      <c r="M263" s="1140"/>
      <c r="N263" s="1140"/>
      <c r="O263" s="1140"/>
      <c r="P263" s="2354"/>
      <c r="Q263" s="1055"/>
      <c r="R263" s="1055"/>
      <c r="S263" s="1055"/>
      <c r="T263" s="2355"/>
      <c r="U263" s="1055"/>
      <c r="V263" s="1055"/>
      <c r="W263" s="1064"/>
      <c r="X263" s="1140"/>
      <c r="Y263" s="1055"/>
      <c r="Z263" s="1055"/>
      <c r="AA263" s="1138"/>
      <c r="AB263" s="1055"/>
      <c r="AC263" s="1139"/>
      <c r="AD263" s="1139"/>
      <c r="AE263" s="1155">
        <f t="shared" si="5"/>
        <v>83.72</v>
      </c>
      <c r="AF263" s="561">
        <v>0</v>
      </c>
      <c r="AG263" s="1156">
        <v>83.72</v>
      </c>
      <c r="AH263" s="1139">
        <f t="shared" si="4"/>
        <v>83.72</v>
      </c>
      <c r="AI263" s="1055"/>
      <c r="AJ263" s="1064"/>
      <c r="AK263" s="1055"/>
      <c r="AL263" s="1133"/>
      <c r="AM263" s="1055"/>
      <c r="AN263" s="1055"/>
      <c r="AO263" s="1064"/>
      <c r="AP263" s="1137"/>
      <c r="AQ263" s="1064"/>
      <c r="AR263" s="1137"/>
      <c r="AS263" s="1055"/>
      <c r="AT263" s="1133"/>
      <c r="AU263" s="1133"/>
      <c r="AV263" s="1133"/>
      <c r="AW263" s="1133"/>
      <c r="AX263" s="1133"/>
      <c r="AY263" s="1133"/>
      <c r="AZ263" s="1133"/>
      <c r="BA263" s="1133"/>
      <c r="BB263" s="1133"/>
      <c r="BC263" s="1133"/>
      <c r="BD263" s="1133"/>
      <c r="BE263" s="1480"/>
      <c r="BF263" s="1480"/>
      <c r="BG263" s="1480"/>
      <c r="BH263" s="1480"/>
      <c r="BI263" s="1480"/>
      <c r="BJ263" s="1480"/>
    </row>
    <row r="264" spans="1:62" s="629" customFormat="1" ht="51" x14ac:dyDescent="0.2">
      <c r="A264" s="2365"/>
      <c r="B264" s="2361"/>
      <c r="C264" s="2023"/>
      <c r="D264" s="2149"/>
      <c r="E264" s="2149"/>
      <c r="F264" s="2149"/>
      <c r="G264" s="2373"/>
      <c r="H264" s="1090" t="s">
        <v>4241</v>
      </c>
      <c r="I264" s="2149"/>
      <c r="J264" s="2023"/>
      <c r="K264" s="2347"/>
      <c r="L264" s="1156">
        <v>96.6</v>
      </c>
      <c r="M264" s="1140"/>
      <c r="N264" s="1140"/>
      <c r="O264" s="1140"/>
      <c r="P264" s="2354"/>
      <c r="Q264" s="1055"/>
      <c r="R264" s="1055"/>
      <c r="S264" s="1055"/>
      <c r="T264" s="1133"/>
      <c r="U264" s="1055"/>
      <c r="V264" s="1055"/>
      <c r="W264" s="1064"/>
      <c r="X264" s="1140"/>
      <c r="Y264" s="1055"/>
      <c r="Z264" s="1055"/>
      <c r="AA264" s="1138"/>
      <c r="AB264" s="1055"/>
      <c r="AC264" s="1139"/>
      <c r="AD264" s="1139"/>
      <c r="AE264" s="1155">
        <f t="shared" si="5"/>
        <v>96.6</v>
      </c>
      <c r="AF264" s="561">
        <v>0</v>
      </c>
      <c r="AG264" s="1156">
        <v>96.6</v>
      </c>
      <c r="AH264" s="1139">
        <f t="shared" si="4"/>
        <v>96.6</v>
      </c>
      <c r="AI264" s="1055"/>
      <c r="AJ264" s="1064"/>
      <c r="AK264" s="1055"/>
      <c r="AL264" s="1133"/>
      <c r="AM264" s="1055"/>
      <c r="AN264" s="1055"/>
      <c r="AO264" s="1064"/>
      <c r="AP264" s="1137"/>
      <c r="AQ264" s="1064"/>
      <c r="AR264" s="1137"/>
      <c r="AS264" s="1055"/>
      <c r="AT264" s="1133"/>
      <c r="AU264" s="1133"/>
      <c r="AV264" s="1133"/>
      <c r="AW264" s="1133"/>
      <c r="AX264" s="1133"/>
      <c r="AY264" s="1133"/>
      <c r="AZ264" s="1133"/>
      <c r="BA264" s="1133"/>
      <c r="BB264" s="1133"/>
      <c r="BC264" s="1133"/>
      <c r="BD264" s="1133"/>
      <c r="BE264" s="1480"/>
      <c r="BF264" s="1480"/>
      <c r="BG264" s="1480"/>
      <c r="BH264" s="1480"/>
      <c r="BI264" s="1480"/>
      <c r="BJ264" s="1480"/>
    </row>
    <row r="265" spans="1:62" s="629" customFormat="1" ht="45" customHeight="1" x14ac:dyDescent="0.2">
      <c r="A265" s="2365">
        <v>103</v>
      </c>
      <c r="B265" s="2361" t="s">
        <v>4239</v>
      </c>
      <c r="C265" s="2023" t="s">
        <v>986</v>
      </c>
      <c r="D265" s="2023" t="s">
        <v>1331</v>
      </c>
      <c r="E265" s="2149" t="s">
        <v>584</v>
      </c>
      <c r="F265" s="2149" t="s">
        <v>4261</v>
      </c>
      <c r="G265" s="2373">
        <v>11001</v>
      </c>
      <c r="H265" s="1090" t="s">
        <v>4241</v>
      </c>
      <c r="I265" s="2149" t="s">
        <v>4264</v>
      </c>
      <c r="J265" s="2023" t="s">
        <v>4265</v>
      </c>
      <c r="K265" s="2347">
        <v>41676</v>
      </c>
      <c r="L265" s="1156">
        <v>328</v>
      </c>
      <c r="M265" s="1140"/>
      <c r="N265" s="1140"/>
      <c r="O265" s="1140"/>
      <c r="P265" s="2354" t="s">
        <v>3905</v>
      </c>
      <c r="Q265" s="1055"/>
      <c r="R265" s="1055"/>
      <c r="S265" s="1055"/>
      <c r="T265" s="2355" t="s">
        <v>316</v>
      </c>
      <c r="U265" s="1055"/>
      <c r="V265" s="1055"/>
      <c r="W265" s="1064"/>
      <c r="X265" s="1140"/>
      <c r="Y265" s="1055"/>
      <c r="Z265" s="1055"/>
      <c r="AA265" s="1138"/>
      <c r="AB265" s="1055"/>
      <c r="AC265" s="1139"/>
      <c r="AD265" s="1139"/>
      <c r="AE265" s="1155">
        <f t="shared" si="5"/>
        <v>328</v>
      </c>
      <c r="AF265" s="561">
        <v>0</v>
      </c>
      <c r="AG265" s="1156">
        <v>328</v>
      </c>
      <c r="AH265" s="1139">
        <f t="shared" si="4"/>
        <v>328</v>
      </c>
      <c r="AI265" s="1055"/>
      <c r="AJ265" s="1064"/>
      <c r="AK265" s="1055"/>
      <c r="AL265" s="1133"/>
      <c r="AM265" s="1055"/>
      <c r="AN265" s="1055"/>
      <c r="AO265" s="1064"/>
      <c r="AP265" s="1137"/>
      <c r="AQ265" s="1064"/>
      <c r="AR265" s="1137"/>
      <c r="AS265" s="1055"/>
      <c r="AT265" s="1133"/>
      <c r="AU265" s="1133"/>
      <c r="AV265" s="1133"/>
      <c r="AW265" s="1133"/>
      <c r="AX265" s="1133"/>
      <c r="AY265" s="1133"/>
      <c r="AZ265" s="1133"/>
      <c r="BA265" s="1133"/>
      <c r="BB265" s="1133"/>
      <c r="BC265" s="1133"/>
      <c r="BD265" s="1133"/>
      <c r="BE265" s="1480"/>
      <c r="BF265" s="1480"/>
      <c r="BG265" s="1480"/>
      <c r="BH265" s="1480"/>
      <c r="BI265" s="1480"/>
      <c r="BJ265" s="1480"/>
    </row>
    <row r="266" spans="1:62" s="629" customFormat="1" ht="51" x14ac:dyDescent="0.2">
      <c r="A266" s="2365"/>
      <c r="B266" s="2361"/>
      <c r="C266" s="2023"/>
      <c r="D266" s="2023"/>
      <c r="E266" s="2149"/>
      <c r="F266" s="2149"/>
      <c r="G266" s="2373"/>
      <c r="H266" s="1090" t="s">
        <v>4241</v>
      </c>
      <c r="I266" s="2149"/>
      <c r="J266" s="2023"/>
      <c r="K266" s="2347"/>
      <c r="L266" s="1156">
        <v>328</v>
      </c>
      <c r="M266" s="1140"/>
      <c r="N266" s="1140"/>
      <c r="O266" s="1140"/>
      <c r="P266" s="2354"/>
      <c r="Q266" s="1055"/>
      <c r="R266" s="1055"/>
      <c r="S266" s="1055"/>
      <c r="T266" s="2355"/>
      <c r="U266" s="1055"/>
      <c r="V266" s="1055"/>
      <c r="W266" s="1064"/>
      <c r="X266" s="1140"/>
      <c r="Y266" s="1055"/>
      <c r="Z266" s="1055"/>
      <c r="AA266" s="1138"/>
      <c r="AB266" s="1055"/>
      <c r="AC266" s="1139"/>
      <c r="AD266" s="1139"/>
      <c r="AE266" s="1155">
        <f t="shared" si="5"/>
        <v>328</v>
      </c>
      <c r="AF266" s="561">
        <v>0</v>
      </c>
      <c r="AG266" s="1156">
        <v>328</v>
      </c>
      <c r="AH266" s="1139">
        <f t="shared" si="4"/>
        <v>328</v>
      </c>
      <c r="AI266" s="1055"/>
      <c r="AJ266" s="1064"/>
      <c r="AK266" s="1055"/>
      <c r="AL266" s="1133"/>
      <c r="AM266" s="1055"/>
      <c r="AN266" s="1055"/>
      <c r="AO266" s="1064"/>
      <c r="AP266" s="1137"/>
      <c r="AQ266" s="1064"/>
      <c r="AR266" s="1137"/>
      <c r="AS266" s="1055"/>
      <c r="AT266" s="1133"/>
      <c r="AU266" s="1133"/>
      <c r="AV266" s="1133"/>
      <c r="AW266" s="1133"/>
      <c r="AX266" s="1133"/>
      <c r="AY266" s="1133"/>
      <c r="AZ266" s="1133"/>
      <c r="BA266" s="1133"/>
      <c r="BB266" s="1133"/>
      <c r="BC266" s="1133"/>
      <c r="BD266" s="1133"/>
      <c r="BE266" s="1480"/>
      <c r="BF266" s="1480"/>
      <c r="BG266" s="1480"/>
      <c r="BH266" s="1480"/>
      <c r="BI266" s="1480"/>
      <c r="BJ266" s="1480"/>
    </row>
    <row r="267" spans="1:62" s="629" customFormat="1" ht="45" customHeight="1" x14ac:dyDescent="0.2">
      <c r="A267" s="1571">
        <v>104</v>
      </c>
      <c r="B267" s="636" t="s">
        <v>1735</v>
      </c>
      <c r="C267" s="1055" t="s">
        <v>1498</v>
      </c>
      <c r="D267" s="1055" t="s">
        <v>1331</v>
      </c>
      <c r="E267" s="1090" t="s">
        <v>584</v>
      </c>
      <c r="F267" s="1090" t="s">
        <v>4266</v>
      </c>
      <c r="G267" s="1145"/>
      <c r="H267" s="1090" t="s">
        <v>4241</v>
      </c>
      <c r="I267" s="1090" t="s">
        <v>4267</v>
      </c>
      <c r="J267" s="1055" t="s">
        <v>1961</v>
      </c>
      <c r="K267" s="1137">
        <v>41548</v>
      </c>
      <c r="L267" s="1156">
        <v>436</v>
      </c>
      <c r="M267" s="1140"/>
      <c r="N267" s="1140"/>
      <c r="O267" s="1140"/>
      <c r="P267" s="1132" t="s">
        <v>3905</v>
      </c>
      <c r="Q267" s="1055"/>
      <c r="R267" s="1055"/>
      <c r="S267" s="1055"/>
      <c r="T267" s="1133" t="s">
        <v>316</v>
      </c>
      <c r="U267" s="1055"/>
      <c r="V267" s="1055"/>
      <c r="W267" s="1064"/>
      <c r="X267" s="1140"/>
      <c r="Y267" s="1055"/>
      <c r="Z267" s="1055"/>
      <c r="AA267" s="1138"/>
      <c r="AB267" s="1055"/>
      <c r="AC267" s="1139"/>
      <c r="AD267" s="1139"/>
      <c r="AE267" s="1155">
        <f t="shared" si="5"/>
        <v>436</v>
      </c>
      <c r="AF267" s="561">
        <v>0</v>
      </c>
      <c r="AG267" s="1156">
        <v>436</v>
      </c>
      <c r="AH267" s="1139">
        <f t="shared" si="4"/>
        <v>436</v>
      </c>
      <c r="AI267" s="1055"/>
      <c r="AJ267" s="1064"/>
      <c r="AK267" s="1055"/>
      <c r="AL267" s="1133"/>
      <c r="AM267" s="1055"/>
      <c r="AN267" s="1055"/>
      <c r="AO267" s="1064"/>
      <c r="AP267" s="1137"/>
      <c r="AQ267" s="1064"/>
      <c r="AR267" s="1137"/>
      <c r="AS267" s="1055"/>
      <c r="AT267" s="1133"/>
      <c r="AU267" s="1133"/>
      <c r="AV267" s="1133"/>
      <c r="AW267" s="1133"/>
      <c r="AX267" s="1133"/>
      <c r="AY267" s="1133"/>
      <c r="AZ267" s="1133"/>
      <c r="BA267" s="1133"/>
      <c r="BB267" s="1133"/>
      <c r="BC267" s="1133"/>
      <c r="BD267" s="1133"/>
      <c r="BE267" s="1480"/>
      <c r="BF267" s="1480"/>
      <c r="BG267" s="1480"/>
      <c r="BH267" s="1480"/>
      <c r="BI267" s="1480"/>
      <c r="BJ267" s="1480"/>
    </row>
    <row r="268" spans="1:62" s="629" customFormat="1" ht="45" customHeight="1" x14ac:dyDescent="0.2">
      <c r="A268" s="1571">
        <v>105</v>
      </c>
      <c r="B268" s="636" t="s">
        <v>281</v>
      </c>
      <c r="C268" s="1055" t="s">
        <v>762</v>
      </c>
      <c r="D268" s="1055" t="s">
        <v>1331</v>
      </c>
      <c r="E268" s="1090" t="s">
        <v>584</v>
      </c>
      <c r="F268" s="1133" t="s">
        <v>4213</v>
      </c>
      <c r="G268" s="1145"/>
      <c r="H268" s="1090" t="s">
        <v>4241</v>
      </c>
      <c r="I268" s="1090" t="s">
        <v>4268</v>
      </c>
      <c r="J268" s="1055" t="s">
        <v>4269</v>
      </c>
      <c r="K268" s="1137">
        <v>41792</v>
      </c>
      <c r="L268" s="1156">
        <v>1336.7</v>
      </c>
      <c r="M268" s="1140"/>
      <c r="N268" s="1140"/>
      <c r="O268" s="1140"/>
      <c r="P268" s="1132" t="s">
        <v>3905</v>
      </c>
      <c r="Q268" s="1055"/>
      <c r="R268" s="1055"/>
      <c r="S268" s="1055"/>
      <c r="T268" s="1133" t="s">
        <v>316</v>
      </c>
      <c r="U268" s="1055"/>
      <c r="V268" s="1055"/>
      <c r="W268" s="1064"/>
      <c r="X268" s="1140"/>
      <c r="Y268" s="1055"/>
      <c r="Z268" s="1055"/>
      <c r="AA268" s="1138"/>
      <c r="AB268" s="1055"/>
      <c r="AC268" s="1139"/>
      <c r="AD268" s="1139"/>
      <c r="AE268" s="1155">
        <f t="shared" si="5"/>
        <v>1336.7</v>
      </c>
      <c r="AF268" s="561">
        <v>0</v>
      </c>
      <c r="AG268" s="1156">
        <v>0</v>
      </c>
      <c r="AH268" s="1139">
        <f t="shared" si="4"/>
        <v>0</v>
      </c>
      <c r="AI268" s="1055"/>
      <c r="AJ268" s="1064"/>
      <c r="AK268" s="1055"/>
      <c r="AL268" s="1133"/>
      <c r="AM268" s="1055"/>
      <c r="AN268" s="1055"/>
      <c r="AO268" s="1064"/>
      <c r="AP268" s="1137"/>
      <c r="AQ268" s="1064"/>
      <c r="AR268" s="1137"/>
      <c r="AS268" s="1055"/>
      <c r="AT268" s="1133"/>
      <c r="AU268" s="1133"/>
      <c r="AV268" s="1133"/>
      <c r="AW268" s="1133"/>
      <c r="AX268" s="1133"/>
      <c r="AY268" s="1133"/>
      <c r="AZ268" s="1133"/>
      <c r="BA268" s="1133"/>
      <c r="BB268" s="1133"/>
      <c r="BC268" s="1133"/>
      <c r="BD268" s="1133"/>
      <c r="BE268" s="1480"/>
      <c r="BF268" s="1480"/>
      <c r="BG268" s="1480"/>
      <c r="BH268" s="1480"/>
      <c r="BI268" s="1480"/>
      <c r="BJ268" s="1480"/>
    </row>
    <row r="269" spans="1:62" s="629" customFormat="1" ht="45" customHeight="1" x14ac:dyDescent="0.2">
      <c r="A269" s="1514">
        <v>106</v>
      </c>
      <c r="B269" s="636" t="s">
        <v>4270</v>
      </c>
      <c r="C269" s="1055" t="s">
        <v>1430</v>
      </c>
      <c r="D269" s="1055" t="s">
        <v>1548</v>
      </c>
      <c r="E269" s="1090" t="s">
        <v>584</v>
      </c>
      <c r="F269" s="1055" t="s">
        <v>4271</v>
      </c>
      <c r="G269" s="1133"/>
      <c r="H269" s="1055" t="s">
        <v>4272</v>
      </c>
      <c r="I269" s="1055" t="s">
        <v>4273</v>
      </c>
      <c r="J269" s="1055" t="s">
        <v>4274</v>
      </c>
      <c r="K269" s="1137">
        <v>41655</v>
      </c>
      <c r="L269" s="1135">
        <v>159984.6</v>
      </c>
      <c r="M269" s="1136">
        <v>11234</v>
      </c>
      <c r="N269" s="1134">
        <v>41655</v>
      </c>
      <c r="O269" s="1134">
        <v>42004</v>
      </c>
      <c r="P269" s="1133">
        <v>1</v>
      </c>
      <c r="Q269" s="1055"/>
      <c r="R269" s="1055"/>
      <c r="S269" s="1055"/>
      <c r="T269" s="1133" t="s">
        <v>208</v>
      </c>
      <c r="U269" s="1055"/>
      <c r="V269" s="1055"/>
      <c r="W269" s="1064"/>
      <c r="X269" s="1140"/>
      <c r="Y269" s="1055"/>
      <c r="Z269" s="1055"/>
      <c r="AA269" s="1138"/>
      <c r="AB269" s="1055"/>
      <c r="AC269" s="1139"/>
      <c r="AD269" s="1139"/>
      <c r="AE269" s="1155">
        <f t="shared" si="5"/>
        <v>159984.6</v>
      </c>
      <c r="AF269" s="561">
        <v>0</v>
      </c>
      <c r="AG269" s="1139">
        <v>128005</v>
      </c>
      <c r="AH269" s="1139">
        <f t="shared" si="4"/>
        <v>128005</v>
      </c>
      <c r="AI269" s="1055"/>
      <c r="AJ269" s="1064"/>
      <c r="AK269" s="1055"/>
      <c r="AL269" s="1133"/>
      <c r="AM269" s="1055"/>
      <c r="AN269" s="1055"/>
      <c r="AO269" s="1064"/>
      <c r="AP269" s="1137"/>
      <c r="AQ269" s="1064"/>
      <c r="AR269" s="1137"/>
      <c r="AS269" s="1055"/>
      <c r="AT269" s="1133"/>
      <c r="AU269" s="1133"/>
      <c r="AV269" s="1133"/>
      <c r="AW269" s="1133"/>
      <c r="AX269" s="1133"/>
      <c r="AY269" s="1133"/>
      <c r="AZ269" s="1133"/>
      <c r="BA269" s="1133"/>
      <c r="BB269" s="1133"/>
      <c r="BC269" s="1133"/>
      <c r="BD269" s="1133"/>
      <c r="BE269" s="1480"/>
      <c r="BF269" s="1480"/>
      <c r="BG269" s="1480"/>
      <c r="BH269" s="1480"/>
      <c r="BI269" s="1480"/>
      <c r="BJ269" s="1480"/>
    </row>
    <row r="270" spans="1:62" s="629" customFormat="1" ht="45" customHeight="1" x14ac:dyDescent="0.2">
      <c r="A270" s="1571">
        <v>107</v>
      </c>
      <c r="B270" s="636" t="s">
        <v>4275</v>
      </c>
      <c r="C270" s="1055" t="s">
        <v>1070</v>
      </c>
      <c r="D270" s="1055" t="s">
        <v>1331</v>
      </c>
      <c r="E270" s="1055" t="s">
        <v>584</v>
      </c>
      <c r="F270" s="1055" t="s">
        <v>4276</v>
      </c>
      <c r="G270" s="1145">
        <v>10991</v>
      </c>
      <c r="H270" s="1055" t="s">
        <v>4277</v>
      </c>
      <c r="I270" s="1055" t="s">
        <v>4278</v>
      </c>
      <c r="J270" s="1055" t="s">
        <v>4120</v>
      </c>
      <c r="K270" s="1137">
        <v>41655</v>
      </c>
      <c r="L270" s="1135">
        <v>8241.24</v>
      </c>
      <c r="M270" s="1136">
        <v>11234</v>
      </c>
      <c r="N270" s="1134">
        <v>41655</v>
      </c>
      <c r="O270" s="1134">
        <v>42004</v>
      </c>
      <c r="P270" s="1133">
        <v>1</v>
      </c>
      <c r="Q270" s="1055"/>
      <c r="R270" s="1055"/>
      <c r="S270" s="1055"/>
      <c r="T270" s="1133" t="s">
        <v>208</v>
      </c>
      <c r="U270" s="1055"/>
      <c r="V270" s="1055"/>
      <c r="W270" s="1064"/>
      <c r="X270" s="1140"/>
      <c r="Y270" s="1055"/>
      <c r="Z270" s="1055"/>
      <c r="AA270" s="1138"/>
      <c r="AB270" s="1055"/>
      <c r="AC270" s="1139"/>
      <c r="AD270" s="1139"/>
      <c r="AE270" s="1155">
        <f t="shared" si="5"/>
        <v>8241.24</v>
      </c>
      <c r="AF270" s="561">
        <v>0</v>
      </c>
      <c r="AG270" s="1139">
        <v>8241.24</v>
      </c>
      <c r="AH270" s="1139">
        <f t="shared" si="4"/>
        <v>8241.24</v>
      </c>
      <c r="AI270" s="1055"/>
      <c r="AJ270" s="1064"/>
      <c r="AK270" s="1055"/>
      <c r="AL270" s="1133"/>
      <c r="AM270" s="1055"/>
      <c r="AN270" s="1055"/>
      <c r="AO270" s="1064"/>
      <c r="AP270" s="1137"/>
      <c r="AQ270" s="1064"/>
      <c r="AR270" s="1137"/>
      <c r="AS270" s="1055"/>
      <c r="AT270" s="1133"/>
      <c r="AU270" s="1133"/>
      <c r="AV270" s="1133"/>
      <c r="AW270" s="1133"/>
      <c r="AX270" s="1133"/>
      <c r="AY270" s="1133"/>
      <c r="AZ270" s="1133"/>
      <c r="BA270" s="1133"/>
      <c r="BB270" s="1133"/>
      <c r="BC270" s="1133"/>
      <c r="BD270" s="1133"/>
      <c r="BE270" s="1480"/>
      <c r="BF270" s="1480"/>
      <c r="BG270" s="1480"/>
      <c r="BH270" s="1480"/>
      <c r="BI270" s="1480"/>
      <c r="BJ270" s="1480"/>
    </row>
    <row r="271" spans="1:62" s="629" customFormat="1" ht="45" customHeight="1" x14ac:dyDescent="0.2">
      <c r="A271" s="1514">
        <v>108</v>
      </c>
      <c r="B271" s="636" t="s">
        <v>4279</v>
      </c>
      <c r="C271" s="1055" t="s">
        <v>1357</v>
      </c>
      <c r="D271" s="1055" t="s">
        <v>1548</v>
      </c>
      <c r="E271" s="1055" t="s">
        <v>584</v>
      </c>
      <c r="F271" s="1055" t="s">
        <v>4280</v>
      </c>
      <c r="G271" s="1133">
        <v>10996</v>
      </c>
      <c r="H271" s="1055" t="s">
        <v>4281</v>
      </c>
      <c r="I271" s="1055" t="s">
        <v>2117</v>
      </c>
      <c r="J271" s="1055" t="s">
        <v>1011</v>
      </c>
      <c r="K271" s="1137">
        <v>41659</v>
      </c>
      <c r="L271" s="1135">
        <v>73865</v>
      </c>
      <c r="M271" s="1136">
        <v>11234</v>
      </c>
      <c r="N271" s="1134">
        <v>41659</v>
      </c>
      <c r="O271" s="1134">
        <v>42004</v>
      </c>
      <c r="P271" s="1133">
        <v>1</v>
      </c>
      <c r="Q271" s="1055"/>
      <c r="R271" s="1055"/>
      <c r="S271" s="1055"/>
      <c r="T271" s="1133" t="s">
        <v>316</v>
      </c>
      <c r="U271" s="1055"/>
      <c r="V271" s="1055"/>
      <c r="W271" s="1064"/>
      <c r="X271" s="1140"/>
      <c r="Y271" s="1055"/>
      <c r="Z271" s="1055"/>
      <c r="AA271" s="1138"/>
      <c r="AB271" s="1055"/>
      <c r="AC271" s="1139"/>
      <c r="AD271" s="1139"/>
      <c r="AE271" s="1155">
        <f t="shared" si="5"/>
        <v>73865</v>
      </c>
      <c r="AF271" s="561">
        <v>0</v>
      </c>
      <c r="AG271" s="1139">
        <f>71965.49+1899.51</f>
        <v>73865</v>
      </c>
      <c r="AH271" s="1139">
        <f t="shared" si="4"/>
        <v>73865</v>
      </c>
      <c r="AI271" s="1055"/>
      <c r="AJ271" s="1064"/>
      <c r="AK271" s="1055"/>
      <c r="AL271" s="1133"/>
      <c r="AM271" s="1055"/>
      <c r="AN271" s="1055"/>
      <c r="AO271" s="1064"/>
      <c r="AP271" s="1137"/>
      <c r="AQ271" s="1064"/>
      <c r="AR271" s="1137"/>
      <c r="AS271" s="1055"/>
      <c r="AT271" s="1133"/>
      <c r="AU271" s="1133"/>
      <c r="AV271" s="1133"/>
      <c r="AW271" s="1133"/>
      <c r="AX271" s="1133"/>
      <c r="AY271" s="1133"/>
      <c r="AZ271" s="1133"/>
      <c r="BA271" s="1133"/>
      <c r="BB271" s="1133"/>
      <c r="BC271" s="1133"/>
      <c r="BD271" s="1133"/>
      <c r="BE271" s="1480"/>
      <c r="BF271" s="1480"/>
      <c r="BG271" s="1480"/>
      <c r="BH271" s="1480"/>
      <c r="BI271" s="1480"/>
      <c r="BJ271" s="1480"/>
    </row>
    <row r="272" spans="1:62" s="629" customFormat="1" ht="45" customHeight="1" x14ac:dyDescent="0.2">
      <c r="A272" s="1571">
        <v>109</v>
      </c>
      <c r="B272" s="636" t="s">
        <v>4282</v>
      </c>
      <c r="C272" s="1055" t="s">
        <v>1046</v>
      </c>
      <c r="D272" s="1055" t="s">
        <v>1331</v>
      </c>
      <c r="E272" s="1055" t="s">
        <v>584</v>
      </c>
      <c r="F272" s="1055" t="s">
        <v>4247</v>
      </c>
      <c r="G272" s="1133"/>
      <c r="H272" s="1055" t="s">
        <v>4283</v>
      </c>
      <c r="I272" s="1055" t="s">
        <v>4284</v>
      </c>
      <c r="J272" s="1055" t="s">
        <v>1740</v>
      </c>
      <c r="K272" s="1137">
        <v>41661</v>
      </c>
      <c r="L272" s="1135">
        <v>39500</v>
      </c>
      <c r="M272" s="1140">
        <v>11235</v>
      </c>
      <c r="N272" s="1134">
        <v>41661</v>
      </c>
      <c r="O272" s="1134">
        <v>41707</v>
      </c>
      <c r="P272" s="1133">
        <v>1</v>
      </c>
      <c r="Q272" s="1055"/>
      <c r="R272" s="1055"/>
      <c r="S272" s="1055"/>
      <c r="T272" s="1133" t="s">
        <v>316</v>
      </c>
      <c r="U272" s="1055"/>
      <c r="V272" s="1055"/>
      <c r="W272" s="1064"/>
      <c r="X272" s="1140"/>
      <c r="Y272" s="1055"/>
      <c r="Z272" s="1055"/>
      <c r="AA272" s="1138"/>
      <c r="AB272" s="1055"/>
      <c r="AC272" s="1139"/>
      <c r="AD272" s="1139"/>
      <c r="AE272" s="1155">
        <f t="shared" si="5"/>
        <v>39500</v>
      </c>
      <c r="AF272" s="561">
        <v>0</v>
      </c>
      <c r="AG272" s="1139">
        <v>39500</v>
      </c>
      <c r="AH272" s="1139">
        <f t="shared" si="4"/>
        <v>39500</v>
      </c>
      <c r="AI272" s="1055"/>
      <c r="AJ272" s="1064"/>
      <c r="AK272" s="1055"/>
      <c r="AL272" s="1133"/>
      <c r="AM272" s="1055"/>
      <c r="AN272" s="1055"/>
      <c r="AO272" s="1064"/>
      <c r="AP272" s="1137"/>
      <c r="AQ272" s="1064"/>
      <c r="AR272" s="1137"/>
      <c r="AS272" s="1055"/>
      <c r="AT272" s="1133"/>
      <c r="AU272" s="1133"/>
      <c r="AV272" s="1133"/>
      <c r="AW272" s="1133"/>
      <c r="AX272" s="1133"/>
      <c r="AY272" s="1133"/>
      <c r="AZ272" s="1133"/>
      <c r="BA272" s="1133"/>
      <c r="BB272" s="1133"/>
      <c r="BC272" s="1133"/>
      <c r="BD272" s="1133"/>
      <c r="BE272" s="1480"/>
      <c r="BF272" s="1480"/>
      <c r="BG272" s="1480"/>
      <c r="BH272" s="1480"/>
      <c r="BI272" s="1480"/>
      <c r="BJ272" s="1480"/>
    </row>
    <row r="273" spans="1:62" s="629" customFormat="1" ht="45" customHeight="1" x14ac:dyDescent="0.2">
      <c r="A273" s="2365">
        <v>110</v>
      </c>
      <c r="B273" s="2361" t="s">
        <v>4285</v>
      </c>
      <c r="C273" s="2023" t="s">
        <v>4286</v>
      </c>
      <c r="D273" s="2023" t="s">
        <v>1548</v>
      </c>
      <c r="E273" s="2023" t="s">
        <v>584</v>
      </c>
      <c r="F273" s="2023" t="s">
        <v>4287</v>
      </c>
      <c r="G273" s="2355">
        <v>11221</v>
      </c>
      <c r="H273" s="2023" t="s">
        <v>4288</v>
      </c>
      <c r="I273" s="2023" t="s">
        <v>3920</v>
      </c>
      <c r="J273" s="2023" t="s">
        <v>3921</v>
      </c>
      <c r="K273" s="2347">
        <v>41661</v>
      </c>
      <c r="L273" s="2349">
        <v>200000</v>
      </c>
      <c r="M273" s="2374">
        <v>11235</v>
      </c>
      <c r="N273" s="2352">
        <v>41661</v>
      </c>
      <c r="O273" s="2352">
        <v>42004</v>
      </c>
      <c r="P273" s="2355">
        <v>1</v>
      </c>
      <c r="Q273" s="2023"/>
      <c r="R273" s="2023"/>
      <c r="S273" s="2023"/>
      <c r="T273" s="2028" t="s">
        <v>208</v>
      </c>
      <c r="U273" s="1055"/>
      <c r="V273" s="1055"/>
      <c r="W273" s="1064"/>
      <c r="X273" s="1140"/>
      <c r="Y273" s="1055"/>
      <c r="Z273" s="1055"/>
      <c r="AA273" s="1138"/>
      <c r="AB273" s="1055"/>
      <c r="AC273" s="1139"/>
      <c r="AD273" s="1139"/>
      <c r="AE273" s="1155">
        <f>L273-AD275+AC275</f>
        <v>200000</v>
      </c>
      <c r="AF273" s="561">
        <v>0</v>
      </c>
      <c r="AG273" s="1139">
        <f>15860+21975+13410+8730</f>
        <v>59975</v>
      </c>
      <c r="AH273" s="1139">
        <f t="shared" si="4"/>
        <v>59975</v>
      </c>
      <c r="AI273" s="1055"/>
      <c r="AJ273" s="1064"/>
      <c r="AK273" s="1055"/>
      <c r="AL273" s="1133"/>
      <c r="AM273" s="1055"/>
      <c r="AN273" s="1055"/>
      <c r="AO273" s="1064"/>
      <c r="AP273" s="1137"/>
      <c r="AQ273" s="1064"/>
      <c r="AR273" s="1137"/>
      <c r="AS273" s="1055"/>
      <c r="AT273" s="1133"/>
      <c r="AU273" s="1133"/>
      <c r="AV273" s="1133"/>
      <c r="AW273" s="1133"/>
      <c r="AX273" s="1133"/>
      <c r="AY273" s="1133"/>
      <c r="AZ273" s="1133"/>
      <c r="BA273" s="1133"/>
      <c r="BB273" s="1133"/>
      <c r="BC273" s="1133"/>
      <c r="BD273" s="1133"/>
      <c r="BE273" s="1480"/>
      <c r="BF273" s="1480"/>
      <c r="BG273" s="1480"/>
      <c r="BH273" s="1480"/>
      <c r="BI273" s="1480"/>
      <c r="BJ273" s="1480"/>
    </row>
    <row r="274" spans="1:62" s="629" customFormat="1" ht="29.25" customHeight="1" x14ac:dyDescent="0.2">
      <c r="A274" s="2365"/>
      <c r="B274" s="2361"/>
      <c r="C274" s="2023"/>
      <c r="D274" s="2023"/>
      <c r="E274" s="2023"/>
      <c r="F274" s="2023"/>
      <c r="G274" s="2355"/>
      <c r="H274" s="2023"/>
      <c r="I274" s="2023"/>
      <c r="J274" s="2023"/>
      <c r="K274" s="2347"/>
      <c r="L274" s="2349"/>
      <c r="M274" s="2374"/>
      <c r="N274" s="2352"/>
      <c r="O274" s="2352"/>
      <c r="P274" s="2355"/>
      <c r="Q274" s="2023"/>
      <c r="R274" s="2023"/>
      <c r="S274" s="2023"/>
      <c r="T274" s="2029"/>
      <c r="U274" s="1055"/>
      <c r="V274" s="1055"/>
      <c r="W274" s="1064"/>
      <c r="X274" s="1140"/>
      <c r="Y274" s="1055"/>
      <c r="Z274" s="1055"/>
      <c r="AA274" s="1138"/>
      <c r="AB274" s="1055"/>
      <c r="AC274" s="1139"/>
      <c r="AD274" s="1139"/>
      <c r="AE274" s="1155"/>
      <c r="AF274" s="525">
        <v>0</v>
      </c>
      <c r="AG274" s="525">
        <v>0</v>
      </c>
      <c r="AH274" s="1139">
        <f t="shared" si="4"/>
        <v>0</v>
      </c>
      <c r="AI274" s="1055"/>
      <c r="AJ274" s="1064"/>
      <c r="AK274" s="1055"/>
      <c r="AL274" s="1133"/>
      <c r="AM274" s="1055"/>
      <c r="AN274" s="1055"/>
      <c r="AO274" s="1064"/>
      <c r="AP274" s="1137"/>
      <c r="AQ274" s="1064"/>
      <c r="AR274" s="1137"/>
      <c r="AS274" s="1055"/>
      <c r="AT274" s="1133"/>
      <c r="AU274" s="1133"/>
      <c r="AV274" s="1133"/>
      <c r="AW274" s="1133"/>
      <c r="AX274" s="1133"/>
      <c r="AY274" s="1133"/>
      <c r="AZ274" s="1133"/>
      <c r="BA274" s="1133"/>
      <c r="BB274" s="1133"/>
      <c r="BC274" s="1133"/>
      <c r="BD274" s="1133"/>
      <c r="BE274" s="1480"/>
      <c r="BF274" s="1480"/>
      <c r="BG274" s="1480"/>
      <c r="BH274" s="1480"/>
      <c r="BI274" s="1480"/>
      <c r="BJ274" s="1480"/>
    </row>
    <row r="275" spans="1:62" s="629" customFormat="1" ht="30" customHeight="1" x14ac:dyDescent="0.2">
      <c r="A275" s="2365"/>
      <c r="B275" s="2361"/>
      <c r="C275" s="2023"/>
      <c r="D275" s="2023"/>
      <c r="E275" s="2023"/>
      <c r="F275" s="2023"/>
      <c r="G275" s="2355"/>
      <c r="H275" s="2023"/>
      <c r="I275" s="2023"/>
      <c r="J275" s="2023"/>
      <c r="K275" s="2347"/>
      <c r="L275" s="2349"/>
      <c r="M275" s="2374"/>
      <c r="N275" s="2352"/>
      <c r="O275" s="2352"/>
      <c r="P275" s="2355"/>
      <c r="Q275" s="2023"/>
      <c r="R275" s="2023"/>
      <c r="S275" s="2023"/>
      <c r="T275" s="2030"/>
      <c r="U275" s="1055"/>
      <c r="V275" s="1055"/>
      <c r="W275" s="1064"/>
      <c r="X275" s="1140"/>
      <c r="Y275" s="1055"/>
      <c r="Z275" s="1055"/>
      <c r="AA275" s="1138"/>
      <c r="AB275" s="1055"/>
      <c r="AC275" s="1139"/>
      <c r="AD275" s="1139"/>
      <c r="AE275" s="1155"/>
      <c r="AF275" s="525">
        <v>0</v>
      </c>
      <c r="AG275" s="525">
        <v>0</v>
      </c>
      <c r="AH275" s="1139">
        <f t="shared" si="4"/>
        <v>0</v>
      </c>
      <c r="AI275" s="1055"/>
      <c r="AJ275" s="1064"/>
      <c r="AK275" s="1055"/>
      <c r="AL275" s="1133"/>
      <c r="AM275" s="1055"/>
      <c r="AN275" s="1055"/>
      <c r="AO275" s="1064"/>
      <c r="AP275" s="1137"/>
      <c r="AQ275" s="1064"/>
      <c r="AR275" s="1137"/>
      <c r="AS275" s="1055"/>
      <c r="AT275" s="1133"/>
      <c r="AU275" s="1133"/>
      <c r="AV275" s="1133"/>
      <c r="AW275" s="1133"/>
      <c r="AX275" s="1133"/>
      <c r="AY275" s="1133"/>
      <c r="AZ275" s="1133"/>
      <c r="BA275" s="1133"/>
      <c r="BB275" s="1133"/>
      <c r="BC275" s="1133"/>
      <c r="BD275" s="1133"/>
      <c r="BE275" s="1480"/>
      <c r="BF275" s="1480"/>
      <c r="BG275" s="1480"/>
      <c r="BH275" s="1480"/>
      <c r="BI275" s="1480"/>
      <c r="BJ275" s="1480"/>
    </row>
    <row r="276" spans="1:62" s="629" customFormat="1" ht="45" customHeight="1" x14ac:dyDescent="0.2">
      <c r="A276" s="2365">
        <v>111</v>
      </c>
      <c r="B276" s="2361" t="s">
        <v>4289</v>
      </c>
      <c r="C276" s="2023" t="s">
        <v>1059</v>
      </c>
      <c r="D276" s="2023" t="s">
        <v>1331</v>
      </c>
      <c r="E276" s="2023" t="s">
        <v>584</v>
      </c>
      <c r="F276" s="2023" t="s">
        <v>4290</v>
      </c>
      <c r="G276" s="2355">
        <v>11001</v>
      </c>
      <c r="H276" s="2023" t="s">
        <v>4291</v>
      </c>
      <c r="I276" s="2023" t="s">
        <v>4178</v>
      </c>
      <c r="J276" s="2023" t="s">
        <v>4179</v>
      </c>
      <c r="K276" s="2347">
        <v>41666</v>
      </c>
      <c r="L276" s="2349">
        <v>130355</v>
      </c>
      <c r="M276" s="2374">
        <v>11237</v>
      </c>
      <c r="N276" s="2352">
        <v>41666</v>
      </c>
      <c r="O276" s="2352">
        <v>42004</v>
      </c>
      <c r="P276" s="2355">
        <v>1</v>
      </c>
      <c r="Q276" s="2023"/>
      <c r="R276" s="2023"/>
      <c r="S276" s="2023"/>
      <c r="T276" s="2355" t="s">
        <v>316</v>
      </c>
      <c r="U276" s="1055"/>
      <c r="V276" s="1055"/>
      <c r="W276" s="1064"/>
      <c r="X276" s="1140"/>
      <c r="Y276" s="1055"/>
      <c r="Z276" s="1055"/>
      <c r="AA276" s="1138"/>
      <c r="AB276" s="1055"/>
      <c r="AC276" s="1139"/>
      <c r="AD276" s="1139"/>
      <c r="AE276" s="1155"/>
      <c r="AF276" s="525">
        <v>0</v>
      </c>
      <c r="AG276" s="1139">
        <v>162943.75</v>
      </c>
      <c r="AH276" s="1139">
        <f t="shared" si="4"/>
        <v>162943.75</v>
      </c>
      <c r="AI276" s="1055"/>
      <c r="AJ276" s="1064"/>
      <c r="AK276" s="1055"/>
      <c r="AL276" s="1133"/>
      <c r="AM276" s="1055"/>
      <c r="AN276" s="1055"/>
      <c r="AO276" s="1064"/>
      <c r="AP276" s="1137"/>
      <c r="AQ276" s="1064"/>
      <c r="AR276" s="1137"/>
      <c r="AS276" s="1055"/>
      <c r="AT276" s="1133"/>
      <c r="AU276" s="1133"/>
      <c r="AV276" s="1133"/>
      <c r="AW276" s="1133"/>
      <c r="AX276" s="1133"/>
      <c r="AY276" s="1133"/>
      <c r="AZ276" s="1133"/>
      <c r="BA276" s="1133"/>
      <c r="BB276" s="1133"/>
      <c r="BC276" s="1133"/>
      <c r="BD276" s="1133"/>
      <c r="BE276" s="1480"/>
      <c r="BF276" s="1480"/>
      <c r="BG276" s="1480"/>
      <c r="BH276" s="1480"/>
      <c r="BI276" s="1480"/>
      <c r="BJ276" s="1480"/>
    </row>
    <row r="277" spans="1:62" s="629" customFormat="1" ht="27" customHeight="1" x14ac:dyDescent="0.2">
      <c r="A277" s="2365"/>
      <c r="B277" s="2361"/>
      <c r="C277" s="2023"/>
      <c r="D277" s="2023"/>
      <c r="E277" s="2023"/>
      <c r="F277" s="2023"/>
      <c r="G277" s="2355"/>
      <c r="H277" s="2023"/>
      <c r="I277" s="2023"/>
      <c r="J277" s="2023"/>
      <c r="K277" s="2023"/>
      <c r="L277" s="2349"/>
      <c r="M277" s="2374"/>
      <c r="N277" s="2352"/>
      <c r="O277" s="2352"/>
      <c r="P277" s="2355"/>
      <c r="Q277" s="2023"/>
      <c r="R277" s="2023"/>
      <c r="S277" s="2023"/>
      <c r="T277" s="2355"/>
      <c r="U277" s="1055" t="s">
        <v>4292</v>
      </c>
      <c r="V277" s="1137">
        <v>41759</v>
      </c>
      <c r="W277" s="1064">
        <v>11301</v>
      </c>
      <c r="X277" s="1140" t="s">
        <v>3922</v>
      </c>
      <c r="Y277" s="1137">
        <v>41759</v>
      </c>
      <c r="Z277" s="1137">
        <v>42004</v>
      </c>
      <c r="AA277" s="537">
        <f>AC277/L276</f>
        <v>0.25</v>
      </c>
      <c r="AB277" s="1055"/>
      <c r="AC277" s="1139">
        <v>32588.75</v>
      </c>
      <c r="AD277" s="1139"/>
      <c r="AE277" s="1155">
        <f>AC277+L276</f>
        <v>162943.75</v>
      </c>
      <c r="AF277" s="525">
        <v>0</v>
      </c>
      <c r="AG277" s="525">
        <v>0</v>
      </c>
      <c r="AH277" s="1139">
        <f t="shared" si="4"/>
        <v>0</v>
      </c>
      <c r="AI277" s="1055"/>
      <c r="AJ277" s="1064"/>
      <c r="AK277" s="1055"/>
      <c r="AL277" s="1133"/>
      <c r="AM277" s="1055"/>
      <c r="AN277" s="1055"/>
      <c r="AO277" s="1064"/>
      <c r="AP277" s="1137"/>
      <c r="AQ277" s="1064"/>
      <c r="AR277" s="1137"/>
      <c r="AS277" s="1055"/>
      <c r="AT277" s="1133"/>
      <c r="AU277" s="1133"/>
      <c r="AV277" s="1133"/>
      <c r="AW277" s="1133"/>
      <c r="AX277" s="1133"/>
      <c r="AY277" s="1133"/>
      <c r="AZ277" s="1133"/>
      <c r="BA277" s="1133"/>
      <c r="BB277" s="1133"/>
      <c r="BC277" s="1133"/>
      <c r="BD277" s="1133"/>
      <c r="BE277" s="1480"/>
      <c r="BF277" s="1480"/>
      <c r="BG277" s="1480"/>
      <c r="BH277" s="1480"/>
      <c r="BI277" s="1480"/>
      <c r="BJ277" s="1480"/>
    </row>
    <row r="278" spans="1:62" s="629" customFormat="1" ht="45" customHeight="1" x14ac:dyDescent="0.2">
      <c r="A278" s="1514">
        <v>112</v>
      </c>
      <c r="B278" s="636" t="s">
        <v>4293</v>
      </c>
      <c r="C278" s="1055" t="s">
        <v>403</v>
      </c>
      <c r="D278" s="1055" t="s">
        <v>1548</v>
      </c>
      <c r="E278" s="1055" t="s">
        <v>584</v>
      </c>
      <c r="F278" s="1055" t="s">
        <v>4213</v>
      </c>
      <c r="G278" s="1133">
        <v>10991</v>
      </c>
      <c r="H278" s="1055" t="s">
        <v>4294</v>
      </c>
      <c r="I278" s="1055" t="s">
        <v>4295</v>
      </c>
      <c r="J278" s="1055" t="s">
        <v>315</v>
      </c>
      <c r="K278" s="1137">
        <v>41666</v>
      </c>
      <c r="L278" s="1135">
        <v>19402.2</v>
      </c>
      <c r="M278" s="1140">
        <v>11237</v>
      </c>
      <c r="N278" s="1134">
        <v>41666</v>
      </c>
      <c r="O278" s="1134">
        <v>42004</v>
      </c>
      <c r="P278" s="1133">
        <v>1</v>
      </c>
      <c r="Q278" s="1055"/>
      <c r="R278" s="1055"/>
      <c r="S278" s="1055"/>
      <c r="T278" s="1133" t="s">
        <v>316</v>
      </c>
      <c r="U278" s="1055"/>
      <c r="V278" s="1055"/>
      <c r="W278" s="1064"/>
      <c r="X278" s="1140"/>
      <c r="Y278" s="1055"/>
      <c r="Z278" s="1055"/>
      <c r="AA278" s="1138"/>
      <c r="AB278" s="1055"/>
      <c r="AC278" s="1139"/>
      <c r="AD278" s="1139"/>
      <c r="AE278" s="1155">
        <f t="shared" ref="AE278:AE295" si="6">L278-AD278+AC278</f>
        <v>19402.2</v>
      </c>
      <c r="AF278" s="525">
        <v>0</v>
      </c>
      <c r="AG278" s="1139">
        <v>18881.54</v>
      </c>
      <c r="AH278" s="1139">
        <f t="shared" si="4"/>
        <v>18881.54</v>
      </c>
      <c r="AI278" s="1055"/>
      <c r="AJ278" s="1064"/>
      <c r="AK278" s="1055"/>
      <c r="AL278" s="1133"/>
      <c r="AM278" s="1055"/>
      <c r="AN278" s="1055"/>
      <c r="AO278" s="1064"/>
      <c r="AP278" s="1137"/>
      <c r="AQ278" s="1064"/>
      <c r="AR278" s="1137"/>
      <c r="AS278" s="1055"/>
      <c r="AT278" s="1133"/>
      <c r="AU278" s="1133"/>
      <c r="AV278" s="1133"/>
      <c r="AW278" s="1133"/>
      <c r="AX278" s="1133"/>
      <c r="AY278" s="1133"/>
      <c r="AZ278" s="1133"/>
      <c r="BA278" s="1133"/>
      <c r="BB278" s="1133"/>
      <c r="BC278" s="1133"/>
      <c r="BD278" s="1133"/>
      <c r="BE278" s="1480"/>
      <c r="BF278" s="1480"/>
      <c r="BG278" s="1480"/>
      <c r="BH278" s="1480"/>
      <c r="BI278" s="1480"/>
      <c r="BJ278" s="1480"/>
    </row>
    <row r="279" spans="1:62" s="629" customFormat="1" ht="45" customHeight="1" x14ac:dyDescent="0.2">
      <c r="A279" s="2365">
        <v>113</v>
      </c>
      <c r="B279" s="2361" t="s">
        <v>4296</v>
      </c>
      <c r="C279" s="2023" t="s">
        <v>967</v>
      </c>
      <c r="D279" s="2023" t="s">
        <v>1548</v>
      </c>
      <c r="E279" s="2023" t="s">
        <v>584</v>
      </c>
      <c r="F279" s="2023" t="s">
        <v>4297</v>
      </c>
      <c r="G279" s="2355">
        <v>10991</v>
      </c>
      <c r="H279" s="2023" t="s">
        <v>4298</v>
      </c>
      <c r="I279" s="2355" t="s">
        <v>4133</v>
      </c>
      <c r="J279" s="2023" t="s">
        <v>4134</v>
      </c>
      <c r="K279" s="2347">
        <v>41676</v>
      </c>
      <c r="L279" s="2349">
        <v>28055.55</v>
      </c>
      <c r="M279" s="2374">
        <v>11244</v>
      </c>
      <c r="N279" s="2352">
        <v>41676</v>
      </c>
      <c r="O279" s="2352">
        <v>42004</v>
      </c>
      <c r="P279" s="2355">
        <v>1</v>
      </c>
      <c r="Q279" s="2023"/>
      <c r="R279" s="2023"/>
      <c r="S279" s="2023"/>
      <c r="T279" s="2355" t="s">
        <v>316</v>
      </c>
      <c r="U279" s="1055"/>
      <c r="V279" s="1055"/>
      <c r="W279" s="1064"/>
      <c r="X279" s="1140"/>
      <c r="Y279" s="1055"/>
      <c r="Z279" s="1055"/>
      <c r="AA279" s="1138"/>
      <c r="AB279" s="1055"/>
      <c r="AC279" s="1139"/>
      <c r="AD279" s="1139"/>
      <c r="AE279" s="525"/>
      <c r="AF279" s="525">
        <v>0</v>
      </c>
      <c r="AG279" s="1150">
        <v>26522.71</v>
      </c>
      <c r="AH279" s="1139">
        <f t="shared" si="4"/>
        <v>26522.71</v>
      </c>
      <c r="AI279" s="1055"/>
      <c r="AJ279" s="1064"/>
      <c r="AK279" s="1055"/>
      <c r="AL279" s="1133"/>
      <c r="AM279" s="1055"/>
      <c r="AN279" s="1055"/>
      <c r="AO279" s="1064"/>
      <c r="AP279" s="1137"/>
      <c r="AQ279" s="1064"/>
      <c r="AR279" s="1137"/>
      <c r="AS279" s="1055"/>
      <c r="AT279" s="1133"/>
      <c r="AU279" s="1133"/>
      <c r="AV279" s="1133"/>
      <c r="AW279" s="1133"/>
      <c r="AX279" s="1133"/>
      <c r="AY279" s="1133"/>
      <c r="AZ279" s="1133"/>
      <c r="BA279" s="1133"/>
      <c r="BB279" s="1133"/>
      <c r="BC279" s="1133"/>
      <c r="BD279" s="1133"/>
      <c r="BE279" s="1480"/>
      <c r="BF279" s="1480"/>
      <c r="BG279" s="1480"/>
      <c r="BH279" s="1480"/>
      <c r="BI279" s="1480"/>
      <c r="BJ279" s="1480"/>
    </row>
    <row r="280" spans="1:62" s="629" customFormat="1" ht="45" customHeight="1" x14ac:dyDescent="0.2">
      <c r="A280" s="2365"/>
      <c r="B280" s="2361"/>
      <c r="C280" s="2023"/>
      <c r="D280" s="2023"/>
      <c r="E280" s="2023"/>
      <c r="F280" s="2023"/>
      <c r="G280" s="2355"/>
      <c r="H280" s="2023"/>
      <c r="I280" s="2355"/>
      <c r="J280" s="2023"/>
      <c r="K280" s="2347"/>
      <c r="L280" s="2349"/>
      <c r="M280" s="2374"/>
      <c r="N280" s="2352"/>
      <c r="O280" s="2352"/>
      <c r="P280" s="2355"/>
      <c r="Q280" s="2023"/>
      <c r="R280" s="2023"/>
      <c r="S280" s="2023"/>
      <c r="T280" s="2355"/>
      <c r="U280" s="1055" t="s">
        <v>3906</v>
      </c>
      <c r="V280" s="1137">
        <v>41967</v>
      </c>
      <c r="W280" s="1064">
        <v>11480</v>
      </c>
      <c r="X280" s="1572" t="s">
        <v>4299</v>
      </c>
      <c r="Y280" s="1137">
        <v>41676</v>
      </c>
      <c r="Z280" s="1137">
        <v>42004</v>
      </c>
      <c r="AA280" s="1138"/>
      <c r="AB280" s="1138">
        <f>AD280/L279</f>
        <v>1.5741626879530075E-2</v>
      </c>
      <c r="AC280" s="1139"/>
      <c r="AD280" s="1139">
        <v>441.64</v>
      </c>
      <c r="AE280" s="1155">
        <f>L279-AD280</f>
        <v>27613.91</v>
      </c>
      <c r="AF280" s="525">
        <v>0</v>
      </c>
      <c r="AG280" s="525">
        <v>0</v>
      </c>
      <c r="AH280" s="1139">
        <f t="shared" si="4"/>
        <v>0</v>
      </c>
      <c r="AI280" s="1055"/>
      <c r="AJ280" s="1064"/>
      <c r="AK280" s="1055"/>
      <c r="AL280" s="1133"/>
      <c r="AM280" s="1055"/>
      <c r="AN280" s="1055"/>
      <c r="AO280" s="1064"/>
      <c r="AP280" s="1137"/>
      <c r="AQ280" s="1064"/>
      <c r="AR280" s="1137"/>
      <c r="AS280" s="1055"/>
      <c r="AT280" s="1133"/>
      <c r="AU280" s="1133"/>
      <c r="AV280" s="1133"/>
      <c r="AW280" s="1133"/>
      <c r="AX280" s="1133"/>
      <c r="AY280" s="1133"/>
      <c r="AZ280" s="1133"/>
      <c r="BA280" s="1133"/>
      <c r="BB280" s="1133"/>
      <c r="BC280" s="1133"/>
      <c r="BD280" s="1133"/>
      <c r="BE280" s="1480"/>
      <c r="BF280" s="1480"/>
      <c r="BG280" s="1480"/>
      <c r="BH280" s="1480"/>
      <c r="BI280" s="1480"/>
      <c r="BJ280" s="1480"/>
    </row>
    <row r="281" spans="1:62" s="629" customFormat="1" ht="45" customHeight="1" x14ac:dyDescent="0.2">
      <c r="A281" s="1514">
        <v>114</v>
      </c>
      <c r="B281" s="636" t="s">
        <v>4296</v>
      </c>
      <c r="C281" s="1055" t="s">
        <v>967</v>
      </c>
      <c r="D281" s="1055" t="s">
        <v>1548</v>
      </c>
      <c r="E281" s="1055" t="s">
        <v>584</v>
      </c>
      <c r="F281" s="1055" t="s">
        <v>4297</v>
      </c>
      <c r="G281" s="1133">
        <v>10991</v>
      </c>
      <c r="H281" s="1055" t="s">
        <v>4300</v>
      </c>
      <c r="I281" s="1133" t="s">
        <v>4301</v>
      </c>
      <c r="J281" s="1055" t="s">
        <v>4131</v>
      </c>
      <c r="K281" s="1137">
        <v>41676</v>
      </c>
      <c r="L281" s="1135">
        <v>15903.48</v>
      </c>
      <c r="M281" s="1136">
        <v>11249</v>
      </c>
      <c r="N281" s="1134">
        <v>41676</v>
      </c>
      <c r="O281" s="1134">
        <v>42004</v>
      </c>
      <c r="P281" s="1133">
        <v>1</v>
      </c>
      <c r="Q281" s="1055"/>
      <c r="R281" s="1055"/>
      <c r="S281" s="1055"/>
      <c r="T281" s="1133" t="s">
        <v>316</v>
      </c>
      <c r="U281" s="1055"/>
      <c r="V281" s="1055"/>
      <c r="W281" s="1064"/>
      <c r="X281" s="1140"/>
      <c r="Y281" s="1055"/>
      <c r="Z281" s="1055"/>
      <c r="AA281" s="1138"/>
      <c r="AB281" s="1055"/>
      <c r="AC281" s="1139"/>
      <c r="AD281" s="1139"/>
      <c r="AE281" s="1155">
        <f t="shared" si="6"/>
        <v>15903.48</v>
      </c>
      <c r="AF281" s="525">
        <v>0</v>
      </c>
      <c r="AG281" s="1139">
        <f>1752.1+648.4+32+1869.86+236+2312.22+3022.52+1488.32</f>
        <v>11361.42</v>
      </c>
      <c r="AH281" s="1139">
        <f t="shared" si="4"/>
        <v>11361.42</v>
      </c>
      <c r="AI281" s="1055"/>
      <c r="AJ281" s="1064"/>
      <c r="AK281" s="1055"/>
      <c r="AL281" s="1133"/>
      <c r="AM281" s="1055"/>
      <c r="AN281" s="1055"/>
      <c r="AO281" s="1064"/>
      <c r="AP281" s="1137"/>
      <c r="AQ281" s="1064"/>
      <c r="AR281" s="1137"/>
      <c r="AS281" s="1055"/>
      <c r="AT281" s="1133"/>
      <c r="AU281" s="1133"/>
      <c r="AV281" s="1133"/>
      <c r="AW281" s="1133"/>
      <c r="AX281" s="1133"/>
      <c r="AY281" s="1133"/>
      <c r="AZ281" s="1133"/>
      <c r="BA281" s="1133"/>
      <c r="BB281" s="1133"/>
      <c r="BC281" s="1133"/>
      <c r="BD281" s="1133"/>
      <c r="BE281" s="1480"/>
      <c r="BF281" s="1480"/>
      <c r="BG281" s="1480"/>
      <c r="BH281" s="1480"/>
      <c r="BI281" s="1480"/>
      <c r="BJ281" s="1480"/>
    </row>
    <row r="282" spans="1:62" s="629" customFormat="1" ht="45" customHeight="1" x14ac:dyDescent="0.2">
      <c r="A282" s="1514">
        <v>115</v>
      </c>
      <c r="B282" s="636" t="s">
        <v>4296</v>
      </c>
      <c r="C282" s="1055" t="s">
        <v>967</v>
      </c>
      <c r="D282" s="1055" t="s">
        <v>1548</v>
      </c>
      <c r="E282" s="1055" t="s">
        <v>584</v>
      </c>
      <c r="F282" s="1055" t="s">
        <v>4297</v>
      </c>
      <c r="G282" s="1133">
        <v>10991</v>
      </c>
      <c r="H282" s="1055" t="s">
        <v>4302</v>
      </c>
      <c r="I282" s="1055" t="s">
        <v>4136</v>
      </c>
      <c r="J282" s="1055" t="s">
        <v>4137</v>
      </c>
      <c r="K282" s="1137">
        <v>41676</v>
      </c>
      <c r="L282" s="1135">
        <v>18290.8</v>
      </c>
      <c r="M282" s="1136">
        <v>11244</v>
      </c>
      <c r="N282" s="1134">
        <v>41676</v>
      </c>
      <c r="O282" s="1134">
        <v>42004</v>
      </c>
      <c r="P282" s="1133">
        <v>1</v>
      </c>
      <c r="Q282" s="1055"/>
      <c r="R282" s="1055"/>
      <c r="S282" s="1055"/>
      <c r="T282" s="1133" t="s">
        <v>316</v>
      </c>
      <c r="U282" s="1055"/>
      <c r="V282" s="1055"/>
      <c r="W282" s="1064"/>
      <c r="X282" s="1140"/>
      <c r="Y282" s="1055"/>
      <c r="Z282" s="1055"/>
      <c r="AA282" s="1138"/>
      <c r="AB282" s="1055"/>
      <c r="AC282" s="1139"/>
      <c r="AD282" s="1139"/>
      <c r="AE282" s="1155">
        <f t="shared" si="6"/>
        <v>18290.8</v>
      </c>
      <c r="AF282" s="525">
        <v>0</v>
      </c>
      <c r="AG282" s="1150">
        <f>11831.26+85.81+617.5+737.75+770+175.23+794.83+1930.5</f>
        <v>16942.879999999997</v>
      </c>
      <c r="AH282" s="1139">
        <f t="shared" si="4"/>
        <v>16942.879999999997</v>
      </c>
      <c r="AI282" s="1055"/>
      <c r="AJ282" s="1064"/>
      <c r="AK282" s="1055"/>
      <c r="AL282" s="1133"/>
      <c r="AM282" s="1055"/>
      <c r="AN282" s="1055"/>
      <c r="AO282" s="1064"/>
      <c r="AP282" s="1137"/>
      <c r="AQ282" s="1064"/>
      <c r="AR282" s="1137"/>
      <c r="AS282" s="1055"/>
      <c r="AT282" s="1133"/>
      <c r="AU282" s="1133"/>
      <c r="AV282" s="1133"/>
      <c r="AW282" s="1133"/>
      <c r="AX282" s="1133"/>
      <c r="AY282" s="1133"/>
      <c r="AZ282" s="1133"/>
      <c r="BA282" s="1133"/>
      <c r="BB282" s="1133"/>
      <c r="BC282" s="1133"/>
      <c r="BD282" s="1133"/>
      <c r="BE282" s="1480"/>
      <c r="BF282" s="1480"/>
      <c r="BG282" s="1480"/>
      <c r="BH282" s="1480"/>
      <c r="BI282" s="1480"/>
      <c r="BJ282" s="1480"/>
    </row>
    <row r="283" spans="1:62" s="629" customFormat="1" ht="45" customHeight="1" x14ac:dyDescent="0.2">
      <c r="A283" s="1514">
        <v>116</v>
      </c>
      <c r="B283" s="636" t="s">
        <v>4296</v>
      </c>
      <c r="C283" s="1055" t="s">
        <v>967</v>
      </c>
      <c r="D283" s="1055" t="s">
        <v>1331</v>
      </c>
      <c r="E283" s="1055" t="s">
        <v>584</v>
      </c>
      <c r="F283" s="1055" t="s">
        <v>4297</v>
      </c>
      <c r="G283" s="1133">
        <v>10991</v>
      </c>
      <c r="H283" s="1055" t="s">
        <v>4303</v>
      </c>
      <c r="I283" s="1133" t="s">
        <v>4203</v>
      </c>
      <c r="J283" s="1055" t="s">
        <v>225</v>
      </c>
      <c r="K283" s="1137">
        <v>41676</v>
      </c>
      <c r="L283" s="1135">
        <v>11189.75</v>
      </c>
      <c r="M283" s="1136">
        <v>11244</v>
      </c>
      <c r="N283" s="1134">
        <v>41676</v>
      </c>
      <c r="O283" s="1134">
        <v>42004</v>
      </c>
      <c r="P283" s="1133">
        <v>1</v>
      </c>
      <c r="Q283" s="1055"/>
      <c r="R283" s="1055"/>
      <c r="S283" s="1055"/>
      <c r="T283" s="1133" t="s">
        <v>316</v>
      </c>
      <c r="U283" s="1055"/>
      <c r="V283" s="1055"/>
      <c r="W283" s="1064"/>
      <c r="X283" s="1140"/>
      <c r="Y283" s="1055"/>
      <c r="Z283" s="1055"/>
      <c r="AA283" s="1138"/>
      <c r="AB283" s="1055"/>
      <c r="AC283" s="1139"/>
      <c r="AD283" s="1139"/>
      <c r="AE283" s="1155">
        <f t="shared" si="6"/>
        <v>11189.75</v>
      </c>
      <c r="AF283" s="525">
        <v>0</v>
      </c>
      <c r="AG283" s="1139">
        <v>11189.75</v>
      </c>
      <c r="AH283" s="1139">
        <f t="shared" ref="AH283:AH346" si="7">AF283+AG283</f>
        <v>11189.75</v>
      </c>
      <c r="AI283" s="1055"/>
      <c r="AJ283" s="1064"/>
      <c r="AK283" s="1055"/>
      <c r="AL283" s="1133"/>
      <c r="AM283" s="1055"/>
      <c r="AN283" s="1055"/>
      <c r="AO283" s="1064"/>
      <c r="AP283" s="1137"/>
      <c r="AQ283" s="1064"/>
      <c r="AR283" s="1137"/>
      <c r="AS283" s="1055"/>
      <c r="AT283" s="1133"/>
      <c r="AU283" s="1133"/>
      <c r="AV283" s="1133"/>
      <c r="AW283" s="1133"/>
      <c r="AX283" s="1133"/>
      <c r="AY283" s="1133"/>
      <c r="AZ283" s="1133"/>
      <c r="BA283" s="1133"/>
      <c r="BB283" s="1133"/>
      <c r="BC283" s="1133"/>
      <c r="BD283" s="1133"/>
      <c r="BE283" s="1480"/>
      <c r="BF283" s="1480"/>
      <c r="BG283" s="1480"/>
      <c r="BH283" s="1480"/>
      <c r="BI283" s="1480"/>
      <c r="BJ283" s="1480"/>
    </row>
    <row r="284" spans="1:62" s="629" customFormat="1" ht="36.75" customHeight="1" x14ac:dyDescent="0.2">
      <c r="A284" s="2365">
        <v>117</v>
      </c>
      <c r="B284" s="2361" t="s">
        <v>4296</v>
      </c>
      <c r="C284" s="2023" t="s">
        <v>967</v>
      </c>
      <c r="D284" s="2023" t="s">
        <v>1331</v>
      </c>
      <c r="E284" s="2023" t="s">
        <v>584</v>
      </c>
      <c r="F284" s="2023" t="s">
        <v>4297</v>
      </c>
      <c r="G284" s="2355">
        <v>10991</v>
      </c>
      <c r="H284" s="2023" t="s">
        <v>4304</v>
      </c>
      <c r="I284" s="2355" t="s">
        <v>4305</v>
      </c>
      <c r="J284" s="2023" t="s">
        <v>4140</v>
      </c>
      <c r="K284" s="2347">
        <v>41676</v>
      </c>
      <c r="L284" s="2349">
        <v>42262.15</v>
      </c>
      <c r="M284" s="2374">
        <v>11244</v>
      </c>
      <c r="N284" s="2352">
        <v>41676</v>
      </c>
      <c r="O284" s="2352">
        <v>42004</v>
      </c>
      <c r="P284" s="2355">
        <v>1</v>
      </c>
      <c r="Q284" s="2023"/>
      <c r="R284" s="2023"/>
      <c r="S284" s="2023"/>
      <c r="T284" s="2355" t="s">
        <v>316</v>
      </c>
      <c r="U284" s="1055" t="s">
        <v>593</v>
      </c>
      <c r="V284" s="1055"/>
      <c r="W284" s="1064"/>
      <c r="X284" s="1140"/>
      <c r="Y284" s="1055"/>
      <c r="Z284" s="1055"/>
      <c r="AA284" s="1138"/>
      <c r="AB284" s="1055"/>
      <c r="AC284" s="1139"/>
      <c r="AD284" s="1139"/>
      <c r="AE284" s="1155"/>
      <c r="AF284" s="525">
        <v>0</v>
      </c>
      <c r="AG284" s="1139">
        <f>35645.6+609.85+4793.65+51.96</f>
        <v>41101.06</v>
      </c>
      <c r="AH284" s="1139">
        <f t="shared" si="7"/>
        <v>41101.06</v>
      </c>
      <c r="AI284" s="1055"/>
      <c r="AJ284" s="1064"/>
      <c r="AK284" s="1055"/>
      <c r="AL284" s="1133"/>
      <c r="AM284" s="1055"/>
      <c r="AN284" s="1055"/>
      <c r="AO284" s="1064"/>
      <c r="AP284" s="1137"/>
      <c r="AQ284" s="1064"/>
      <c r="AR284" s="1137"/>
      <c r="AS284" s="1055"/>
      <c r="AT284" s="1133"/>
      <c r="AU284" s="1133"/>
      <c r="AV284" s="1133"/>
      <c r="AW284" s="1133"/>
      <c r="AX284" s="1133"/>
      <c r="AY284" s="1133"/>
      <c r="AZ284" s="1133"/>
      <c r="BA284" s="1133"/>
      <c r="BB284" s="1133"/>
      <c r="BC284" s="1133"/>
      <c r="BD284" s="1133"/>
      <c r="BE284" s="1480"/>
      <c r="BF284" s="1480"/>
      <c r="BG284" s="1480"/>
      <c r="BH284" s="1480"/>
      <c r="BI284" s="1480"/>
      <c r="BJ284" s="1480"/>
    </row>
    <row r="285" spans="1:62" s="629" customFormat="1" ht="30.75" customHeight="1" x14ac:dyDescent="0.2">
      <c r="A285" s="2365"/>
      <c r="B285" s="2361"/>
      <c r="C285" s="2023"/>
      <c r="D285" s="2023"/>
      <c r="E285" s="2023"/>
      <c r="F285" s="2023"/>
      <c r="G285" s="2355"/>
      <c r="H285" s="2023"/>
      <c r="I285" s="2355"/>
      <c r="J285" s="2023"/>
      <c r="K285" s="2347"/>
      <c r="L285" s="2349"/>
      <c r="M285" s="2374"/>
      <c r="N285" s="2352"/>
      <c r="O285" s="2352"/>
      <c r="P285" s="2355"/>
      <c r="Q285" s="2023"/>
      <c r="R285" s="2023"/>
      <c r="S285" s="2023"/>
      <c r="T285" s="2355"/>
      <c r="U285" s="1055" t="s">
        <v>3906</v>
      </c>
      <c r="V285" s="1137">
        <v>41967</v>
      </c>
      <c r="W285" s="1064">
        <v>11489</v>
      </c>
      <c r="X285" s="1140" t="s">
        <v>4306</v>
      </c>
      <c r="Y285" s="1137">
        <v>41676</v>
      </c>
      <c r="Z285" s="1137">
        <v>42004</v>
      </c>
      <c r="AA285" s="1138"/>
      <c r="AB285" s="1138">
        <f>AD285/L284</f>
        <v>2.7473519449436431E-2</v>
      </c>
      <c r="AC285" s="1139"/>
      <c r="AD285" s="1139">
        <v>1161.0899999999999</v>
      </c>
      <c r="AE285" s="1155">
        <f>L284-AD285</f>
        <v>41101.060000000005</v>
      </c>
      <c r="AF285" s="525">
        <v>0</v>
      </c>
      <c r="AG285" s="1139"/>
      <c r="AH285" s="1139">
        <f t="shared" si="7"/>
        <v>0</v>
      </c>
      <c r="AI285" s="1055"/>
      <c r="AJ285" s="1064"/>
      <c r="AK285" s="1055"/>
      <c r="AL285" s="1133"/>
      <c r="AM285" s="1055"/>
      <c r="AN285" s="1055"/>
      <c r="AO285" s="1064"/>
      <c r="AP285" s="1137"/>
      <c r="AQ285" s="1064"/>
      <c r="AR285" s="1137"/>
      <c r="AS285" s="1055"/>
      <c r="AT285" s="1133"/>
      <c r="AU285" s="1133"/>
      <c r="AV285" s="1133"/>
      <c r="AW285" s="1133"/>
      <c r="AX285" s="1133"/>
      <c r="AY285" s="1133"/>
      <c r="AZ285" s="1133"/>
      <c r="BA285" s="1133"/>
      <c r="BB285" s="1133"/>
      <c r="BC285" s="1133"/>
      <c r="BD285" s="1133"/>
      <c r="BE285" s="1480"/>
      <c r="BF285" s="1480"/>
      <c r="BG285" s="1480"/>
      <c r="BH285" s="1480"/>
      <c r="BI285" s="1480"/>
      <c r="BJ285" s="1480"/>
    </row>
    <row r="286" spans="1:62" s="629" customFormat="1" ht="45" customHeight="1" x14ac:dyDescent="0.2">
      <c r="A286" s="1514">
        <v>118</v>
      </c>
      <c r="B286" s="636" t="s">
        <v>4296</v>
      </c>
      <c r="C286" s="1055" t="s">
        <v>967</v>
      </c>
      <c r="D286" s="1055" t="s">
        <v>1331</v>
      </c>
      <c r="E286" s="1055" t="s">
        <v>584</v>
      </c>
      <c r="F286" s="1055" t="s">
        <v>4297</v>
      </c>
      <c r="G286" s="1133">
        <v>10991</v>
      </c>
      <c r="H286" s="1055" t="s">
        <v>4307</v>
      </c>
      <c r="I286" s="1055" t="s">
        <v>4149</v>
      </c>
      <c r="J286" s="1055" t="s">
        <v>4150</v>
      </c>
      <c r="K286" s="1137">
        <v>41676</v>
      </c>
      <c r="L286" s="1135">
        <v>30249</v>
      </c>
      <c r="M286" s="1136">
        <v>11244</v>
      </c>
      <c r="N286" s="1134">
        <v>41676</v>
      </c>
      <c r="O286" s="1134">
        <v>42004</v>
      </c>
      <c r="P286" s="1133">
        <v>1</v>
      </c>
      <c r="Q286" s="1055"/>
      <c r="R286" s="1055"/>
      <c r="S286" s="1055"/>
      <c r="T286" s="1133" t="s">
        <v>316</v>
      </c>
      <c r="U286" s="1055"/>
      <c r="V286" s="1055"/>
      <c r="W286" s="1064"/>
      <c r="X286" s="1140"/>
      <c r="Y286" s="1055"/>
      <c r="Z286" s="1055"/>
      <c r="AA286" s="1138"/>
      <c r="AB286" s="1055"/>
      <c r="AC286" s="1139"/>
      <c r="AD286" s="1139"/>
      <c r="AE286" s="1155">
        <f t="shared" si="6"/>
        <v>30249</v>
      </c>
      <c r="AF286" s="525">
        <v>0</v>
      </c>
      <c r="AG286" s="1139">
        <v>29595</v>
      </c>
      <c r="AH286" s="1139">
        <f t="shared" si="7"/>
        <v>29595</v>
      </c>
      <c r="AI286" s="1055"/>
      <c r="AJ286" s="1064"/>
      <c r="AK286" s="1055"/>
      <c r="AL286" s="1133"/>
      <c r="AM286" s="1055"/>
      <c r="AN286" s="1055"/>
      <c r="AO286" s="1064"/>
      <c r="AP286" s="1137"/>
      <c r="AQ286" s="1064"/>
      <c r="AR286" s="1137"/>
      <c r="AS286" s="1055"/>
      <c r="AT286" s="1133"/>
      <c r="AU286" s="1133"/>
      <c r="AV286" s="1133"/>
      <c r="AW286" s="1133"/>
      <c r="AX286" s="1133"/>
      <c r="AY286" s="1133"/>
      <c r="AZ286" s="1133"/>
      <c r="BA286" s="1133"/>
      <c r="BB286" s="1133"/>
      <c r="BC286" s="1133"/>
      <c r="BD286" s="1133"/>
      <c r="BE286" s="1480"/>
      <c r="BF286" s="1480"/>
      <c r="BG286" s="1480"/>
      <c r="BH286" s="1480"/>
      <c r="BI286" s="1480"/>
      <c r="BJ286" s="1480"/>
    </row>
    <row r="287" spans="1:62" s="629" customFormat="1" ht="45" customHeight="1" x14ac:dyDescent="0.2">
      <c r="A287" s="1514">
        <v>119</v>
      </c>
      <c r="B287" s="636" t="s">
        <v>4296</v>
      </c>
      <c r="C287" s="1055" t="s">
        <v>967</v>
      </c>
      <c r="D287" s="1055" t="s">
        <v>1548</v>
      </c>
      <c r="E287" s="1055" t="s">
        <v>584</v>
      </c>
      <c r="F287" s="1055" t="s">
        <v>4297</v>
      </c>
      <c r="G287" s="1133">
        <v>10991</v>
      </c>
      <c r="H287" s="1055" t="s">
        <v>4308</v>
      </c>
      <c r="I287" s="1055" t="s">
        <v>4309</v>
      </c>
      <c r="J287" s="1055" t="s">
        <v>4146</v>
      </c>
      <c r="K287" s="1137">
        <v>41676</v>
      </c>
      <c r="L287" s="1135">
        <v>16820</v>
      </c>
      <c r="M287" s="1136">
        <v>11244</v>
      </c>
      <c r="N287" s="1134">
        <v>41676</v>
      </c>
      <c r="O287" s="1134">
        <v>42004</v>
      </c>
      <c r="P287" s="1133">
        <v>1</v>
      </c>
      <c r="Q287" s="1055"/>
      <c r="R287" s="1055"/>
      <c r="S287" s="1055"/>
      <c r="T287" s="1133" t="s">
        <v>316</v>
      </c>
      <c r="U287" s="1055"/>
      <c r="V287" s="1055"/>
      <c r="W287" s="1064"/>
      <c r="X287" s="1140"/>
      <c r="Y287" s="1055"/>
      <c r="Z287" s="1055"/>
      <c r="AA287" s="1138"/>
      <c r="AB287" s="1055"/>
      <c r="AC287" s="1139"/>
      <c r="AD287" s="1139"/>
      <c r="AE287" s="1155">
        <f t="shared" si="6"/>
        <v>16820</v>
      </c>
      <c r="AF287" s="525">
        <v>0</v>
      </c>
      <c r="AG287" s="1139">
        <f>16045+506.5+268.5</f>
        <v>16820</v>
      </c>
      <c r="AH287" s="1139">
        <f t="shared" si="7"/>
        <v>16820</v>
      </c>
      <c r="AI287" s="1055"/>
      <c r="AJ287" s="1064"/>
      <c r="AK287" s="1055"/>
      <c r="AL287" s="1133"/>
      <c r="AM287" s="1055"/>
      <c r="AN287" s="1055"/>
      <c r="AO287" s="1064"/>
      <c r="AP287" s="1137"/>
      <c r="AQ287" s="1064"/>
      <c r="AR287" s="1137"/>
      <c r="AS287" s="1055"/>
      <c r="AT287" s="1133"/>
      <c r="AU287" s="1133"/>
      <c r="AV287" s="1133"/>
      <c r="AW287" s="1133"/>
      <c r="AX287" s="1133"/>
      <c r="AY287" s="1133"/>
      <c r="AZ287" s="1133"/>
      <c r="BA287" s="1133"/>
      <c r="BB287" s="1133"/>
      <c r="BC287" s="1133"/>
      <c r="BD287" s="1133"/>
      <c r="BE287" s="1480"/>
      <c r="BF287" s="1480"/>
      <c r="BG287" s="1480"/>
      <c r="BH287" s="1480"/>
      <c r="BI287" s="1480"/>
      <c r="BJ287" s="1480"/>
    </row>
    <row r="288" spans="1:62" s="629" customFormat="1" ht="45" customHeight="1" x14ac:dyDescent="0.2">
      <c r="A288" s="1514">
        <v>120</v>
      </c>
      <c r="B288" s="636" t="s">
        <v>4310</v>
      </c>
      <c r="C288" s="1055" t="s">
        <v>986</v>
      </c>
      <c r="D288" s="1055" t="s">
        <v>1331</v>
      </c>
      <c r="E288" s="1055" t="s">
        <v>584</v>
      </c>
      <c r="F288" s="1055" t="s">
        <v>4311</v>
      </c>
      <c r="G288" s="1133">
        <v>11001</v>
      </c>
      <c r="H288" s="1055" t="s">
        <v>4312</v>
      </c>
      <c r="I288" s="1055" t="s">
        <v>4313</v>
      </c>
      <c r="J288" s="1055" t="s">
        <v>4314</v>
      </c>
      <c r="K288" s="1137">
        <v>41676</v>
      </c>
      <c r="L288" s="1135">
        <v>9543</v>
      </c>
      <c r="M288" s="1136">
        <v>11244</v>
      </c>
      <c r="N288" s="1134">
        <v>41676</v>
      </c>
      <c r="O288" s="1134">
        <v>42004</v>
      </c>
      <c r="P288" s="1133">
        <v>1</v>
      </c>
      <c r="Q288" s="1055"/>
      <c r="R288" s="1055"/>
      <c r="S288" s="1055"/>
      <c r="T288" s="1133" t="s">
        <v>316</v>
      </c>
      <c r="U288" s="1055"/>
      <c r="V288" s="1055"/>
      <c r="W288" s="1064"/>
      <c r="X288" s="1140"/>
      <c r="Y288" s="1055"/>
      <c r="Z288" s="1055"/>
      <c r="AA288" s="1138"/>
      <c r="AB288" s="1055"/>
      <c r="AC288" s="1139"/>
      <c r="AD288" s="1139"/>
      <c r="AE288" s="1155">
        <f t="shared" si="6"/>
        <v>9543</v>
      </c>
      <c r="AF288" s="525">
        <v>0</v>
      </c>
      <c r="AG288" s="1139">
        <v>9543</v>
      </c>
      <c r="AH288" s="1139">
        <f t="shared" si="7"/>
        <v>9543</v>
      </c>
      <c r="AI288" s="1055"/>
      <c r="AJ288" s="1064"/>
      <c r="AK288" s="1055"/>
      <c r="AL288" s="1133"/>
      <c r="AM288" s="1055"/>
      <c r="AN288" s="1055"/>
      <c r="AO288" s="1064"/>
      <c r="AP288" s="1137"/>
      <c r="AQ288" s="1064"/>
      <c r="AR288" s="1137"/>
      <c r="AS288" s="1055"/>
      <c r="AT288" s="1133"/>
      <c r="AU288" s="1133"/>
      <c r="AV288" s="1133"/>
      <c r="AW288" s="1133"/>
      <c r="AX288" s="1133"/>
      <c r="AY288" s="1133"/>
      <c r="AZ288" s="1133"/>
      <c r="BA288" s="1133"/>
      <c r="BB288" s="1133"/>
      <c r="BC288" s="1133"/>
      <c r="BD288" s="1133"/>
      <c r="BE288" s="1480"/>
      <c r="BF288" s="1480"/>
      <c r="BG288" s="1480"/>
      <c r="BH288" s="1480"/>
      <c r="BI288" s="1480"/>
      <c r="BJ288" s="1480"/>
    </row>
    <row r="289" spans="1:62" s="629" customFormat="1" ht="45" customHeight="1" x14ac:dyDescent="0.2">
      <c r="A289" s="1514">
        <v>121</v>
      </c>
      <c r="B289" s="636" t="s">
        <v>4310</v>
      </c>
      <c r="C289" s="1055" t="s">
        <v>986</v>
      </c>
      <c r="D289" s="1055" t="s">
        <v>1548</v>
      </c>
      <c r="E289" s="1055" t="s">
        <v>584</v>
      </c>
      <c r="F289" s="1055" t="s">
        <v>4311</v>
      </c>
      <c r="G289" s="1133">
        <v>11001</v>
      </c>
      <c r="H289" s="1055" t="s">
        <v>4315</v>
      </c>
      <c r="I289" s="1055" t="s">
        <v>4316</v>
      </c>
      <c r="J289" s="1055" t="s">
        <v>4317</v>
      </c>
      <c r="K289" s="1137">
        <v>41676</v>
      </c>
      <c r="L289" s="1135">
        <v>8800.7000000000007</v>
      </c>
      <c r="M289" s="1136">
        <v>11244</v>
      </c>
      <c r="N289" s="1134">
        <v>41676</v>
      </c>
      <c r="O289" s="1134">
        <v>42004</v>
      </c>
      <c r="P289" s="1133">
        <v>1</v>
      </c>
      <c r="Q289" s="1055"/>
      <c r="R289" s="1055"/>
      <c r="S289" s="1055"/>
      <c r="T289" s="1133" t="s">
        <v>316</v>
      </c>
      <c r="U289" s="1055"/>
      <c r="V289" s="1055"/>
      <c r="W289" s="1064"/>
      <c r="X289" s="1140"/>
      <c r="Y289" s="1055"/>
      <c r="Z289" s="1055"/>
      <c r="AA289" s="1138"/>
      <c r="AB289" s="1055"/>
      <c r="AC289" s="1139"/>
      <c r="AD289" s="1139"/>
      <c r="AE289" s="1155">
        <f t="shared" si="6"/>
        <v>8800.7000000000007</v>
      </c>
      <c r="AF289" s="525">
        <v>0</v>
      </c>
      <c r="AG289" s="1139">
        <v>8800.7000000000007</v>
      </c>
      <c r="AH289" s="1139">
        <f t="shared" si="7"/>
        <v>8800.7000000000007</v>
      </c>
      <c r="AI289" s="1055"/>
      <c r="AJ289" s="1064"/>
      <c r="AK289" s="1055"/>
      <c r="AL289" s="1133"/>
      <c r="AM289" s="1055"/>
      <c r="AN289" s="1055"/>
      <c r="AO289" s="1064"/>
      <c r="AP289" s="1137"/>
      <c r="AQ289" s="1064"/>
      <c r="AR289" s="1137"/>
      <c r="AS289" s="1055"/>
      <c r="AT289" s="1133"/>
      <c r="AU289" s="1133"/>
      <c r="AV289" s="1133"/>
      <c r="AW289" s="1133"/>
      <c r="AX289" s="1133"/>
      <c r="AY289" s="1133"/>
      <c r="AZ289" s="1133"/>
      <c r="BA289" s="1133"/>
      <c r="BB289" s="1133"/>
      <c r="BC289" s="1133"/>
      <c r="BD289" s="1133"/>
      <c r="BE289" s="1480"/>
      <c r="BF289" s="1480"/>
      <c r="BG289" s="1480"/>
      <c r="BH289" s="1480"/>
      <c r="BI289" s="1480"/>
      <c r="BJ289" s="1480"/>
    </row>
    <row r="290" spans="1:62" s="629" customFormat="1" ht="45" customHeight="1" x14ac:dyDescent="0.2">
      <c r="A290" s="1514">
        <v>122</v>
      </c>
      <c r="B290" s="636" t="s">
        <v>4310</v>
      </c>
      <c r="C290" s="1055" t="s">
        <v>986</v>
      </c>
      <c r="D290" s="1055" t="s">
        <v>1331</v>
      </c>
      <c r="E290" s="1055" t="s">
        <v>584</v>
      </c>
      <c r="F290" s="1055" t="s">
        <v>4311</v>
      </c>
      <c r="G290" s="1145">
        <v>11001</v>
      </c>
      <c r="H290" s="1055" t="s">
        <v>4318</v>
      </c>
      <c r="I290" s="1055" t="s">
        <v>4319</v>
      </c>
      <c r="J290" s="1055" t="s">
        <v>537</v>
      </c>
      <c r="K290" s="1137">
        <v>41676</v>
      </c>
      <c r="L290" s="1135">
        <v>20680</v>
      </c>
      <c r="M290" s="538">
        <v>11244</v>
      </c>
      <c r="N290" s="1134">
        <v>41676</v>
      </c>
      <c r="O290" s="1134">
        <v>42004</v>
      </c>
      <c r="P290" s="1133">
        <v>1</v>
      </c>
      <c r="Q290" s="1055"/>
      <c r="R290" s="1055"/>
      <c r="S290" s="1055"/>
      <c r="T290" s="1133" t="s">
        <v>316</v>
      </c>
      <c r="U290" s="1055"/>
      <c r="V290" s="1055"/>
      <c r="W290" s="1064"/>
      <c r="X290" s="1140"/>
      <c r="Y290" s="1055"/>
      <c r="Z290" s="1055"/>
      <c r="AA290" s="1138"/>
      <c r="AB290" s="1055"/>
      <c r="AC290" s="1139"/>
      <c r="AD290" s="1139"/>
      <c r="AE290" s="1155">
        <f t="shared" si="6"/>
        <v>20680</v>
      </c>
      <c r="AF290" s="525">
        <v>0</v>
      </c>
      <c r="AG290" s="1139">
        <v>20680</v>
      </c>
      <c r="AH290" s="1139">
        <f t="shared" si="7"/>
        <v>20680</v>
      </c>
      <c r="AI290" s="1055"/>
      <c r="AJ290" s="1064"/>
      <c r="AK290" s="1055"/>
      <c r="AL290" s="1133"/>
      <c r="AM290" s="1055"/>
      <c r="AN290" s="1055"/>
      <c r="AO290" s="1064"/>
      <c r="AP290" s="1137"/>
      <c r="AQ290" s="1064"/>
      <c r="AR290" s="1137"/>
      <c r="AS290" s="1055"/>
      <c r="AT290" s="1133"/>
      <c r="AU290" s="1133"/>
      <c r="AV290" s="1133"/>
      <c r="AW290" s="1133"/>
      <c r="AX290" s="1133"/>
      <c r="AY290" s="1133"/>
      <c r="AZ290" s="1133"/>
      <c r="BA290" s="1133"/>
      <c r="BB290" s="1133"/>
      <c r="BC290" s="1133"/>
      <c r="BD290" s="1133"/>
      <c r="BE290" s="1480"/>
      <c r="BF290" s="1480"/>
      <c r="BG290" s="1480"/>
      <c r="BH290" s="1480"/>
      <c r="BI290" s="1480"/>
      <c r="BJ290" s="1480"/>
    </row>
    <row r="291" spans="1:62" s="629" customFormat="1" ht="45" customHeight="1" x14ac:dyDescent="0.2">
      <c r="A291" s="1514">
        <v>123</v>
      </c>
      <c r="B291" s="636" t="s">
        <v>4310</v>
      </c>
      <c r="C291" s="1055" t="s">
        <v>986</v>
      </c>
      <c r="D291" s="1055" t="s">
        <v>1548</v>
      </c>
      <c r="E291" s="1055" t="s">
        <v>584</v>
      </c>
      <c r="F291" s="1055" t="s">
        <v>4311</v>
      </c>
      <c r="G291" s="1133">
        <v>11001</v>
      </c>
      <c r="H291" s="1055" t="s">
        <v>4320</v>
      </c>
      <c r="I291" s="1055" t="s">
        <v>4321</v>
      </c>
      <c r="J291" s="1055" t="s">
        <v>4322</v>
      </c>
      <c r="K291" s="1137">
        <v>41676</v>
      </c>
      <c r="L291" s="1135">
        <v>5343</v>
      </c>
      <c r="M291" s="538">
        <v>11244</v>
      </c>
      <c r="N291" s="1134">
        <v>41676</v>
      </c>
      <c r="O291" s="1134">
        <v>42004</v>
      </c>
      <c r="P291" s="1133">
        <v>1</v>
      </c>
      <c r="Q291" s="1055"/>
      <c r="R291" s="1055"/>
      <c r="S291" s="1055"/>
      <c r="T291" s="1133" t="s">
        <v>316</v>
      </c>
      <c r="U291" s="1055"/>
      <c r="V291" s="1055"/>
      <c r="W291" s="1064"/>
      <c r="X291" s="1140"/>
      <c r="Y291" s="1055"/>
      <c r="Z291" s="1055"/>
      <c r="AA291" s="1138"/>
      <c r="AB291" s="1055"/>
      <c r="AC291" s="1139"/>
      <c r="AD291" s="1139"/>
      <c r="AE291" s="1155">
        <f t="shared" si="6"/>
        <v>5343</v>
      </c>
      <c r="AF291" s="525">
        <v>0</v>
      </c>
      <c r="AG291" s="1139">
        <v>5343</v>
      </c>
      <c r="AH291" s="1139">
        <f t="shared" si="7"/>
        <v>5343</v>
      </c>
      <c r="AI291" s="1055"/>
      <c r="AJ291" s="1064"/>
      <c r="AK291" s="1055"/>
      <c r="AL291" s="1133"/>
      <c r="AM291" s="1055"/>
      <c r="AN291" s="1055"/>
      <c r="AO291" s="1064"/>
      <c r="AP291" s="1137"/>
      <c r="AQ291" s="1064"/>
      <c r="AR291" s="1137"/>
      <c r="AS291" s="1055"/>
      <c r="AT291" s="1133"/>
      <c r="AU291" s="1133"/>
      <c r="AV291" s="1133"/>
      <c r="AW291" s="1133"/>
      <c r="AX291" s="1133"/>
      <c r="AY291" s="1133"/>
      <c r="AZ291" s="1133"/>
      <c r="BA291" s="1133"/>
      <c r="BB291" s="1133"/>
      <c r="BC291" s="1133"/>
      <c r="BD291" s="1133"/>
      <c r="BE291" s="1480"/>
      <c r="BF291" s="1480"/>
      <c r="BG291" s="1480"/>
      <c r="BH291" s="1480"/>
      <c r="BI291" s="1480"/>
      <c r="BJ291" s="1480"/>
    </row>
    <row r="292" spans="1:62" s="629" customFormat="1" ht="45" customHeight="1" x14ac:dyDescent="0.2">
      <c r="A292" s="1514">
        <v>124</v>
      </c>
      <c r="B292" s="636" t="s">
        <v>4310</v>
      </c>
      <c r="C292" s="1055" t="s">
        <v>986</v>
      </c>
      <c r="D292" s="1055" t="s">
        <v>1548</v>
      </c>
      <c r="E292" s="1055" t="s">
        <v>584</v>
      </c>
      <c r="F292" s="1055" t="s">
        <v>4311</v>
      </c>
      <c r="G292" s="1133">
        <v>11001</v>
      </c>
      <c r="H292" s="1055" t="s">
        <v>4323</v>
      </c>
      <c r="I292" s="1055" t="s">
        <v>4324</v>
      </c>
      <c r="J292" s="1055" t="s">
        <v>4325</v>
      </c>
      <c r="K292" s="1137">
        <v>41676</v>
      </c>
      <c r="L292" s="1135">
        <v>13973.9</v>
      </c>
      <c r="M292" s="538">
        <v>11244</v>
      </c>
      <c r="N292" s="1134">
        <v>41676</v>
      </c>
      <c r="O292" s="1134">
        <v>42004</v>
      </c>
      <c r="P292" s="1133">
        <v>1</v>
      </c>
      <c r="Q292" s="1055"/>
      <c r="R292" s="1055"/>
      <c r="S292" s="1055"/>
      <c r="T292" s="1133" t="s">
        <v>316</v>
      </c>
      <c r="U292" s="1055"/>
      <c r="V292" s="1055"/>
      <c r="W292" s="1064"/>
      <c r="X292" s="1140"/>
      <c r="Y292" s="1055"/>
      <c r="Z292" s="1055"/>
      <c r="AA292" s="1138"/>
      <c r="AB292" s="1055"/>
      <c r="AC292" s="1139"/>
      <c r="AD292" s="1139"/>
      <c r="AE292" s="1155">
        <f t="shared" si="6"/>
        <v>13973.9</v>
      </c>
      <c r="AF292" s="525">
        <v>0</v>
      </c>
      <c r="AG292" s="1139">
        <v>13973.9</v>
      </c>
      <c r="AH292" s="1139">
        <f t="shared" si="7"/>
        <v>13973.9</v>
      </c>
      <c r="AI292" s="1055"/>
      <c r="AJ292" s="1064"/>
      <c r="AK292" s="1055"/>
      <c r="AL292" s="1133"/>
      <c r="AM292" s="1055"/>
      <c r="AN292" s="1055"/>
      <c r="AO292" s="1064"/>
      <c r="AP292" s="1137"/>
      <c r="AQ292" s="1064"/>
      <c r="AR292" s="1137"/>
      <c r="AS292" s="1055"/>
      <c r="AT292" s="1133"/>
      <c r="AU292" s="1133"/>
      <c r="AV292" s="1133"/>
      <c r="AW292" s="1133"/>
      <c r="AX292" s="1133"/>
      <c r="AY292" s="1133"/>
      <c r="AZ292" s="1133"/>
      <c r="BA292" s="1133"/>
      <c r="BB292" s="1133"/>
      <c r="BC292" s="1133"/>
      <c r="BD292" s="1133"/>
      <c r="BE292" s="1480"/>
      <c r="BF292" s="1480"/>
      <c r="BG292" s="1480"/>
      <c r="BH292" s="1480"/>
      <c r="BI292" s="1480"/>
      <c r="BJ292" s="1480"/>
    </row>
    <row r="293" spans="1:62" s="629" customFormat="1" ht="45" customHeight="1" x14ac:dyDescent="0.2">
      <c r="A293" s="1514">
        <v>125</v>
      </c>
      <c r="B293" s="636" t="s">
        <v>4310</v>
      </c>
      <c r="C293" s="1055" t="s">
        <v>986</v>
      </c>
      <c r="D293" s="1055" t="s">
        <v>1331</v>
      </c>
      <c r="E293" s="1055" t="s">
        <v>584</v>
      </c>
      <c r="F293" s="1055" t="s">
        <v>4326</v>
      </c>
      <c r="G293" s="1145">
        <v>11001</v>
      </c>
      <c r="H293" s="1055" t="s">
        <v>4327</v>
      </c>
      <c r="I293" s="1055" t="s">
        <v>4328</v>
      </c>
      <c r="J293" s="1055" t="s">
        <v>4329</v>
      </c>
      <c r="K293" s="1137">
        <v>41676</v>
      </c>
      <c r="L293" s="1135">
        <v>8543</v>
      </c>
      <c r="M293" s="538">
        <v>11244</v>
      </c>
      <c r="N293" s="1134">
        <v>41676</v>
      </c>
      <c r="O293" s="1134">
        <v>42004</v>
      </c>
      <c r="P293" s="1133">
        <v>1</v>
      </c>
      <c r="Q293" s="1055"/>
      <c r="R293" s="1055"/>
      <c r="S293" s="1055"/>
      <c r="T293" s="1133" t="s">
        <v>208</v>
      </c>
      <c r="U293" s="1146"/>
      <c r="V293" s="1055"/>
      <c r="W293" s="1064"/>
      <c r="X293" s="1140"/>
      <c r="Y293" s="1055"/>
      <c r="Z293" s="1055"/>
      <c r="AA293" s="1138"/>
      <c r="AB293" s="1055"/>
      <c r="AC293" s="1139"/>
      <c r="AD293" s="1139"/>
      <c r="AE293" s="1155">
        <f t="shared" si="6"/>
        <v>8543</v>
      </c>
      <c r="AF293" s="525">
        <v>0</v>
      </c>
      <c r="AG293" s="1139">
        <v>8543</v>
      </c>
      <c r="AH293" s="1139">
        <f t="shared" si="7"/>
        <v>8543</v>
      </c>
      <c r="AI293" s="1146"/>
      <c r="AJ293" s="1064"/>
      <c r="AK293" s="1055"/>
      <c r="AL293" s="1145"/>
      <c r="AM293" s="1055"/>
      <c r="AN293" s="1055"/>
      <c r="AO293" s="1064"/>
      <c r="AP293" s="1137"/>
      <c r="AQ293" s="1064"/>
      <c r="AR293" s="1137"/>
      <c r="AS293" s="1055"/>
      <c r="AT293" s="1133"/>
      <c r="AU293" s="1133"/>
      <c r="AV293" s="1133"/>
      <c r="AW293" s="1133"/>
      <c r="AX293" s="1133"/>
      <c r="AY293" s="1133"/>
      <c r="AZ293" s="1133"/>
      <c r="BA293" s="1133"/>
      <c r="BB293" s="1133"/>
      <c r="BC293" s="1133"/>
      <c r="BD293" s="1133"/>
      <c r="BE293" s="1480"/>
      <c r="BF293" s="1480"/>
      <c r="BG293" s="1480"/>
      <c r="BH293" s="1480"/>
      <c r="BI293" s="1480"/>
      <c r="BJ293" s="1480"/>
    </row>
    <row r="294" spans="1:62" s="629" customFormat="1" ht="45" customHeight="1" x14ac:dyDescent="0.2">
      <c r="A294" s="1514">
        <v>126</v>
      </c>
      <c r="B294" s="636" t="s">
        <v>4072</v>
      </c>
      <c r="C294" s="1055" t="s">
        <v>686</v>
      </c>
      <c r="D294" s="1133" t="s">
        <v>3977</v>
      </c>
      <c r="E294" s="1055" t="s">
        <v>584</v>
      </c>
      <c r="F294" s="1055" t="s">
        <v>4074</v>
      </c>
      <c r="G294" s="1133">
        <v>11253</v>
      </c>
      <c r="H294" s="1055" t="s">
        <v>4330</v>
      </c>
      <c r="I294" s="1055" t="s">
        <v>4331</v>
      </c>
      <c r="J294" s="1055" t="s">
        <v>4332</v>
      </c>
      <c r="K294" s="1137">
        <v>41682</v>
      </c>
      <c r="L294" s="1135">
        <v>68571.360000000001</v>
      </c>
      <c r="M294" s="1133">
        <v>11269</v>
      </c>
      <c r="N294" s="1134">
        <v>41682</v>
      </c>
      <c r="O294" s="1134">
        <v>42004</v>
      </c>
      <c r="P294" s="1133">
        <v>1</v>
      </c>
      <c r="Q294" s="1055"/>
      <c r="R294" s="1055"/>
      <c r="S294" s="1055"/>
      <c r="T294" s="1055" t="s">
        <v>4077</v>
      </c>
      <c r="U294" s="1055"/>
      <c r="V294" s="1055"/>
      <c r="W294" s="1064"/>
      <c r="X294" s="1146"/>
      <c r="Y294" s="1137"/>
      <c r="Z294" s="1137"/>
      <c r="AA294" s="1138"/>
      <c r="AB294" s="1055"/>
      <c r="AC294" s="1139"/>
      <c r="AD294" s="1139"/>
      <c r="AE294" s="1155">
        <f t="shared" si="6"/>
        <v>68571.360000000001</v>
      </c>
      <c r="AF294" s="525">
        <v>0</v>
      </c>
      <c r="AG294" s="1139">
        <v>44863.61</v>
      </c>
      <c r="AH294" s="1139">
        <f t="shared" si="7"/>
        <v>44863.61</v>
      </c>
      <c r="AI294" s="1055"/>
      <c r="AJ294" s="1064"/>
      <c r="AK294" s="1055"/>
      <c r="AL294" s="1133"/>
      <c r="AM294" s="1055"/>
      <c r="AN294" s="1055"/>
      <c r="AO294" s="1064"/>
      <c r="AP294" s="1137"/>
      <c r="AQ294" s="1064"/>
      <c r="AR294" s="1137"/>
      <c r="AS294" s="1055"/>
      <c r="AT294" s="1133"/>
      <c r="AU294" s="1133"/>
      <c r="AV294" s="1133"/>
      <c r="AW294" s="1133"/>
      <c r="AX294" s="1133"/>
      <c r="AY294" s="1133"/>
      <c r="AZ294" s="1133"/>
      <c r="BA294" s="1133"/>
      <c r="BB294" s="1133"/>
      <c r="BC294" s="1133"/>
      <c r="BD294" s="1133"/>
      <c r="BE294" s="1480"/>
      <c r="BF294" s="1480"/>
      <c r="BG294" s="1480"/>
      <c r="BH294" s="1480"/>
      <c r="BI294" s="1480"/>
      <c r="BJ294" s="1480"/>
    </row>
    <row r="295" spans="1:62" s="629" customFormat="1" ht="45" customHeight="1" x14ac:dyDescent="0.2">
      <c r="A295" s="2365">
        <v>127</v>
      </c>
      <c r="B295" s="2361" t="s">
        <v>4333</v>
      </c>
      <c r="C295" s="2023" t="s">
        <v>741</v>
      </c>
      <c r="D295" s="2023" t="s">
        <v>1331</v>
      </c>
      <c r="E295" s="2023" t="s">
        <v>584</v>
      </c>
      <c r="F295" s="2023" t="s">
        <v>4334</v>
      </c>
      <c r="G295" s="2373">
        <v>11253</v>
      </c>
      <c r="H295" s="2023" t="s">
        <v>4335</v>
      </c>
      <c r="I295" s="2023" t="s">
        <v>4336</v>
      </c>
      <c r="J295" s="2023" t="s">
        <v>4337</v>
      </c>
      <c r="K295" s="2347">
        <v>41682</v>
      </c>
      <c r="L295" s="2349">
        <v>21762</v>
      </c>
      <c r="M295" s="2393">
        <v>11266</v>
      </c>
      <c r="N295" s="2352">
        <v>41682</v>
      </c>
      <c r="O295" s="2352">
        <v>42004</v>
      </c>
      <c r="P295" s="1132" t="s">
        <v>3905</v>
      </c>
      <c r="Q295" s="2023"/>
      <c r="R295" s="2023"/>
      <c r="S295" s="2023"/>
      <c r="T295" s="2355" t="s">
        <v>208</v>
      </c>
      <c r="U295" s="2023"/>
      <c r="V295" s="2023"/>
      <c r="W295" s="1064"/>
      <c r="X295" s="1140"/>
      <c r="Y295" s="1055"/>
      <c r="Z295" s="1055"/>
      <c r="AA295" s="1138"/>
      <c r="AB295" s="1055"/>
      <c r="AC295" s="1139"/>
      <c r="AD295" s="1139"/>
      <c r="AE295" s="2345">
        <f t="shared" si="6"/>
        <v>21762</v>
      </c>
      <c r="AF295" s="525">
        <v>0</v>
      </c>
      <c r="AG295" s="525">
        <v>0</v>
      </c>
      <c r="AH295" s="1139">
        <f t="shared" si="7"/>
        <v>0</v>
      </c>
      <c r="AI295" s="1149"/>
      <c r="AJ295" s="1064"/>
      <c r="AK295" s="1055"/>
      <c r="AL295" s="1133"/>
      <c r="AM295" s="1055"/>
      <c r="AN295" s="1055"/>
      <c r="AO295" s="1064"/>
      <c r="AP295" s="1137"/>
      <c r="AQ295" s="1064"/>
      <c r="AR295" s="1137"/>
      <c r="AS295" s="1055"/>
      <c r="AT295" s="1133"/>
      <c r="AU295" s="1133"/>
      <c r="AV295" s="1133"/>
      <c r="AW295" s="1133"/>
      <c r="AX295" s="1133"/>
      <c r="AY295" s="1133"/>
      <c r="AZ295" s="1133"/>
      <c r="BA295" s="1133"/>
      <c r="BB295" s="1133"/>
      <c r="BC295" s="1133"/>
      <c r="BD295" s="1133"/>
      <c r="BE295" s="1480"/>
      <c r="BF295" s="1480"/>
      <c r="BG295" s="1480"/>
      <c r="BH295" s="1480"/>
      <c r="BI295" s="1480"/>
      <c r="BJ295" s="1480"/>
    </row>
    <row r="296" spans="1:62" s="629" customFormat="1" ht="27" customHeight="1" x14ac:dyDescent="0.2">
      <c r="A296" s="2365"/>
      <c r="B296" s="2361"/>
      <c r="C296" s="2023"/>
      <c r="D296" s="2023"/>
      <c r="E296" s="2023"/>
      <c r="F296" s="2023"/>
      <c r="G296" s="2373"/>
      <c r="H296" s="2023"/>
      <c r="I296" s="2023"/>
      <c r="J296" s="2023"/>
      <c r="K296" s="2347"/>
      <c r="L296" s="2349"/>
      <c r="M296" s="2393"/>
      <c r="N296" s="2352"/>
      <c r="O296" s="2352"/>
      <c r="P296" s="1132" t="s">
        <v>4071</v>
      </c>
      <c r="Q296" s="2023"/>
      <c r="R296" s="2023"/>
      <c r="S296" s="2023"/>
      <c r="T296" s="2355"/>
      <c r="U296" s="2023"/>
      <c r="V296" s="2023"/>
      <c r="W296" s="1064"/>
      <c r="X296" s="1140"/>
      <c r="Y296" s="1055"/>
      <c r="Z296" s="1055"/>
      <c r="AA296" s="1138"/>
      <c r="AB296" s="1055"/>
      <c r="AC296" s="1139"/>
      <c r="AD296" s="1139"/>
      <c r="AE296" s="2371"/>
      <c r="AF296" s="525">
        <v>0</v>
      </c>
      <c r="AG296" s="1139">
        <f>2562.5+2175+1087.5</f>
        <v>5825</v>
      </c>
      <c r="AH296" s="1139">
        <f t="shared" si="7"/>
        <v>5825</v>
      </c>
      <c r="AI296" s="1149"/>
      <c r="AJ296" s="1064"/>
      <c r="AK296" s="1055"/>
      <c r="AL296" s="1133"/>
      <c r="AM296" s="1055"/>
      <c r="AN296" s="1055"/>
      <c r="AO296" s="1064"/>
      <c r="AP296" s="1137"/>
      <c r="AQ296" s="1064"/>
      <c r="AR296" s="1137"/>
      <c r="AS296" s="1055"/>
      <c r="AT296" s="1133"/>
      <c r="AU296" s="1133"/>
      <c r="AV296" s="1133"/>
      <c r="AW296" s="1133"/>
      <c r="AX296" s="1133"/>
      <c r="AY296" s="1133"/>
      <c r="AZ296" s="1133"/>
      <c r="BA296" s="1133"/>
      <c r="BB296" s="1133"/>
      <c r="BC296" s="1133"/>
      <c r="BD296" s="1133"/>
      <c r="BE296" s="1480"/>
      <c r="BF296" s="1480"/>
      <c r="BG296" s="1480"/>
      <c r="BH296" s="1480"/>
      <c r="BI296" s="1480"/>
      <c r="BJ296" s="1480"/>
    </row>
    <row r="297" spans="1:62" s="629" customFormat="1" ht="45" customHeight="1" x14ac:dyDescent="0.2">
      <c r="A297" s="1514">
        <v>128</v>
      </c>
      <c r="B297" s="636" t="s">
        <v>4338</v>
      </c>
      <c r="C297" s="1055" t="s">
        <v>4339</v>
      </c>
      <c r="D297" s="1055" t="s">
        <v>1548</v>
      </c>
      <c r="E297" s="1055" t="s">
        <v>584</v>
      </c>
      <c r="F297" s="1055" t="s">
        <v>4164</v>
      </c>
      <c r="G297" s="1133">
        <v>11016</v>
      </c>
      <c r="H297" s="1055" t="s">
        <v>4340</v>
      </c>
      <c r="I297" s="1055" t="s">
        <v>4341</v>
      </c>
      <c r="J297" s="1055" t="s">
        <v>4167</v>
      </c>
      <c r="K297" s="1137">
        <v>41695</v>
      </c>
      <c r="L297" s="1135">
        <v>31880</v>
      </c>
      <c r="M297" s="538">
        <v>11270</v>
      </c>
      <c r="N297" s="1134">
        <v>41695</v>
      </c>
      <c r="O297" s="1134">
        <v>42004</v>
      </c>
      <c r="P297" s="1133">
        <v>1</v>
      </c>
      <c r="Q297" s="1055"/>
      <c r="R297" s="1055"/>
      <c r="S297" s="1055"/>
      <c r="T297" s="1133" t="s">
        <v>208</v>
      </c>
      <c r="U297" s="1055"/>
      <c r="V297" s="1055"/>
      <c r="W297" s="1064"/>
      <c r="X297" s="1140"/>
      <c r="Y297" s="1055"/>
      <c r="Z297" s="1055"/>
      <c r="AA297" s="1138"/>
      <c r="AB297" s="1055"/>
      <c r="AC297" s="1139"/>
      <c r="AD297" s="1139"/>
      <c r="AE297" s="1155">
        <f t="shared" ref="AE297:AE306" si="8">L297-AD297+AC297</f>
        <v>31880</v>
      </c>
      <c r="AF297" s="525">
        <v>0</v>
      </c>
      <c r="AG297" s="1139">
        <f>1865+1300+1295+3275</f>
        <v>7735</v>
      </c>
      <c r="AH297" s="1139">
        <f t="shared" si="7"/>
        <v>7735</v>
      </c>
      <c r="AI297" s="1055"/>
      <c r="AJ297" s="1064"/>
      <c r="AK297" s="1055"/>
      <c r="AL297" s="1133"/>
      <c r="AM297" s="1055"/>
      <c r="AN297" s="1055"/>
      <c r="AO297" s="1064"/>
      <c r="AP297" s="1137"/>
      <c r="AQ297" s="1064"/>
      <c r="AR297" s="1137"/>
      <c r="AS297" s="1055"/>
      <c r="AT297" s="1133"/>
      <c r="AU297" s="1133"/>
      <c r="AV297" s="1133"/>
      <c r="AW297" s="1133"/>
      <c r="AX297" s="1133"/>
      <c r="AY297" s="1133"/>
      <c r="AZ297" s="1133"/>
      <c r="BA297" s="1133"/>
      <c r="BB297" s="1133"/>
      <c r="BC297" s="1133"/>
      <c r="BD297" s="1133"/>
      <c r="BE297" s="1480"/>
      <c r="BF297" s="1480"/>
      <c r="BG297" s="1480"/>
      <c r="BH297" s="1480"/>
      <c r="BI297" s="1480"/>
      <c r="BJ297" s="1480"/>
    </row>
    <row r="298" spans="1:62" s="629" customFormat="1" ht="45" customHeight="1" x14ac:dyDescent="0.2">
      <c r="A298" s="1514">
        <v>129</v>
      </c>
      <c r="B298" s="636" t="s">
        <v>4342</v>
      </c>
      <c r="C298" s="1055" t="s">
        <v>1046</v>
      </c>
      <c r="D298" s="1055" t="s">
        <v>1331</v>
      </c>
      <c r="E298" s="1055" t="s">
        <v>584</v>
      </c>
      <c r="F298" s="1055" t="s">
        <v>4343</v>
      </c>
      <c r="G298" s="1133">
        <v>11001</v>
      </c>
      <c r="H298" s="1055" t="s">
        <v>4344</v>
      </c>
      <c r="I298" s="1055" t="s">
        <v>4345</v>
      </c>
      <c r="J298" s="1055" t="s">
        <v>4346</v>
      </c>
      <c r="K298" s="1137">
        <v>41690</v>
      </c>
      <c r="L298" s="1135">
        <v>157076</v>
      </c>
      <c r="M298" s="1136">
        <v>11254</v>
      </c>
      <c r="N298" s="1134">
        <v>41690</v>
      </c>
      <c r="O298" s="1134">
        <v>41734</v>
      </c>
      <c r="P298" s="1133">
        <v>1</v>
      </c>
      <c r="Q298" s="1055"/>
      <c r="R298" s="1055"/>
      <c r="S298" s="1055"/>
      <c r="T298" s="1055" t="s">
        <v>4347</v>
      </c>
      <c r="U298" s="1055"/>
      <c r="V298" s="1055"/>
      <c r="W298" s="1064"/>
      <c r="X298" s="1140"/>
      <c r="Y298" s="1055"/>
      <c r="Z298" s="1055"/>
      <c r="AA298" s="1138"/>
      <c r="AB298" s="1055"/>
      <c r="AC298" s="1139"/>
      <c r="AD298" s="1139"/>
      <c r="AE298" s="1155">
        <f t="shared" si="8"/>
        <v>157076</v>
      </c>
      <c r="AF298" s="525">
        <v>0</v>
      </c>
      <c r="AG298" s="1139">
        <v>157076</v>
      </c>
      <c r="AH298" s="1139">
        <f t="shared" si="7"/>
        <v>157076</v>
      </c>
      <c r="AI298" s="1055"/>
      <c r="AJ298" s="1064"/>
      <c r="AK298" s="1055"/>
      <c r="AL298" s="1133"/>
      <c r="AM298" s="1055"/>
      <c r="AN298" s="1055"/>
      <c r="AO298" s="1064"/>
      <c r="AP298" s="1137"/>
      <c r="AQ298" s="1064"/>
      <c r="AR298" s="1137"/>
      <c r="AS298" s="1055"/>
      <c r="AT298" s="1133"/>
      <c r="AU298" s="1133"/>
      <c r="AV298" s="1133"/>
      <c r="AW298" s="1133"/>
      <c r="AX298" s="1133"/>
      <c r="AY298" s="1133"/>
      <c r="AZ298" s="1133"/>
      <c r="BA298" s="1133"/>
      <c r="BB298" s="1133"/>
      <c r="BC298" s="1133"/>
      <c r="BD298" s="1133"/>
      <c r="BE298" s="1480"/>
      <c r="BF298" s="1480"/>
      <c r="BG298" s="1480"/>
      <c r="BH298" s="1480"/>
      <c r="BI298" s="1480"/>
      <c r="BJ298" s="1480"/>
    </row>
    <row r="299" spans="1:62" s="629" customFormat="1" ht="45" customHeight="1" x14ac:dyDescent="0.2">
      <c r="A299" s="1514">
        <v>130</v>
      </c>
      <c r="B299" s="636" t="s">
        <v>4342</v>
      </c>
      <c r="C299" s="1055" t="s">
        <v>1046</v>
      </c>
      <c r="D299" s="1055" t="s">
        <v>1331</v>
      </c>
      <c r="E299" s="1055" t="s">
        <v>584</v>
      </c>
      <c r="F299" s="1055" t="s">
        <v>4348</v>
      </c>
      <c r="G299" s="1145">
        <v>11001</v>
      </c>
      <c r="H299" s="1055" t="s">
        <v>4349</v>
      </c>
      <c r="I299" s="1055" t="s">
        <v>4350</v>
      </c>
      <c r="J299" s="1055" t="s">
        <v>4351</v>
      </c>
      <c r="K299" s="1137">
        <v>41690</v>
      </c>
      <c r="L299" s="1135">
        <v>11340</v>
      </c>
      <c r="M299" s="1136">
        <v>11254</v>
      </c>
      <c r="N299" s="1134">
        <v>41690</v>
      </c>
      <c r="O299" s="1134">
        <v>41734</v>
      </c>
      <c r="P299" s="1133">
        <v>1</v>
      </c>
      <c r="Q299" s="1055"/>
      <c r="R299" s="1055"/>
      <c r="S299" s="1055"/>
      <c r="T299" s="1055" t="s">
        <v>408</v>
      </c>
      <c r="U299" s="1055"/>
      <c r="V299" s="1055"/>
      <c r="W299" s="1064"/>
      <c r="X299" s="1140"/>
      <c r="Y299" s="1055"/>
      <c r="Z299" s="1055"/>
      <c r="AA299" s="1138"/>
      <c r="AB299" s="1055"/>
      <c r="AC299" s="1139"/>
      <c r="AD299" s="1139"/>
      <c r="AE299" s="1155">
        <f t="shared" si="8"/>
        <v>11340</v>
      </c>
      <c r="AF299" s="525">
        <v>0</v>
      </c>
      <c r="AG299" s="1139">
        <v>11340</v>
      </c>
      <c r="AH299" s="1139">
        <f t="shared" si="7"/>
        <v>11340</v>
      </c>
      <c r="AI299" s="1055"/>
      <c r="AJ299" s="1064"/>
      <c r="AK299" s="1055"/>
      <c r="AL299" s="1133"/>
      <c r="AM299" s="1055"/>
      <c r="AN299" s="1055"/>
      <c r="AO299" s="1064"/>
      <c r="AP299" s="1137"/>
      <c r="AQ299" s="1064"/>
      <c r="AR299" s="1137"/>
      <c r="AS299" s="1055"/>
      <c r="AT299" s="1133"/>
      <c r="AU299" s="1133"/>
      <c r="AV299" s="1133"/>
      <c r="AW299" s="1133"/>
      <c r="AX299" s="1133"/>
      <c r="AY299" s="1133"/>
      <c r="AZ299" s="1133"/>
      <c r="BA299" s="1133"/>
      <c r="BB299" s="1133"/>
      <c r="BC299" s="1133"/>
      <c r="BD299" s="1133"/>
      <c r="BE299" s="1480"/>
      <c r="BF299" s="1480"/>
      <c r="BG299" s="1480"/>
      <c r="BH299" s="1480"/>
      <c r="BI299" s="1480"/>
      <c r="BJ299" s="1480"/>
    </row>
    <row r="300" spans="1:62" s="629" customFormat="1" ht="45" customHeight="1" x14ac:dyDescent="0.2">
      <c r="A300" s="1514">
        <v>131</v>
      </c>
      <c r="B300" s="636" t="s">
        <v>4342</v>
      </c>
      <c r="C300" s="1055" t="s">
        <v>1046</v>
      </c>
      <c r="D300" s="1055" t="s">
        <v>1331</v>
      </c>
      <c r="E300" s="1055" t="s">
        <v>584</v>
      </c>
      <c r="F300" s="1055" t="s">
        <v>4348</v>
      </c>
      <c r="G300" s="1133">
        <v>11001</v>
      </c>
      <c r="H300" s="1055" t="s">
        <v>4352</v>
      </c>
      <c r="I300" s="1055" t="s">
        <v>4353</v>
      </c>
      <c r="J300" s="1055" t="s">
        <v>4354</v>
      </c>
      <c r="K300" s="1137">
        <v>41690</v>
      </c>
      <c r="L300" s="1135">
        <v>49280</v>
      </c>
      <c r="M300" s="1136">
        <v>11254</v>
      </c>
      <c r="N300" s="1134">
        <v>41690</v>
      </c>
      <c r="O300" s="1134">
        <v>41734</v>
      </c>
      <c r="P300" s="1133">
        <v>1</v>
      </c>
      <c r="Q300" s="1055"/>
      <c r="R300" s="1055"/>
      <c r="S300" s="1055"/>
      <c r="T300" s="1055" t="s">
        <v>408</v>
      </c>
      <c r="U300" s="1055"/>
      <c r="V300" s="1055"/>
      <c r="W300" s="1064"/>
      <c r="X300" s="1140"/>
      <c r="Y300" s="1055"/>
      <c r="Z300" s="1055"/>
      <c r="AA300" s="1138"/>
      <c r="AB300" s="1055"/>
      <c r="AC300" s="1139"/>
      <c r="AD300" s="1139"/>
      <c r="AE300" s="1155">
        <f t="shared" si="8"/>
        <v>49280</v>
      </c>
      <c r="AF300" s="525">
        <v>0</v>
      </c>
      <c r="AG300" s="1139">
        <v>49280</v>
      </c>
      <c r="AH300" s="1139">
        <f t="shared" si="7"/>
        <v>49280</v>
      </c>
      <c r="AI300" s="1055"/>
      <c r="AJ300" s="1064"/>
      <c r="AK300" s="1055"/>
      <c r="AL300" s="1133"/>
      <c r="AM300" s="1055"/>
      <c r="AN300" s="1055"/>
      <c r="AO300" s="1064"/>
      <c r="AP300" s="1137"/>
      <c r="AQ300" s="1064"/>
      <c r="AR300" s="1137"/>
      <c r="AS300" s="1055"/>
      <c r="AT300" s="1133"/>
      <c r="AU300" s="1133"/>
      <c r="AV300" s="1133"/>
      <c r="AW300" s="1133"/>
      <c r="AX300" s="1133"/>
      <c r="AY300" s="1133"/>
      <c r="AZ300" s="1133"/>
      <c r="BA300" s="1133"/>
      <c r="BB300" s="1133"/>
      <c r="BC300" s="1133"/>
      <c r="BD300" s="1133"/>
      <c r="BE300" s="1480"/>
      <c r="BF300" s="1480"/>
      <c r="BG300" s="1480"/>
      <c r="BH300" s="1480"/>
      <c r="BI300" s="1480"/>
      <c r="BJ300" s="1480"/>
    </row>
    <row r="301" spans="1:62" s="629" customFormat="1" ht="45" customHeight="1" x14ac:dyDescent="0.2">
      <c r="A301" s="1514">
        <v>132</v>
      </c>
      <c r="B301" s="636" t="s">
        <v>4342</v>
      </c>
      <c r="C301" s="1055" t="s">
        <v>1046</v>
      </c>
      <c r="D301" s="1055" t="s">
        <v>1548</v>
      </c>
      <c r="E301" s="1055" t="s">
        <v>584</v>
      </c>
      <c r="F301" s="1055" t="s">
        <v>4348</v>
      </c>
      <c r="G301" s="1133">
        <v>11001</v>
      </c>
      <c r="H301" s="1055" t="s">
        <v>4355</v>
      </c>
      <c r="I301" s="1055" t="s">
        <v>4356</v>
      </c>
      <c r="J301" s="1055" t="s">
        <v>4357</v>
      </c>
      <c r="K301" s="1137">
        <v>41690</v>
      </c>
      <c r="L301" s="1135">
        <v>65678</v>
      </c>
      <c r="M301" s="1136">
        <v>11254</v>
      </c>
      <c r="N301" s="1134">
        <v>41690</v>
      </c>
      <c r="O301" s="1134">
        <v>41734</v>
      </c>
      <c r="P301" s="1133">
        <v>1</v>
      </c>
      <c r="Q301" s="1055"/>
      <c r="R301" s="1055"/>
      <c r="S301" s="1055"/>
      <c r="T301" s="1055" t="s">
        <v>4347</v>
      </c>
      <c r="U301" s="1055"/>
      <c r="V301" s="1055"/>
      <c r="W301" s="1064"/>
      <c r="X301" s="1140"/>
      <c r="Y301" s="1055"/>
      <c r="Z301" s="1055"/>
      <c r="AA301" s="1138"/>
      <c r="AB301" s="1055"/>
      <c r="AC301" s="1139"/>
      <c r="AD301" s="1139"/>
      <c r="AE301" s="1155">
        <f t="shared" si="8"/>
        <v>65678</v>
      </c>
      <c r="AF301" s="525">
        <v>0</v>
      </c>
      <c r="AG301" s="1139">
        <v>65678</v>
      </c>
      <c r="AH301" s="1139">
        <f t="shared" si="7"/>
        <v>65678</v>
      </c>
      <c r="AI301" s="1055"/>
      <c r="AJ301" s="1064"/>
      <c r="AK301" s="1055"/>
      <c r="AL301" s="1133"/>
      <c r="AM301" s="1055"/>
      <c r="AN301" s="1055"/>
      <c r="AO301" s="1064"/>
      <c r="AP301" s="1137"/>
      <c r="AQ301" s="1064"/>
      <c r="AR301" s="1137"/>
      <c r="AS301" s="1055"/>
      <c r="AT301" s="1133"/>
      <c r="AU301" s="1133"/>
      <c r="AV301" s="1133"/>
      <c r="AW301" s="1133"/>
      <c r="AX301" s="1133"/>
      <c r="AY301" s="1133"/>
      <c r="AZ301" s="1133"/>
      <c r="BA301" s="1133"/>
      <c r="BB301" s="1133"/>
      <c r="BC301" s="1133"/>
      <c r="BD301" s="1133"/>
      <c r="BE301" s="1480"/>
      <c r="BF301" s="1480"/>
      <c r="BG301" s="1480"/>
      <c r="BH301" s="1480"/>
      <c r="BI301" s="1480"/>
      <c r="BJ301" s="1480"/>
    </row>
    <row r="302" spans="1:62" s="629" customFormat="1" ht="45" customHeight="1" x14ac:dyDescent="0.2">
      <c r="A302" s="1514">
        <v>133</v>
      </c>
      <c r="B302" s="636" t="s">
        <v>4310</v>
      </c>
      <c r="C302" s="1055" t="s">
        <v>986</v>
      </c>
      <c r="D302" s="1055" t="s">
        <v>1331</v>
      </c>
      <c r="E302" s="1055" t="s">
        <v>584</v>
      </c>
      <c r="F302" s="1055" t="s">
        <v>4311</v>
      </c>
      <c r="G302" s="1133">
        <v>11006</v>
      </c>
      <c r="H302" s="1055" t="s">
        <v>4358</v>
      </c>
      <c r="I302" s="1055" t="s">
        <v>4359</v>
      </c>
      <c r="J302" s="1055" t="s">
        <v>4325</v>
      </c>
      <c r="K302" s="1137">
        <v>41696</v>
      </c>
      <c r="L302" s="1135">
        <v>48097.71</v>
      </c>
      <c r="M302" s="1136">
        <v>11254</v>
      </c>
      <c r="N302" s="1134">
        <v>41696</v>
      </c>
      <c r="O302" s="1134">
        <v>42004</v>
      </c>
      <c r="P302" s="1133">
        <v>1</v>
      </c>
      <c r="Q302" s="1055"/>
      <c r="R302" s="1055"/>
      <c r="S302" s="1055"/>
      <c r="T302" s="1055" t="s">
        <v>316</v>
      </c>
      <c r="U302" s="1055"/>
      <c r="V302" s="1055"/>
      <c r="W302" s="1064"/>
      <c r="X302" s="1140"/>
      <c r="Y302" s="1055"/>
      <c r="Z302" s="1055"/>
      <c r="AA302" s="1138"/>
      <c r="AB302" s="1055"/>
      <c r="AC302" s="1139"/>
      <c r="AD302" s="1139"/>
      <c r="AE302" s="1155">
        <f t="shared" si="8"/>
        <v>48097.71</v>
      </c>
      <c r="AF302" s="525">
        <v>0</v>
      </c>
      <c r="AG302" s="1139">
        <v>46860.39</v>
      </c>
      <c r="AH302" s="1139">
        <f t="shared" si="7"/>
        <v>46860.39</v>
      </c>
      <c r="AI302" s="1055"/>
      <c r="AJ302" s="1064"/>
      <c r="AK302" s="1055"/>
      <c r="AL302" s="1133"/>
      <c r="AM302" s="1055"/>
      <c r="AN302" s="1055"/>
      <c r="AO302" s="1064"/>
      <c r="AP302" s="1137"/>
      <c r="AQ302" s="1064"/>
      <c r="AR302" s="1137"/>
      <c r="AS302" s="1055"/>
      <c r="AT302" s="1133"/>
      <c r="AU302" s="1133"/>
      <c r="AV302" s="1133"/>
      <c r="AW302" s="1133"/>
      <c r="AX302" s="1133"/>
      <c r="AY302" s="1133"/>
      <c r="AZ302" s="1133"/>
      <c r="BA302" s="1133"/>
      <c r="BB302" s="1133"/>
      <c r="BC302" s="1133"/>
      <c r="BD302" s="1133"/>
      <c r="BE302" s="1480"/>
      <c r="BF302" s="1480"/>
      <c r="BG302" s="1480"/>
      <c r="BH302" s="1480"/>
      <c r="BI302" s="1480"/>
      <c r="BJ302" s="1480"/>
    </row>
    <row r="303" spans="1:62" s="629" customFormat="1" ht="45" customHeight="1" x14ac:dyDescent="0.2">
      <c r="A303" s="1514">
        <v>134</v>
      </c>
      <c r="B303" s="636" t="s">
        <v>4310</v>
      </c>
      <c r="C303" s="1055" t="s">
        <v>986</v>
      </c>
      <c r="D303" s="1055" t="s">
        <v>1548</v>
      </c>
      <c r="E303" s="1055" t="s">
        <v>584</v>
      </c>
      <c r="F303" s="1055" t="s">
        <v>4311</v>
      </c>
      <c r="G303" s="1145">
        <v>11001</v>
      </c>
      <c r="H303" s="1055" t="s">
        <v>4360</v>
      </c>
      <c r="I303" s="1055" t="s">
        <v>4361</v>
      </c>
      <c r="J303" s="1055" t="s">
        <v>4362</v>
      </c>
      <c r="K303" s="1137">
        <v>41696</v>
      </c>
      <c r="L303" s="1135">
        <v>6369.98</v>
      </c>
      <c r="M303" s="1136">
        <v>11261</v>
      </c>
      <c r="N303" s="1134">
        <v>41696</v>
      </c>
      <c r="O303" s="1134">
        <v>42004</v>
      </c>
      <c r="P303" s="1133">
        <v>1</v>
      </c>
      <c r="Q303" s="1055"/>
      <c r="R303" s="1055"/>
      <c r="S303" s="1055"/>
      <c r="T303" s="1055" t="s">
        <v>316</v>
      </c>
      <c r="U303" s="1055"/>
      <c r="V303" s="1055"/>
      <c r="W303" s="1064"/>
      <c r="X303" s="1140"/>
      <c r="Y303" s="1055"/>
      <c r="Z303" s="1055"/>
      <c r="AA303" s="1138"/>
      <c r="AB303" s="1055"/>
      <c r="AC303" s="1139"/>
      <c r="AD303" s="1139"/>
      <c r="AE303" s="1155">
        <f t="shared" si="8"/>
        <v>6369.98</v>
      </c>
      <c r="AF303" s="525">
        <v>0</v>
      </c>
      <c r="AG303" s="1139">
        <v>5745.98</v>
      </c>
      <c r="AH303" s="1139">
        <f t="shared" si="7"/>
        <v>5745.98</v>
      </c>
      <c r="AI303" s="1055"/>
      <c r="AJ303" s="1064"/>
      <c r="AK303" s="1055"/>
      <c r="AL303" s="1133"/>
      <c r="AM303" s="1055"/>
      <c r="AN303" s="1055"/>
      <c r="AO303" s="1064"/>
      <c r="AP303" s="1137"/>
      <c r="AQ303" s="1064"/>
      <c r="AR303" s="1137"/>
      <c r="AS303" s="1055"/>
      <c r="AT303" s="1133"/>
      <c r="AU303" s="1133"/>
      <c r="AV303" s="1133"/>
      <c r="AW303" s="1133"/>
      <c r="AX303" s="1133"/>
      <c r="AY303" s="1133"/>
      <c r="AZ303" s="1133"/>
      <c r="BA303" s="1133"/>
      <c r="BB303" s="1133"/>
      <c r="BC303" s="1133"/>
      <c r="BD303" s="1133"/>
      <c r="BE303" s="1480"/>
      <c r="BF303" s="1480"/>
      <c r="BG303" s="1480"/>
      <c r="BH303" s="1480"/>
      <c r="BI303" s="1480"/>
      <c r="BJ303" s="1480"/>
    </row>
    <row r="304" spans="1:62" s="629" customFormat="1" ht="45" customHeight="1" x14ac:dyDescent="0.2">
      <c r="A304" s="1514">
        <v>135</v>
      </c>
      <c r="B304" s="636" t="s">
        <v>4310</v>
      </c>
      <c r="C304" s="1055" t="s">
        <v>986</v>
      </c>
      <c r="D304" s="1055" t="s">
        <v>1548</v>
      </c>
      <c r="E304" s="1055" t="s">
        <v>584</v>
      </c>
      <c r="F304" s="1055" t="s">
        <v>4311</v>
      </c>
      <c r="G304" s="1133">
        <v>11001</v>
      </c>
      <c r="H304" s="1055" t="s">
        <v>4363</v>
      </c>
      <c r="I304" s="1055" t="s">
        <v>4313</v>
      </c>
      <c r="J304" s="1055" t="s">
        <v>4314</v>
      </c>
      <c r="K304" s="1137">
        <v>41696</v>
      </c>
      <c r="L304" s="1135">
        <v>21720.01</v>
      </c>
      <c r="M304" s="538">
        <v>11261</v>
      </c>
      <c r="N304" s="1134">
        <v>41696</v>
      </c>
      <c r="O304" s="1134">
        <v>42004</v>
      </c>
      <c r="P304" s="1133">
        <v>1</v>
      </c>
      <c r="Q304" s="1055"/>
      <c r="R304" s="1055"/>
      <c r="S304" s="1055"/>
      <c r="T304" s="1055" t="s">
        <v>316</v>
      </c>
      <c r="U304" s="1055"/>
      <c r="V304" s="1055"/>
      <c r="W304" s="1064"/>
      <c r="X304" s="1140"/>
      <c r="Y304" s="1055"/>
      <c r="Z304" s="1055"/>
      <c r="AA304" s="1138"/>
      <c r="AB304" s="1055"/>
      <c r="AC304" s="1139"/>
      <c r="AD304" s="1139"/>
      <c r="AE304" s="1155">
        <f t="shared" si="8"/>
        <v>21720.01</v>
      </c>
      <c r="AF304" s="525">
        <v>0</v>
      </c>
      <c r="AG304" s="525">
        <v>0</v>
      </c>
      <c r="AH304" s="1139">
        <f t="shared" si="7"/>
        <v>0</v>
      </c>
      <c r="AI304" s="1055"/>
      <c r="AJ304" s="1064"/>
      <c r="AK304" s="1055"/>
      <c r="AL304" s="1133"/>
      <c r="AM304" s="1055"/>
      <c r="AN304" s="1055"/>
      <c r="AO304" s="1064"/>
      <c r="AP304" s="1137"/>
      <c r="AQ304" s="1064"/>
      <c r="AR304" s="1137"/>
      <c r="AS304" s="1055"/>
      <c r="AT304" s="1133"/>
      <c r="AU304" s="1133"/>
      <c r="AV304" s="1133"/>
      <c r="AW304" s="1133"/>
      <c r="AX304" s="1133"/>
      <c r="AY304" s="1133"/>
      <c r="AZ304" s="1133"/>
      <c r="BA304" s="1133"/>
      <c r="BB304" s="1133"/>
      <c r="BC304" s="1133"/>
      <c r="BD304" s="1133"/>
      <c r="BE304" s="1480"/>
      <c r="BF304" s="1480"/>
      <c r="BG304" s="1480"/>
      <c r="BH304" s="1480"/>
      <c r="BI304" s="1480"/>
      <c r="BJ304" s="1480"/>
    </row>
    <row r="305" spans="1:62" s="629" customFormat="1" ht="45" customHeight="1" x14ac:dyDescent="0.2">
      <c r="A305" s="1514">
        <v>136</v>
      </c>
      <c r="B305" s="636" t="s">
        <v>4310</v>
      </c>
      <c r="C305" s="1055" t="s">
        <v>986</v>
      </c>
      <c r="D305" s="1055" t="s">
        <v>1331</v>
      </c>
      <c r="E305" s="1055" t="s">
        <v>584</v>
      </c>
      <c r="F305" s="1055" t="s">
        <v>4311</v>
      </c>
      <c r="G305" s="1145">
        <v>11001</v>
      </c>
      <c r="H305" s="1055" t="s">
        <v>4364</v>
      </c>
      <c r="I305" s="1055" t="s">
        <v>4316</v>
      </c>
      <c r="J305" s="1055" t="s">
        <v>4317</v>
      </c>
      <c r="K305" s="1137">
        <v>41696</v>
      </c>
      <c r="L305" s="1135">
        <v>36126.660000000003</v>
      </c>
      <c r="M305" s="538">
        <v>11261</v>
      </c>
      <c r="N305" s="1134">
        <v>41696</v>
      </c>
      <c r="O305" s="1134">
        <v>42004</v>
      </c>
      <c r="P305" s="1133">
        <v>1</v>
      </c>
      <c r="Q305" s="1055"/>
      <c r="R305" s="1055"/>
      <c r="S305" s="1055"/>
      <c r="T305" s="1055" t="s">
        <v>316</v>
      </c>
      <c r="U305" s="1055"/>
      <c r="V305" s="1055"/>
      <c r="W305" s="1064"/>
      <c r="X305" s="1140"/>
      <c r="Y305" s="1055"/>
      <c r="Z305" s="1055"/>
      <c r="AA305" s="1138"/>
      <c r="AB305" s="1055"/>
      <c r="AC305" s="1139"/>
      <c r="AD305" s="1139"/>
      <c r="AE305" s="1155">
        <f t="shared" si="8"/>
        <v>36126.660000000003</v>
      </c>
      <c r="AF305" s="525">
        <v>0</v>
      </c>
      <c r="AG305" s="1139">
        <v>36126.660000000003</v>
      </c>
      <c r="AH305" s="1139">
        <f t="shared" si="7"/>
        <v>36126.660000000003</v>
      </c>
      <c r="AI305" s="1055"/>
      <c r="AJ305" s="1064"/>
      <c r="AK305" s="1055"/>
      <c r="AL305" s="1133"/>
      <c r="AM305" s="1055"/>
      <c r="AN305" s="1055"/>
      <c r="AO305" s="1064"/>
      <c r="AP305" s="1137"/>
      <c r="AQ305" s="1064"/>
      <c r="AR305" s="1137"/>
      <c r="AS305" s="1055"/>
      <c r="AT305" s="1133"/>
      <c r="AU305" s="1133"/>
      <c r="AV305" s="1133"/>
      <c r="AW305" s="1133"/>
      <c r="AX305" s="1133"/>
      <c r="AY305" s="1133"/>
      <c r="AZ305" s="1133"/>
      <c r="BA305" s="1133"/>
      <c r="BB305" s="1133"/>
      <c r="BC305" s="1133"/>
      <c r="BD305" s="1133"/>
      <c r="BE305" s="1480"/>
      <c r="BF305" s="1480"/>
      <c r="BG305" s="1480"/>
      <c r="BH305" s="1480"/>
      <c r="BI305" s="1480"/>
      <c r="BJ305" s="1480"/>
    </row>
    <row r="306" spans="1:62" s="629" customFormat="1" ht="45" customHeight="1" x14ac:dyDescent="0.2">
      <c r="A306" s="1514">
        <v>137</v>
      </c>
      <c r="B306" s="636" t="s">
        <v>4310</v>
      </c>
      <c r="C306" s="1055" t="s">
        <v>986</v>
      </c>
      <c r="D306" s="1055" t="s">
        <v>1331</v>
      </c>
      <c r="E306" s="1055" t="s">
        <v>584</v>
      </c>
      <c r="F306" s="1055" t="s">
        <v>4311</v>
      </c>
      <c r="G306" s="1133">
        <v>11001</v>
      </c>
      <c r="H306" s="1055" t="s">
        <v>4365</v>
      </c>
      <c r="I306" s="1055" t="s">
        <v>4319</v>
      </c>
      <c r="J306" s="1055" t="s">
        <v>537</v>
      </c>
      <c r="K306" s="1137">
        <v>41696</v>
      </c>
      <c r="L306" s="1135">
        <v>47259.72</v>
      </c>
      <c r="M306" s="538">
        <v>11261</v>
      </c>
      <c r="N306" s="1134">
        <v>41696</v>
      </c>
      <c r="O306" s="1134">
        <v>42004</v>
      </c>
      <c r="P306" s="1133">
        <v>1</v>
      </c>
      <c r="Q306" s="1055"/>
      <c r="R306" s="1055"/>
      <c r="S306" s="1055"/>
      <c r="T306" s="1055" t="s">
        <v>316</v>
      </c>
      <c r="U306" s="1055"/>
      <c r="V306" s="1055"/>
      <c r="W306" s="1064"/>
      <c r="X306" s="1140"/>
      <c r="Y306" s="1055"/>
      <c r="Z306" s="1055"/>
      <c r="AA306" s="1138"/>
      <c r="AB306" s="1055"/>
      <c r="AC306" s="1139"/>
      <c r="AD306" s="1139"/>
      <c r="AE306" s="1155">
        <f t="shared" si="8"/>
        <v>47259.72</v>
      </c>
      <c r="AF306" s="525">
        <v>0</v>
      </c>
      <c r="AG306" s="1139">
        <v>48834.44</v>
      </c>
      <c r="AH306" s="1139">
        <f t="shared" si="7"/>
        <v>48834.44</v>
      </c>
      <c r="AI306" s="1055"/>
      <c r="AJ306" s="1064"/>
      <c r="AK306" s="1055"/>
      <c r="AL306" s="1133"/>
      <c r="AM306" s="1055"/>
      <c r="AN306" s="1055"/>
      <c r="AO306" s="1064"/>
      <c r="AP306" s="1137"/>
      <c r="AQ306" s="1064"/>
      <c r="AR306" s="1137"/>
      <c r="AS306" s="1055"/>
      <c r="AT306" s="1133"/>
      <c r="AU306" s="1133"/>
      <c r="AV306" s="1133"/>
      <c r="AW306" s="1133"/>
      <c r="AX306" s="1133"/>
      <c r="AY306" s="1133"/>
      <c r="AZ306" s="1133"/>
      <c r="BA306" s="1133"/>
      <c r="BB306" s="1133"/>
      <c r="BC306" s="1133"/>
      <c r="BD306" s="1133"/>
      <c r="BE306" s="1480"/>
      <c r="BF306" s="1480"/>
      <c r="BG306" s="1480"/>
      <c r="BH306" s="1480"/>
      <c r="BI306" s="1480"/>
      <c r="BJ306" s="1480"/>
    </row>
    <row r="307" spans="1:62" s="629" customFormat="1" ht="24" customHeight="1" x14ac:dyDescent="0.2">
      <c r="A307" s="2365">
        <v>138</v>
      </c>
      <c r="B307" s="2361" t="s">
        <v>4310</v>
      </c>
      <c r="C307" s="2023" t="s">
        <v>986</v>
      </c>
      <c r="D307" s="2023" t="s">
        <v>1331</v>
      </c>
      <c r="E307" s="2023" t="s">
        <v>584</v>
      </c>
      <c r="F307" s="2023" t="s">
        <v>4311</v>
      </c>
      <c r="G307" s="2355">
        <v>11001</v>
      </c>
      <c r="H307" s="2023" t="s">
        <v>4366</v>
      </c>
      <c r="I307" s="2023" t="s">
        <v>4367</v>
      </c>
      <c r="J307" s="2023" t="s">
        <v>4368</v>
      </c>
      <c r="K307" s="2347">
        <v>41696</v>
      </c>
      <c r="L307" s="2349">
        <v>31049.43</v>
      </c>
      <c r="M307" s="2374">
        <v>11261</v>
      </c>
      <c r="N307" s="2352">
        <v>41696</v>
      </c>
      <c r="O307" s="2352">
        <v>42004</v>
      </c>
      <c r="P307" s="2355">
        <v>1</v>
      </c>
      <c r="Q307" s="2023"/>
      <c r="R307" s="2023"/>
      <c r="S307" s="2023"/>
      <c r="T307" s="2023" t="s">
        <v>316</v>
      </c>
      <c r="U307" s="1146"/>
      <c r="V307" s="1055"/>
      <c r="W307" s="1064"/>
      <c r="X307" s="1140"/>
      <c r="Y307" s="1055"/>
      <c r="Z307" s="1055"/>
      <c r="AA307" s="1138"/>
      <c r="AB307" s="1055"/>
      <c r="AC307" s="1139"/>
      <c r="AD307" s="1139"/>
      <c r="AE307" s="1155"/>
      <c r="AF307" s="525">
        <v>0</v>
      </c>
      <c r="AG307" s="1139">
        <v>38811.120000000003</v>
      </c>
      <c r="AH307" s="1139">
        <f t="shared" si="7"/>
        <v>38811.120000000003</v>
      </c>
      <c r="AI307" s="1055"/>
      <c r="AJ307" s="1064"/>
      <c r="AK307" s="1055"/>
      <c r="AL307" s="1133"/>
      <c r="AM307" s="1055"/>
      <c r="AN307" s="1055"/>
      <c r="AO307" s="1064"/>
      <c r="AP307" s="1137"/>
      <c r="AQ307" s="1064"/>
      <c r="AR307" s="1137"/>
      <c r="AS307" s="1055"/>
      <c r="AT307" s="1133"/>
      <c r="AU307" s="1133"/>
      <c r="AV307" s="1133"/>
      <c r="AW307" s="1133"/>
      <c r="AX307" s="1133"/>
      <c r="AY307" s="1133"/>
      <c r="AZ307" s="1133"/>
      <c r="BA307" s="1133"/>
      <c r="BB307" s="1133"/>
      <c r="BC307" s="1133"/>
      <c r="BD307" s="1133"/>
      <c r="BE307" s="1480"/>
      <c r="BF307" s="1480"/>
      <c r="BG307" s="1480"/>
      <c r="BH307" s="1480"/>
      <c r="BI307" s="1480"/>
      <c r="BJ307" s="1480"/>
    </row>
    <row r="308" spans="1:62" s="629" customFormat="1" ht="15" customHeight="1" x14ac:dyDescent="0.2">
      <c r="A308" s="2365"/>
      <c r="B308" s="2361"/>
      <c r="C308" s="2023"/>
      <c r="D308" s="2023"/>
      <c r="E308" s="2023"/>
      <c r="F308" s="2023"/>
      <c r="G308" s="2355"/>
      <c r="H308" s="2023"/>
      <c r="I308" s="2023"/>
      <c r="J308" s="2023"/>
      <c r="K308" s="2347"/>
      <c r="L308" s="2349"/>
      <c r="M308" s="2374"/>
      <c r="N308" s="2352"/>
      <c r="O308" s="2352"/>
      <c r="P308" s="2355"/>
      <c r="Q308" s="2023"/>
      <c r="R308" s="2023"/>
      <c r="S308" s="2023"/>
      <c r="T308" s="2023"/>
      <c r="U308" s="1146" t="s">
        <v>3906</v>
      </c>
      <c r="V308" s="1137">
        <v>41723</v>
      </c>
      <c r="W308" s="1064">
        <v>11273</v>
      </c>
      <c r="X308" s="1140" t="s">
        <v>4369</v>
      </c>
      <c r="Y308" s="1137">
        <v>41696</v>
      </c>
      <c r="Z308" s="1137">
        <v>42004</v>
      </c>
      <c r="AA308" s="1138">
        <f>AC308/L307</f>
        <v>0.24997850202081004</v>
      </c>
      <c r="AB308" s="1055"/>
      <c r="AC308" s="1139">
        <v>7761.69</v>
      </c>
      <c r="AD308" s="1139"/>
      <c r="AE308" s="1155">
        <f>L307+AC308</f>
        <v>38811.120000000003</v>
      </c>
      <c r="AF308" s="525">
        <v>0</v>
      </c>
      <c r="AG308" s="525">
        <v>0</v>
      </c>
      <c r="AH308" s="1139">
        <f t="shared" si="7"/>
        <v>0</v>
      </c>
      <c r="AI308" s="1055"/>
      <c r="AJ308" s="1064"/>
      <c r="AK308" s="1055"/>
      <c r="AL308" s="1133"/>
      <c r="AM308" s="1055"/>
      <c r="AN308" s="1055"/>
      <c r="AO308" s="1064"/>
      <c r="AP308" s="1137"/>
      <c r="AQ308" s="1064"/>
      <c r="AR308" s="1137"/>
      <c r="AS308" s="1055"/>
      <c r="AT308" s="1133"/>
      <c r="AU308" s="1133"/>
      <c r="AV308" s="1133"/>
      <c r="AW308" s="1133"/>
      <c r="AX308" s="1133"/>
      <c r="AY308" s="1133"/>
      <c r="AZ308" s="1133"/>
      <c r="BA308" s="1133"/>
      <c r="BB308" s="1133"/>
      <c r="BC308" s="1133"/>
      <c r="BD308" s="1133"/>
      <c r="BE308" s="1480"/>
      <c r="BF308" s="1480"/>
      <c r="BG308" s="1480"/>
      <c r="BH308" s="1480"/>
      <c r="BI308" s="1480"/>
      <c r="BJ308" s="1480"/>
    </row>
    <row r="309" spans="1:62" s="629" customFormat="1" ht="45" customHeight="1" x14ac:dyDescent="0.2">
      <c r="A309" s="1514">
        <v>139</v>
      </c>
      <c r="B309" s="636" t="s">
        <v>4310</v>
      </c>
      <c r="C309" s="1055" t="s">
        <v>986</v>
      </c>
      <c r="D309" s="1055" t="s">
        <v>1331</v>
      </c>
      <c r="E309" s="1055" t="s">
        <v>584</v>
      </c>
      <c r="F309" s="1055" t="s">
        <v>4311</v>
      </c>
      <c r="G309" s="1145">
        <v>11001</v>
      </c>
      <c r="H309" s="1055" t="s">
        <v>4370</v>
      </c>
      <c r="I309" s="1055" t="s">
        <v>4321</v>
      </c>
      <c r="J309" s="1055" t="s">
        <v>4371</v>
      </c>
      <c r="K309" s="1137">
        <v>41696</v>
      </c>
      <c r="L309" s="1135">
        <v>26666.11</v>
      </c>
      <c r="M309" s="1136">
        <v>11261</v>
      </c>
      <c r="N309" s="1134">
        <v>41696</v>
      </c>
      <c r="O309" s="1134">
        <v>42004</v>
      </c>
      <c r="P309" s="1133">
        <v>1</v>
      </c>
      <c r="Q309" s="1055"/>
      <c r="R309" s="1055"/>
      <c r="S309" s="1055"/>
      <c r="T309" s="1055" t="s">
        <v>316</v>
      </c>
      <c r="U309" s="1055"/>
      <c r="V309" s="1055"/>
      <c r="W309" s="1064"/>
      <c r="X309" s="1140"/>
      <c r="Y309" s="1055"/>
      <c r="Z309" s="1055"/>
      <c r="AA309" s="1138"/>
      <c r="AB309" s="1055"/>
      <c r="AC309" s="1139"/>
      <c r="AD309" s="1139"/>
      <c r="AE309" s="1155">
        <f t="shared" ref="AE309:AE316" si="9">L309-AD309+AC309</f>
        <v>26666.11</v>
      </c>
      <c r="AF309" s="525">
        <v>0</v>
      </c>
      <c r="AG309" s="1139">
        <v>26666.11</v>
      </c>
      <c r="AH309" s="1139">
        <f t="shared" si="7"/>
        <v>26666.11</v>
      </c>
      <c r="AI309" s="1055"/>
      <c r="AJ309" s="1064"/>
      <c r="AK309" s="1055"/>
      <c r="AL309" s="1133"/>
      <c r="AM309" s="1055"/>
      <c r="AN309" s="1055"/>
      <c r="AO309" s="1064"/>
      <c r="AP309" s="1137"/>
      <c r="AQ309" s="1064"/>
      <c r="AR309" s="1137"/>
      <c r="AS309" s="1055"/>
      <c r="AT309" s="1133"/>
      <c r="AU309" s="1133"/>
      <c r="AV309" s="1133"/>
      <c r="AW309" s="1133"/>
      <c r="AX309" s="1133"/>
      <c r="AY309" s="1133"/>
      <c r="AZ309" s="1133"/>
      <c r="BA309" s="1133"/>
      <c r="BB309" s="1133"/>
      <c r="BC309" s="1133"/>
      <c r="BD309" s="1133"/>
      <c r="BE309" s="1480"/>
      <c r="BF309" s="1480"/>
      <c r="BG309" s="1480"/>
      <c r="BH309" s="1480"/>
      <c r="BI309" s="1480"/>
      <c r="BJ309" s="1480"/>
    </row>
    <row r="310" spans="1:62" s="629" customFormat="1" ht="45" customHeight="1" x14ac:dyDescent="0.2">
      <c r="A310" s="1514">
        <v>140</v>
      </c>
      <c r="B310" s="636" t="s">
        <v>4310</v>
      </c>
      <c r="C310" s="1055" t="s">
        <v>986</v>
      </c>
      <c r="D310" s="1055" t="s">
        <v>1331</v>
      </c>
      <c r="E310" s="1055" t="s">
        <v>584</v>
      </c>
      <c r="F310" s="1055" t="s">
        <v>4311</v>
      </c>
      <c r="G310" s="1133">
        <v>11001</v>
      </c>
      <c r="H310" s="1055" t="s">
        <v>4372</v>
      </c>
      <c r="I310" s="1055" t="s">
        <v>4328</v>
      </c>
      <c r="J310" s="1055" t="s">
        <v>4373</v>
      </c>
      <c r="K310" s="1137">
        <v>41696</v>
      </c>
      <c r="L310" s="1135">
        <v>19612.97</v>
      </c>
      <c r="M310" s="538">
        <v>11261</v>
      </c>
      <c r="N310" s="1134">
        <v>41696</v>
      </c>
      <c r="O310" s="1134">
        <v>42004</v>
      </c>
      <c r="P310" s="1133">
        <v>1</v>
      </c>
      <c r="Q310" s="1055"/>
      <c r="R310" s="1055"/>
      <c r="S310" s="1055"/>
      <c r="T310" s="1055" t="s">
        <v>316</v>
      </c>
      <c r="U310" s="1055"/>
      <c r="V310" s="1055"/>
      <c r="W310" s="1064"/>
      <c r="X310" s="1140"/>
      <c r="Y310" s="1055"/>
      <c r="Z310" s="1055"/>
      <c r="AA310" s="1138"/>
      <c r="AB310" s="1055"/>
      <c r="AC310" s="1139"/>
      <c r="AD310" s="1139"/>
      <c r="AE310" s="1155">
        <f t="shared" si="9"/>
        <v>19612.97</v>
      </c>
      <c r="AF310" s="525">
        <v>0</v>
      </c>
      <c r="AG310" s="1135">
        <v>19612.97</v>
      </c>
      <c r="AH310" s="1139">
        <f t="shared" si="7"/>
        <v>19612.97</v>
      </c>
      <c r="AI310" s="1055"/>
      <c r="AJ310" s="1064"/>
      <c r="AK310" s="1055"/>
      <c r="AL310" s="1133"/>
      <c r="AM310" s="1055"/>
      <c r="AN310" s="1055"/>
      <c r="AO310" s="1064"/>
      <c r="AP310" s="1137"/>
      <c r="AQ310" s="1064"/>
      <c r="AR310" s="1137"/>
      <c r="AS310" s="1055"/>
      <c r="AT310" s="1133"/>
      <c r="AU310" s="1133"/>
      <c r="AV310" s="1133"/>
      <c r="AW310" s="1133"/>
      <c r="AX310" s="1133"/>
      <c r="AY310" s="1133"/>
      <c r="AZ310" s="1133"/>
      <c r="BA310" s="1133"/>
      <c r="BB310" s="1133"/>
      <c r="BC310" s="1133"/>
      <c r="BD310" s="1133"/>
      <c r="BE310" s="1480"/>
      <c r="BF310" s="1480"/>
      <c r="BG310" s="1480"/>
      <c r="BH310" s="1480"/>
      <c r="BI310" s="1480"/>
      <c r="BJ310" s="1480"/>
    </row>
    <row r="311" spans="1:62" s="629" customFormat="1" ht="45" customHeight="1" x14ac:dyDescent="0.2">
      <c r="A311" s="1514">
        <v>141</v>
      </c>
      <c r="B311" s="636" t="s">
        <v>4374</v>
      </c>
      <c r="C311" s="1055" t="s">
        <v>757</v>
      </c>
      <c r="D311" s="1055" t="s">
        <v>1331</v>
      </c>
      <c r="E311" s="1055" t="s">
        <v>584</v>
      </c>
      <c r="F311" s="1055" t="s">
        <v>4375</v>
      </c>
      <c r="G311" s="1133">
        <v>11257</v>
      </c>
      <c r="H311" s="1055" t="s">
        <v>4376</v>
      </c>
      <c r="I311" s="1055" t="s">
        <v>4136</v>
      </c>
      <c r="J311" s="1055" t="s">
        <v>4137</v>
      </c>
      <c r="K311" s="1137">
        <v>41708</v>
      </c>
      <c r="L311" s="1135">
        <v>148927.25</v>
      </c>
      <c r="M311" s="538">
        <v>11261</v>
      </c>
      <c r="N311" s="1134">
        <v>41708</v>
      </c>
      <c r="O311" s="1134">
        <v>42004</v>
      </c>
      <c r="P311" s="1133">
        <v>1</v>
      </c>
      <c r="Q311" s="1055"/>
      <c r="R311" s="1055"/>
      <c r="S311" s="1055"/>
      <c r="T311" s="1055" t="s">
        <v>316</v>
      </c>
      <c r="U311" s="1055"/>
      <c r="V311" s="1055"/>
      <c r="W311" s="1064"/>
      <c r="X311" s="1140"/>
      <c r="Y311" s="1055"/>
      <c r="Z311" s="1055"/>
      <c r="AA311" s="1138"/>
      <c r="AB311" s="1055"/>
      <c r="AC311" s="1139"/>
      <c r="AD311" s="1139"/>
      <c r="AE311" s="1155">
        <f t="shared" si="9"/>
        <v>148927.25</v>
      </c>
      <c r="AF311" s="525">
        <v>0</v>
      </c>
      <c r="AG311" s="1139">
        <v>117681.56</v>
      </c>
      <c r="AH311" s="1139">
        <f t="shared" si="7"/>
        <v>117681.56</v>
      </c>
      <c r="AI311" s="1055"/>
      <c r="AJ311" s="1064"/>
      <c r="AK311" s="1055"/>
      <c r="AL311" s="1133"/>
      <c r="AM311" s="1055"/>
      <c r="AN311" s="1055"/>
      <c r="AO311" s="1064"/>
      <c r="AP311" s="1137"/>
      <c r="AQ311" s="1064"/>
      <c r="AR311" s="1137"/>
      <c r="AS311" s="1055"/>
      <c r="AT311" s="1133"/>
      <c r="AU311" s="1133"/>
      <c r="AV311" s="1133"/>
      <c r="AW311" s="1133"/>
      <c r="AX311" s="1133"/>
      <c r="AY311" s="1133"/>
      <c r="AZ311" s="1133"/>
      <c r="BA311" s="1133"/>
      <c r="BB311" s="1133"/>
      <c r="BC311" s="1133"/>
      <c r="BD311" s="1133"/>
      <c r="BE311" s="1480"/>
      <c r="BF311" s="1480"/>
      <c r="BG311" s="1480"/>
      <c r="BH311" s="1480"/>
      <c r="BI311" s="1480"/>
      <c r="BJ311" s="1480"/>
    </row>
    <row r="312" spans="1:62" s="629" customFormat="1" ht="45" customHeight="1" x14ac:dyDescent="0.2">
      <c r="A312" s="1514">
        <v>142</v>
      </c>
      <c r="B312" s="636" t="s">
        <v>4374</v>
      </c>
      <c r="C312" s="1055" t="s">
        <v>757</v>
      </c>
      <c r="D312" s="1055" t="s">
        <v>1331</v>
      </c>
      <c r="E312" s="1055" t="s">
        <v>584</v>
      </c>
      <c r="F312" s="1055" t="s">
        <v>4375</v>
      </c>
      <c r="G312" s="1133">
        <v>11257</v>
      </c>
      <c r="H312" s="1055" t="s">
        <v>4377</v>
      </c>
      <c r="I312" s="1055" t="s">
        <v>4133</v>
      </c>
      <c r="J312" s="1055" t="s">
        <v>4134</v>
      </c>
      <c r="K312" s="1137">
        <v>41709</v>
      </c>
      <c r="L312" s="1135">
        <v>45830.36</v>
      </c>
      <c r="M312" s="1136">
        <v>11261</v>
      </c>
      <c r="N312" s="1134">
        <v>41709</v>
      </c>
      <c r="O312" s="1134">
        <v>42004</v>
      </c>
      <c r="P312" s="1133">
        <v>1</v>
      </c>
      <c r="Q312" s="1055"/>
      <c r="R312" s="1055"/>
      <c r="S312" s="1055"/>
      <c r="T312" s="1055" t="s">
        <v>316</v>
      </c>
      <c r="U312" s="1055"/>
      <c r="V312" s="1055"/>
      <c r="W312" s="1064"/>
      <c r="X312" s="1140"/>
      <c r="Y312" s="1055"/>
      <c r="Z312" s="1055"/>
      <c r="AA312" s="1138"/>
      <c r="AB312" s="1055"/>
      <c r="AC312" s="1139"/>
      <c r="AD312" s="1139"/>
      <c r="AE312" s="1155">
        <f t="shared" si="9"/>
        <v>45830.36</v>
      </c>
      <c r="AF312" s="525">
        <v>0</v>
      </c>
      <c r="AG312" s="1139">
        <v>35412.26</v>
      </c>
      <c r="AH312" s="1139">
        <f t="shared" si="7"/>
        <v>35412.26</v>
      </c>
      <c r="AI312" s="1055"/>
      <c r="AJ312" s="1064"/>
      <c r="AK312" s="1055"/>
      <c r="AL312" s="1133"/>
      <c r="AM312" s="1055"/>
      <c r="AN312" s="1055"/>
      <c r="AO312" s="1064"/>
      <c r="AP312" s="1137"/>
      <c r="AQ312" s="1064"/>
      <c r="AR312" s="1137"/>
      <c r="AS312" s="1055"/>
      <c r="AT312" s="1133"/>
      <c r="AU312" s="1133"/>
      <c r="AV312" s="1133"/>
      <c r="AW312" s="1133"/>
      <c r="AX312" s="1133"/>
      <c r="AY312" s="1133"/>
      <c r="AZ312" s="1133"/>
      <c r="BA312" s="1133"/>
      <c r="BB312" s="1133"/>
      <c r="BC312" s="1133"/>
      <c r="BD312" s="1133"/>
      <c r="BE312" s="1480"/>
      <c r="BF312" s="1480"/>
      <c r="BG312" s="1480"/>
      <c r="BH312" s="1480"/>
      <c r="BI312" s="1480"/>
      <c r="BJ312" s="1480"/>
    </row>
    <row r="313" spans="1:62" s="629" customFormat="1" ht="45" customHeight="1" x14ac:dyDescent="0.2">
      <c r="A313" s="1514">
        <v>143</v>
      </c>
      <c r="B313" s="636" t="s">
        <v>4374</v>
      </c>
      <c r="C313" s="1055" t="s">
        <v>757</v>
      </c>
      <c r="D313" s="1055" t="s">
        <v>1331</v>
      </c>
      <c r="E313" s="1055" t="s">
        <v>584</v>
      </c>
      <c r="F313" s="1055" t="s">
        <v>4375</v>
      </c>
      <c r="G313" s="1133">
        <v>11257</v>
      </c>
      <c r="H313" s="1055" t="s">
        <v>4378</v>
      </c>
      <c r="I313" s="1055" t="s">
        <v>4379</v>
      </c>
      <c r="J313" s="1055" t="s">
        <v>225</v>
      </c>
      <c r="K313" s="1137">
        <v>41709</v>
      </c>
      <c r="L313" s="1135">
        <v>14273.55</v>
      </c>
      <c r="M313" s="1136">
        <v>11261</v>
      </c>
      <c r="N313" s="1134">
        <v>41709</v>
      </c>
      <c r="O313" s="1134">
        <v>42004</v>
      </c>
      <c r="P313" s="1133">
        <v>1</v>
      </c>
      <c r="Q313" s="1055"/>
      <c r="R313" s="1055"/>
      <c r="S313" s="1055"/>
      <c r="T313" s="1055" t="s">
        <v>316</v>
      </c>
      <c r="U313" s="1055"/>
      <c r="V313" s="1055"/>
      <c r="W313" s="1064"/>
      <c r="X313" s="1140"/>
      <c r="Y313" s="1055"/>
      <c r="Z313" s="1055"/>
      <c r="AA313" s="1138"/>
      <c r="AB313" s="1055"/>
      <c r="AC313" s="1139"/>
      <c r="AD313" s="1139"/>
      <c r="AE313" s="1155">
        <f t="shared" si="9"/>
        <v>14273.55</v>
      </c>
      <c r="AF313" s="525">
        <v>0</v>
      </c>
      <c r="AG313" s="1139">
        <v>11372.15</v>
      </c>
      <c r="AH313" s="1139">
        <f t="shared" si="7"/>
        <v>11372.15</v>
      </c>
      <c r="AI313" s="1055"/>
      <c r="AJ313" s="1064"/>
      <c r="AK313" s="1055"/>
      <c r="AL313" s="1133"/>
      <c r="AM313" s="1055"/>
      <c r="AN313" s="1055"/>
      <c r="AO313" s="1064"/>
      <c r="AP313" s="1137"/>
      <c r="AQ313" s="1064"/>
      <c r="AR313" s="1137"/>
      <c r="AS313" s="1055"/>
      <c r="AT313" s="1133"/>
      <c r="AU313" s="1133"/>
      <c r="AV313" s="1133"/>
      <c r="AW313" s="1133"/>
      <c r="AX313" s="1133"/>
      <c r="AY313" s="1133"/>
      <c r="AZ313" s="1133"/>
      <c r="BA313" s="1133"/>
      <c r="BB313" s="1133"/>
      <c r="BC313" s="1133"/>
      <c r="BD313" s="1133"/>
      <c r="BE313" s="1480"/>
      <c r="BF313" s="1480"/>
      <c r="BG313" s="1480"/>
      <c r="BH313" s="1480"/>
      <c r="BI313" s="1480"/>
      <c r="BJ313" s="1480"/>
    </row>
    <row r="314" spans="1:62" s="629" customFormat="1" ht="45" customHeight="1" x14ac:dyDescent="0.2">
      <c r="A314" s="1514">
        <v>144</v>
      </c>
      <c r="B314" s="636" t="s">
        <v>4374</v>
      </c>
      <c r="C314" s="1055" t="s">
        <v>757</v>
      </c>
      <c r="D314" s="1055" t="s">
        <v>1331</v>
      </c>
      <c r="E314" s="1055" t="s">
        <v>584</v>
      </c>
      <c r="F314" s="1055" t="s">
        <v>4375</v>
      </c>
      <c r="G314" s="1133">
        <v>11264</v>
      </c>
      <c r="H314" s="1055" t="s">
        <v>4380</v>
      </c>
      <c r="I314" s="1055" t="s">
        <v>4381</v>
      </c>
      <c r="J314" s="1055" t="s">
        <v>4382</v>
      </c>
      <c r="K314" s="1137">
        <v>41709</v>
      </c>
      <c r="L314" s="1135">
        <v>10508.87</v>
      </c>
      <c r="M314" s="1136">
        <v>11261</v>
      </c>
      <c r="N314" s="1134">
        <v>41709</v>
      </c>
      <c r="O314" s="1134">
        <v>42004</v>
      </c>
      <c r="P314" s="1133">
        <v>1</v>
      </c>
      <c r="Q314" s="1055"/>
      <c r="R314" s="1055"/>
      <c r="S314" s="1055"/>
      <c r="T314" s="1055" t="s">
        <v>316</v>
      </c>
      <c r="U314" s="1055"/>
      <c r="V314" s="1055"/>
      <c r="W314" s="1064"/>
      <c r="X314" s="1140"/>
      <c r="Y314" s="1055"/>
      <c r="Z314" s="1055"/>
      <c r="AA314" s="1138"/>
      <c r="AB314" s="1055"/>
      <c r="AC314" s="1139"/>
      <c r="AD314" s="1139"/>
      <c r="AE314" s="1155">
        <f t="shared" si="9"/>
        <v>10508.87</v>
      </c>
      <c r="AF314" s="525">
        <v>0</v>
      </c>
      <c r="AG314" s="1139">
        <f>6546.64+97.96+189.6+592.07+11.06+69</f>
        <v>7506.3300000000008</v>
      </c>
      <c r="AH314" s="1139">
        <f t="shared" si="7"/>
        <v>7506.3300000000008</v>
      </c>
      <c r="AI314" s="1055"/>
      <c r="AJ314" s="1064"/>
      <c r="AK314" s="1055"/>
      <c r="AL314" s="1133"/>
      <c r="AM314" s="1055"/>
      <c r="AN314" s="1055"/>
      <c r="AO314" s="1064"/>
      <c r="AP314" s="1137"/>
      <c r="AQ314" s="1064"/>
      <c r="AR314" s="1137"/>
      <c r="AS314" s="1055"/>
      <c r="AT314" s="1133"/>
      <c r="AU314" s="1133"/>
      <c r="AV314" s="1133"/>
      <c r="AW314" s="1133"/>
      <c r="AX314" s="1133"/>
      <c r="AY314" s="1133"/>
      <c r="AZ314" s="1133"/>
      <c r="BA314" s="1133"/>
      <c r="BB314" s="1133"/>
      <c r="BC314" s="1133"/>
      <c r="BD314" s="1133"/>
      <c r="BE314" s="1480"/>
      <c r="BF314" s="1480"/>
      <c r="BG314" s="1480"/>
      <c r="BH314" s="1480"/>
      <c r="BI314" s="1480"/>
      <c r="BJ314" s="1480"/>
    </row>
    <row r="315" spans="1:62" s="629" customFormat="1" ht="45" customHeight="1" x14ac:dyDescent="0.2">
      <c r="A315" s="1514">
        <v>145</v>
      </c>
      <c r="B315" s="636" t="s">
        <v>4374</v>
      </c>
      <c r="C315" s="1055" t="s">
        <v>757</v>
      </c>
      <c r="D315" s="1055" t="s">
        <v>1331</v>
      </c>
      <c r="E315" s="1055" t="s">
        <v>584</v>
      </c>
      <c r="F315" s="1055" t="s">
        <v>4375</v>
      </c>
      <c r="G315" s="1133">
        <v>11257</v>
      </c>
      <c r="H315" s="1055" t="s">
        <v>4383</v>
      </c>
      <c r="I315" s="1055" t="s">
        <v>4384</v>
      </c>
      <c r="J315" s="1055" t="s">
        <v>1021</v>
      </c>
      <c r="K315" s="1055" t="s">
        <v>4385</v>
      </c>
      <c r="L315" s="1135">
        <v>40276.160000000003</v>
      </c>
      <c r="M315" s="1136">
        <v>11261</v>
      </c>
      <c r="N315" s="1134">
        <v>41709</v>
      </c>
      <c r="O315" s="1134">
        <v>42004</v>
      </c>
      <c r="P315" s="1133">
        <v>1</v>
      </c>
      <c r="Q315" s="1055"/>
      <c r="R315" s="1055"/>
      <c r="S315" s="1055"/>
      <c r="T315" s="1055" t="s">
        <v>316</v>
      </c>
      <c r="U315" s="1055"/>
      <c r="V315" s="1055"/>
      <c r="W315" s="1064"/>
      <c r="X315" s="1140"/>
      <c r="Y315" s="1055"/>
      <c r="Z315" s="1055"/>
      <c r="AA315" s="1138"/>
      <c r="AB315" s="1055"/>
      <c r="AC315" s="1139"/>
      <c r="AD315" s="1139"/>
      <c r="AE315" s="1155">
        <f t="shared" si="9"/>
        <v>40276.160000000003</v>
      </c>
      <c r="AF315" s="525">
        <v>0</v>
      </c>
      <c r="AG315" s="1139">
        <f>38279.08+121+306.26+165.86+159.2+38.16+12.58</f>
        <v>39082.140000000007</v>
      </c>
      <c r="AH315" s="1139">
        <f t="shared" si="7"/>
        <v>39082.140000000007</v>
      </c>
      <c r="AI315" s="1055"/>
      <c r="AJ315" s="1064"/>
      <c r="AK315" s="1055"/>
      <c r="AL315" s="1133"/>
      <c r="AM315" s="1055"/>
      <c r="AN315" s="1055"/>
      <c r="AO315" s="1064"/>
      <c r="AP315" s="1137"/>
      <c r="AQ315" s="1064"/>
      <c r="AR315" s="1137"/>
      <c r="AS315" s="1055"/>
      <c r="AT315" s="1133"/>
      <c r="AU315" s="1133"/>
      <c r="AV315" s="1133"/>
      <c r="AW315" s="1133"/>
      <c r="AX315" s="1133"/>
      <c r="AY315" s="1133"/>
      <c r="AZ315" s="1133"/>
      <c r="BA315" s="1133"/>
      <c r="BB315" s="1133"/>
      <c r="BC315" s="1133"/>
      <c r="BD315" s="1133"/>
      <c r="BE315" s="1480"/>
      <c r="BF315" s="1480"/>
      <c r="BG315" s="1480"/>
      <c r="BH315" s="1480"/>
      <c r="BI315" s="1480"/>
      <c r="BJ315" s="1480"/>
    </row>
    <row r="316" spans="1:62" s="629" customFormat="1" ht="45" customHeight="1" x14ac:dyDescent="0.2">
      <c r="A316" s="2365">
        <v>146</v>
      </c>
      <c r="B316" s="2361" t="s">
        <v>4386</v>
      </c>
      <c r="C316" s="2023" t="s">
        <v>823</v>
      </c>
      <c r="D316" s="2023" t="s">
        <v>1331</v>
      </c>
      <c r="E316" s="2023" t="s">
        <v>584</v>
      </c>
      <c r="F316" s="2023" t="s">
        <v>4387</v>
      </c>
      <c r="G316" s="2355">
        <v>11263</v>
      </c>
      <c r="H316" s="2023" t="s">
        <v>4388</v>
      </c>
      <c r="I316" s="2023" t="s">
        <v>4389</v>
      </c>
      <c r="J316" s="2023" t="s">
        <v>2333</v>
      </c>
      <c r="K316" s="2347">
        <v>41710</v>
      </c>
      <c r="L316" s="2349">
        <v>56555.6</v>
      </c>
      <c r="M316" s="2393">
        <v>11267</v>
      </c>
      <c r="N316" s="2352">
        <v>41710</v>
      </c>
      <c r="O316" s="2352">
        <v>42004</v>
      </c>
      <c r="P316" s="2355">
        <v>1</v>
      </c>
      <c r="Q316" s="2023"/>
      <c r="R316" s="2023"/>
      <c r="S316" s="2023"/>
      <c r="T316" s="2023" t="s">
        <v>208</v>
      </c>
      <c r="U316" s="1055"/>
      <c r="V316" s="1055"/>
      <c r="W316" s="1064"/>
      <c r="X316" s="1140"/>
      <c r="Y316" s="1055"/>
      <c r="Z316" s="1055"/>
      <c r="AA316" s="1138"/>
      <c r="AB316" s="1055"/>
      <c r="AC316" s="1139"/>
      <c r="AD316" s="1139"/>
      <c r="AE316" s="2345">
        <f t="shared" si="9"/>
        <v>56555.6</v>
      </c>
      <c r="AF316" s="525">
        <v>0</v>
      </c>
      <c r="AG316" s="1135">
        <v>16031.08</v>
      </c>
      <c r="AH316" s="1139">
        <f t="shared" si="7"/>
        <v>16031.08</v>
      </c>
      <c r="AI316" s="1055"/>
      <c r="AJ316" s="1064"/>
      <c r="AK316" s="1055"/>
      <c r="AL316" s="1133"/>
      <c r="AM316" s="1055"/>
      <c r="AN316" s="1055"/>
      <c r="AO316" s="1064"/>
      <c r="AP316" s="1137"/>
      <c r="AQ316" s="1064"/>
      <c r="AR316" s="1137"/>
      <c r="AS316" s="1055"/>
      <c r="AT316" s="1133"/>
      <c r="AU316" s="1133"/>
      <c r="AV316" s="1133"/>
      <c r="AW316" s="1133"/>
      <c r="AX316" s="1133"/>
      <c r="AY316" s="1133"/>
      <c r="AZ316" s="1133"/>
      <c r="BA316" s="1133"/>
      <c r="BB316" s="1133"/>
      <c r="BC316" s="1133"/>
      <c r="BD316" s="1133"/>
      <c r="BE316" s="1480"/>
      <c r="BF316" s="1480"/>
      <c r="BG316" s="1480"/>
      <c r="BH316" s="1480"/>
      <c r="BI316" s="1480"/>
      <c r="BJ316" s="1480"/>
    </row>
    <row r="317" spans="1:62" s="629" customFormat="1" ht="12.75" x14ac:dyDescent="0.2">
      <c r="A317" s="2365"/>
      <c r="B317" s="2361"/>
      <c r="C317" s="2023"/>
      <c r="D317" s="2023"/>
      <c r="E317" s="2023"/>
      <c r="F317" s="2023"/>
      <c r="G317" s="2355"/>
      <c r="H317" s="2023"/>
      <c r="I317" s="2023"/>
      <c r="J317" s="2023"/>
      <c r="K317" s="2347"/>
      <c r="L317" s="2349"/>
      <c r="M317" s="2393"/>
      <c r="N317" s="2352"/>
      <c r="O317" s="2352"/>
      <c r="P317" s="2355"/>
      <c r="Q317" s="2023"/>
      <c r="R317" s="2023"/>
      <c r="S317" s="2023"/>
      <c r="T317" s="2023"/>
      <c r="U317" s="1055"/>
      <c r="V317" s="1055"/>
      <c r="W317" s="1064"/>
      <c r="X317" s="1140"/>
      <c r="Y317" s="1055"/>
      <c r="Z317" s="1055"/>
      <c r="AA317" s="1138"/>
      <c r="AB317" s="1055"/>
      <c r="AC317" s="1139"/>
      <c r="AD317" s="1139"/>
      <c r="AE317" s="2346"/>
      <c r="AF317" s="525">
        <v>0</v>
      </c>
      <c r="AG317" s="1135"/>
      <c r="AH317" s="1139">
        <f t="shared" si="7"/>
        <v>0</v>
      </c>
      <c r="AI317" s="1055"/>
      <c r="AJ317" s="1064"/>
      <c r="AK317" s="1055"/>
      <c r="AL317" s="1133"/>
      <c r="AM317" s="1055"/>
      <c r="AN317" s="1055"/>
      <c r="AO317" s="1064"/>
      <c r="AP317" s="1137"/>
      <c r="AQ317" s="1064"/>
      <c r="AR317" s="1137"/>
      <c r="AS317" s="1055"/>
      <c r="AT317" s="1133"/>
      <c r="AU317" s="1133"/>
      <c r="AV317" s="1133"/>
      <c r="AW317" s="1133"/>
      <c r="AX317" s="1133"/>
      <c r="AY317" s="1133"/>
      <c r="AZ317" s="1133"/>
      <c r="BA317" s="1133"/>
      <c r="BB317" s="1133"/>
      <c r="BC317" s="1133"/>
      <c r="BD317" s="1133"/>
      <c r="BE317" s="1480"/>
      <c r="BF317" s="1480"/>
      <c r="BG317" s="1480"/>
      <c r="BH317" s="1480"/>
      <c r="BI317" s="1480"/>
      <c r="BJ317" s="1480"/>
    </row>
    <row r="318" spans="1:62" s="629" customFormat="1" ht="12.75" x14ac:dyDescent="0.2">
      <c r="A318" s="2365"/>
      <c r="B318" s="2361"/>
      <c r="C318" s="2023"/>
      <c r="D318" s="2023"/>
      <c r="E318" s="2023"/>
      <c r="F318" s="2023"/>
      <c r="G318" s="2355"/>
      <c r="H318" s="2023"/>
      <c r="I318" s="2023"/>
      <c r="J318" s="2023"/>
      <c r="K318" s="2023"/>
      <c r="L318" s="2349"/>
      <c r="M318" s="2374"/>
      <c r="N318" s="2352"/>
      <c r="O318" s="2352"/>
      <c r="P318" s="1133">
        <v>16</v>
      </c>
      <c r="Q318" s="2023"/>
      <c r="R318" s="2023"/>
      <c r="S318" s="2023"/>
      <c r="T318" s="2023"/>
      <c r="U318" s="1055"/>
      <c r="V318" s="1055"/>
      <c r="W318" s="1064"/>
      <c r="X318" s="1140"/>
      <c r="Y318" s="1055"/>
      <c r="Z318" s="1055"/>
      <c r="AA318" s="1138"/>
      <c r="AB318" s="1055"/>
      <c r="AC318" s="1139"/>
      <c r="AD318" s="1139"/>
      <c r="AE318" s="2371"/>
      <c r="AF318" s="525">
        <v>0</v>
      </c>
      <c r="AG318" s="1135">
        <v>88.5</v>
      </c>
      <c r="AH318" s="1139">
        <f t="shared" si="7"/>
        <v>88.5</v>
      </c>
      <c r="AI318" s="1055"/>
      <c r="AJ318" s="1064"/>
      <c r="AK318" s="1055"/>
      <c r="AL318" s="1133"/>
      <c r="AM318" s="1055"/>
      <c r="AN318" s="1055"/>
      <c r="AO318" s="1064"/>
      <c r="AP318" s="1137"/>
      <c r="AQ318" s="1064"/>
      <c r="AR318" s="1137"/>
      <c r="AS318" s="1055"/>
      <c r="AT318" s="1133"/>
      <c r="AU318" s="1133"/>
      <c r="AV318" s="1133"/>
      <c r="AW318" s="1133"/>
      <c r="AX318" s="1133"/>
      <c r="AY318" s="1133"/>
      <c r="AZ318" s="1133"/>
      <c r="BA318" s="1133"/>
      <c r="BB318" s="1133"/>
      <c r="BC318" s="1133"/>
      <c r="BD318" s="1133"/>
      <c r="BE318" s="1480"/>
      <c r="BF318" s="1480"/>
      <c r="BG318" s="1480"/>
      <c r="BH318" s="1480"/>
      <c r="BI318" s="1480"/>
      <c r="BJ318" s="1480"/>
    </row>
    <row r="319" spans="1:62" s="629" customFormat="1" ht="45" customHeight="1" x14ac:dyDescent="0.2">
      <c r="A319" s="1514">
        <v>147</v>
      </c>
      <c r="B319" s="636" t="s">
        <v>4390</v>
      </c>
      <c r="C319" s="1055" t="s">
        <v>4391</v>
      </c>
      <c r="D319" s="1091" t="s">
        <v>1331</v>
      </c>
      <c r="E319" s="1055" t="s">
        <v>584</v>
      </c>
      <c r="F319" s="1055" t="s">
        <v>4392</v>
      </c>
      <c r="G319" s="1133">
        <v>11078</v>
      </c>
      <c r="H319" s="1055" t="s">
        <v>4393</v>
      </c>
      <c r="I319" s="1055" t="s">
        <v>4394</v>
      </c>
      <c r="J319" s="1055" t="s">
        <v>4395</v>
      </c>
      <c r="K319" s="1137">
        <v>41712</v>
      </c>
      <c r="L319" s="1135">
        <v>30000</v>
      </c>
      <c r="M319" s="1136">
        <v>11267</v>
      </c>
      <c r="N319" s="1134">
        <v>41712</v>
      </c>
      <c r="O319" s="1134">
        <v>41759</v>
      </c>
      <c r="P319" s="1133">
        <v>1</v>
      </c>
      <c r="Q319" s="1055"/>
      <c r="R319" s="1055"/>
      <c r="S319" s="1055"/>
      <c r="T319" s="1055" t="s">
        <v>316</v>
      </c>
      <c r="U319" s="1055"/>
      <c r="V319" s="1055"/>
      <c r="W319" s="1064"/>
      <c r="X319" s="1140"/>
      <c r="Y319" s="1055"/>
      <c r="Z319" s="1055"/>
      <c r="AA319" s="1138"/>
      <c r="AB319" s="1055"/>
      <c r="AC319" s="1139"/>
      <c r="AD319" s="1139"/>
      <c r="AE319" s="1155">
        <f>L319-AD319+AC319</f>
        <v>30000</v>
      </c>
      <c r="AF319" s="525">
        <v>0</v>
      </c>
      <c r="AG319" s="1139">
        <v>30000</v>
      </c>
      <c r="AH319" s="1139">
        <f t="shared" si="7"/>
        <v>30000</v>
      </c>
      <c r="AI319" s="1055"/>
      <c r="AJ319" s="1064"/>
      <c r="AK319" s="1055"/>
      <c r="AL319" s="1133"/>
      <c r="AM319" s="1055"/>
      <c r="AN319" s="1055"/>
      <c r="AO319" s="1064"/>
      <c r="AP319" s="1137"/>
      <c r="AQ319" s="1064"/>
      <c r="AR319" s="1137"/>
      <c r="AS319" s="1055"/>
      <c r="AT319" s="1133"/>
      <c r="AU319" s="1133"/>
      <c r="AV319" s="1133"/>
      <c r="AW319" s="1133"/>
      <c r="AX319" s="1133"/>
      <c r="AY319" s="1133"/>
      <c r="AZ319" s="1133"/>
      <c r="BA319" s="1133"/>
      <c r="BB319" s="1133"/>
      <c r="BC319" s="1133"/>
      <c r="BD319" s="1133"/>
      <c r="BE319" s="1480"/>
      <c r="BF319" s="1480"/>
      <c r="BG319" s="1480"/>
      <c r="BH319" s="1480"/>
      <c r="BI319" s="1480"/>
      <c r="BJ319" s="1480"/>
    </row>
    <row r="320" spans="1:62" s="629" customFormat="1" ht="45" customHeight="1" x14ac:dyDescent="0.2">
      <c r="A320" s="1514">
        <v>148</v>
      </c>
      <c r="B320" s="636" t="s">
        <v>4396</v>
      </c>
      <c r="C320" s="1055" t="s">
        <v>4243</v>
      </c>
      <c r="D320" s="1055" t="s">
        <v>1331</v>
      </c>
      <c r="E320" s="1055" t="s">
        <v>584</v>
      </c>
      <c r="F320" s="1055" t="s">
        <v>4397</v>
      </c>
      <c r="G320" s="1133">
        <v>11053</v>
      </c>
      <c r="H320" s="1055" t="s">
        <v>4398</v>
      </c>
      <c r="I320" s="1055" t="s">
        <v>1958</v>
      </c>
      <c r="J320" s="1055" t="s">
        <v>746</v>
      </c>
      <c r="K320" s="1137">
        <v>41717</v>
      </c>
      <c r="L320" s="1135">
        <v>14143.6</v>
      </c>
      <c r="M320" s="1136">
        <v>11267</v>
      </c>
      <c r="N320" s="1134">
        <v>41717</v>
      </c>
      <c r="O320" s="1134">
        <v>41763</v>
      </c>
      <c r="P320" s="1133">
        <v>1</v>
      </c>
      <c r="Q320" s="1055"/>
      <c r="R320" s="1055"/>
      <c r="S320" s="1055"/>
      <c r="T320" s="1055" t="s">
        <v>316</v>
      </c>
      <c r="U320" s="1055"/>
      <c r="V320" s="1055"/>
      <c r="W320" s="1064"/>
      <c r="X320" s="1140"/>
      <c r="Y320" s="1055"/>
      <c r="Z320" s="1055"/>
      <c r="AA320" s="1138"/>
      <c r="AB320" s="1055"/>
      <c r="AC320" s="1139"/>
      <c r="AD320" s="1139"/>
      <c r="AE320" s="1155">
        <f>L320-AD320+AC320</f>
        <v>14143.6</v>
      </c>
      <c r="AF320" s="525">
        <v>0</v>
      </c>
      <c r="AG320" s="1135">
        <v>14153.6</v>
      </c>
      <c r="AH320" s="1139">
        <f t="shared" si="7"/>
        <v>14153.6</v>
      </c>
      <c r="AI320" s="1055"/>
      <c r="AJ320" s="1064"/>
      <c r="AK320" s="1055"/>
      <c r="AL320" s="1133"/>
      <c r="AM320" s="1055"/>
      <c r="AN320" s="1055"/>
      <c r="AO320" s="1064"/>
      <c r="AP320" s="1137"/>
      <c r="AQ320" s="1064"/>
      <c r="AR320" s="1137"/>
      <c r="AS320" s="1055"/>
      <c r="AT320" s="1133"/>
      <c r="AU320" s="1133"/>
      <c r="AV320" s="1133"/>
      <c r="AW320" s="1133"/>
      <c r="AX320" s="1133"/>
      <c r="AY320" s="1133"/>
      <c r="AZ320" s="1133"/>
      <c r="BA320" s="1133"/>
      <c r="BB320" s="1133"/>
      <c r="BC320" s="1133"/>
      <c r="BD320" s="1133"/>
      <c r="BE320" s="1480"/>
      <c r="BF320" s="1480"/>
      <c r="BG320" s="1480"/>
      <c r="BH320" s="1480"/>
      <c r="BI320" s="1480"/>
      <c r="BJ320" s="1480"/>
    </row>
    <row r="321" spans="1:62" s="629" customFormat="1" ht="45" customHeight="1" x14ac:dyDescent="0.2">
      <c r="A321" s="1514">
        <v>149</v>
      </c>
      <c r="B321" s="636" t="s">
        <v>4396</v>
      </c>
      <c r="C321" s="1055" t="s">
        <v>4243</v>
      </c>
      <c r="D321" s="1055" t="s">
        <v>1548</v>
      </c>
      <c r="E321" s="1055" t="s">
        <v>584</v>
      </c>
      <c r="F321" s="1055" t="s">
        <v>4397</v>
      </c>
      <c r="G321" s="1133">
        <v>11053</v>
      </c>
      <c r="H321" s="1055" t="s">
        <v>4399</v>
      </c>
      <c r="I321" s="1055" t="s">
        <v>4400</v>
      </c>
      <c r="J321" s="1055" t="s">
        <v>1740</v>
      </c>
      <c r="K321" s="1137">
        <v>41858</v>
      </c>
      <c r="L321" s="1135">
        <v>8452.75</v>
      </c>
      <c r="M321" s="1136">
        <v>11267</v>
      </c>
      <c r="N321" s="1134">
        <v>41858</v>
      </c>
      <c r="O321" s="1134">
        <v>41904</v>
      </c>
      <c r="P321" s="1133">
        <v>1</v>
      </c>
      <c r="Q321" s="1055"/>
      <c r="R321" s="1055"/>
      <c r="S321" s="1055"/>
      <c r="T321" s="1055" t="s">
        <v>316</v>
      </c>
      <c r="U321" s="1055"/>
      <c r="V321" s="1055"/>
      <c r="W321" s="1064"/>
      <c r="X321" s="1140"/>
      <c r="Y321" s="1055"/>
      <c r="Z321" s="1055"/>
      <c r="AA321" s="1138"/>
      <c r="AB321" s="1055"/>
      <c r="AC321" s="1139"/>
      <c r="AD321" s="1139"/>
      <c r="AE321" s="1155">
        <f>L321-AD321+AC321</f>
        <v>8452.75</v>
      </c>
      <c r="AF321" s="525">
        <v>0</v>
      </c>
      <c r="AG321" s="525">
        <v>0</v>
      </c>
      <c r="AH321" s="1139">
        <f t="shared" si="7"/>
        <v>0</v>
      </c>
      <c r="AI321" s="1055"/>
      <c r="AJ321" s="1064"/>
      <c r="AK321" s="1055"/>
      <c r="AL321" s="1133"/>
      <c r="AM321" s="1055"/>
      <c r="AN321" s="1055"/>
      <c r="AO321" s="1064"/>
      <c r="AP321" s="1137"/>
      <c r="AQ321" s="1064"/>
      <c r="AR321" s="1137"/>
      <c r="AS321" s="1055"/>
      <c r="AT321" s="1133"/>
      <c r="AU321" s="1133"/>
      <c r="AV321" s="1133"/>
      <c r="AW321" s="1133"/>
      <c r="AX321" s="1133"/>
      <c r="AY321" s="1133"/>
      <c r="AZ321" s="1133"/>
      <c r="BA321" s="1133"/>
      <c r="BB321" s="1133"/>
      <c r="BC321" s="1133"/>
      <c r="BD321" s="1133"/>
      <c r="BE321" s="1480"/>
      <c r="BF321" s="1480"/>
      <c r="BG321" s="1480"/>
      <c r="BH321" s="1480"/>
      <c r="BI321" s="1480"/>
      <c r="BJ321" s="1480"/>
    </row>
    <row r="322" spans="1:62" s="629" customFormat="1" ht="45" customHeight="1" x14ac:dyDescent="0.2">
      <c r="A322" s="1514">
        <v>150</v>
      </c>
      <c r="B322" s="636" t="s">
        <v>4396</v>
      </c>
      <c r="C322" s="1055" t="s">
        <v>4243</v>
      </c>
      <c r="D322" s="1055" t="s">
        <v>1331</v>
      </c>
      <c r="E322" s="1055" t="s">
        <v>584</v>
      </c>
      <c r="F322" s="1055" t="s">
        <v>4397</v>
      </c>
      <c r="G322" s="1133">
        <v>11053</v>
      </c>
      <c r="H322" s="1055" t="s">
        <v>4401</v>
      </c>
      <c r="I322" s="1055" t="s">
        <v>4402</v>
      </c>
      <c r="J322" s="1055" t="s">
        <v>537</v>
      </c>
      <c r="K322" s="1137">
        <v>41717</v>
      </c>
      <c r="L322" s="1135">
        <v>6908</v>
      </c>
      <c r="M322" s="1136">
        <v>11267</v>
      </c>
      <c r="N322" s="1134">
        <v>41717</v>
      </c>
      <c r="O322" s="1134">
        <v>41763</v>
      </c>
      <c r="P322" s="1133">
        <v>1</v>
      </c>
      <c r="Q322" s="1055"/>
      <c r="R322" s="1055"/>
      <c r="S322" s="1055"/>
      <c r="T322" s="1055" t="s">
        <v>316</v>
      </c>
      <c r="U322" s="1055"/>
      <c r="V322" s="1055"/>
      <c r="W322" s="1064"/>
      <c r="X322" s="1140"/>
      <c r="Y322" s="1055"/>
      <c r="Z322" s="1055"/>
      <c r="AA322" s="1138"/>
      <c r="AB322" s="1055"/>
      <c r="AC322" s="1139"/>
      <c r="AD322" s="1139"/>
      <c r="AE322" s="1155">
        <f>L322-AD322+AC322</f>
        <v>6908</v>
      </c>
      <c r="AF322" s="525">
        <v>0</v>
      </c>
      <c r="AG322" s="1135">
        <v>6908</v>
      </c>
      <c r="AH322" s="1139">
        <f t="shared" si="7"/>
        <v>6908</v>
      </c>
      <c r="AI322" s="1055"/>
      <c r="AJ322" s="1064"/>
      <c r="AK322" s="1055"/>
      <c r="AL322" s="1133"/>
      <c r="AM322" s="1055"/>
      <c r="AN322" s="1055"/>
      <c r="AO322" s="1064"/>
      <c r="AP322" s="1137"/>
      <c r="AQ322" s="1064"/>
      <c r="AR322" s="1137"/>
      <c r="AS322" s="1055"/>
      <c r="AT322" s="1133"/>
      <c r="AU322" s="1133"/>
      <c r="AV322" s="1133"/>
      <c r="AW322" s="1133"/>
      <c r="AX322" s="1133"/>
      <c r="AY322" s="1133"/>
      <c r="AZ322" s="1133"/>
      <c r="BA322" s="1133"/>
      <c r="BB322" s="1133"/>
      <c r="BC322" s="1133"/>
      <c r="BD322" s="1133"/>
      <c r="BE322" s="1480"/>
      <c r="BF322" s="1480"/>
      <c r="BG322" s="1480"/>
      <c r="BH322" s="1480"/>
      <c r="BI322" s="1480"/>
      <c r="BJ322" s="1480"/>
    </row>
    <row r="323" spans="1:62" s="629" customFormat="1" ht="45" customHeight="1" x14ac:dyDescent="0.2">
      <c r="A323" s="2365">
        <v>151</v>
      </c>
      <c r="B323" s="2361" t="s">
        <v>4403</v>
      </c>
      <c r="C323" s="2023" t="s">
        <v>1070</v>
      </c>
      <c r="D323" s="2023" t="s">
        <v>1331</v>
      </c>
      <c r="E323" s="2023" t="s">
        <v>584</v>
      </c>
      <c r="F323" s="2023" t="s">
        <v>4397</v>
      </c>
      <c r="G323" s="2373">
        <v>11026</v>
      </c>
      <c r="H323" s="2023" t="s">
        <v>4404</v>
      </c>
      <c r="I323" s="2023" t="s">
        <v>4405</v>
      </c>
      <c r="J323" s="2023" t="s">
        <v>330</v>
      </c>
      <c r="K323" s="2347">
        <v>41722</v>
      </c>
      <c r="L323" s="2349">
        <v>19449.400000000001</v>
      </c>
      <c r="M323" s="2393">
        <v>11278</v>
      </c>
      <c r="N323" s="2352">
        <v>41722</v>
      </c>
      <c r="O323" s="2352">
        <v>41768</v>
      </c>
      <c r="P323" s="2354" t="s">
        <v>3905</v>
      </c>
      <c r="Q323" s="2023"/>
      <c r="R323" s="2023"/>
      <c r="S323" s="2023"/>
      <c r="T323" s="2023" t="s">
        <v>316</v>
      </c>
      <c r="U323" s="1055"/>
      <c r="V323" s="1055"/>
      <c r="W323" s="1064"/>
      <c r="X323" s="1140"/>
      <c r="Y323" s="1055"/>
      <c r="Z323" s="1055"/>
      <c r="AA323" s="1138"/>
      <c r="AB323" s="1055"/>
      <c r="AC323" s="1139"/>
      <c r="AD323" s="1139"/>
      <c r="AE323" s="2345">
        <f>L323-AD323+AC323</f>
        <v>19449.400000000001</v>
      </c>
      <c r="AF323" s="525">
        <v>0</v>
      </c>
      <c r="AG323" s="1135">
        <v>1187.6500000000001</v>
      </c>
      <c r="AH323" s="1139">
        <f t="shared" si="7"/>
        <v>1187.6500000000001</v>
      </c>
      <c r="AI323" s="1055"/>
      <c r="AJ323" s="1064"/>
      <c r="AK323" s="1055"/>
      <c r="AL323" s="1133"/>
      <c r="AM323" s="1055"/>
      <c r="AN323" s="1055"/>
      <c r="AO323" s="1064"/>
      <c r="AP323" s="1137"/>
      <c r="AQ323" s="1064"/>
      <c r="AR323" s="1137"/>
      <c r="AS323" s="1055"/>
      <c r="AT323" s="1133"/>
      <c r="AU323" s="1133"/>
      <c r="AV323" s="1133"/>
      <c r="AW323" s="1133"/>
      <c r="AX323" s="1133"/>
      <c r="AY323" s="1133"/>
      <c r="AZ323" s="1133"/>
      <c r="BA323" s="1133"/>
      <c r="BB323" s="1133"/>
      <c r="BC323" s="1133"/>
      <c r="BD323" s="1133"/>
      <c r="BE323" s="1480"/>
      <c r="BF323" s="1480"/>
      <c r="BG323" s="1480"/>
      <c r="BH323" s="1480"/>
      <c r="BI323" s="1480"/>
      <c r="BJ323" s="1480"/>
    </row>
    <row r="324" spans="1:62" s="629" customFormat="1" ht="12.75" x14ac:dyDescent="0.2">
      <c r="A324" s="2365"/>
      <c r="B324" s="2361"/>
      <c r="C324" s="2023"/>
      <c r="D324" s="2023"/>
      <c r="E324" s="2023"/>
      <c r="F324" s="2023"/>
      <c r="G324" s="2373"/>
      <c r="H324" s="2023"/>
      <c r="I324" s="2023"/>
      <c r="J324" s="2023"/>
      <c r="K324" s="2347"/>
      <c r="L324" s="2349"/>
      <c r="M324" s="2393"/>
      <c r="N324" s="2352"/>
      <c r="O324" s="2352"/>
      <c r="P324" s="2354"/>
      <c r="Q324" s="2023"/>
      <c r="R324" s="2023"/>
      <c r="S324" s="2023"/>
      <c r="T324" s="2023"/>
      <c r="U324" s="1055"/>
      <c r="V324" s="1055"/>
      <c r="W324" s="1064"/>
      <c r="X324" s="1140"/>
      <c r="Y324" s="1055"/>
      <c r="Z324" s="1055"/>
      <c r="AA324" s="1138"/>
      <c r="AB324" s="1055"/>
      <c r="AC324" s="1139"/>
      <c r="AD324" s="1139"/>
      <c r="AE324" s="2346"/>
      <c r="AF324" s="525">
        <v>0</v>
      </c>
      <c r="AG324" s="525">
        <v>0</v>
      </c>
      <c r="AH324" s="1139">
        <f t="shared" si="7"/>
        <v>0</v>
      </c>
      <c r="AI324" s="1055"/>
      <c r="AJ324" s="1064"/>
      <c r="AK324" s="1055"/>
      <c r="AL324" s="1133"/>
      <c r="AM324" s="1055"/>
      <c r="AN324" s="1055"/>
      <c r="AO324" s="1064"/>
      <c r="AP324" s="1137"/>
      <c r="AQ324" s="1064"/>
      <c r="AR324" s="1137"/>
      <c r="AS324" s="1055"/>
      <c r="AT324" s="1133"/>
      <c r="AU324" s="1133"/>
      <c r="AV324" s="1133"/>
      <c r="AW324" s="1133"/>
      <c r="AX324" s="1133"/>
      <c r="AY324" s="1133"/>
      <c r="AZ324" s="1133"/>
      <c r="BA324" s="1133"/>
      <c r="BB324" s="1133"/>
      <c r="BC324" s="1133"/>
      <c r="BD324" s="1133"/>
      <c r="BE324" s="1480"/>
      <c r="BF324" s="1480"/>
      <c r="BG324" s="1480"/>
      <c r="BH324" s="1480"/>
      <c r="BI324" s="1480"/>
      <c r="BJ324" s="1480"/>
    </row>
    <row r="325" spans="1:62" s="629" customFormat="1" ht="12.75" x14ac:dyDescent="0.2">
      <c r="A325" s="2365"/>
      <c r="B325" s="2361"/>
      <c r="C325" s="2023"/>
      <c r="D325" s="2023"/>
      <c r="E325" s="2023"/>
      <c r="F325" s="2023"/>
      <c r="G325" s="2355"/>
      <c r="H325" s="2023"/>
      <c r="I325" s="2023"/>
      <c r="J325" s="2023"/>
      <c r="K325" s="2023"/>
      <c r="L325" s="2349"/>
      <c r="M325" s="2374"/>
      <c r="N325" s="2352"/>
      <c r="O325" s="2352"/>
      <c r="P325" s="1132" t="s">
        <v>4071</v>
      </c>
      <c r="Q325" s="2023"/>
      <c r="R325" s="2023"/>
      <c r="S325" s="2023"/>
      <c r="T325" s="2023"/>
      <c r="U325" s="1055"/>
      <c r="V325" s="1055"/>
      <c r="W325" s="1064"/>
      <c r="X325" s="1140"/>
      <c r="Y325" s="1055"/>
      <c r="Z325" s="1055"/>
      <c r="AA325" s="1138"/>
      <c r="AB325" s="1055"/>
      <c r="AC325" s="1139"/>
      <c r="AD325" s="1139"/>
      <c r="AE325" s="2371"/>
      <c r="AF325" s="525">
        <v>0</v>
      </c>
      <c r="AG325" s="1135">
        <v>18261.75</v>
      </c>
      <c r="AH325" s="1139">
        <f t="shared" si="7"/>
        <v>18261.75</v>
      </c>
      <c r="AI325" s="1055"/>
      <c r="AJ325" s="1064"/>
      <c r="AK325" s="1055"/>
      <c r="AL325" s="1133"/>
      <c r="AM325" s="1055"/>
      <c r="AN325" s="1055"/>
      <c r="AO325" s="1064"/>
      <c r="AP325" s="1137"/>
      <c r="AQ325" s="1064"/>
      <c r="AR325" s="1137"/>
      <c r="AS325" s="1055"/>
      <c r="AT325" s="1133"/>
      <c r="AU325" s="1133"/>
      <c r="AV325" s="1133"/>
      <c r="AW325" s="1133"/>
      <c r="AX325" s="1133"/>
      <c r="AY325" s="1133"/>
      <c r="AZ325" s="1133"/>
      <c r="BA325" s="1133"/>
      <c r="BB325" s="1133"/>
      <c r="BC325" s="1133"/>
      <c r="BD325" s="1133"/>
      <c r="BE325" s="1480"/>
      <c r="BF325" s="1480"/>
      <c r="BG325" s="1480"/>
      <c r="BH325" s="1480"/>
      <c r="BI325" s="1480"/>
      <c r="BJ325" s="1480"/>
    </row>
    <row r="326" spans="1:62" s="629" customFormat="1" ht="45" customHeight="1" x14ac:dyDescent="0.2">
      <c r="A326" s="2365">
        <v>152</v>
      </c>
      <c r="B326" s="2361" t="s">
        <v>4403</v>
      </c>
      <c r="C326" s="2023" t="s">
        <v>1070</v>
      </c>
      <c r="D326" s="2023" t="s">
        <v>1331</v>
      </c>
      <c r="E326" s="2023" t="s">
        <v>584</v>
      </c>
      <c r="F326" s="2023" t="s">
        <v>4397</v>
      </c>
      <c r="G326" s="2355">
        <v>11026</v>
      </c>
      <c r="H326" s="2023" t="s">
        <v>4406</v>
      </c>
      <c r="I326" s="2023" t="s">
        <v>4407</v>
      </c>
      <c r="J326" s="2023" t="s">
        <v>4408</v>
      </c>
      <c r="K326" s="2347">
        <v>41722</v>
      </c>
      <c r="L326" s="2349">
        <v>90920.9</v>
      </c>
      <c r="M326" s="2393">
        <v>11278</v>
      </c>
      <c r="N326" s="2352">
        <v>41722</v>
      </c>
      <c r="O326" s="2352">
        <v>41768</v>
      </c>
      <c r="P326" s="2354" t="s">
        <v>3905</v>
      </c>
      <c r="Q326" s="2023"/>
      <c r="R326" s="2023"/>
      <c r="S326" s="2023"/>
      <c r="T326" s="2023" t="s">
        <v>316</v>
      </c>
      <c r="U326" s="1055"/>
      <c r="V326" s="1055"/>
      <c r="W326" s="1064"/>
      <c r="X326" s="1140"/>
      <c r="Y326" s="1055"/>
      <c r="Z326" s="1055"/>
      <c r="AA326" s="1138"/>
      <c r="AB326" s="1055"/>
      <c r="AC326" s="1139"/>
      <c r="AD326" s="1139"/>
      <c r="AE326" s="2394">
        <f>L326-AD326+AC326</f>
        <v>90920.9</v>
      </c>
      <c r="AF326" s="525">
        <v>0</v>
      </c>
      <c r="AG326" s="1148">
        <v>91220.9</v>
      </c>
      <c r="AH326" s="1139">
        <f t="shared" si="7"/>
        <v>91220.9</v>
      </c>
      <c r="AI326" s="1055"/>
      <c r="AJ326" s="1064"/>
      <c r="AK326" s="1055"/>
      <c r="AL326" s="1133"/>
      <c r="AM326" s="1055"/>
      <c r="AN326" s="1055"/>
      <c r="AO326" s="1064"/>
      <c r="AP326" s="1137"/>
      <c r="AQ326" s="1064"/>
      <c r="AR326" s="1137"/>
      <c r="AS326" s="1055"/>
      <c r="AT326" s="1133"/>
      <c r="AU326" s="1133"/>
      <c r="AV326" s="1133"/>
      <c r="AW326" s="1133"/>
      <c r="AX326" s="1133"/>
      <c r="AY326" s="1133"/>
      <c r="AZ326" s="1133"/>
      <c r="BA326" s="1133"/>
      <c r="BB326" s="1133"/>
      <c r="BC326" s="1133"/>
      <c r="BD326" s="1133"/>
      <c r="BE326" s="1480"/>
      <c r="BF326" s="1480"/>
      <c r="BG326" s="1480"/>
      <c r="BH326" s="1480"/>
      <c r="BI326" s="1480"/>
      <c r="BJ326" s="1480"/>
    </row>
    <row r="327" spans="1:62" s="629" customFormat="1" ht="12.75" x14ac:dyDescent="0.2">
      <c r="A327" s="2365"/>
      <c r="B327" s="2361"/>
      <c r="C327" s="2023"/>
      <c r="D327" s="2023"/>
      <c r="E327" s="2023"/>
      <c r="F327" s="2023"/>
      <c r="G327" s="2355"/>
      <c r="H327" s="2023"/>
      <c r="I327" s="2023"/>
      <c r="J327" s="2023"/>
      <c r="K327" s="2347"/>
      <c r="L327" s="2349"/>
      <c r="M327" s="2393"/>
      <c r="N327" s="2352"/>
      <c r="O327" s="2352"/>
      <c r="P327" s="2354"/>
      <c r="Q327" s="2023"/>
      <c r="R327" s="2023"/>
      <c r="S327" s="2023"/>
      <c r="T327" s="2023"/>
      <c r="U327" s="1055"/>
      <c r="V327" s="1055"/>
      <c r="W327" s="1064"/>
      <c r="X327" s="1140"/>
      <c r="Y327" s="1055"/>
      <c r="Z327" s="1055"/>
      <c r="AA327" s="1138"/>
      <c r="AB327" s="1055"/>
      <c r="AC327" s="1139"/>
      <c r="AD327" s="1139"/>
      <c r="AE327" s="2395"/>
      <c r="AF327" s="525">
        <v>0</v>
      </c>
      <c r="AG327" s="525">
        <v>0</v>
      </c>
      <c r="AH327" s="1139">
        <f t="shared" si="7"/>
        <v>0</v>
      </c>
      <c r="AI327" s="1055"/>
      <c r="AJ327" s="1064"/>
      <c r="AK327" s="1055"/>
      <c r="AL327" s="1133"/>
      <c r="AM327" s="1055"/>
      <c r="AN327" s="1055"/>
      <c r="AO327" s="1064"/>
      <c r="AP327" s="1137"/>
      <c r="AQ327" s="1064"/>
      <c r="AR327" s="1137"/>
      <c r="AS327" s="1055"/>
      <c r="AT327" s="1133"/>
      <c r="AU327" s="1133"/>
      <c r="AV327" s="1133"/>
      <c r="AW327" s="1133"/>
      <c r="AX327" s="1133"/>
      <c r="AY327" s="1133"/>
      <c r="AZ327" s="1133"/>
      <c r="BA327" s="1133"/>
      <c r="BB327" s="1133"/>
      <c r="BC327" s="1133"/>
      <c r="BD327" s="1133"/>
      <c r="BE327" s="1480"/>
      <c r="BF327" s="1480"/>
      <c r="BG327" s="1480"/>
      <c r="BH327" s="1480"/>
      <c r="BI327" s="1480"/>
      <c r="BJ327" s="1480"/>
    </row>
    <row r="328" spans="1:62" s="629" customFormat="1" ht="12.75" x14ac:dyDescent="0.2">
      <c r="A328" s="2365"/>
      <c r="B328" s="2361"/>
      <c r="C328" s="2023"/>
      <c r="D328" s="2023"/>
      <c r="E328" s="2023"/>
      <c r="F328" s="2023"/>
      <c r="G328" s="2355"/>
      <c r="H328" s="2023"/>
      <c r="I328" s="2023"/>
      <c r="J328" s="2023"/>
      <c r="K328" s="2023"/>
      <c r="L328" s="2349"/>
      <c r="M328" s="2374"/>
      <c r="N328" s="2352"/>
      <c r="O328" s="2352"/>
      <c r="P328" s="1132" t="s">
        <v>4071</v>
      </c>
      <c r="Q328" s="2023"/>
      <c r="R328" s="2023"/>
      <c r="S328" s="2023"/>
      <c r="T328" s="2023"/>
      <c r="U328" s="1055"/>
      <c r="V328" s="1055"/>
      <c r="W328" s="1064"/>
      <c r="X328" s="1140"/>
      <c r="Y328" s="1055"/>
      <c r="Z328" s="1055"/>
      <c r="AA328" s="1138"/>
      <c r="AB328" s="1055"/>
      <c r="AC328" s="1139"/>
      <c r="AD328" s="1139"/>
      <c r="AE328" s="2396"/>
      <c r="AF328" s="525">
        <v>0</v>
      </c>
      <c r="AG328" s="1135">
        <v>47247.16</v>
      </c>
      <c r="AH328" s="1139">
        <f t="shared" si="7"/>
        <v>47247.16</v>
      </c>
      <c r="AI328" s="1055"/>
      <c r="AJ328" s="1064"/>
      <c r="AK328" s="1055"/>
      <c r="AL328" s="1133"/>
      <c r="AM328" s="1055"/>
      <c r="AN328" s="1055"/>
      <c r="AO328" s="1064"/>
      <c r="AP328" s="1137"/>
      <c r="AQ328" s="1064"/>
      <c r="AR328" s="1137"/>
      <c r="AS328" s="1055"/>
      <c r="AT328" s="1133"/>
      <c r="AU328" s="1133"/>
      <c r="AV328" s="1133"/>
      <c r="AW328" s="1133"/>
      <c r="AX328" s="1133"/>
      <c r="AY328" s="1133"/>
      <c r="AZ328" s="1133"/>
      <c r="BA328" s="1133"/>
      <c r="BB328" s="1133"/>
      <c r="BC328" s="1133"/>
      <c r="BD328" s="1133"/>
      <c r="BE328" s="1480"/>
      <c r="BF328" s="1480"/>
      <c r="BG328" s="1480"/>
      <c r="BH328" s="1480"/>
      <c r="BI328" s="1480"/>
      <c r="BJ328" s="1480"/>
    </row>
    <row r="329" spans="1:62" s="629" customFormat="1" ht="45" customHeight="1" x14ac:dyDescent="0.2">
      <c r="A329" s="2365">
        <v>153</v>
      </c>
      <c r="B329" s="2361" t="s">
        <v>4403</v>
      </c>
      <c r="C329" s="2023" t="s">
        <v>1070</v>
      </c>
      <c r="D329" s="2023" t="s">
        <v>1331</v>
      </c>
      <c r="E329" s="2023" t="s">
        <v>584</v>
      </c>
      <c r="F329" s="2023" t="s">
        <v>4397</v>
      </c>
      <c r="G329" s="2355">
        <v>11026</v>
      </c>
      <c r="H329" s="2023" t="s">
        <v>4409</v>
      </c>
      <c r="I329" s="2023" t="s">
        <v>4410</v>
      </c>
      <c r="J329" s="2023" t="s">
        <v>4411</v>
      </c>
      <c r="K329" s="2347">
        <v>41722</v>
      </c>
      <c r="L329" s="2349">
        <v>10186.799999999999</v>
      </c>
      <c r="M329" s="2374">
        <v>11278</v>
      </c>
      <c r="N329" s="2352">
        <v>41722</v>
      </c>
      <c r="O329" s="2352">
        <v>41768</v>
      </c>
      <c r="P329" s="2354" t="s">
        <v>3905</v>
      </c>
      <c r="Q329" s="2023"/>
      <c r="R329" s="2023"/>
      <c r="S329" s="2023"/>
      <c r="T329" s="2023" t="s">
        <v>316</v>
      </c>
      <c r="U329" s="1055"/>
      <c r="V329" s="1055"/>
      <c r="W329" s="1064"/>
      <c r="X329" s="1140"/>
      <c r="Y329" s="1055"/>
      <c r="Z329" s="1055"/>
      <c r="AA329" s="1138"/>
      <c r="AB329" s="1055"/>
      <c r="AC329" s="1139"/>
      <c r="AD329" s="1139"/>
      <c r="AE329" s="2345">
        <f>L329-AD329+AC329</f>
        <v>10186.799999999999</v>
      </c>
      <c r="AF329" s="525">
        <v>0</v>
      </c>
      <c r="AG329" s="1135">
        <v>7705.8</v>
      </c>
      <c r="AH329" s="1139">
        <f t="shared" si="7"/>
        <v>7705.8</v>
      </c>
      <c r="AI329" s="1055"/>
      <c r="AJ329" s="1064"/>
      <c r="AK329" s="1055"/>
      <c r="AL329" s="1133"/>
      <c r="AM329" s="1055"/>
      <c r="AN329" s="1055"/>
      <c r="AO329" s="1064"/>
      <c r="AP329" s="1137"/>
      <c r="AQ329" s="1064"/>
      <c r="AR329" s="1137"/>
      <c r="AS329" s="1055"/>
      <c r="AT329" s="1133"/>
      <c r="AU329" s="1133"/>
      <c r="AV329" s="1133"/>
      <c r="AW329" s="1133"/>
      <c r="AX329" s="1133"/>
      <c r="AY329" s="1133"/>
      <c r="AZ329" s="1133"/>
      <c r="BA329" s="1133"/>
      <c r="BB329" s="1133"/>
      <c r="BC329" s="1133"/>
      <c r="BD329" s="1133"/>
      <c r="BE329" s="1480"/>
      <c r="BF329" s="1480"/>
      <c r="BG329" s="1480"/>
      <c r="BH329" s="1480"/>
      <c r="BI329" s="1480"/>
      <c r="BJ329" s="1480"/>
    </row>
    <row r="330" spans="1:62" s="629" customFormat="1" ht="12.75" x14ac:dyDescent="0.2">
      <c r="A330" s="2365"/>
      <c r="B330" s="2361"/>
      <c r="C330" s="2023"/>
      <c r="D330" s="2023"/>
      <c r="E330" s="2023"/>
      <c r="F330" s="2023"/>
      <c r="G330" s="2355"/>
      <c r="H330" s="2023"/>
      <c r="I330" s="2023"/>
      <c r="J330" s="2023"/>
      <c r="K330" s="2347"/>
      <c r="L330" s="2349"/>
      <c r="M330" s="2374"/>
      <c r="N330" s="2352"/>
      <c r="O330" s="2352"/>
      <c r="P330" s="2354"/>
      <c r="Q330" s="2023"/>
      <c r="R330" s="2023"/>
      <c r="S330" s="2023"/>
      <c r="T330" s="2023"/>
      <c r="U330" s="1055"/>
      <c r="V330" s="1055"/>
      <c r="W330" s="1064"/>
      <c r="X330" s="1140"/>
      <c r="Y330" s="1055"/>
      <c r="Z330" s="1055"/>
      <c r="AA330" s="1138"/>
      <c r="AB330" s="1055"/>
      <c r="AC330" s="1139"/>
      <c r="AD330" s="1139"/>
      <c r="AE330" s="2346"/>
      <c r="AF330" s="525">
        <v>0</v>
      </c>
      <c r="AG330" s="525">
        <v>0</v>
      </c>
      <c r="AH330" s="1139">
        <f t="shared" si="7"/>
        <v>0</v>
      </c>
      <c r="AI330" s="1055"/>
      <c r="AJ330" s="1064"/>
      <c r="AK330" s="1055"/>
      <c r="AL330" s="1133"/>
      <c r="AM330" s="1055"/>
      <c r="AN330" s="1055"/>
      <c r="AO330" s="1064"/>
      <c r="AP330" s="1137"/>
      <c r="AQ330" s="1064"/>
      <c r="AR330" s="1137"/>
      <c r="AS330" s="1055"/>
      <c r="AT330" s="1133"/>
      <c r="AU330" s="1133"/>
      <c r="AV330" s="1133"/>
      <c r="AW330" s="1133"/>
      <c r="AX330" s="1133"/>
      <c r="AY330" s="1133"/>
      <c r="AZ330" s="1133"/>
      <c r="BA330" s="1133"/>
      <c r="BB330" s="1133"/>
      <c r="BC330" s="1133"/>
      <c r="BD330" s="1133"/>
      <c r="BE330" s="1480"/>
      <c r="BF330" s="1480"/>
      <c r="BG330" s="1480"/>
      <c r="BH330" s="1480"/>
      <c r="BI330" s="1480"/>
      <c r="BJ330" s="1480"/>
    </row>
    <row r="331" spans="1:62" s="629" customFormat="1" ht="12.75" x14ac:dyDescent="0.2">
      <c r="A331" s="2365"/>
      <c r="B331" s="2361"/>
      <c r="C331" s="2023"/>
      <c r="D331" s="2023"/>
      <c r="E331" s="2023"/>
      <c r="F331" s="2023"/>
      <c r="G331" s="2355"/>
      <c r="H331" s="2023"/>
      <c r="I331" s="2023"/>
      <c r="J331" s="2023"/>
      <c r="K331" s="2023"/>
      <c r="L331" s="2349"/>
      <c r="M331" s="2374"/>
      <c r="N331" s="2352"/>
      <c r="O331" s="2352"/>
      <c r="P331" s="1132" t="s">
        <v>4071</v>
      </c>
      <c r="Q331" s="2023"/>
      <c r="R331" s="2023"/>
      <c r="S331" s="2023"/>
      <c r="T331" s="2023"/>
      <c r="U331" s="1055"/>
      <c r="V331" s="1055"/>
      <c r="W331" s="1064"/>
      <c r="X331" s="1140"/>
      <c r="Y331" s="1055"/>
      <c r="Z331" s="1055"/>
      <c r="AA331" s="1138"/>
      <c r="AB331" s="1055"/>
      <c r="AC331" s="1139"/>
      <c r="AD331" s="1139"/>
      <c r="AE331" s="2371"/>
      <c r="AF331" s="525">
        <v>0</v>
      </c>
      <c r="AG331" s="1135">
        <v>2481</v>
      </c>
      <c r="AH331" s="1139">
        <f t="shared" si="7"/>
        <v>2481</v>
      </c>
      <c r="AI331" s="1055"/>
      <c r="AJ331" s="1064"/>
      <c r="AK331" s="1055"/>
      <c r="AL331" s="1133"/>
      <c r="AM331" s="1055"/>
      <c r="AN331" s="1055"/>
      <c r="AO331" s="1064"/>
      <c r="AP331" s="1137"/>
      <c r="AQ331" s="1064"/>
      <c r="AR331" s="1137"/>
      <c r="AS331" s="1055"/>
      <c r="AT331" s="1133"/>
      <c r="AU331" s="1133"/>
      <c r="AV331" s="1133"/>
      <c r="AW331" s="1133"/>
      <c r="AX331" s="1133"/>
      <c r="AY331" s="1133"/>
      <c r="AZ331" s="1133"/>
      <c r="BA331" s="1133"/>
      <c r="BB331" s="1133"/>
      <c r="BC331" s="1133"/>
      <c r="BD331" s="1133"/>
      <c r="BE331" s="1480"/>
      <c r="BF331" s="1480"/>
      <c r="BG331" s="1480"/>
      <c r="BH331" s="1480"/>
      <c r="BI331" s="1480"/>
      <c r="BJ331" s="1480"/>
    </row>
    <row r="332" spans="1:62" s="629" customFormat="1" ht="45" customHeight="1" x14ac:dyDescent="0.2">
      <c r="A332" s="2365">
        <v>154</v>
      </c>
      <c r="B332" s="2361" t="s">
        <v>4403</v>
      </c>
      <c r="C332" s="2023" t="s">
        <v>1070</v>
      </c>
      <c r="D332" s="2023" t="s">
        <v>1548</v>
      </c>
      <c r="E332" s="2023" t="s">
        <v>584</v>
      </c>
      <c r="F332" s="2023" t="s">
        <v>4397</v>
      </c>
      <c r="G332" s="2355">
        <v>11026</v>
      </c>
      <c r="H332" s="2023" t="s">
        <v>4412</v>
      </c>
      <c r="I332" s="2023" t="s">
        <v>4413</v>
      </c>
      <c r="J332" s="2023" t="s">
        <v>4414</v>
      </c>
      <c r="K332" s="2347">
        <v>41722</v>
      </c>
      <c r="L332" s="2349">
        <v>21065.37</v>
      </c>
      <c r="M332" s="2374">
        <v>11278</v>
      </c>
      <c r="N332" s="2352">
        <v>41722</v>
      </c>
      <c r="O332" s="2352">
        <v>41768</v>
      </c>
      <c r="P332" s="2354" t="s">
        <v>3905</v>
      </c>
      <c r="Q332" s="2023"/>
      <c r="R332" s="2023"/>
      <c r="S332" s="2023"/>
      <c r="T332" s="2023" t="s">
        <v>316</v>
      </c>
      <c r="U332" s="1055"/>
      <c r="V332" s="1055"/>
      <c r="W332" s="1064"/>
      <c r="X332" s="1140"/>
      <c r="Y332" s="1055"/>
      <c r="Z332" s="1055"/>
      <c r="AA332" s="1138"/>
      <c r="AB332" s="1055"/>
      <c r="AC332" s="1139"/>
      <c r="AD332" s="1139"/>
      <c r="AE332" s="2345">
        <f>L332-AD332+AC332</f>
        <v>21065.37</v>
      </c>
      <c r="AF332" s="525">
        <v>0</v>
      </c>
      <c r="AG332" s="1135">
        <f>13326.37+4653.7</f>
        <v>17980.07</v>
      </c>
      <c r="AH332" s="1139">
        <f t="shared" si="7"/>
        <v>17980.07</v>
      </c>
      <c r="AI332" s="1055"/>
      <c r="AJ332" s="1064"/>
      <c r="AK332" s="1055"/>
      <c r="AL332" s="1133"/>
      <c r="AM332" s="1055"/>
      <c r="AN332" s="1055"/>
      <c r="AO332" s="1064"/>
      <c r="AP332" s="1137"/>
      <c r="AQ332" s="1064"/>
      <c r="AR332" s="1137"/>
      <c r="AS332" s="1055"/>
      <c r="AT332" s="1133"/>
      <c r="AU332" s="1133"/>
      <c r="AV332" s="1133"/>
      <c r="AW332" s="1133"/>
      <c r="AX332" s="1133"/>
      <c r="AY332" s="1133"/>
      <c r="AZ332" s="1133"/>
      <c r="BA332" s="1133"/>
      <c r="BB332" s="1133"/>
      <c r="BC332" s="1133"/>
      <c r="BD332" s="1133"/>
      <c r="BE332" s="1480"/>
      <c r="BF332" s="1480"/>
      <c r="BG332" s="1480"/>
      <c r="BH332" s="1480"/>
      <c r="BI332" s="1480"/>
      <c r="BJ332" s="1480"/>
    </row>
    <row r="333" spans="1:62" s="629" customFormat="1" ht="12.75" x14ac:dyDescent="0.2">
      <c r="A333" s="2365"/>
      <c r="B333" s="2361"/>
      <c r="C333" s="2023"/>
      <c r="D333" s="2023"/>
      <c r="E333" s="2023"/>
      <c r="F333" s="2023"/>
      <c r="G333" s="2355"/>
      <c r="H333" s="2023"/>
      <c r="I333" s="2023"/>
      <c r="J333" s="2023"/>
      <c r="K333" s="2347"/>
      <c r="L333" s="2349"/>
      <c r="M333" s="2374"/>
      <c r="N333" s="2352"/>
      <c r="O333" s="2352"/>
      <c r="P333" s="2354"/>
      <c r="Q333" s="2023"/>
      <c r="R333" s="2023"/>
      <c r="S333" s="2023"/>
      <c r="T333" s="2023"/>
      <c r="U333" s="1055"/>
      <c r="V333" s="1055"/>
      <c r="W333" s="1064"/>
      <c r="X333" s="1140"/>
      <c r="Y333" s="1055"/>
      <c r="Z333" s="1055"/>
      <c r="AA333" s="1138"/>
      <c r="AB333" s="1055"/>
      <c r="AC333" s="1139"/>
      <c r="AD333" s="1139"/>
      <c r="AE333" s="2346"/>
      <c r="AF333" s="525">
        <v>0</v>
      </c>
      <c r="AG333" s="525">
        <v>0</v>
      </c>
      <c r="AH333" s="1139">
        <f t="shared" si="7"/>
        <v>0</v>
      </c>
      <c r="AI333" s="1055"/>
      <c r="AJ333" s="1064"/>
      <c r="AK333" s="1055"/>
      <c r="AL333" s="1133"/>
      <c r="AM333" s="1055"/>
      <c r="AN333" s="1055"/>
      <c r="AO333" s="1064"/>
      <c r="AP333" s="1137"/>
      <c r="AQ333" s="1064"/>
      <c r="AR333" s="1137"/>
      <c r="AS333" s="1055"/>
      <c r="AT333" s="1133"/>
      <c r="AU333" s="1133"/>
      <c r="AV333" s="1133"/>
      <c r="AW333" s="1133"/>
      <c r="AX333" s="1133"/>
      <c r="AY333" s="1133"/>
      <c r="AZ333" s="1133"/>
      <c r="BA333" s="1133"/>
      <c r="BB333" s="1133"/>
      <c r="BC333" s="1133"/>
      <c r="BD333" s="1133"/>
      <c r="BE333" s="1480"/>
      <c r="BF333" s="1480"/>
      <c r="BG333" s="1480"/>
      <c r="BH333" s="1480"/>
      <c r="BI333" s="1480"/>
      <c r="BJ333" s="1480"/>
    </row>
    <row r="334" spans="1:62" s="629" customFormat="1" ht="12.75" x14ac:dyDescent="0.2">
      <c r="A334" s="2365"/>
      <c r="B334" s="2361"/>
      <c r="C334" s="2023"/>
      <c r="D334" s="2023"/>
      <c r="E334" s="2023"/>
      <c r="F334" s="2023"/>
      <c r="G334" s="2355"/>
      <c r="H334" s="2023"/>
      <c r="I334" s="2023"/>
      <c r="J334" s="2023"/>
      <c r="K334" s="2023"/>
      <c r="L334" s="2349"/>
      <c r="M334" s="2374"/>
      <c r="N334" s="2352"/>
      <c r="O334" s="2352"/>
      <c r="P334" s="1132" t="s">
        <v>4071</v>
      </c>
      <c r="Q334" s="2023"/>
      <c r="R334" s="2023"/>
      <c r="S334" s="2023"/>
      <c r="T334" s="2023"/>
      <c r="U334" s="1055"/>
      <c r="V334" s="1055"/>
      <c r="W334" s="1064"/>
      <c r="X334" s="1140"/>
      <c r="Y334" s="1055"/>
      <c r="Z334" s="1055"/>
      <c r="AA334" s="1138"/>
      <c r="AB334" s="1055"/>
      <c r="AC334" s="1139"/>
      <c r="AD334" s="1139"/>
      <c r="AE334" s="2371"/>
      <c r="AF334" s="525">
        <v>0</v>
      </c>
      <c r="AG334" s="1135">
        <v>7739</v>
      </c>
      <c r="AH334" s="1139">
        <f t="shared" si="7"/>
        <v>7739</v>
      </c>
      <c r="AI334" s="1055"/>
      <c r="AJ334" s="1064"/>
      <c r="AK334" s="1055"/>
      <c r="AL334" s="1133"/>
      <c r="AM334" s="1055"/>
      <c r="AN334" s="1055"/>
      <c r="AO334" s="1064"/>
      <c r="AP334" s="1137"/>
      <c r="AQ334" s="1064"/>
      <c r="AR334" s="1137"/>
      <c r="AS334" s="1055"/>
      <c r="AT334" s="1133"/>
      <c r="AU334" s="1133"/>
      <c r="AV334" s="1133"/>
      <c r="AW334" s="1133"/>
      <c r="AX334" s="1133"/>
      <c r="AY334" s="1133"/>
      <c r="AZ334" s="1133"/>
      <c r="BA334" s="1133"/>
      <c r="BB334" s="1133"/>
      <c r="BC334" s="1133"/>
      <c r="BD334" s="1133"/>
      <c r="BE334" s="1480"/>
      <c r="BF334" s="1480"/>
      <c r="BG334" s="1480"/>
      <c r="BH334" s="1480"/>
      <c r="BI334" s="1480"/>
      <c r="BJ334" s="1480"/>
    </row>
    <row r="335" spans="1:62" s="629" customFormat="1" ht="45" customHeight="1" x14ac:dyDescent="0.2">
      <c r="A335" s="2365">
        <v>155</v>
      </c>
      <c r="B335" s="2361" t="s">
        <v>4403</v>
      </c>
      <c r="C335" s="2023" t="s">
        <v>1070</v>
      </c>
      <c r="D335" s="2023" t="s">
        <v>1331</v>
      </c>
      <c r="E335" s="2023" t="s">
        <v>584</v>
      </c>
      <c r="F335" s="2023" t="s">
        <v>4397</v>
      </c>
      <c r="G335" s="2355">
        <v>11026</v>
      </c>
      <c r="H335" s="2023" t="s">
        <v>4415</v>
      </c>
      <c r="I335" s="2023" t="s">
        <v>4416</v>
      </c>
      <c r="J335" s="2023" t="s">
        <v>4219</v>
      </c>
      <c r="K335" s="2347">
        <v>41723</v>
      </c>
      <c r="L335" s="2349">
        <v>6511.5</v>
      </c>
      <c r="M335" s="2374">
        <v>11278</v>
      </c>
      <c r="N335" s="2352">
        <v>41722</v>
      </c>
      <c r="O335" s="2352">
        <v>41768</v>
      </c>
      <c r="P335" s="2354" t="s">
        <v>3905</v>
      </c>
      <c r="Q335" s="2023"/>
      <c r="R335" s="2023"/>
      <c r="S335" s="2023"/>
      <c r="T335" s="2023" t="s">
        <v>316</v>
      </c>
      <c r="U335" s="1055"/>
      <c r="V335" s="1055"/>
      <c r="W335" s="1064"/>
      <c r="X335" s="1140"/>
      <c r="Y335" s="1055"/>
      <c r="Z335" s="1055"/>
      <c r="AA335" s="1138"/>
      <c r="AB335" s="1055"/>
      <c r="AC335" s="1139"/>
      <c r="AD335" s="1139"/>
      <c r="AE335" s="2345">
        <f>L335-AD335+AC335</f>
        <v>6511.5</v>
      </c>
      <c r="AF335" s="525">
        <v>0</v>
      </c>
      <c r="AG335" s="525">
        <v>0</v>
      </c>
      <c r="AH335" s="1139">
        <f t="shared" si="7"/>
        <v>0</v>
      </c>
      <c r="AI335" s="1055"/>
      <c r="AJ335" s="1064"/>
      <c r="AK335" s="1055"/>
      <c r="AL335" s="1133"/>
      <c r="AM335" s="1055"/>
      <c r="AN335" s="1055"/>
      <c r="AO335" s="1064"/>
      <c r="AP335" s="1137"/>
      <c r="AQ335" s="1064"/>
      <c r="AR335" s="1137"/>
      <c r="AS335" s="1055"/>
      <c r="AT335" s="1133"/>
      <c r="AU335" s="1133"/>
      <c r="AV335" s="1133"/>
      <c r="AW335" s="1133"/>
      <c r="AX335" s="1133"/>
      <c r="AY335" s="1133"/>
      <c r="AZ335" s="1133"/>
      <c r="BA335" s="1133"/>
      <c r="BB335" s="1133"/>
      <c r="BC335" s="1133"/>
      <c r="BD335" s="1133"/>
      <c r="BE335" s="1480"/>
      <c r="BF335" s="1480"/>
      <c r="BG335" s="1480"/>
      <c r="BH335" s="1480"/>
      <c r="BI335" s="1480"/>
      <c r="BJ335" s="1480"/>
    </row>
    <row r="336" spans="1:62" s="629" customFormat="1" ht="12.75" x14ac:dyDescent="0.2">
      <c r="A336" s="2365"/>
      <c r="B336" s="2361"/>
      <c r="C336" s="2023"/>
      <c r="D336" s="2023"/>
      <c r="E336" s="2023"/>
      <c r="F336" s="2023"/>
      <c r="G336" s="2355"/>
      <c r="H336" s="2023"/>
      <c r="I336" s="2023"/>
      <c r="J336" s="2023"/>
      <c r="K336" s="2347"/>
      <c r="L336" s="2349"/>
      <c r="M336" s="2374"/>
      <c r="N336" s="2352"/>
      <c r="O336" s="2352"/>
      <c r="P336" s="2354"/>
      <c r="Q336" s="2023"/>
      <c r="R336" s="2023"/>
      <c r="S336" s="2023"/>
      <c r="T336" s="2023"/>
      <c r="U336" s="1055"/>
      <c r="V336" s="1055"/>
      <c r="W336" s="1064"/>
      <c r="X336" s="1140"/>
      <c r="Y336" s="1055"/>
      <c r="Z336" s="1055"/>
      <c r="AA336" s="1138"/>
      <c r="AB336" s="1055"/>
      <c r="AC336" s="1139"/>
      <c r="AD336" s="1139"/>
      <c r="AE336" s="2346"/>
      <c r="AF336" s="525">
        <v>0</v>
      </c>
      <c r="AG336" s="525">
        <v>0</v>
      </c>
      <c r="AH336" s="1139">
        <f t="shared" si="7"/>
        <v>0</v>
      </c>
      <c r="AI336" s="1055"/>
      <c r="AJ336" s="1064"/>
      <c r="AK336" s="1055"/>
      <c r="AL336" s="1133"/>
      <c r="AM336" s="1055"/>
      <c r="AN336" s="1055"/>
      <c r="AO336" s="1064"/>
      <c r="AP336" s="1137"/>
      <c r="AQ336" s="1064"/>
      <c r="AR336" s="1137"/>
      <c r="AS336" s="1055"/>
      <c r="AT336" s="1133"/>
      <c r="AU336" s="1133"/>
      <c r="AV336" s="1133"/>
      <c r="AW336" s="1133"/>
      <c r="AX336" s="1133"/>
      <c r="AY336" s="1133"/>
      <c r="AZ336" s="1133"/>
      <c r="BA336" s="1133"/>
      <c r="BB336" s="1133"/>
      <c r="BC336" s="1133"/>
      <c r="BD336" s="1133"/>
      <c r="BE336" s="1480"/>
      <c r="BF336" s="1480"/>
      <c r="BG336" s="1480"/>
      <c r="BH336" s="1480"/>
      <c r="BI336" s="1480"/>
      <c r="BJ336" s="1480"/>
    </row>
    <row r="337" spans="1:62" s="629" customFormat="1" ht="12.75" x14ac:dyDescent="0.2">
      <c r="A337" s="2365"/>
      <c r="B337" s="2361"/>
      <c r="C337" s="2023"/>
      <c r="D337" s="2023"/>
      <c r="E337" s="2023"/>
      <c r="F337" s="2023"/>
      <c r="G337" s="2355"/>
      <c r="H337" s="2023"/>
      <c r="I337" s="2023"/>
      <c r="J337" s="2023"/>
      <c r="K337" s="2023"/>
      <c r="L337" s="2349"/>
      <c r="M337" s="2374"/>
      <c r="N337" s="2352"/>
      <c r="O337" s="2352"/>
      <c r="P337" s="1132" t="s">
        <v>4071</v>
      </c>
      <c r="Q337" s="2023"/>
      <c r="R337" s="2023"/>
      <c r="S337" s="2023"/>
      <c r="T337" s="2023"/>
      <c r="U337" s="1055"/>
      <c r="V337" s="1055"/>
      <c r="W337" s="1064"/>
      <c r="X337" s="1140"/>
      <c r="Y337" s="1055"/>
      <c r="Z337" s="1055"/>
      <c r="AA337" s="1138"/>
      <c r="AB337" s="1055"/>
      <c r="AC337" s="1139"/>
      <c r="AD337" s="1139"/>
      <c r="AE337" s="2371"/>
      <c r="AF337" s="525">
        <v>0</v>
      </c>
      <c r="AG337" s="1135">
        <v>754</v>
      </c>
      <c r="AH337" s="1139">
        <f t="shared" si="7"/>
        <v>754</v>
      </c>
      <c r="AI337" s="1055"/>
      <c r="AJ337" s="1064"/>
      <c r="AK337" s="1055"/>
      <c r="AL337" s="1133"/>
      <c r="AM337" s="1055"/>
      <c r="AN337" s="1055"/>
      <c r="AO337" s="1064"/>
      <c r="AP337" s="1137"/>
      <c r="AQ337" s="1064"/>
      <c r="AR337" s="1137"/>
      <c r="AS337" s="1055"/>
      <c r="AT337" s="1133"/>
      <c r="AU337" s="1133"/>
      <c r="AV337" s="1133"/>
      <c r="AW337" s="1133"/>
      <c r="AX337" s="1133"/>
      <c r="AY337" s="1133"/>
      <c r="AZ337" s="1133"/>
      <c r="BA337" s="1133"/>
      <c r="BB337" s="1133"/>
      <c r="BC337" s="1133"/>
      <c r="BD337" s="1133"/>
      <c r="BE337" s="1480"/>
      <c r="BF337" s="1480"/>
      <c r="BG337" s="1480"/>
      <c r="BH337" s="1480"/>
      <c r="BI337" s="1480"/>
      <c r="BJ337" s="1480"/>
    </row>
    <row r="338" spans="1:62" s="629" customFormat="1" ht="45" customHeight="1" x14ac:dyDescent="0.2">
      <c r="A338" s="2365">
        <v>156</v>
      </c>
      <c r="B338" s="2361" t="s">
        <v>4403</v>
      </c>
      <c r="C338" s="2023" t="s">
        <v>1070</v>
      </c>
      <c r="D338" s="2023" t="s">
        <v>1331</v>
      </c>
      <c r="E338" s="2023" t="s">
        <v>584</v>
      </c>
      <c r="F338" s="2023" t="s">
        <v>4397</v>
      </c>
      <c r="G338" s="2373">
        <v>11026</v>
      </c>
      <c r="H338" s="2023" t="s">
        <v>4417</v>
      </c>
      <c r="I338" s="2023" t="s">
        <v>4418</v>
      </c>
      <c r="J338" s="2023" t="s">
        <v>4216</v>
      </c>
      <c r="K338" s="2347">
        <v>41723</v>
      </c>
      <c r="L338" s="2349">
        <v>7467.64</v>
      </c>
      <c r="M338" s="2393">
        <v>11278</v>
      </c>
      <c r="N338" s="2352">
        <v>41723</v>
      </c>
      <c r="O338" s="2352">
        <v>41769</v>
      </c>
      <c r="P338" s="2354" t="s">
        <v>3905</v>
      </c>
      <c r="Q338" s="2023"/>
      <c r="R338" s="2023"/>
      <c r="S338" s="2023"/>
      <c r="T338" s="2023" t="s">
        <v>316</v>
      </c>
      <c r="U338" s="1055"/>
      <c r="V338" s="1055"/>
      <c r="W338" s="1064"/>
      <c r="X338" s="1140"/>
      <c r="Y338" s="1055"/>
      <c r="Z338" s="1055"/>
      <c r="AA338" s="1138"/>
      <c r="AB338" s="1055"/>
      <c r="AC338" s="1139"/>
      <c r="AD338" s="1139"/>
      <c r="AE338" s="2345">
        <f>L338-AD338+AC338</f>
        <v>7467.64</v>
      </c>
      <c r="AF338" s="525">
        <v>0</v>
      </c>
      <c r="AG338" s="525">
        <v>0</v>
      </c>
      <c r="AH338" s="1139">
        <f t="shared" si="7"/>
        <v>0</v>
      </c>
      <c r="AI338" s="1055"/>
      <c r="AJ338" s="1064"/>
      <c r="AK338" s="1055"/>
      <c r="AL338" s="1133"/>
      <c r="AM338" s="1055"/>
      <c r="AN338" s="1055"/>
      <c r="AO338" s="1064"/>
      <c r="AP338" s="1137"/>
      <c r="AQ338" s="1064"/>
      <c r="AR338" s="1137"/>
      <c r="AS338" s="1055"/>
      <c r="AT338" s="1133"/>
      <c r="AU338" s="1133"/>
      <c r="AV338" s="1133"/>
      <c r="AW338" s="1133"/>
      <c r="AX338" s="1133"/>
      <c r="AY338" s="1133"/>
      <c r="AZ338" s="1133"/>
      <c r="BA338" s="1133"/>
      <c r="BB338" s="1133"/>
      <c r="BC338" s="1133"/>
      <c r="BD338" s="1133"/>
      <c r="BE338" s="1480"/>
      <c r="BF338" s="1480"/>
      <c r="BG338" s="1480"/>
      <c r="BH338" s="1480"/>
      <c r="BI338" s="1480"/>
      <c r="BJ338" s="1480"/>
    </row>
    <row r="339" spans="1:62" s="629" customFormat="1" ht="12.75" x14ac:dyDescent="0.2">
      <c r="A339" s="2365"/>
      <c r="B339" s="2361"/>
      <c r="C339" s="2023"/>
      <c r="D339" s="2023"/>
      <c r="E339" s="2023"/>
      <c r="F339" s="2023"/>
      <c r="G339" s="2373"/>
      <c r="H339" s="2023"/>
      <c r="I339" s="2023"/>
      <c r="J339" s="2023"/>
      <c r="K339" s="2347"/>
      <c r="L339" s="2349"/>
      <c r="M339" s="2393"/>
      <c r="N339" s="2352"/>
      <c r="O339" s="2352"/>
      <c r="P339" s="2354"/>
      <c r="Q339" s="2023"/>
      <c r="R339" s="2023"/>
      <c r="S339" s="2023"/>
      <c r="T339" s="2023"/>
      <c r="U339" s="1055"/>
      <c r="V339" s="1055"/>
      <c r="W339" s="1064"/>
      <c r="X339" s="1140"/>
      <c r="Y339" s="1055"/>
      <c r="Z339" s="1055"/>
      <c r="AA339" s="1138"/>
      <c r="AB339" s="1055"/>
      <c r="AC339" s="1139"/>
      <c r="AD339" s="1139"/>
      <c r="AE339" s="2346"/>
      <c r="AF339" s="525">
        <v>0</v>
      </c>
      <c r="AG339" s="525">
        <v>0</v>
      </c>
      <c r="AH339" s="1139">
        <f t="shared" si="7"/>
        <v>0</v>
      </c>
      <c r="AI339" s="1055"/>
      <c r="AJ339" s="1064"/>
      <c r="AK339" s="1055"/>
      <c r="AL339" s="1133"/>
      <c r="AM339" s="1055"/>
      <c r="AN339" s="1055"/>
      <c r="AO339" s="1064"/>
      <c r="AP339" s="1137"/>
      <c r="AQ339" s="1064"/>
      <c r="AR339" s="1137"/>
      <c r="AS339" s="1055"/>
      <c r="AT339" s="1133"/>
      <c r="AU339" s="1133"/>
      <c r="AV339" s="1133"/>
      <c r="AW339" s="1133"/>
      <c r="AX339" s="1133"/>
      <c r="AY339" s="1133"/>
      <c r="AZ339" s="1133"/>
      <c r="BA339" s="1133"/>
      <c r="BB339" s="1133"/>
      <c r="BC339" s="1133"/>
      <c r="BD339" s="1133"/>
      <c r="BE339" s="1480"/>
      <c r="BF339" s="1480"/>
      <c r="BG339" s="1480"/>
      <c r="BH339" s="1480"/>
      <c r="BI339" s="1480"/>
      <c r="BJ339" s="1480"/>
    </row>
    <row r="340" spans="1:62" s="629" customFormat="1" ht="12.75" x14ac:dyDescent="0.2">
      <c r="A340" s="2365"/>
      <c r="B340" s="2361"/>
      <c r="C340" s="2023"/>
      <c r="D340" s="2023"/>
      <c r="E340" s="2023"/>
      <c r="F340" s="2023"/>
      <c r="G340" s="2355"/>
      <c r="H340" s="2023"/>
      <c r="I340" s="2023"/>
      <c r="J340" s="2023"/>
      <c r="K340" s="2023"/>
      <c r="L340" s="2349"/>
      <c r="M340" s="2374"/>
      <c r="N340" s="2352"/>
      <c r="O340" s="2352"/>
      <c r="P340" s="1132" t="s">
        <v>4071</v>
      </c>
      <c r="Q340" s="2023"/>
      <c r="R340" s="2023"/>
      <c r="S340" s="2023"/>
      <c r="T340" s="2023"/>
      <c r="U340" s="1055"/>
      <c r="V340" s="1055"/>
      <c r="W340" s="1064"/>
      <c r="X340" s="1140"/>
      <c r="Y340" s="1055"/>
      <c r="Z340" s="1055"/>
      <c r="AA340" s="1138"/>
      <c r="AB340" s="1055"/>
      <c r="AC340" s="1139"/>
      <c r="AD340" s="1139"/>
      <c r="AE340" s="2371"/>
      <c r="AF340" s="525">
        <v>0</v>
      </c>
      <c r="AG340" s="1135">
        <v>4626.96</v>
      </c>
      <c r="AH340" s="1139">
        <f t="shared" si="7"/>
        <v>4626.96</v>
      </c>
      <c r="AI340" s="1055"/>
      <c r="AJ340" s="1064"/>
      <c r="AK340" s="1055"/>
      <c r="AL340" s="1133"/>
      <c r="AM340" s="1055"/>
      <c r="AN340" s="1055"/>
      <c r="AO340" s="1064"/>
      <c r="AP340" s="1137"/>
      <c r="AQ340" s="1064"/>
      <c r="AR340" s="1137"/>
      <c r="AS340" s="1055"/>
      <c r="AT340" s="1133"/>
      <c r="AU340" s="1133"/>
      <c r="AV340" s="1133"/>
      <c r="AW340" s="1133"/>
      <c r="AX340" s="1133"/>
      <c r="AY340" s="1133"/>
      <c r="AZ340" s="1133"/>
      <c r="BA340" s="1133"/>
      <c r="BB340" s="1133"/>
      <c r="BC340" s="1133"/>
      <c r="BD340" s="1133"/>
      <c r="BE340" s="1480"/>
      <c r="BF340" s="1480"/>
      <c r="BG340" s="1480"/>
      <c r="BH340" s="1480"/>
      <c r="BI340" s="1480"/>
      <c r="BJ340" s="1480"/>
    </row>
    <row r="341" spans="1:62" s="629" customFormat="1" ht="45" customHeight="1" x14ac:dyDescent="0.2">
      <c r="A341" s="1514">
        <v>157</v>
      </c>
      <c r="B341" s="636" t="s">
        <v>4419</v>
      </c>
      <c r="C341" s="1055" t="s">
        <v>724</v>
      </c>
      <c r="D341" s="1055" t="s">
        <v>1331</v>
      </c>
      <c r="E341" s="1055" t="s">
        <v>584</v>
      </c>
      <c r="F341" s="1055" t="s">
        <v>4420</v>
      </c>
      <c r="G341" s="1133">
        <v>11253</v>
      </c>
      <c r="H341" s="1055" t="s">
        <v>4421</v>
      </c>
      <c r="I341" s="1055" t="s">
        <v>2117</v>
      </c>
      <c r="J341" s="1055" t="s">
        <v>1011</v>
      </c>
      <c r="K341" s="1137">
        <v>41724</v>
      </c>
      <c r="L341" s="1135">
        <v>583800</v>
      </c>
      <c r="M341" s="1136">
        <v>11286</v>
      </c>
      <c r="N341" s="1134">
        <v>41724</v>
      </c>
      <c r="O341" s="1134">
        <v>42004</v>
      </c>
      <c r="P341" s="1132">
        <v>1</v>
      </c>
      <c r="Q341" s="1055"/>
      <c r="R341" s="1055"/>
      <c r="S341" s="1055"/>
      <c r="T341" s="1055" t="s">
        <v>316</v>
      </c>
      <c r="U341" s="1055"/>
      <c r="V341" s="1055"/>
      <c r="W341" s="1064"/>
      <c r="X341" s="1140"/>
      <c r="Y341" s="1055"/>
      <c r="Z341" s="1055"/>
      <c r="AA341" s="1138"/>
      <c r="AB341" s="1055"/>
      <c r="AC341" s="1139"/>
      <c r="AD341" s="1139"/>
      <c r="AE341" s="1155">
        <f>L341-AD341+AC341</f>
        <v>583800</v>
      </c>
      <c r="AF341" s="525">
        <v>0</v>
      </c>
      <c r="AG341" s="1148">
        <v>155409.72</v>
      </c>
      <c r="AH341" s="1139">
        <f t="shared" si="7"/>
        <v>155409.72</v>
      </c>
      <c r="AI341" s="1055"/>
      <c r="AJ341" s="1064"/>
      <c r="AK341" s="1055"/>
      <c r="AL341" s="1133"/>
      <c r="AM341" s="1055"/>
      <c r="AN341" s="1055"/>
      <c r="AO341" s="1064"/>
      <c r="AP341" s="1137"/>
      <c r="AQ341" s="1064"/>
      <c r="AR341" s="1137"/>
      <c r="AS341" s="1055"/>
      <c r="AT341" s="1133"/>
      <c r="AU341" s="1133"/>
      <c r="AV341" s="1133"/>
      <c r="AW341" s="1133"/>
      <c r="AX341" s="1133"/>
      <c r="AY341" s="1133"/>
      <c r="AZ341" s="1133"/>
      <c r="BA341" s="1133"/>
      <c r="BB341" s="1133"/>
      <c r="BC341" s="1133"/>
      <c r="BD341" s="1133"/>
      <c r="BE341" s="1480"/>
      <c r="BF341" s="1480"/>
      <c r="BG341" s="1480"/>
      <c r="BH341" s="1480"/>
      <c r="BI341" s="1480"/>
      <c r="BJ341" s="1480"/>
    </row>
    <row r="342" spans="1:62" s="629" customFormat="1" ht="45" customHeight="1" x14ac:dyDescent="0.2">
      <c r="A342" s="1514">
        <v>158</v>
      </c>
      <c r="B342" s="636" t="s">
        <v>4422</v>
      </c>
      <c r="C342" s="1055" t="s">
        <v>750</v>
      </c>
      <c r="D342" s="1055" t="s">
        <v>4423</v>
      </c>
      <c r="E342" s="1055" t="s">
        <v>584</v>
      </c>
      <c r="F342" s="1055" t="s">
        <v>4424</v>
      </c>
      <c r="G342" s="1133">
        <v>11253</v>
      </c>
      <c r="H342" s="1055" t="s">
        <v>4425</v>
      </c>
      <c r="I342" s="1055" t="s">
        <v>4426</v>
      </c>
      <c r="J342" s="1055" t="s">
        <v>4427</v>
      </c>
      <c r="K342" s="1137">
        <v>41724</v>
      </c>
      <c r="L342" s="1135">
        <v>29952</v>
      </c>
      <c r="M342" s="1136">
        <v>11278</v>
      </c>
      <c r="N342" s="1134">
        <v>41724</v>
      </c>
      <c r="O342" s="1134">
        <v>42004</v>
      </c>
      <c r="P342" s="1132">
        <v>1</v>
      </c>
      <c r="Q342" s="1055"/>
      <c r="R342" s="1055"/>
      <c r="S342" s="1055"/>
      <c r="T342" s="1055" t="s">
        <v>316</v>
      </c>
      <c r="U342" s="1055"/>
      <c r="V342" s="1055"/>
      <c r="W342" s="1064"/>
      <c r="X342" s="1140"/>
      <c r="Y342" s="1055"/>
      <c r="Z342" s="1055"/>
      <c r="AA342" s="1138"/>
      <c r="AB342" s="1055"/>
      <c r="AC342" s="1139"/>
      <c r="AD342" s="1139"/>
      <c r="AE342" s="1155">
        <f>L342-AD342+AC342</f>
        <v>29952</v>
      </c>
      <c r="AF342" s="525">
        <v>0</v>
      </c>
      <c r="AG342" s="1139">
        <v>13930.8</v>
      </c>
      <c r="AH342" s="1139">
        <f t="shared" si="7"/>
        <v>13930.8</v>
      </c>
      <c r="AI342" s="1055"/>
      <c r="AJ342" s="1064"/>
      <c r="AK342" s="1055"/>
      <c r="AL342" s="1133"/>
      <c r="AM342" s="1055"/>
      <c r="AN342" s="1055"/>
      <c r="AO342" s="1064"/>
      <c r="AP342" s="1137"/>
      <c r="AQ342" s="1064"/>
      <c r="AR342" s="1137"/>
      <c r="AS342" s="1055"/>
      <c r="AT342" s="1133"/>
      <c r="AU342" s="1133"/>
      <c r="AV342" s="1133"/>
      <c r="AW342" s="1133"/>
      <c r="AX342" s="1133"/>
      <c r="AY342" s="1133"/>
      <c r="AZ342" s="1133"/>
      <c r="BA342" s="1133"/>
      <c r="BB342" s="1133"/>
      <c r="BC342" s="1133"/>
      <c r="BD342" s="1133"/>
      <c r="BE342" s="1480"/>
      <c r="BF342" s="1480"/>
      <c r="BG342" s="1480"/>
      <c r="BH342" s="1480"/>
      <c r="BI342" s="1480"/>
      <c r="BJ342" s="1480"/>
    </row>
    <row r="343" spans="1:62" s="1537" customFormat="1" ht="45" customHeight="1" x14ac:dyDescent="0.2">
      <c r="A343" s="2365">
        <v>159</v>
      </c>
      <c r="B343" s="2361" t="s">
        <v>4428</v>
      </c>
      <c r="C343" s="2023" t="s">
        <v>811</v>
      </c>
      <c r="D343" s="2023" t="s">
        <v>4423</v>
      </c>
      <c r="E343" s="2023" t="s">
        <v>584</v>
      </c>
      <c r="F343" s="2023" t="s">
        <v>4429</v>
      </c>
      <c r="G343" s="2355">
        <v>11235</v>
      </c>
      <c r="H343" s="2023" t="s">
        <v>4430</v>
      </c>
      <c r="I343" s="2023" t="s">
        <v>4431</v>
      </c>
      <c r="J343" s="2023" t="s">
        <v>4432</v>
      </c>
      <c r="K343" s="2352">
        <v>41737</v>
      </c>
      <c r="L343" s="2349">
        <v>12263</v>
      </c>
      <c r="M343" s="2374">
        <v>11293</v>
      </c>
      <c r="N343" s="2375">
        <v>41737</v>
      </c>
      <c r="O343" s="2375">
        <v>41767</v>
      </c>
      <c r="P343" s="2354">
        <v>1</v>
      </c>
      <c r="Q343" s="2023"/>
      <c r="R343" s="2023"/>
      <c r="S343" s="2023"/>
      <c r="T343" s="1055" t="s">
        <v>316</v>
      </c>
      <c r="U343" s="1055"/>
      <c r="V343" s="1055"/>
      <c r="W343" s="1064"/>
      <c r="X343" s="1140"/>
      <c r="Y343" s="1055"/>
      <c r="Z343" s="1055"/>
      <c r="AA343" s="1138"/>
      <c r="AB343" s="1055"/>
      <c r="AC343" s="1139"/>
      <c r="AD343" s="1139"/>
      <c r="AE343" s="2345">
        <f>L343-AD343+AC343</f>
        <v>12263</v>
      </c>
      <c r="AF343" s="525">
        <v>0</v>
      </c>
      <c r="AG343" s="1139">
        <v>12263</v>
      </c>
      <c r="AH343" s="1139">
        <f t="shared" si="7"/>
        <v>12263</v>
      </c>
      <c r="AI343" s="1055"/>
      <c r="AJ343" s="1064"/>
      <c r="AK343" s="1055"/>
      <c r="AL343" s="1133"/>
      <c r="AM343" s="1055"/>
      <c r="AN343" s="1055"/>
      <c r="AO343" s="1064"/>
      <c r="AP343" s="1137"/>
      <c r="AQ343" s="1064"/>
      <c r="AR343" s="1137"/>
      <c r="AS343" s="1055"/>
      <c r="AT343" s="1133"/>
      <c r="AU343" s="1133"/>
      <c r="AV343" s="1133"/>
      <c r="AW343" s="1133"/>
      <c r="AX343" s="1133"/>
      <c r="AY343" s="1133"/>
      <c r="AZ343" s="1133"/>
      <c r="BA343" s="1133"/>
      <c r="BB343" s="1133"/>
      <c r="BC343" s="1133"/>
      <c r="BD343" s="1133"/>
      <c r="BE343" s="1535"/>
      <c r="BF343" s="1535"/>
      <c r="BG343" s="1535"/>
      <c r="BH343" s="1535"/>
      <c r="BI343" s="1535"/>
      <c r="BJ343" s="1536"/>
    </row>
    <row r="344" spans="1:62" s="1537" customFormat="1" ht="12.75" x14ac:dyDescent="0.2">
      <c r="A344" s="2365"/>
      <c r="B344" s="2361"/>
      <c r="C344" s="2023"/>
      <c r="D344" s="2023"/>
      <c r="E344" s="2023"/>
      <c r="F344" s="2023"/>
      <c r="G344" s="2355"/>
      <c r="H344" s="2023"/>
      <c r="I344" s="2023"/>
      <c r="J344" s="2023"/>
      <c r="K344" s="2355"/>
      <c r="L344" s="2349"/>
      <c r="M344" s="2374"/>
      <c r="N344" s="2392"/>
      <c r="O344" s="2392"/>
      <c r="P344" s="2354"/>
      <c r="Q344" s="2023"/>
      <c r="R344" s="2023"/>
      <c r="S344" s="2023"/>
      <c r="T344" s="1055" t="s">
        <v>408</v>
      </c>
      <c r="U344" s="1055"/>
      <c r="V344" s="1055"/>
      <c r="W344" s="1064"/>
      <c r="X344" s="1140"/>
      <c r="Y344" s="1055"/>
      <c r="Z344" s="1055"/>
      <c r="AA344" s="1138"/>
      <c r="AB344" s="1055"/>
      <c r="AC344" s="1139"/>
      <c r="AD344" s="1139"/>
      <c r="AE344" s="2371"/>
      <c r="AF344" s="525">
        <v>0</v>
      </c>
      <c r="AG344" s="525">
        <v>0</v>
      </c>
      <c r="AH344" s="1139">
        <f t="shared" si="7"/>
        <v>0</v>
      </c>
      <c r="AI344" s="1055"/>
      <c r="AJ344" s="1064"/>
      <c r="AK344" s="1055"/>
      <c r="AL344" s="1133"/>
      <c r="AM344" s="1055"/>
      <c r="AN344" s="1055"/>
      <c r="AO344" s="1064"/>
      <c r="AP344" s="1137"/>
      <c r="AQ344" s="1064"/>
      <c r="AR344" s="1137"/>
      <c r="AS344" s="1055"/>
      <c r="AT344" s="1133"/>
      <c r="AU344" s="1133"/>
      <c r="AV344" s="1133"/>
      <c r="AW344" s="1133"/>
      <c r="AX344" s="1133"/>
      <c r="AY344" s="1133"/>
      <c r="AZ344" s="1133"/>
      <c r="BA344" s="1133"/>
      <c r="BB344" s="1133"/>
      <c r="BC344" s="1133"/>
      <c r="BD344" s="1133"/>
      <c r="BE344" s="1535"/>
      <c r="BF344" s="1535"/>
      <c r="BG344" s="1535"/>
      <c r="BH344" s="1535"/>
      <c r="BI344" s="1535"/>
      <c r="BJ344" s="1536"/>
    </row>
    <row r="345" spans="1:62" s="629" customFormat="1" ht="45" customHeight="1" x14ac:dyDescent="0.2">
      <c r="A345" s="2365">
        <v>160</v>
      </c>
      <c r="B345" s="2366" t="s">
        <v>4433</v>
      </c>
      <c r="C345" s="2023" t="s">
        <v>744</v>
      </c>
      <c r="D345" s="2023" t="s">
        <v>1331</v>
      </c>
      <c r="E345" s="2023" t="s">
        <v>584</v>
      </c>
      <c r="F345" s="2023" t="s">
        <v>4311</v>
      </c>
      <c r="G345" s="2355">
        <v>11267</v>
      </c>
      <c r="H345" s="2023" t="s">
        <v>4434</v>
      </c>
      <c r="I345" s="2023" t="s">
        <v>4321</v>
      </c>
      <c r="J345" s="2023" t="s">
        <v>779</v>
      </c>
      <c r="K345" s="2347">
        <v>41740</v>
      </c>
      <c r="L345" s="2372">
        <v>137358.46</v>
      </c>
      <c r="M345" s="2393">
        <v>11287</v>
      </c>
      <c r="N345" s="2352">
        <v>41740</v>
      </c>
      <c r="O345" s="2352">
        <v>42004</v>
      </c>
      <c r="P345" s="2354" t="s">
        <v>3905</v>
      </c>
      <c r="Q345" s="2023"/>
      <c r="R345" s="2023"/>
      <c r="S345" s="2023"/>
      <c r="T345" s="2023" t="s">
        <v>316</v>
      </c>
      <c r="U345" s="1055"/>
      <c r="V345" s="1055"/>
      <c r="W345" s="1064"/>
      <c r="X345" s="1140"/>
      <c r="Y345" s="1055"/>
      <c r="Z345" s="1055"/>
      <c r="AA345" s="1138"/>
      <c r="AB345" s="1055"/>
      <c r="AC345" s="1139"/>
      <c r="AD345" s="1139"/>
      <c r="AE345" s="2345">
        <f>L345-AD345+AC345</f>
        <v>137358.46</v>
      </c>
      <c r="AF345" s="525">
        <v>0</v>
      </c>
      <c r="AG345" s="1150">
        <f>1437.55+653.45+735.67+338.8+3782.5+2280.55+1090+486.8+1283.3</f>
        <v>12088.619999999999</v>
      </c>
      <c r="AH345" s="1139">
        <f t="shared" si="7"/>
        <v>12088.619999999999</v>
      </c>
      <c r="AI345" s="1055"/>
      <c r="AJ345" s="1064"/>
      <c r="AK345" s="1055"/>
      <c r="AL345" s="1133"/>
      <c r="AM345" s="1055"/>
      <c r="AN345" s="1055"/>
      <c r="AO345" s="1064"/>
      <c r="AP345" s="1137"/>
      <c r="AQ345" s="1064"/>
      <c r="AR345" s="1137"/>
      <c r="AS345" s="1055"/>
      <c r="AT345" s="1133"/>
      <c r="AU345" s="1133"/>
      <c r="AV345" s="1133"/>
      <c r="AW345" s="1133"/>
      <c r="AX345" s="1133"/>
      <c r="AY345" s="1133"/>
      <c r="AZ345" s="1133"/>
      <c r="BA345" s="1133"/>
      <c r="BB345" s="1133"/>
      <c r="BC345" s="1133"/>
      <c r="BD345" s="1133"/>
      <c r="BE345" s="1480"/>
      <c r="BF345" s="1480"/>
      <c r="BG345" s="1480"/>
      <c r="BH345" s="1480"/>
      <c r="BI345" s="1480"/>
      <c r="BJ345" s="1480"/>
    </row>
    <row r="346" spans="1:62" s="629" customFormat="1" ht="12.75" x14ac:dyDescent="0.2">
      <c r="A346" s="2365"/>
      <c r="B346" s="2366"/>
      <c r="C346" s="2023"/>
      <c r="D346" s="2023"/>
      <c r="E346" s="2023"/>
      <c r="F346" s="2023"/>
      <c r="G346" s="2355"/>
      <c r="H346" s="2023"/>
      <c r="I346" s="2023"/>
      <c r="J346" s="2023"/>
      <c r="K346" s="2347"/>
      <c r="L346" s="2372"/>
      <c r="M346" s="2393"/>
      <c r="N346" s="2352"/>
      <c r="O346" s="2352"/>
      <c r="P346" s="2354"/>
      <c r="Q346" s="2023"/>
      <c r="R346" s="2023"/>
      <c r="S346" s="2023"/>
      <c r="T346" s="2023"/>
      <c r="U346" s="1055"/>
      <c r="V346" s="1055"/>
      <c r="W346" s="1064"/>
      <c r="X346" s="1140"/>
      <c r="Y346" s="1055"/>
      <c r="Z346" s="1055"/>
      <c r="AA346" s="1138"/>
      <c r="AB346" s="1055"/>
      <c r="AC346" s="1139"/>
      <c r="AD346" s="1139"/>
      <c r="AE346" s="2346"/>
      <c r="AF346" s="525">
        <v>0</v>
      </c>
      <c r="AG346" s="525">
        <v>0</v>
      </c>
      <c r="AH346" s="1139">
        <f t="shared" si="7"/>
        <v>0</v>
      </c>
      <c r="AI346" s="1055"/>
      <c r="AJ346" s="1064"/>
      <c r="AK346" s="1055"/>
      <c r="AL346" s="1133"/>
      <c r="AM346" s="1055"/>
      <c r="AN346" s="1055"/>
      <c r="AO346" s="1064"/>
      <c r="AP346" s="1137"/>
      <c r="AQ346" s="1064"/>
      <c r="AR346" s="1137"/>
      <c r="AS346" s="1055"/>
      <c r="AT346" s="1133"/>
      <c r="AU346" s="1133"/>
      <c r="AV346" s="1133"/>
      <c r="AW346" s="1133"/>
      <c r="AX346" s="1133"/>
      <c r="AY346" s="1133"/>
      <c r="AZ346" s="1133"/>
      <c r="BA346" s="1133"/>
      <c r="BB346" s="1133"/>
      <c r="BC346" s="1133"/>
      <c r="BD346" s="1133"/>
      <c r="BE346" s="1480"/>
      <c r="BF346" s="1480"/>
      <c r="BG346" s="1480"/>
      <c r="BH346" s="1480"/>
      <c r="BI346" s="1480"/>
      <c r="BJ346" s="1480"/>
    </row>
    <row r="347" spans="1:62" s="629" customFormat="1" ht="12.75" x14ac:dyDescent="0.2">
      <c r="A347" s="2365"/>
      <c r="B347" s="2366"/>
      <c r="C347" s="2023"/>
      <c r="D347" s="2023"/>
      <c r="E347" s="2023"/>
      <c r="F347" s="2023"/>
      <c r="G347" s="2355"/>
      <c r="H347" s="2023"/>
      <c r="I347" s="2023"/>
      <c r="J347" s="2023"/>
      <c r="K347" s="2023"/>
      <c r="L347" s="2372"/>
      <c r="M347" s="2393"/>
      <c r="N347" s="2352"/>
      <c r="O347" s="2352"/>
      <c r="P347" s="1132" t="s">
        <v>4071</v>
      </c>
      <c r="Q347" s="2023"/>
      <c r="R347" s="2023"/>
      <c r="S347" s="2023"/>
      <c r="T347" s="2023"/>
      <c r="U347" s="1055"/>
      <c r="V347" s="1055"/>
      <c r="W347" s="1064"/>
      <c r="X347" s="1140"/>
      <c r="Y347" s="1055"/>
      <c r="Z347" s="1055"/>
      <c r="AA347" s="1138"/>
      <c r="AB347" s="1055"/>
      <c r="AC347" s="1139"/>
      <c r="AD347" s="1139"/>
      <c r="AE347" s="2371"/>
      <c r="AF347" s="525">
        <v>0</v>
      </c>
      <c r="AG347" s="1150">
        <f>1417.22+612.98+375+68.12+14083.83+12731.55+2267.2+8353.27+6431+2716+1844+872+2144+862.5+21715.02+18824.59+3461.84+13387.29+5798</f>
        <v>117965.41</v>
      </c>
      <c r="AH347" s="1139">
        <f t="shared" ref="AH347:AH410" si="10">AF347+AG347</f>
        <v>117965.41</v>
      </c>
      <c r="AI347" s="1055"/>
      <c r="AJ347" s="1064"/>
      <c r="AK347" s="1055"/>
      <c r="AL347" s="1133"/>
      <c r="AM347" s="1055"/>
      <c r="AN347" s="1055"/>
      <c r="AO347" s="1064"/>
      <c r="AP347" s="1137"/>
      <c r="AQ347" s="1064"/>
      <c r="AR347" s="1137"/>
      <c r="AS347" s="1055"/>
      <c r="AT347" s="1133"/>
      <c r="AU347" s="1133"/>
      <c r="AV347" s="1133"/>
      <c r="AW347" s="1133"/>
      <c r="AX347" s="1133"/>
      <c r="AY347" s="1133"/>
      <c r="AZ347" s="1133"/>
      <c r="BA347" s="1133"/>
      <c r="BB347" s="1133"/>
      <c r="BC347" s="1133"/>
      <c r="BD347" s="1133"/>
      <c r="BE347" s="1480"/>
      <c r="BF347" s="1480"/>
      <c r="BG347" s="1480"/>
      <c r="BH347" s="1480"/>
      <c r="BI347" s="1480"/>
      <c r="BJ347" s="1480"/>
    </row>
    <row r="348" spans="1:62" s="629" customFormat="1" ht="45" customHeight="1" x14ac:dyDescent="0.2">
      <c r="A348" s="2365">
        <v>161</v>
      </c>
      <c r="B348" s="2361" t="s">
        <v>4433</v>
      </c>
      <c r="C348" s="2023" t="s">
        <v>744</v>
      </c>
      <c r="D348" s="2023" t="s">
        <v>1331</v>
      </c>
      <c r="E348" s="2023" t="s">
        <v>584</v>
      </c>
      <c r="F348" s="2023" t="s">
        <v>4311</v>
      </c>
      <c r="G348" s="2355">
        <v>11267</v>
      </c>
      <c r="H348" s="2023" t="s">
        <v>4435</v>
      </c>
      <c r="I348" s="2023" t="s">
        <v>4133</v>
      </c>
      <c r="J348" s="2023" t="s">
        <v>4134</v>
      </c>
      <c r="K348" s="2023" t="s">
        <v>4436</v>
      </c>
      <c r="L348" s="2349">
        <v>100187.46</v>
      </c>
      <c r="M348" s="2374">
        <v>11287</v>
      </c>
      <c r="N348" s="2352">
        <v>41740</v>
      </c>
      <c r="O348" s="2352">
        <v>42004</v>
      </c>
      <c r="P348" s="2354" t="s">
        <v>3905</v>
      </c>
      <c r="Q348" s="2023"/>
      <c r="R348" s="2023"/>
      <c r="S348" s="2023"/>
      <c r="T348" s="2023" t="s">
        <v>316</v>
      </c>
      <c r="U348" s="1055"/>
      <c r="V348" s="1055"/>
      <c r="W348" s="1064"/>
      <c r="X348" s="1140"/>
      <c r="Y348" s="1055"/>
      <c r="Z348" s="1055"/>
      <c r="AA348" s="1138"/>
      <c r="AB348" s="1055"/>
      <c r="AC348" s="1139"/>
      <c r="AD348" s="1139"/>
      <c r="AE348" s="2345">
        <f>L348-AD348+AC348</f>
        <v>100187.46</v>
      </c>
      <c r="AF348" s="525">
        <v>0</v>
      </c>
      <c r="AG348" s="1150">
        <f>147+387.6+327.9+147</f>
        <v>1009.5</v>
      </c>
      <c r="AH348" s="1139">
        <f t="shared" si="10"/>
        <v>1009.5</v>
      </c>
      <c r="AI348" s="1055"/>
      <c r="AJ348" s="1064"/>
      <c r="AK348" s="1055"/>
      <c r="AL348" s="1133"/>
      <c r="AM348" s="1055"/>
      <c r="AN348" s="1055"/>
      <c r="AO348" s="1064"/>
      <c r="AP348" s="1137"/>
      <c r="AQ348" s="1064"/>
      <c r="AR348" s="1137"/>
      <c r="AS348" s="1055"/>
      <c r="AT348" s="1133"/>
      <c r="AU348" s="1133"/>
      <c r="AV348" s="1133"/>
      <c r="AW348" s="1133"/>
      <c r="AX348" s="1133"/>
      <c r="AY348" s="1133"/>
      <c r="AZ348" s="1133"/>
      <c r="BA348" s="1133"/>
      <c r="BB348" s="1133"/>
      <c r="BC348" s="1133"/>
      <c r="BD348" s="1133"/>
      <c r="BE348" s="1480"/>
      <c r="BF348" s="1480"/>
      <c r="BG348" s="1480"/>
      <c r="BH348" s="1480"/>
      <c r="BI348" s="1480"/>
      <c r="BJ348" s="1480"/>
    </row>
    <row r="349" spans="1:62" s="629" customFormat="1" ht="12.75" x14ac:dyDescent="0.2">
      <c r="A349" s="2365"/>
      <c r="B349" s="2361"/>
      <c r="C349" s="2023"/>
      <c r="D349" s="2023"/>
      <c r="E349" s="2023"/>
      <c r="F349" s="2023"/>
      <c r="G349" s="2355"/>
      <c r="H349" s="2023"/>
      <c r="I349" s="2023"/>
      <c r="J349" s="2023"/>
      <c r="K349" s="2023"/>
      <c r="L349" s="2349"/>
      <c r="M349" s="2374"/>
      <c r="N349" s="2352"/>
      <c r="O349" s="2352"/>
      <c r="P349" s="2354"/>
      <c r="Q349" s="2023"/>
      <c r="R349" s="2023"/>
      <c r="S349" s="2023"/>
      <c r="T349" s="2023"/>
      <c r="U349" s="1055"/>
      <c r="V349" s="1055"/>
      <c r="W349" s="1064"/>
      <c r="X349" s="1140"/>
      <c r="Y349" s="1055"/>
      <c r="Z349" s="1055"/>
      <c r="AA349" s="1138"/>
      <c r="AB349" s="1055"/>
      <c r="AC349" s="1139"/>
      <c r="AD349" s="1139"/>
      <c r="AE349" s="2346"/>
      <c r="AF349" s="525">
        <v>0</v>
      </c>
      <c r="AG349" s="525">
        <v>0</v>
      </c>
      <c r="AH349" s="1139">
        <f t="shared" si="10"/>
        <v>0</v>
      </c>
      <c r="AI349" s="1055"/>
      <c r="AJ349" s="1064"/>
      <c r="AK349" s="1055"/>
      <c r="AL349" s="1133"/>
      <c r="AM349" s="1055"/>
      <c r="AN349" s="1055"/>
      <c r="AO349" s="1064"/>
      <c r="AP349" s="1137"/>
      <c r="AQ349" s="1064"/>
      <c r="AR349" s="1137"/>
      <c r="AS349" s="1055"/>
      <c r="AT349" s="1133"/>
      <c r="AU349" s="1133"/>
      <c r="AV349" s="1133"/>
      <c r="AW349" s="1133"/>
      <c r="AX349" s="1133"/>
      <c r="AY349" s="1133"/>
      <c r="AZ349" s="1133"/>
      <c r="BA349" s="1133"/>
      <c r="BB349" s="1133"/>
      <c r="BC349" s="1133"/>
      <c r="BD349" s="1133"/>
      <c r="BE349" s="1480"/>
      <c r="BF349" s="1480"/>
      <c r="BG349" s="1480"/>
      <c r="BH349" s="1480"/>
      <c r="BI349" s="1480"/>
      <c r="BJ349" s="1480"/>
    </row>
    <row r="350" spans="1:62" s="629" customFormat="1" ht="12.75" x14ac:dyDescent="0.2">
      <c r="A350" s="2365"/>
      <c r="B350" s="2361"/>
      <c r="C350" s="2023"/>
      <c r="D350" s="2023"/>
      <c r="E350" s="2023"/>
      <c r="F350" s="2023"/>
      <c r="G350" s="2355"/>
      <c r="H350" s="2023"/>
      <c r="I350" s="2023"/>
      <c r="J350" s="2023"/>
      <c r="K350" s="2023"/>
      <c r="L350" s="2349"/>
      <c r="M350" s="2374"/>
      <c r="N350" s="2352"/>
      <c r="O350" s="2352"/>
      <c r="P350" s="1132" t="s">
        <v>4071</v>
      </c>
      <c r="Q350" s="2023"/>
      <c r="R350" s="2023"/>
      <c r="S350" s="2023"/>
      <c r="T350" s="2023"/>
      <c r="U350" s="1055"/>
      <c r="V350" s="1055"/>
      <c r="W350" s="1064"/>
      <c r="X350" s="1140"/>
      <c r="Y350" s="1055"/>
      <c r="Z350" s="1055"/>
      <c r="AA350" s="1138"/>
      <c r="AB350" s="1055"/>
      <c r="AC350" s="1139"/>
      <c r="AD350" s="1139"/>
      <c r="AE350" s="2371"/>
      <c r="AF350" s="525">
        <v>0</v>
      </c>
      <c r="AG350" s="1150">
        <f>2502+3235+5311.5+5176+1998+1323+111.72+1755.78+70.56+1186.8+5176+6706.3+8495.11+45.29+1949.64+12454.75+15073.36+9219.75+12.94+287.4+1497</f>
        <v>83587.899999999994</v>
      </c>
      <c r="AH350" s="1139">
        <f t="shared" si="10"/>
        <v>83587.899999999994</v>
      </c>
      <c r="AI350" s="1055"/>
      <c r="AJ350" s="1064"/>
      <c r="AK350" s="1055"/>
      <c r="AL350" s="1133"/>
      <c r="AM350" s="1055"/>
      <c r="AN350" s="1055"/>
      <c r="AO350" s="1064"/>
      <c r="AP350" s="1137"/>
      <c r="AQ350" s="1064"/>
      <c r="AR350" s="1137"/>
      <c r="AS350" s="1055"/>
      <c r="AT350" s="1133"/>
      <c r="AU350" s="1133"/>
      <c r="AV350" s="1133"/>
      <c r="AW350" s="1133"/>
      <c r="AX350" s="1133"/>
      <c r="AY350" s="1133"/>
      <c r="AZ350" s="1133"/>
      <c r="BA350" s="1133"/>
      <c r="BB350" s="1133"/>
      <c r="BC350" s="1133"/>
      <c r="BD350" s="1133"/>
      <c r="BE350" s="1480"/>
      <c r="BF350" s="1480"/>
      <c r="BG350" s="1480"/>
      <c r="BH350" s="1480"/>
      <c r="BI350" s="1480"/>
      <c r="BJ350" s="1480"/>
    </row>
    <row r="351" spans="1:62" s="629" customFormat="1" ht="45" customHeight="1" x14ac:dyDescent="0.2">
      <c r="A351" s="2365">
        <v>162</v>
      </c>
      <c r="B351" s="2361" t="s">
        <v>4433</v>
      </c>
      <c r="C351" s="2023" t="s">
        <v>4437</v>
      </c>
      <c r="D351" s="2023" t="s">
        <v>1331</v>
      </c>
      <c r="E351" s="2023" t="s">
        <v>584</v>
      </c>
      <c r="F351" s="2023" t="s">
        <v>4311</v>
      </c>
      <c r="G351" s="2355">
        <v>11267</v>
      </c>
      <c r="H351" s="2023" t="s">
        <v>4438</v>
      </c>
      <c r="I351" s="2023" t="s">
        <v>4384</v>
      </c>
      <c r="J351" s="2023" t="s">
        <v>1021</v>
      </c>
      <c r="K351" s="2347">
        <v>41740</v>
      </c>
      <c r="L351" s="2349">
        <v>88716.3</v>
      </c>
      <c r="M351" s="2393">
        <v>11287</v>
      </c>
      <c r="N351" s="2352">
        <v>41740</v>
      </c>
      <c r="O351" s="2352">
        <v>42004</v>
      </c>
      <c r="P351" s="2354" t="s">
        <v>3905</v>
      </c>
      <c r="Q351" s="2023"/>
      <c r="R351" s="2023"/>
      <c r="S351" s="2023"/>
      <c r="T351" s="2023" t="s">
        <v>316</v>
      </c>
      <c r="U351" s="1055"/>
      <c r="V351" s="1055"/>
      <c r="W351" s="1064"/>
      <c r="X351" s="1140"/>
      <c r="Y351" s="1055"/>
      <c r="Z351" s="1055"/>
      <c r="AA351" s="1138"/>
      <c r="AB351" s="1055"/>
      <c r="AC351" s="1139"/>
      <c r="AD351" s="1139"/>
      <c r="AE351" s="2345">
        <f>L351-AD351+AC351</f>
        <v>88716.3</v>
      </c>
      <c r="AF351" s="525">
        <v>0</v>
      </c>
      <c r="AG351" s="1148">
        <f>1144.64+929.26+393.86+1107</f>
        <v>3574.76</v>
      </c>
      <c r="AH351" s="1139">
        <f t="shared" si="10"/>
        <v>3574.76</v>
      </c>
      <c r="AI351" s="1055"/>
      <c r="AJ351" s="1064"/>
      <c r="AK351" s="1055"/>
      <c r="AL351" s="1133"/>
      <c r="AM351" s="1055"/>
      <c r="AN351" s="1055"/>
      <c r="AO351" s="1064"/>
      <c r="AP351" s="1137"/>
      <c r="AQ351" s="1064"/>
      <c r="AR351" s="1137"/>
      <c r="AS351" s="1055"/>
      <c r="AT351" s="1133"/>
      <c r="AU351" s="1133"/>
      <c r="AV351" s="1133"/>
      <c r="AW351" s="1133"/>
      <c r="AX351" s="1133"/>
      <c r="AY351" s="1133"/>
      <c r="AZ351" s="1133"/>
      <c r="BA351" s="1133"/>
      <c r="BB351" s="1133"/>
      <c r="BC351" s="1133"/>
      <c r="BD351" s="1133"/>
      <c r="BE351" s="1480"/>
      <c r="BF351" s="1480"/>
      <c r="BG351" s="1480"/>
      <c r="BH351" s="1480"/>
      <c r="BI351" s="1480"/>
      <c r="BJ351" s="1480"/>
    </row>
    <row r="352" spans="1:62" s="629" customFormat="1" ht="12.75" x14ac:dyDescent="0.2">
      <c r="A352" s="2365"/>
      <c r="B352" s="2361"/>
      <c r="C352" s="2023"/>
      <c r="D352" s="2023"/>
      <c r="E352" s="2023"/>
      <c r="F352" s="2023"/>
      <c r="G352" s="2355"/>
      <c r="H352" s="2023"/>
      <c r="I352" s="2023"/>
      <c r="J352" s="2023"/>
      <c r="K352" s="2347"/>
      <c r="L352" s="2349"/>
      <c r="M352" s="2393"/>
      <c r="N352" s="2352"/>
      <c r="O352" s="2352"/>
      <c r="P352" s="2354"/>
      <c r="Q352" s="2023"/>
      <c r="R352" s="2023"/>
      <c r="S352" s="2023"/>
      <c r="T352" s="2023"/>
      <c r="U352" s="1055"/>
      <c r="V352" s="1055"/>
      <c r="W352" s="1064"/>
      <c r="X352" s="1140"/>
      <c r="Y352" s="1055"/>
      <c r="Z352" s="1055"/>
      <c r="AA352" s="1138"/>
      <c r="AB352" s="1055"/>
      <c r="AC352" s="1139"/>
      <c r="AD352" s="1139"/>
      <c r="AE352" s="2346"/>
      <c r="AF352" s="525">
        <v>0</v>
      </c>
      <c r="AG352" s="525">
        <v>0</v>
      </c>
      <c r="AH352" s="1139">
        <f t="shared" si="10"/>
        <v>0</v>
      </c>
      <c r="AI352" s="1055"/>
      <c r="AJ352" s="1064"/>
      <c r="AK352" s="1055"/>
      <c r="AL352" s="1133"/>
      <c r="AM352" s="1055"/>
      <c r="AN352" s="1055"/>
      <c r="AO352" s="1064"/>
      <c r="AP352" s="1137"/>
      <c r="AQ352" s="1064"/>
      <c r="AR352" s="1137"/>
      <c r="AS352" s="1055"/>
      <c r="AT352" s="1133"/>
      <c r="AU352" s="1133"/>
      <c r="AV352" s="1133"/>
      <c r="AW352" s="1133"/>
      <c r="AX352" s="1133"/>
      <c r="AY352" s="1133"/>
      <c r="AZ352" s="1133"/>
      <c r="BA352" s="1133"/>
      <c r="BB352" s="1133"/>
      <c r="BC352" s="1133"/>
      <c r="BD352" s="1133"/>
      <c r="BE352" s="1480"/>
      <c r="BF352" s="1480"/>
      <c r="BG352" s="1480"/>
      <c r="BH352" s="1480"/>
      <c r="BI352" s="1480"/>
      <c r="BJ352" s="1480"/>
    </row>
    <row r="353" spans="1:62" s="629" customFormat="1" ht="12.75" x14ac:dyDescent="0.2">
      <c r="A353" s="2365"/>
      <c r="B353" s="2361"/>
      <c r="C353" s="2023"/>
      <c r="D353" s="2023"/>
      <c r="E353" s="2023"/>
      <c r="F353" s="2023"/>
      <c r="G353" s="2355"/>
      <c r="H353" s="2023"/>
      <c r="I353" s="2023"/>
      <c r="J353" s="2023"/>
      <c r="K353" s="2023"/>
      <c r="L353" s="2349"/>
      <c r="M353" s="2393"/>
      <c r="N353" s="2352"/>
      <c r="O353" s="2352"/>
      <c r="P353" s="1132" t="s">
        <v>4071</v>
      </c>
      <c r="Q353" s="2023"/>
      <c r="R353" s="2023"/>
      <c r="S353" s="2023"/>
      <c r="T353" s="2023"/>
      <c r="U353" s="1055"/>
      <c r="V353" s="1055"/>
      <c r="W353" s="1064"/>
      <c r="X353" s="1140"/>
      <c r="Y353" s="1055"/>
      <c r="Z353" s="1055"/>
      <c r="AA353" s="1138"/>
      <c r="AB353" s="1055"/>
      <c r="AC353" s="1139"/>
      <c r="AD353" s="1139"/>
      <c r="AE353" s="2371"/>
      <c r="AF353" s="525">
        <v>0</v>
      </c>
      <c r="AG353" s="1148">
        <f>4373.92+12758+426.8+6792.08+7095.5+17145.46+3156.44+5956.94+3112+5221+388+3742+1210+2580.6+1091+2404.5+1406+787.5+700+700+757.8</f>
        <v>81805.540000000008</v>
      </c>
      <c r="AH353" s="1139">
        <f t="shared" si="10"/>
        <v>81805.540000000008</v>
      </c>
      <c r="AI353" s="1055"/>
      <c r="AJ353" s="1064"/>
      <c r="AK353" s="1055"/>
      <c r="AL353" s="1133"/>
      <c r="AM353" s="1055"/>
      <c r="AN353" s="1055"/>
      <c r="AO353" s="1064"/>
      <c r="AP353" s="1137"/>
      <c r="AQ353" s="1064"/>
      <c r="AR353" s="1137"/>
      <c r="AS353" s="1055"/>
      <c r="AT353" s="1133"/>
      <c r="AU353" s="1133"/>
      <c r="AV353" s="1133"/>
      <c r="AW353" s="1133"/>
      <c r="AX353" s="1133"/>
      <c r="AY353" s="1133"/>
      <c r="AZ353" s="1133"/>
      <c r="BA353" s="1133"/>
      <c r="BB353" s="1133"/>
      <c r="BC353" s="1133"/>
      <c r="BD353" s="1133"/>
      <c r="BE353" s="1480"/>
      <c r="BF353" s="1480"/>
      <c r="BG353" s="1480"/>
      <c r="BH353" s="1480"/>
      <c r="BI353" s="1480"/>
      <c r="BJ353" s="1480"/>
    </row>
    <row r="354" spans="1:62" s="629" customFormat="1" ht="45" customHeight="1" x14ac:dyDescent="0.2">
      <c r="A354" s="2365">
        <v>163</v>
      </c>
      <c r="B354" s="2361" t="s">
        <v>4433</v>
      </c>
      <c r="C354" s="2023" t="s">
        <v>744</v>
      </c>
      <c r="D354" s="2023" t="s">
        <v>1331</v>
      </c>
      <c r="E354" s="2023" t="s">
        <v>584</v>
      </c>
      <c r="F354" s="2023" t="s">
        <v>4311</v>
      </c>
      <c r="G354" s="2355">
        <v>11267</v>
      </c>
      <c r="H354" s="2023" t="s">
        <v>4439</v>
      </c>
      <c r="I354" s="2023" t="s">
        <v>4400</v>
      </c>
      <c r="J354" s="2023" t="s">
        <v>1740</v>
      </c>
      <c r="K354" s="2023" t="s">
        <v>4436</v>
      </c>
      <c r="L354" s="2349">
        <v>140994.76</v>
      </c>
      <c r="M354" s="2374">
        <v>11287</v>
      </c>
      <c r="N354" s="2352">
        <v>41740</v>
      </c>
      <c r="O354" s="2352">
        <v>42004</v>
      </c>
      <c r="P354" s="2354" t="s">
        <v>3905</v>
      </c>
      <c r="Q354" s="2023"/>
      <c r="R354" s="2023"/>
      <c r="S354" s="2023"/>
      <c r="T354" s="2023" t="s">
        <v>316</v>
      </c>
      <c r="U354" s="1055"/>
      <c r="V354" s="1055"/>
      <c r="W354" s="1064"/>
      <c r="X354" s="1140"/>
      <c r="Y354" s="1055"/>
      <c r="Z354" s="1055"/>
      <c r="AA354" s="1138"/>
      <c r="AB354" s="1055"/>
      <c r="AC354" s="1139"/>
      <c r="AD354" s="1139"/>
      <c r="AE354" s="2345">
        <f>L354-AD354+AC354</f>
        <v>140994.76</v>
      </c>
      <c r="AF354" s="525">
        <v>0</v>
      </c>
      <c r="AG354" s="1135">
        <f>3080+1721.46+12395+35455.3+5078+47615.6</f>
        <v>105345.36</v>
      </c>
      <c r="AH354" s="1139">
        <f t="shared" si="10"/>
        <v>105345.36</v>
      </c>
      <c r="AI354" s="1055"/>
      <c r="AJ354" s="1064"/>
      <c r="AK354" s="1055"/>
      <c r="AL354" s="1133"/>
      <c r="AM354" s="1055"/>
      <c r="AN354" s="1055"/>
      <c r="AO354" s="1064"/>
      <c r="AP354" s="1137"/>
      <c r="AQ354" s="1064"/>
      <c r="AR354" s="1137"/>
      <c r="AS354" s="1055"/>
      <c r="AT354" s="1133"/>
      <c r="AU354" s="1133"/>
      <c r="AV354" s="1133"/>
      <c r="AW354" s="1133"/>
      <c r="AX354" s="1133"/>
      <c r="AY354" s="1133"/>
      <c r="AZ354" s="1133"/>
      <c r="BA354" s="1133"/>
      <c r="BB354" s="1133"/>
      <c r="BC354" s="1133"/>
      <c r="BD354" s="1133"/>
      <c r="BE354" s="1480"/>
      <c r="BF354" s="1480"/>
      <c r="BG354" s="1480"/>
      <c r="BH354" s="1480"/>
      <c r="BI354" s="1480"/>
      <c r="BJ354" s="1480"/>
    </row>
    <row r="355" spans="1:62" s="629" customFormat="1" ht="12.75" x14ac:dyDescent="0.2">
      <c r="A355" s="2365"/>
      <c r="B355" s="2361"/>
      <c r="C355" s="2023"/>
      <c r="D355" s="2023"/>
      <c r="E355" s="2023"/>
      <c r="F355" s="2023"/>
      <c r="G355" s="2355"/>
      <c r="H355" s="2023"/>
      <c r="I355" s="2023"/>
      <c r="J355" s="2023"/>
      <c r="K355" s="2023"/>
      <c r="L355" s="2349"/>
      <c r="M355" s="2374"/>
      <c r="N355" s="2352"/>
      <c r="O355" s="2352"/>
      <c r="P355" s="2354"/>
      <c r="Q355" s="2023"/>
      <c r="R355" s="2023"/>
      <c r="S355" s="2023"/>
      <c r="T355" s="2023"/>
      <c r="U355" s="1055"/>
      <c r="V355" s="1055"/>
      <c r="W355" s="1064"/>
      <c r="X355" s="1140"/>
      <c r="Y355" s="1055"/>
      <c r="Z355" s="1055"/>
      <c r="AA355" s="1138"/>
      <c r="AB355" s="1055"/>
      <c r="AC355" s="1139"/>
      <c r="AD355" s="1139"/>
      <c r="AE355" s="2346"/>
      <c r="AF355" s="525">
        <v>0</v>
      </c>
      <c r="AG355" s="525">
        <v>0</v>
      </c>
      <c r="AH355" s="1139">
        <f t="shared" si="10"/>
        <v>0</v>
      </c>
      <c r="AI355" s="1055"/>
      <c r="AJ355" s="1064"/>
      <c r="AK355" s="1055"/>
      <c r="AL355" s="1133"/>
      <c r="AM355" s="1055"/>
      <c r="AN355" s="1055"/>
      <c r="AO355" s="1064"/>
      <c r="AP355" s="1137"/>
      <c r="AQ355" s="1064"/>
      <c r="AR355" s="1137"/>
      <c r="AS355" s="1055"/>
      <c r="AT355" s="1133"/>
      <c r="AU355" s="1133"/>
      <c r="AV355" s="1133"/>
      <c r="AW355" s="1133"/>
      <c r="AX355" s="1133"/>
      <c r="AY355" s="1133"/>
      <c r="AZ355" s="1133"/>
      <c r="BA355" s="1133"/>
      <c r="BB355" s="1133"/>
      <c r="BC355" s="1133"/>
      <c r="BD355" s="1133"/>
      <c r="BE355" s="1480"/>
      <c r="BF355" s="1480"/>
      <c r="BG355" s="1480"/>
      <c r="BH355" s="1480"/>
      <c r="BI355" s="1480"/>
      <c r="BJ355" s="1480"/>
    </row>
    <row r="356" spans="1:62" s="629" customFormat="1" ht="12.75" x14ac:dyDescent="0.2">
      <c r="A356" s="2365"/>
      <c r="B356" s="2361"/>
      <c r="C356" s="2023"/>
      <c r="D356" s="2023"/>
      <c r="E356" s="2023"/>
      <c r="F356" s="2023"/>
      <c r="G356" s="2355"/>
      <c r="H356" s="2023"/>
      <c r="I356" s="2023"/>
      <c r="J356" s="2023"/>
      <c r="K356" s="2023"/>
      <c r="L356" s="2349"/>
      <c r="M356" s="2374"/>
      <c r="N356" s="2352"/>
      <c r="O356" s="2352"/>
      <c r="P356" s="1132" t="s">
        <v>4071</v>
      </c>
      <c r="Q356" s="2023"/>
      <c r="R356" s="2023"/>
      <c r="S356" s="2023"/>
      <c r="T356" s="2023"/>
      <c r="U356" s="1055"/>
      <c r="V356" s="1055"/>
      <c r="W356" s="1064"/>
      <c r="X356" s="1140"/>
      <c r="Y356" s="1055"/>
      <c r="Z356" s="1055"/>
      <c r="AA356" s="1138"/>
      <c r="AB356" s="1055"/>
      <c r="AC356" s="1139"/>
      <c r="AD356" s="1139"/>
      <c r="AE356" s="2371"/>
      <c r="AF356" s="525">
        <v>0</v>
      </c>
      <c r="AG356" s="1135">
        <v>1893.47</v>
      </c>
      <c r="AH356" s="1139">
        <f t="shared" si="10"/>
        <v>1893.47</v>
      </c>
      <c r="AI356" s="1055"/>
      <c r="AJ356" s="1064"/>
      <c r="AK356" s="1055"/>
      <c r="AL356" s="1133"/>
      <c r="AM356" s="1055"/>
      <c r="AN356" s="1055"/>
      <c r="AO356" s="1064"/>
      <c r="AP356" s="1137"/>
      <c r="AQ356" s="1064"/>
      <c r="AR356" s="1137"/>
      <c r="AS356" s="1055"/>
      <c r="AT356" s="1133"/>
      <c r="AU356" s="1133"/>
      <c r="AV356" s="1133"/>
      <c r="AW356" s="1133"/>
      <c r="AX356" s="1133"/>
      <c r="AY356" s="1133"/>
      <c r="AZ356" s="1133"/>
      <c r="BA356" s="1133"/>
      <c r="BB356" s="1133"/>
      <c r="BC356" s="1133"/>
      <c r="BD356" s="1133"/>
      <c r="BE356" s="1480"/>
      <c r="BF356" s="1480"/>
      <c r="BG356" s="1480"/>
      <c r="BH356" s="1480"/>
      <c r="BI356" s="1480"/>
      <c r="BJ356" s="1480"/>
    </row>
    <row r="357" spans="1:62" s="629" customFormat="1" ht="45" customHeight="1" x14ac:dyDescent="0.2">
      <c r="A357" s="2365">
        <v>164</v>
      </c>
      <c r="B357" s="2361" t="s">
        <v>4433</v>
      </c>
      <c r="C357" s="2023" t="s">
        <v>744</v>
      </c>
      <c r="D357" s="2023" t="s">
        <v>1331</v>
      </c>
      <c r="E357" s="2023" t="s">
        <v>584</v>
      </c>
      <c r="F357" s="2023" t="s">
        <v>4311</v>
      </c>
      <c r="G357" s="2355">
        <v>11267</v>
      </c>
      <c r="H357" s="2023" t="s">
        <v>4440</v>
      </c>
      <c r="I357" s="2023" t="s">
        <v>4441</v>
      </c>
      <c r="J357" s="2023" t="s">
        <v>4317</v>
      </c>
      <c r="K357" s="2347">
        <v>41740</v>
      </c>
      <c r="L357" s="2349">
        <v>161603.76999999999</v>
      </c>
      <c r="M357" s="2374">
        <v>11287</v>
      </c>
      <c r="N357" s="2352">
        <v>41740</v>
      </c>
      <c r="O357" s="2352">
        <v>42004</v>
      </c>
      <c r="P357" s="2354" t="s">
        <v>3905</v>
      </c>
      <c r="Q357" s="2023"/>
      <c r="R357" s="2023"/>
      <c r="S357" s="2023"/>
      <c r="T357" s="2023" t="s">
        <v>316</v>
      </c>
      <c r="U357" s="1055"/>
      <c r="V357" s="1055"/>
      <c r="W357" s="1064"/>
      <c r="X357" s="1140"/>
      <c r="Y357" s="1055"/>
      <c r="Z357" s="1055"/>
      <c r="AA357" s="1138"/>
      <c r="AB357" s="1055"/>
      <c r="AC357" s="1139"/>
      <c r="AD357" s="1139"/>
      <c r="AE357" s="2345">
        <f>L357-AD357+AC357</f>
        <v>161603.76999999999</v>
      </c>
      <c r="AF357" s="525">
        <v>0</v>
      </c>
      <c r="AG357" s="1139">
        <f>6272.5</f>
        <v>6272.5</v>
      </c>
      <c r="AH357" s="1139">
        <f t="shared" si="10"/>
        <v>6272.5</v>
      </c>
      <c r="AI357" s="1055"/>
      <c r="AJ357" s="1064"/>
      <c r="AK357" s="1055"/>
      <c r="AL357" s="1133"/>
      <c r="AM357" s="1055"/>
      <c r="AN357" s="1055"/>
      <c r="AO357" s="1064"/>
      <c r="AP357" s="1137"/>
      <c r="AQ357" s="1064"/>
      <c r="AR357" s="1137"/>
      <c r="AS357" s="1055"/>
      <c r="AT357" s="1133"/>
      <c r="AU357" s="1133"/>
      <c r="AV357" s="1133"/>
      <c r="AW357" s="1133"/>
      <c r="AX357" s="1133"/>
      <c r="AY357" s="1133"/>
      <c r="AZ357" s="1133"/>
      <c r="BA357" s="1133"/>
      <c r="BB357" s="1133"/>
      <c r="BC357" s="1133"/>
      <c r="BD357" s="1133"/>
      <c r="BE357" s="1480"/>
      <c r="BF357" s="1480"/>
      <c r="BG357" s="1480"/>
      <c r="BH357" s="1480"/>
      <c r="BI357" s="1480"/>
      <c r="BJ357" s="1480"/>
    </row>
    <row r="358" spans="1:62" s="629" customFormat="1" ht="12.75" x14ac:dyDescent="0.2">
      <c r="A358" s="2365"/>
      <c r="B358" s="2361"/>
      <c r="C358" s="2023"/>
      <c r="D358" s="2023"/>
      <c r="E358" s="2023"/>
      <c r="F358" s="2023"/>
      <c r="G358" s="2355"/>
      <c r="H358" s="2023"/>
      <c r="I358" s="2023"/>
      <c r="J358" s="2023"/>
      <c r="K358" s="2347"/>
      <c r="L358" s="2349"/>
      <c r="M358" s="2374"/>
      <c r="N358" s="2352"/>
      <c r="O358" s="2352"/>
      <c r="P358" s="2354"/>
      <c r="Q358" s="2023"/>
      <c r="R358" s="2023"/>
      <c r="S358" s="2023"/>
      <c r="T358" s="2023"/>
      <c r="U358" s="1055"/>
      <c r="V358" s="1055"/>
      <c r="W358" s="1064"/>
      <c r="X358" s="1140"/>
      <c r="Y358" s="1055"/>
      <c r="Z358" s="1055"/>
      <c r="AA358" s="1138"/>
      <c r="AB358" s="1055"/>
      <c r="AC358" s="1139"/>
      <c r="AD358" s="1139"/>
      <c r="AE358" s="2346"/>
      <c r="AF358" s="525">
        <v>0</v>
      </c>
      <c r="AG358" s="525">
        <v>0</v>
      </c>
      <c r="AH358" s="1139">
        <f t="shared" si="10"/>
        <v>0</v>
      </c>
      <c r="AI358" s="1055"/>
      <c r="AJ358" s="1064"/>
      <c r="AK358" s="1055"/>
      <c r="AL358" s="1133"/>
      <c r="AM358" s="1055"/>
      <c r="AN358" s="1055"/>
      <c r="AO358" s="1064"/>
      <c r="AP358" s="1137"/>
      <c r="AQ358" s="1064"/>
      <c r="AR358" s="1137"/>
      <c r="AS358" s="1055"/>
      <c r="AT358" s="1133"/>
      <c r="AU358" s="1133"/>
      <c r="AV358" s="1133"/>
      <c r="AW358" s="1133"/>
      <c r="AX358" s="1133"/>
      <c r="AY358" s="1133"/>
      <c r="AZ358" s="1133"/>
      <c r="BA358" s="1133"/>
      <c r="BB358" s="1133"/>
      <c r="BC358" s="1133"/>
      <c r="BD358" s="1133"/>
      <c r="BE358" s="1480"/>
      <c r="BF358" s="1480"/>
      <c r="BG358" s="1480"/>
      <c r="BH358" s="1480"/>
      <c r="BI358" s="1480"/>
      <c r="BJ358" s="1480"/>
    </row>
    <row r="359" spans="1:62" s="629" customFormat="1" ht="12.75" x14ac:dyDescent="0.2">
      <c r="A359" s="2365"/>
      <c r="B359" s="2361"/>
      <c r="C359" s="2023"/>
      <c r="D359" s="2023"/>
      <c r="E359" s="2023"/>
      <c r="F359" s="2023"/>
      <c r="G359" s="2355"/>
      <c r="H359" s="2023"/>
      <c r="I359" s="2023"/>
      <c r="J359" s="2023"/>
      <c r="K359" s="2023"/>
      <c r="L359" s="2349"/>
      <c r="M359" s="2374"/>
      <c r="N359" s="2352"/>
      <c r="O359" s="2352"/>
      <c r="P359" s="1132" t="s">
        <v>4071</v>
      </c>
      <c r="Q359" s="2023"/>
      <c r="R359" s="2023"/>
      <c r="S359" s="2023"/>
      <c r="T359" s="2023"/>
      <c r="U359" s="1055"/>
      <c r="V359" s="1055"/>
      <c r="W359" s="1064"/>
      <c r="X359" s="1140"/>
      <c r="Y359" s="1055"/>
      <c r="Z359" s="1055"/>
      <c r="AA359" s="1138"/>
      <c r="AB359" s="1055"/>
      <c r="AC359" s="1139"/>
      <c r="AD359" s="1139"/>
      <c r="AE359" s="2371"/>
      <c r="AF359" s="525">
        <v>0</v>
      </c>
      <c r="AG359" s="1139">
        <f>8204.5+38918.55+52251.38+3621.49+8755.85+942.3+11237.66+11041.75</f>
        <v>134973.48000000001</v>
      </c>
      <c r="AH359" s="1139">
        <f t="shared" si="10"/>
        <v>134973.48000000001</v>
      </c>
      <c r="AI359" s="1055"/>
      <c r="AJ359" s="1064"/>
      <c r="AK359" s="1055"/>
      <c r="AL359" s="1133"/>
      <c r="AM359" s="1055"/>
      <c r="AN359" s="1055"/>
      <c r="AO359" s="1064"/>
      <c r="AP359" s="1137"/>
      <c r="AQ359" s="1064"/>
      <c r="AR359" s="1137"/>
      <c r="AS359" s="1055"/>
      <c r="AT359" s="1133"/>
      <c r="AU359" s="1133"/>
      <c r="AV359" s="1133"/>
      <c r="AW359" s="1133"/>
      <c r="AX359" s="1133"/>
      <c r="AY359" s="1133"/>
      <c r="AZ359" s="1133"/>
      <c r="BA359" s="1133"/>
      <c r="BB359" s="1133"/>
      <c r="BC359" s="1133"/>
      <c r="BD359" s="1133"/>
      <c r="BE359" s="1480"/>
      <c r="BF359" s="1480"/>
      <c r="BG359" s="1480"/>
      <c r="BH359" s="1480"/>
      <c r="BI359" s="1480"/>
      <c r="BJ359" s="1480"/>
    </row>
    <row r="360" spans="1:62" s="629" customFormat="1" ht="45" customHeight="1" x14ac:dyDescent="0.2">
      <c r="A360" s="2365">
        <v>165</v>
      </c>
      <c r="B360" s="2361" t="s">
        <v>4433</v>
      </c>
      <c r="C360" s="2023" t="s">
        <v>744</v>
      </c>
      <c r="D360" s="2023" t="s">
        <v>1331</v>
      </c>
      <c r="E360" s="2023" t="s">
        <v>584</v>
      </c>
      <c r="F360" s="2023" t="s">
        <v>4311</v>
      </c>
      <c r="G360" s="2355">
        <v>11267</v>
      </c>
      <c r="H360" s="2023" t="s">
        <v>4442</v>
      </c>
      <c r="I360" s="2023" t="s">
        <v>4443</v>
      </c>
      <c r="J360" s="2023" t="s">
        <v>4444</v>
      </c>
      <c r="K360" s="2347">
        <v>41740</v>
      </c>
      <c r="L360" s="2349">
        <v>21193.29</v>
      </c>
      <c r="M360" s="2374">
        <v>11287</v>
      </c>
      <c r="N360" s="2352">
        <v>41740</v>
      </c>
      <c r="O360" s="2352">
        <v>42004</v>
      </c>
      <c r="P360" s="2354" t="s">
        <v>3905</v>
      </c>
      <c r="Q360" s="2023"/>
      <c r="R360" s="2023"/>
      <c r="S360" s="2023"/>
      <c r="T360" s="2023" t="s">
        <v>316</v>
      </c>
      <c r="U360" s="1055"/>
      <c r="V360" s="1055"/>
      <c r="W360" s="1064"/>
      <c r="X360" s="1140"/>
      <c r="Y360" s="1055"/>
      <c r="Z360" s="1055"/>
      <c r="AA360" s="1138"/>
      <c r="AB360" s="1055"/>
      <c r="AC360" s="1139"/>
      <c r="AD360" s="1139"/>
      <c r="AE360" s="2345">
        <f>L360-AD360+AC360</f>
        <v>21193.29</v>
      </c>
      <c r="AF360" s="525">
        <v>0</v>
      </c>
      <c r="AG360" s="1139">
        <f>223.6</f>
        <v>223.6</v>
      </c>
      <c r="AH360" s="1139">
        <f t="shared" si="10"/>
        <v>223.6</v>
      </c>
      <c r="AI360" s="1055"/>
      <c r="AJ360" s="1064"/>
      <c r="AK360" s="1055"/>
      <c r="AL360" s="1133"/>
      <c r="AM360" s="1055"/>
      <c r="AN360" s="1055"/>
      <c r="AO360" s="1064"/>
      <c r="AP360" s="1137"/>
      <c r="AQ360" s="1064"/>
      <c r="AR360" s="1137"/>
      <c r="AS360" s="1055"/>
      <c r="AT360" s="1133"/>
      <c r="AU360" s="1133"/>
      <c r="AV360" s="1133"/>
      <c r="AW360" s="1133"/>
      <c r="AX360" s="1133"/>
      <c r="AY360" s="1133"/>
      <c r="AZ360" s="1133"/>
      <c r="BA360" s="1133"/>
      <c r="BB360" s="1133"/>
      <c r="BC360" s="1133"/>
      <c r="BD360" s="1133"/>
      <c r="BE360" s="1480"/>
      <c r="BF360" s="1480"/>
      <c r="BG360" s="1480"/>
      <c r="BH360" s="1480"/>
      <c r="BI360" s="1480"/>
      <c r="BJ360" s="1480"/>
    </row>
    <row r="361" spans="1:62" s="629" customFormat="1" ht="12.75" x14ac:dyDescent="0.2">
      <c r="A361" s="2365"/>
      <c r="B361" s="2361"/>
      <c r="C361" s="2023"/>
      <c r="D361" s="2023"/>
      <c r="E361" s="2023"/>
      <c r="F361" s="2023"/>
      <c r="G361" s="2355"/>
      <c r="H361" s="2023"/>
      <c r="I361" s="2023"/>
      <c r="J361" s="2023"/>
      <c r="K361" s="2347"/>
      <c r="L361" s="2349"/>
      <c r="M361" s="2374"/>
      <c r="N361" s="2352"/>
      <c r="O361" s="2352"/>
      <c r="P361" s="2354"/>
      <c r="Q361" s="2023"/>
      <c r="R361" s="2023"/>
      <c r="S361" s="2023"/>
      <c r="T361" s="2023"/>
      <c r="U361" s="1055"/>
      <c r="V361" s="1055"/>
      <c r="W361" s="1064"/>
      <c r="X361" s="1140"/>
      <c r="Y361" s="1055"/>
      <c r="Z361" s="1055"/>
      <c r="AA361" s="1138"/>
      <c r="AB361" s="1055"/>
      <c r="AC361" s="1139"/>
      <c r="AD361" s="1139"/>
      <c r="AE361" s="2346"/>
      <c r="AF361" s="525">
        <v>0</v>
      </c>
      <c r="AG361" s="525">
        <v>0</v>
      </c>
      <c r="AH361" s="1139">
        <f t="shared" si="10"/>
        <v>0</v>
      </c>
      <c r="AI361" s="1055"/>
      <c r="AJ361" s="1064"/>
      <c r="AK361" s="1055"/>
      <c r="AL361" s="1133"/>
      <c r="AM361" s="1055"/>
      <c r="AN361" s="1055"/>
      <c r="AO361" s="1064"/>
      <c r="AP361" s="1137"/>
      <c r="AQ361" s="1064"/>
      <c r="AR361" s="1137"/>
      <c r="AS361" s="1055"/>
      <c r="AT361" s="1133"/>
      <c r="AU361" s="1133"/>
      <c r="AV361" s="1133"/>
      <c r="AW361" s="1133"/>
      <c r="AX361" s="1133"/>
      <c r="AY361" s="1133"/>
      <c r="AZ361" s="1133"/>
      <c r="BA361" s="1133"/>
      <c r="BB361" s="1133"/>
      <c r="BC361" s="1133"/>
      <c r="BD361" s="1133"/>
      <c r="BE361" s="1480"/>
      <c r="BF361" s="1480"/>
      <c r="BG361" s="1480"/>
      <c r="BH361" s="1480"/>
      <c r="BI361" s="1480"/>
      <c r="BJ361" s="1480"/>
    </row>
    <row r="362" spans="1:62" s="629" customFormat="1" ht="12.75" x14ac:dyDescent="0.2">
      <c r="A362" s="2365"/>
      <c r="B362" s="2361"/>
      <c r="C362" s="2023"/>
      <c r="D362" s="2023"/>
      <c r="E362" s="2023"/>
      <c r="F362" s="2023"/>
      <c r="G362" s="2355"/>
      <c r="H362" s="2023"/>
      <c r="I362" s="2023"/>
      <c r="J362" s="2023"/>
      <c r="K362" s="2023"/>
      <c r="L362" s="2349"/>
      <c r="M362" s="2374"/>
      <c r="N362" s="2352"/>
      <c r="O362" s="2352"/>
      <c r="P362" s="1132" t="s">
        <v>4071</v>
      </c>
      <c r="Q362" s="2023"/>
      <c r="R362" s="2023"/>
      <c r="S362" s="2023"/>
      <c r="T362" s="2023"/>
      <c r="U362" s="1055"/>
      <c r="V362" s="1055"/>
      <c r="W362" s="1064"/>
      <c r="X362" s="1140"/>
      <c r="Y362" s="1055"/>
      <c r="Z362" s="1055"/>
      <c r="AA362" s="1138"/>
      <c r="AB362" s="1055"/>
      <c r="AC362" s="1139"/>
      <c r="AD362" s="1139"/>
      <c r="AE362" s="2371"/>
      <c r="AF362" s="525">
        <v>0</v>
      </c>
      <c r="AG362" s="1139">
        <f>206.4+1032+3577.6+1720+7304</f>
        <v>13840</v>
      </c>
      <c r="AH362" s="1139">
        <f t="shared" si="10"/>
        <v>13840</v>
      </c>
      <c r="AI362" s="1055"/>
      <c r="AJ362" s="1064"/>
      <c r="AK362" s="1055"/>
      <c r="AL362" s="1133"/>
      <c r="AM362" s="1055"/>
      <c r="AN362" s="1055"/>
      <c r="AO362" s="1064"/>
      <c r="AP362" s="1137"/>
      <c r="AQ362" s="1064"/>
      <c r="AR362" s="1137"/>
      <c r="AS362" s="1055"/>
      <c r="AT362" s="1133"/>
      <c r="AU362" s="1133"/>
      <c r="AV362" s="1133"/>
      <c r="AW362" s="1133"/>
      <c r="AX362" s="1133"/>
      <c r="AY362" s="1133"/>
      <c r="AZ362" s="1133"/>
      <c r="BA362" s="1133"/>
      <c r="BB362" s="1133"/>
      <c r="BC362" s="1133"/>
      <c r="BD362" s="1133"/>
      <c r="BE362" s="1480"/>
      <c r="BF362" s="1480"/>
      <c r="BG362" s="1480"/>
      <c r="BH362" s="1480"/>
      <c r="BI362" s="1480"/>
      <c r="BJ362" s="1480"/>
    </row>
    <row r="363" spans="1:62" s="629" customFormat="1" ht="45" customHeight="1" x14ac:dyDescent="0.2">
      <c r="A363" s="2365">
        <v>166</v>
      </c>
      <c r="B363" s="2361" t="s">
        <v>4433</v>
      </c>
      <c r="C363" s="2023" t="s">
        <v>744</v>
      </c>
      <c r="D363" s="2023" t="s">
        <v>1331</v>
      </c>
      <c r="E363" s="2023" t="s">
        <v>584</v>
      </c>
      <c r="F363" s="2023" t="s">
        <v>4311</v>
      </c>
      <c r="G363" s="2355">
        <v>11267</v>
      </c>
      <c r="H363" s="2023" t="s">
        <v>4445</v>
      </c>
      <c r="I363" s="2023" t="s">
        <v>4305</v>
      </c>
      <c r="J363" s="2023" t="s">
        <v>4140</v>
      </c>
      <c r="K363" s="2347">
        <v>41740</v>
      </c>
      <c r="L363" s="2349">
        <v>70218.8</v>
      </c>
      <c r="M363" s="2374">
        <v>11287</v>
      </c>
      <c r="N363" s="2352">
        <v>41740</v>
      </c>
      <c r="O363" s="2352">
        <v>42004</v>
      </c>
      <c r="P363" s="2354" t="s">
        <v>3905</v>
      </c>
      <c r="Q363" s="2023"/>
      <c r="R363" s="2023"/>
      <c r="S363" s="2023"/>
      <c r="T363" s="2023" t="s">
        <v>316</v>
      </c>
      <c r="U363" s="1055"/>
      <c r="V363" s="1055"/>
      <c r="W363" s="1064"/>
      <c r="X363" s="1140"/>
      <c r="Y363" s="1055"/>
      <c r="Z363" s="1055"/>
      <c r="AA363" s="1138"/>
      <c r="AB363" s="1055"/>
      <c r="AC363" s="1139"/>
      <c r="AD363" s="1139"/>
      <c r="AE363" s="2345">
        <f>L363-AD363+AC363</f>
        <v>70218.8</v>
      </c>
      <c r="AF363" s="525">
        <v>0</v>
      </c>
      <c r="AG363" s="525">
        <v>0</v>
      </c>
      <c r="AH363" s="1139">
        <f t="shared" si="10"/>
        <v>0</v>
      </c>
      <c r="AI363" s="1055"/>
      <c r="AJ363" s="1064"/>
      <c r="AK363" s="1055"/>
      <c r="AL363" s="1133"/>
      <c r="AM363" s="1055"/>
      <c r="AN363" s="1055"/>
      <c r="AO363" s="1064"/>
      <c r="AP363" s="1137"/>
      <c r="AQ363" s="1064"/>
      <c r="AR363" s="1137"/>
      <c r="AS363" s="1055"/>
      <c r="AT363" s="1133"/>
      <c r="AU363" s="1133"/>
      <c r="AV363" s="1133"/>
      <c r="AW363" s="1133"/>
      <c r="AX363" s="1133"/>
      <c r="AY363" s="1133"/>
      <c r="AZ363" s="1133"/>
      <c r="BA363" s="1133"/>
      <c r="BB363" s="1133"/>
      <c r="BC363" s="1133"/>
      <c r="BD363" s="1133"/>
      <c r="BE363" s="1480"/>
      <c r="BF363" s="1480"/>
      <c r="BG363" s="1480"/>
      <c r="BH363" s="1480"/>
      <c r="BI363" s="1480"/>
      <c r="BJ363" s="1480"/>
    </row>
    <row r="364" spans="1:62" s="629" customFormat="1" ht="12.75" x14ac:dyDescent="0.2">
      <c r="A364" s="2365"/>
      <c r="B364" s="2361"/>
      <c r="C364" s="2023"/>
      <c r="D364" s="2023"/>
      <c r="E364" s="2023"/>
      <c r="F364" s="2023"/>
      <c r="G364" s="2355"/>
      <c r="H364" s="2023"/>
      <c r="I364" s="2023"/>
      <c r="J364" s="2023"/>
      <c r="K364" s="2347"/>
      <c r="L364" s="2349"/>
      <c r="M364" s="2374"/>
      <c r="N364" s="2352"/>
      <c r="O364" s="2352"/>
      <c r="P364" s="2354"/>
      <c r="Q364" s="2023"/>
      <c r="R364" s="2023"/>
      <c r="S364" s="2023"/>
      <c r="T364" s="2023"/>
      <c r="U364" s="1055"/>
      <c r="V364" s="1055"/>
      <c r="W364" s="1064"/>
      <c r="X364" s="1140"/>
      <c r="Y364" s="1055"/>
      <c r="Z364" s="1055"/>
      <c r="AA364" s="1138"/>
      <c r="AB364" s="1055"/>
      <c r="AC364" s="1139"/>
      <c r="AD364" s="1139"/>
      <c r="AE364" s="2346"/>
      <c r="AF364" s="525">
        <v>0</v>
      </c>
      <c r="AG364" s="525">
        <v>0</v>
      </c>
      <c r="AH364" s="1139">
        <f t="shared" si="10"/>
        <v>0</v>
      </c>
      <c r="AI364" s="1055"/>
      <c r="AJ364" s="1064"/>
      <c r="AK364" s="1055"/>
      <c r="AL364" s="1133"/>
      <c r="AM364" s="1055"/>
      <c r="AN364" s="1055"/>
      <c r="AO364" s="1064"/>
      <c r="AP364" s="1137"/>
      <c r="AQ364" s="1064"/>
      <c r="AR364" s="1137"/>
      <c r="AS364" s="1055"/>
      <c r="AT364" s="1133"/>
      <c r="AU364" s="1133"/>
      <c r="AV364" s="1133"/>
      <c r="AW364" s="1133"/>
      <c r="AX364" s="1133"/>
      <c r="AY364" s="1133"/>
      <c r="AZ364" s="1133"/>
      <c r="BA364" s="1133"/>
      <c r="BB364" s="1133"/>
      <c r="BC364" s="1133"/>
      <c r="BD364" s="1133"/>
      <c r="BE364" s="1480"/>
      <c r="BF364" s="1480"/>
      <c r="BG364" s="1480"/>
      <c r="BH364" s="1480"/>
      <c r="BI364" s="1480"/>
      <c r="BJ364" s="1480"/>
    </row>
    <row r="365" spans="1:62" s="629" customFormat="1" ht="12.75" x14ac:dyDescent="0.2">
      <c r="A365" s="2365"/>
      <c r="B365" s="2361"/>
      <c r="C365" s="2023"/>
      <c r="D365" s="2023"/>
      <c r="E365" s="2023"/>
      <c r="F365" s="2023"/>
      <c r="G365" s="2355"/>
      <c r="H365" s="2023"/>
      <c r="I365" s="2023"/>
      <c r="J365" s="2023"/>
      <c r="K365" s="2023"/>
      <c r="L365" s="2349"/>
      <c r="M365" s="2374"/>
      <c r="N365" s="2352"/>
      <c r="O365" s="2352"/>
      <c r="P365" s="1132" t="s">
        <v>4071</v>
      </c>
      <c r="Q365" s="2023"/>
      <c r="R365" s="2023"/>
      <c r="S365" s="2023"/>
      <c r="T365" s="2023"/>
      <c r="U365" s="1055"/>
      <c r="V365" s="1055"/>
      <c r="W365" s="1064"/>
      <c r="X365" s="1140"/>
      <c r="Y365" s="1055"/>
      <c r="Z365" s="1055"/>
      <c r="AA365" s="1138"/>
      <c r="AB365" s="1055"/>
      <c r="AC365" s="1139"/>
      <c r="AD365" s="1139"/>
      <c r="AE365" s="2371"/>
      <c r="AF365" s="561"/>
      <c r="AG365" s="1150">
        <f>698+698+698+2094+2094+1396+5584+5584+6980+3490+1675.2+1675.2+2233.6+1396+698</f>
        <v>36994</v>
      </c>
      <c r="AH365" s="1139">
        <f t="shared" si="10"/>
        <v>36994</v>
      </c>
      <c r="AI365" s="1055"/>
      <c r="AJ365" s="1064"/>
      <c r="AK365" s="1055"/>
      <c r="AL365" s="1133"/>
      <c r="AM365" s="1055"/>
      <c r="AN365" s="1055"/>
      <c r="AO365" s="1064"/>
      <c r="AP365" s="1137"/>
      <c r="AQ365" s="1064"/>
      <c r="AR365" s="1137"/>
      <c r="AS365" s="1055"/>
      <c r="AT365" s="1133"/>
      <c r="AU365" s="1133"/>
      <c r="AV365" s="1133"/>
      <c r="AW365" s="1133"/>
      <c r="AX365" s="1133"/>
      <c r="AY365" s="1133"/>
      <c r="AZ365" s="1133"/>
      <c r="BA365" s="1133"/>
      <c r="BB365" s="1133"/>
      <c r="BC365" s="1133"/>
      <c r="BD365" s="1133"/>
      <c r="BE365" s="1480"/>
      <c r="BF365" s="1480"/>
      <c r="BG365" s="1480"/>
      <c r="BH365" s="1480"/>
      <c r="BI365" s="1480"/>
      <c r="BJ365" s="1480"/>
    </row>
    <row r="366" spans="1:62" s="629" customFormat="1" ht="45" customHeight="1" x14ac:dyDescent="0.2">
      <c r="A366" s="2365">
        <v>167</v>
      </c>
      <c r="B366" s="2361" t="s">
        <v>4433</v>
      </c>
      <c r="C366" s="2023" t="s">
        <v>744</v>
      </c>
      <c r="D366" s="2023" t="s">
        <v>1331</v>
      </c>
      <c r="E366" s="2023" t="s">
        <v>584</v>
      </c>
      <c r="F366" s="2023" t="s">
        <v>4311</v>
      </c>
      <c r="G366" s="2355">
        <v>11267</v>
      </c>
      <c r="H366" s="2023" t="s">
        <v>4446</v>
      </c>
      <c r="I366" s="2023" t="s">
        <v>4305</v>
      </c>
      <c r="J366" s="2023" t="s">
        <v>4140</v>
      </c>
      <c r="K366" s="2347">
        <v>41740</v>
      </c>
      <c r="L366" s="2349">
        <v>122108.39</v>
      </c>
      <c r="M366" s="2374">
        <v>11287</v>
      </c>
      <c r="N366" s="2355" t="s">
        <v>4447</v>
      </c>
      <c r="O366" s="2352">
        <v>42004</v>
      </c>
      <c r="P366" s="2354" t="s">
        <v>3905</v>
      </c>
      <c r="Q366" s="1055"/>
      <c r="R366" s="1055"/>
      <c r="S366" s="1055"/>
      <c r="T366" s="2023" t="s">
        <v>316</v>
      </c>
      <c r="U366" s="1055"/>
      <c r="V366" s="1055"/>
      <c r="W366" s="1064"/>
      <c r="X366" s="1140"/>
      <c r="Y366" s="1055"/>
      <c r="Z366" s="1055"/>
      <c r="AA366" s="1138"/>
      <c r="AB366" s="1055"/>
      <c r="AC366" s="1139"/>
      <c r="AD366" s="1139"/>
      <c r="AE366" s="2345">
        <f>L366-AD366+AC366</f>
        <v>122108.39</v>
      </c>
      <c r="AF366" s="525">
        <v>0</v>
      </c>
      <c r="AG366" s="525">
        <v>0</v>
      </c>
      <c r="AH366" s="1139">
        <f t="shared" si="10"/>
        <v>0</v>
      </c>
      <c r="AI366" s="1055"/>
      <c r="AJ366" s="1064"/>
      <c r="AK366" s="1055"/>
      <c r="AL366" s="1133"/>
      <c r="AM366" s="1055"/>
      <c r="AN366" s="1055"/>
      <c r="AO366" s="1064"/>
      <c r="AP366" s="1137"/>
      <c r="AQ366" s="1064"/>
      <c r="AR366" s="1137"/>
      <c r="AS366" s="1055"/>
      <c r="AT366" s="1133"/>
      <c r="AU366" s="1133"/>
      <c r="AV366" s="1133"/>
      <c r="AW366" s="1133"/>
      <c r="AX366" s="1133"/>
      <c r="AY366" s="1133"/>
      <c r="AZ366" s="1133"/>
      <c r="BA366" s="1133"/>
      <c r="BB366" s="1133"/>
      <c r="BC366" s="1133"/>
      <c r="BD366" s="1133"/>
      <c r="BE366" s="1480"/>
      <c r="BF366" s="1480"/>
      <c r="BG366" s="1480"/>
      <c r="BH366" s="1480"/>
      <c r="BI366" s="1480"/>
      <c r="BJ366" s="1480"/>
    </row>
    <row r="367" spans="1:62" s="629" customFormat="1" ht="12.75" x14ac:dyDescent="0.2">
      <c r="A367" s="2365"/>
      <c r="B367" s="2361"/>
      <c r="C367" s="2023"/>
      <c r="D367" s="2023"/>
      <c r="E367" s="2023"/>
      <c r="F367" s="2023"/>
      <c r="G367" s="2355"/>
      <c r="H367" s="2023"/>
      <c r="I367" s="2023"/>
      <c r="J367" s="2023"/>
      <c r="K367" s="2347"/>
      <c r="L367" s="2349"/>
      <c r="M367" s="2374"/>
      <c r="N367" s="2355"/>
      <c r="O367" s="2352"/>
      <c r="P367" s="2354"/>
      <c r="Q367" s="1055"/>
      <c r="R367" s="1055"/>
      <c r="S367" s="1055"/>
      <c r="T367" s="2023"/>
      <c r="U367" s="1055"/>
      <c r="V367" s="1055"/>
      <c r="W367" s="1064"/>
      <c r="X367" s="1140"/>
      <c r="Y367" s="1055"/>
      <c r="Z367" s="1055"/>
      <c r="AA367" s="1138"/>
      <c r="AB367" s="1055"/>
      <c r="AC367" s="1139"/>
      <c r="AD367" s="1139"/>
      <c r="AE367" s="2346"/>
      <c r="AF367" s="525">
        <v>0</v>
      </c>
      <c r="AG367" s="525">
        <v>0</v>
      </c>
      <c r="AH367" s="1139">
        <f t="shared" si="10"/>
        <v>0</v>
      </c>
      <c r="AI367" s="1055"/>
      <c r="AJ367" s="1064"/>
      <c r="AK367" s="1055"/>
      <c r="AL367" s="1133"/>
      <c r="AM367" s="1055"/>
      <c r="AN367" s="1055"/>
      <c r="AO367" s="1064"/>
      <c r="AP367" s="1137"/>
      <c r="AQ367" s="1064"/>
      <c r="AR367" s="1137"/>
      <c r="AS367" s="1055"/>
      <c r="AT367" s="1133"/>
      <c r="AU367" s="1133"/>
      <c r="AV367" s="1133"/>
      <c r="AW367" s="1133"/>
      <c r="AX367" s="1133"/>
      <c r="AY367" s="1133"/>
      <c r="AZ367" s="1133"/>
      <c r="BA367" s="1133"/>
      <c r="BB367" s="1133"/>
      <c r="BC367" s="1133"/>
      <c r="BD367" s="1133"/>
      <c r="BE367" s="1480"/>
      <c r="BF367" s="1480"/>
      <c r="BG367" s="1480"/>
      <c r="BH367" s="1480"/>
      <c r="BI367" s="1480"/>
      <c r="BJ367" s="1480"/>
    </row>
    <row r="368" spans="1:62" s="629" customFormat="1" ht="12.75" x14ac:dyDescent="0.2">
      <c r="A368" s="2365"/>
      <c r="B368" s="2361"/>
      <c r="C368" s="2023"/>
      <c r="D368" s="2023"/>
      <c r="E368" s="2023"/>
      <c r="F368" s="2023"/>
      <c r="G368" s="2355"/>
      <c r="H368" s="2023"/>
      <c r="I368" s="2023"/>
      <c r="J368" s="2023"/>
      <c r="K368" s="2023"/>
      <c r="L368" s="2349"/>
      <c r="M368" s="2374"/>
      <c r="N368" s="2355"/>
      <c r="O368" s="2352"/>
      <c r="P368" s="1132" t="s">
        <v>4071</v>
      </c>
      <c r="Q368" s="1055"/>
      <c r="R368" s="1055"/>
      <c r="S368" s="1055"/>
      <c r="T368" s="2023"/>
      <c r="U368" s="1055"/>
      <c r="V368" s="1055"/>
      <c r="W368" s="1064"/>
      <c r="X368" s="1140"/>
      <c r="Y368" s="1055"/>
      <c r="Z368" s="1055"/>
      <c r="AA368" s="1138"/>
      <c r="AB368" s="1055"/>
      <c r="AC368" s="1139"/>
      <c r="AD368" s="1139"/>
      <c r="AE368" s="2371"/>
      <c r="AF368" s="525">
        <v>0</v>
      </c>
      <c r="AG368" s="525">
        <v>0</v>
      </c>
      <c r="AH368" s="1139">
        <f t="shared" si="10"/>
        <v>0</v>
      </c>
      <c r="AI368" s="1055"/>
      <c r="AJ368" s="1064"/>
      <c r="AK368" s="1055"/>
      <c r="AL368" s="1133"/>
      <c r="AM368" s="1055"/>
      <c r="AN368" s="1055"/>
      <c r="AO368" s="1064"/>
      <c r="AP368" s="1137"/>
      <c r="AQ368" s="1064"/>
      <c r="AR368" s="1137"/>
      <c r="AS368" s="1055"/>
      <c r="AT368" s="1133"/>
      <c r="AU368" s="1133"/>
      <c r="AV368" s="1133"/>
      <c r="AW368" s="1133"/>
      <c r="AX368" s="1133"/>
      <c r="AY368" s="1133"/>
      <c r="AZ368" s="1133"/>
      <c r="BA368" s="1133"/>
      <c r="BB368" s="1133"/>
      <c r="BC368" s="1133"/>
      <c r="BD368" s="1133"/>
      <c r="BE368" s="1480"/>
      <c r="BF368" s="1480"/>
      <c r="BG368" s="1480"/>
      <c r="BH368" s="1480"/>
      <c r="BI368" s="1480"/>
      <c r="BJ368" s="1480"/>
    </row>
    <row r="369" spans="1:62" s="629" customFormat="1" ht="45" customHeight="1" x14ac:dyDescent="0.2">
      <c r="A369" s="2365">
        <v>168</v>
      </c>
      <c r="B369" s="2361" t="s">
        <v>4433</v>
      </c>
      <c r="C369" s="2023" t="s">
        <v>744</v>
      </c>
      <c r="D369" s="2023" t="s">
        <v>1548</v>
      </c>
      <c r="E369" s="2023" t="s">
        <v>584</v>
      </c>
      <c r="F369" s="2023" t="s">
        <v>4311</v>
      </c>
      <c r="G369" s="2355">
        <v>11267</v>
      </c>
      <c r="H369" s="2023" t="s">
        <v>4448</v>
      </c>
      <c r="I369" s="2023" t="s">
        <v>4262</v>
      </c>
      <c r="J369" s="2023" t="s">
        <v>4263</v>
      </c>
      <c r="K369" s="2347">
        <v>41740</v>
      </c>
      <c r="L369" s="2349">
        <v>20100.5</v>
      </c>
      <c r="M369" s="2374">
        <v>11287</v>
      </c>
      <c r="N369" s="2352">
        <v>41740</v>
      </c>
      <c r="O369" s="2352">
        <v>42004</v>
      </c>
      <c r="P369" s="2354" t="s">
        <v>3905</v>
      </c>
      <c r="Q369" s="2023"/>
      <c r="R369" s="2023"/>
      <c r="S369" s="2023"/>
      <c r="T369" s="2023" t="s">
        <v>316</v>
      </c>
      <c r="U369" s="1055"/>
      <c r="V369" s="1055"/>
      <c r="W369" s="1064"/>
      <c r="X369" s="1140"/>
      <c r="Y369" s="1055"/>
      <c r="Z369" s="1055"/>
      <c r="AA369" s="1138"/>
      <c r="AB369" s="1055"/>
      <c r="AC369" s="1139"/>
      <c r="AD369" s="1139"/>
      <c r="AE369" s="2345">
        <f>L369-AD369+AC369</f>
        <v>20100.5</v>
      </c>
      <c r="AF369" s="525">
        <v>0</v>
      </c>
      <c r="AG369" s="1150">
        <f>218.12+315.28+769.75</f>
        <v>1303.1500000000001</v>
      </c>
      <c r="AH369" s="1139">
        <f t="shared" si="10"/>
        <v>1303.1500000000001</v>
      </c>
      <c r="AI369" s="1055"/>
      <c r="AJ369" s="1064"/>
      <c r="AK369" s="1055"/>
      <c r="AL369" s="1133"/>
      <c r="AM369" s="1055"/>
      <c r="AN369" s="1055"/>
      <c r="AO369" s="1064"/>
      <c r="AP369" s="1137"/>
      <c r="AQ369" s="1064"/>
      <c r="AR369" s="1137"/>
      <c r="AS369" s="1055"/>
      <c r="AT369" s="1133"/>
      <c r="AU369" s="1133"/>
      <c r="AV369" s="1133"/>
      <c r="AW369" s="1133"/>
      <c r="AX369" s="1133"/>
      <c r="AY369" s="1133"/>
      <c r="AZ369" s="1133"/>
      <c r="BA369" s="1133"/>
      <c r="BB369" s="1133"/>
      <c r="BC369" s="1133"/>
      <c r="BD369" s="1133"/>
      <c r="BE369" s="1480"/>
      <c r="BF369" s="1480"/>
      <c r="BG369" s="1480"/>
      <c r="BH369" s="1480"/>
      <c r="BI369" s="1480"/>
      <c r="BJ369" s="1480"/>
    </row>
    <row r="370" spans="1:62" s="629" customFormat="1" ht="12.75" x14ac:dyDescent="0.2">
      <c r="A370" s="2365"/>
      <c r="B370" s="2361"/>
      <c r="C370" s="2023"/>
      <c r="D370" s="2023"/>
      <c r="E370" s="2023"/>
      <c r="F370" s="2023"/>
      <c r="G370" s="2355"/>
      <c r="H370" s="2023"/>
      <c r="I370" s="2023"/>
      <c r="J370" s="2023"/>
      <c r="K370" s="2347"/>
      <c r="L370" s="2349"/>
      <c r="M370" s="2374"/>
      <c r="N370" s="2352"/>
      <c r="O370" s="2352"/>
      <c r="P370" s="2354"/>
      <c r="Q370" s="2023"/>
      <c r="R370" s="2023"/>
      <c r="S370" s="2023"/>
      <c r="T370" s="2023"/>
      <c r="U370" s="1055"/>
      <c r="V370" s="1055"/>
      <c r="W370" s="1064"/>
      <c r="X370" s="1140"/>
      <c r="Y370" s="1055"/>
      <c r="Z370" s="1055"/>
      <c r="AA370" s="1138"/>
      <c r="AB370" s="1055"/>
      <c r="AC370" s="1139"/>
      <c r="AD370" s="1139"/>
      <c r="AE370" s="2346"/>
      <c r="AF370" s="525">
        <v>0</v>
      </c>
      <c r="AG370" s="525">
        <v>0</v>
      </c>
      <c r="AH370" s="1139">
        <f t="shared" si="10"/>
        <v>0</v>
      </c>
      <c r="AI370" s="1055"/>
      <c r="AJ370" s="1064"/>
      <c r="AK370" s="1055"/>
      <c r="AL370" s="1133"/>
      <c r="AM370" s="1055"/>
      <c r="AN370" s="1055"/>
      <c r="AO370" s="1064"/>
      <c r="AP370" s="1137"/>
      <c r="AQ370" s="1064"/>
      <c r="AR370" s="1137"/>
      <c r="AS370" s="1055"/>
      <c r="AT370" s="1133"/>
      <c r="AU370" s="1133"/>
      <c r="AV370" s="1133"/>
      <c r="AW370" s="1133"/>
      <c r="AX370" s="1133"/>
      <c r="AY370" s="1133"/>
      <c r="AZ370" s="1133"/>
      <c r="BA370" s="1133"/>
      <c r="BB370" s="1133"/>
      <c r="BC370" s="1133"/>
      <c r="BD370" s="1133"/>
      <c r="BE370" s="1480"/>
      <c r="BF370" s="1480"/>
      <c r="BG370" s="1480"/>
      <c r="BH370" s="1480"/>
      <c r="BI370" s="1480"/>
      <c r="BJ370" s="1480"/>
    </row>
    <row r="371" spans="1:62" s="629" customFormat="1" ht="12.75" x14ac:dyDescent="0.2">
      <c r="A371" s="2365"/>
      <c r="B371" s="2361"/>
      <c r="C371" s="2023"/>
      <c r="D371" s="2023"/>
      <c r="E371" s="2023"/>
      <c r="F371" s="2023"/>
      <c r="G371" s="2355"/>
      <c r="H371" s="2023"/>
      <c r="I371" s="2023"/>
      <c r="J371" s="2023"/>
      <c r="K371" s="2023"/>
      <c r="L371" s="2349"/>
      <c r="M371" s="2374"/>
      <c r="N371" s="2352"/>
      <c r="O371" s="2352"/>
      <c r="P371" s="1132" t="s">
        <v>4071</v>
      </c>
      <c r="Q371" s="2023"/>
      <c r="R371" s="2023"/>
      <c r="S371" s="2023"/>
      <c r="T371" s="2023"/>
      <c r="U371" s="1055"/>
      <c r="V371" s="1055"/>
      <c r="W371" s="1064"/>
      <c r="X371" s="1140"/>
      <c r="Y371" s="1055"/>
      <c r="Z371" s="1055"/>
      <c r="AA371" s="1138"/>
      <c r="AB371" s="1055"/>
      <c r="AC371" s="1139"/>
      <c r="AD371" s="1139"/>
      <c r="AE371" s="2371"/>
      <c r="AF371" s="525">
        <v>0</v>
      </c>
      <c r="AG371" s="1150">
        <f>537.6+537.6+179.2+3291.84+2715.73+2093.1+278.2+266.5+373.25+2028.05+1542.5+1388.5+202.11+289.19+521.97+129.2+300+495.85+1386+232.43</f>
        <v>18788.82</v>
      </c>
      <c r="AH371" s="1139">
        <f t="shared" si="10"/>
        <v>18788.82</v>
      </c>
      <c r="AI371" s="1055"/>
      <c r="AJ371" s="1064"/>
      <c r="AK371" s="1055"/>
      <c r="AL371" s="1133"/>
      <c r="AM371" s="1055"/>
      <c r="AN371" s="1055"/>
      <c r="AO371" s="1064"/>
      <c r="AP371" s="1137"/>
      <c r="AQ371" s="1064"/>
      <c r="AR371" s="1137"/>
      <c r="AS371" s="1055"/>
      <c r="AT371" s="1133"/>
      <c r="AU371" s="1133"/>
      <c r="AV371" s="1133"/>
      <c r="AW371" s="1133"/>
      <c r="AX371" s="1133"/>
      <c r="AY371" s="1133"/>
      <c r="AZ371" s="1133"/>
      <c r="BA371" s="1133"/>
      <c r="BB371" s="1133"/>
      <c r="BC371" s="1133"/>
      <c r="BD371" s="1133"/>
      <c r="BE371" s="1480"/>
      <c r="BF371" s="1480"/>
      <c r="BG371" s="1480"/>
      <c r="BH371" s="1480"/>
      <c r="BI371" s="1480"/>
      <c r="BJ371" s="1480"/>
    </row>
    <row r="372" spans="1:62" s="629" customFormat="1" ht="45" customHeight="1" x14ac:dyDescent="0.2">
      <c r="A372" s="2365">
        <v>169</v>
      </c>
      <c r="B372" s="2361" t="s">
        <v>4433</v>
      </c>
      <c r="C372" s="2023" t="s">
        <v>744</v>
      </c>
      <c r="D372" s="2023" t="s">
        <v>1331</v>
      </c>
      <c r="E372" s="2023" t="s">
        <v>584</v>
      </c>
      <c r="F372" s="2023" t="s">
        <v>4311</v>
      </c>
      <c r="G372" s="2355">
        <v>11267</v>
      </c>
      <c r="H372" s="2023" t="s">
        <v>4449</v>
      </c>
      <c r="I372" s="2023" t="s">
        <v>4203</v>
      </c>
      <c r="J372" s="2023" t="s">
        <v>225</v>
      </c>
      <c r="K372" s="2347">
        <v>41740</v>
      </c>
      <c r="L372" s="2349">
        <v>34411.4</v>
      </c>
      <c r="M372" s="2374">
        <v>11287</v>
      </c>
      <c r="N372" s="2352">
        <v>41740</v>
      </c>
      <c r="O372" s="2352">
        <v>42004</v>
      </c>
      <c r="P372" s="2354" t="s">
        <v>3905</v>
      </c>
      <c r="Q372" s="2023"/>
      <c r="R372" s="2023"/>
      <c r="S372" s="2023"/>
      <c r="T372" s="2023" t="s">
        <v>316</v>
      </c>
      <c r="U372" s="1055"/>
      <c r="V372" s="1055"/>
      <c r="W372" s="1064"/>
      <c r="X372" s="1140"/>
      <c r="Y372" s="1055"/>
      <c r="Z372" s="1055"/>
      <c r="AA372" s="1138"/>
      <c r="AB372" s="1055"/>
      <c r="AC372" s="1139"/>
      <c r="AD372" s="1139"/>
      <c r="AE372" s="2345">
        <f>L372-AD372+AC372</f>
        <v>34411.4</v>
      </c>
      <c r="AF372" s="525">
        <v>0</v>
      </c>
      <c r="AG372" s="1148">
        <f>867+690.2+1020</f>
        <v>2577.1999999999998</v>
      </c>
      <c r="AH372" s="1139">
        <f t="shared" si="10"/>
        <v>2577.1999999999998</v>
      </c>
      <c r="AI372" s="1055"/>
      <c r="AJ372" s="1064"/>
      <c r="AK372" s="1055"/>
      <c r="AL372" s="1133"/>
      <c r="AM372" s="1055"/>
      <c r="AN372" s="1055"/>
      <c r="AO372" s="1064"/>
      <c r="AP372" s="1137"/>
      <c r="AQ372" s="1064"/>
      <c r="AR372" s="1137"/>
      <c r="AS372" s="1055"/>
      <c r="AT372" s="1133"/>
      <c r="AU372" s="1133"/>
      <c r="AV372" s="1133"/>
      <c r="AW372" s="1133"/>
      <c r="AX372" s="1133"/>
      <c r="AY372" s="1133"/>
      <c r="AZ372" s="1133"/>
      <c r="BA372" s="1133"/>
      <c r="BB372" s="1133"/>
      <c r="BC372" s="1133"/>
      <c r="BD372" s="1133"/>
      <c r="BE372" s="1480"/>
      <c r="BF372" s="1480"/>
      <c r="BG372" s="1480"/>
      <c r="BH372" s="1480"/>
      <c r="BI372" s="1480"/>
      <c r="BJ372" s="1480"/>
    </row>
    <row r="373" spans="1:62" s="629" customFormat="1" ht="12.75" x14ac:dyDescent="0.2">
      <c r="A373" s="2365"/>
      <c r="B373" s="2361"/>
      <c r="C373" s="2023"/>
      <c r="D373" s="2023"/>
      <c r="E373" s="2023"/>
      <c r="F373" s="2023"/>
      <c r="G373" s="2355"/>
      <c r="H373" s="2023"/>
      <c r="I373" s="2023"/>
      <c r="J373" s="2023"/>
      <c r="K373" s="2347"/>
      <c r="L373" s="2349"/>
      <c r="M373" s="2374"/>
      <c r="N373" s="2352"/>
      <c r="O373" s="2352"/>
      <c r="P373" s="2354"/>
      <c r="Q373" s="2023"/>
      <c r="R373" s="2023"/>
      <c r="S373" s="2023"/>
      <c r="T373" s="2023"/>
      <c r="U373" s="1055"/>
      <c r="V373" s="1055"/>
      <c r="W373" s="1064"/>
      <c r="X373" s="1140"/>
      <c r="Y373" s="1055"/>
      <c r="Z373" s="1055"/>
      <c r="AA373" s="1138"/>
      <c r="AB373" s="1055"/>
      <c r="AC373" s="1139"/>
      <c r="AD373" s="1139"/>
      <c r="AE373" s="2346"/>
      <c r="AF373" s="525">
        <v>0</v>
      </c>
      <c r="AG373" s="525">
        <v>0</v>
      </c>
      <c r="AH373" s="1139">
        <f t="shared" si="10"/>
        <v>0</v>
      </c>
      <c r="AI373" s="1055"/>
      <c r="AJ373" s="1064"/>
      <c r="AK373" s="1055"/>
      <c r="AL373" s="1133"/>
      <c r="AM373" s="1055"/>
      <c r="AN373" s="1055"/>
      <c r="AO373" s="1064"/>
      <c r="AP373" s="1137"/>
      <c r="AQ373" s="1064"/>
      <c r="AR373" s="1137"/>
      <c r="AS373" s="1055"/>
      <c r="AT373" s="1133"/>
      <c r="AU373" s="1133"/>
      <c r="AV373" s="1133"/>
      <c r="AW373" s="1133"/>
      <c r="AX373" s="1133"/>
      <c r="AY373" s="1133"/>
      <c r="AZ373" s="1133"/>
      <c r="BA373" s="1133"/>
      <c r="BB373" s="1133"/>
      <c r="BC373" s="1133"/>
      <c r="BD373" s="1133"/>
      <c r="BE373" s="1480"/>
      <c r="BF373" s="1480"/>
      <c r="BG373" s="1480"/>
      <c r="BH373" s="1480"/>
      <c r="BI373" s="1480"/>
      <c r="BJ373" s="1480"/>
    </row>
    <row r="374" spans="1:62" s="629" customFormat="1" ht="12.75" x14ac:dyDescent="0.2">
      <c r="A374" s="2365"/>
      <c r="B374" s="2361"/>
      <c r="C374" s="2023"/>
      <c r="D374" s="2023"/>
      <c r="E374" s="2023"/>
      <c r="F374" s="2023"/>
      <c r="G374" s="2355"/>
      <c r="H374" s="2023"/>
      <c r="I374" s="2023"/>
      <c r="J374" s="2023"/>
      <c r="K374" s="2023"/>
      <c r="L374" s="2349"/>
      <c r="M374" s="2374"/>
      <c r="N374" s="2352"/>
      <c r="O374" s="2352"/>
      <c r="P374" s="1132" t="s">
        <v>4071</v>
      </c>
      <c r="Q374" s="2023"/>
      <c r="R374" s="2023"/>
      <c r="S374" s="2023"/>
      <c r="T374" s="2023"/>
      <c r="U374" s="1055"/>
      <c r="V374" s="1055"/>
      <c r="W374" s="1064"/>
      <c r="X374" s="1140"/>
      <c r="Y374" s="1055"/>
      <c r="Z374" s="1055"/>
      <c r="AA374" s="1138"/>
      <c r="AB374" s="1055"/>
      <c r="AC374" s="1139"/>
      <c r="AD374" s="1139"/>
      <c r="AE374" s="2371"/>
      <c r="AF374" s="525">
        <v>0</v>
      </c>
      <c r="AG374" s="1148">
        <f>3060+1190+1870+680</f>
        <v>6800</v>
      </c>
      <c r="AH374" s="1139">
        <f t="shared" si="10"/>
        <v>6800</v>
      </c>
      <c r="AI374" s="1055"/>
      <c r="AJ374" s="1064"/>
      <c r="AK374" s="1055"/>
      <c r="AL374" s="1133"/>
      <c r="AM374" s="1055"/>
      <c r="AN374" s="1055"/>
      <c r="AO374" s="1064"/>
      <c r="AP374" s="1137"/>
      <c r="AQ374" s="1064"/>
      <c r="AR374" s="1137"/>
      <c r="AS374" s="1055"/>
      <c r="AT374" s="1133"/>
      <c r="AU374" s="1133"/>
      <c r="AV374" s="1133"/>
      <c r="AW374" s="1133"/>
      <c r="AX374" s="1133"/>
      <c r="AY374" s="1133"/>
      <c r="AZ374" s="1133"/>
      <c r="BA374" s="1133"/>
      <c r="BB374" s="1133"/>
      <c r="BC374" s="1133"/>
      <c r="BD374" s="1133"/>
      <c r="BE374" s="1480"/>
      <c r="BF374" s="1480"/>
      <c r="BG374" s="1480"/>
      <c r="BH374" s="1480"/>
      <c r="BI374" s="1480"/>
      <c r="BJ374" s="1480"/>
    </row>
    <row r="375" spans="1:62" s="629" customFormat="1" ht="45" customHeight="1" x14ac:dyDescent="0.2">
      <c r="A375" s="2365">
        <v>170</v>
      </c>
      <c r="B375" s="2361" t="s">
        <v>4433</v>
      </c>
      <c r="C375" s="2023" t="s">
        <v>744</v>
      </c>
      <c r="D375" s="2023" t="s">
        <v>1331</v>
      </c>
      <c r="E375" s="2023" t="s">
        <v>584</v>
      </c>
      <c r="F375" s="2023" t="s">
        <v>4311</v>
      </c>
      <c r="G375" s="2355">
        <v>11267</v>
      </c>
      <c r="H375" s="2023" t="s">
        <v>4450</v>
      </c>
      <c r="I375" s="2023" t="s">
        <v>1958</v>
      </c>
      <c r="J375" s="2023" t="s">
        <v>4451</v>
      </c>
      <c r="K375" s="2347">
        <v>41740</v>
      </c>
      <c r="L375" s="2349">
        <v>17043.72</v>
      </c>
      <c r="M375" s="2392">
        <v>11289</v>
      </c>
      <c r="N375" s="2352">
        <v>41740</v>
      </c>
      <c r="O375" s="2352">
        <v>42004</v>
      </c>
      <c r="P375" s="2354" t="s">
        <v>3905</v>
      </c>
      <c r="Q375" s="2023"/>
      <c r="R375" s="2023"/>
      <c r="S375" s="2023"/>
      <c r="T375" s="2023" t="s">
        <v>316</v>
      </c>
      <c r="U375" s="1055"/>
      <c r="V375" s="1055"/>
      <c r="W375" s="1064"/>
      <c r="X375" s="1140"/>
      <c r="Y375" s="1055"/>
      <c r="Z375" s="1055"/>
      <c r="AA375" s="1138"/>
      <c r="AB375" s="1055"/>
      <c r="AC375" s="1139"/>
      <c r="AD375" s="1139"/>
      <c r="AE375" s="2345">
        <f>L375-AD375+AC375</f>
        <v>17043.72</v>
      </c>
      <c r="AF375" s="525">
        <v>0</v>
      </c>
      <c r="AG375" s="1148">
        <f>121.55+121.55</f>
        <v>243.1</v>
      </c>
      <c r="AH375" s="1139">
        <f t="shared" si="10"/>
        <v>243.1</v>
      </c>
      <c r="AI375" s="1055"/>
      <c r="AJ375" s="1064"/>
      <c r="AK375" s="1055"/>
      <c r="AL375" s="1133"/>
      <c r="AM375" s="1055"/>
      <c r="AN375" s="1055"/>
      <c r="AO375" s="1064"/>
      <c r="AP375" s="1137"/>
      <c r="AQ375" s="1064"/>
      <c r="AR375" s="1137"/>
      <c r="AS375" s="1055"/>
      <c r="AT375" s="1133"/>
      <c r="AU375" s="1133"/>
      <c r="AV375" s="1133"/>
      <c r="AW375" s="1133"/>
      <c r="AX375" s="1133"/>
      <c r="AY375" s="1133"/>
      <c r="AZ375" s="1133"/>
      <c r="BA375" s="1133"/>
      <c r="BB375" s="1133"/>
      <c r="BC375" s="1133"/>
      <c r="BD375" s="1133"/>
      <c r="BE375" s="1480"/>
      <c r="BF375" s="1480"/>
      <c r="BG375" s="1480"/>
      <c r="BH375" s="1480"/>
      <c r="BI375" s="1480"/>
      <c r="BJ375" s="1480"/>
    </row>
    <row r="376" spans="1:62" s="629" customFormat="1" ht="12.75" x14ac:dyDescent="0.2">
      <c r="A376" s="2365"/>
      <c r="B376" s="2361"/>
      <c r="C376" s="2023"/>
      <c r="D376" s="2023"/>
      <c r="E376" s="2023"/>
      <c r="F376" s="2023"/>
      <c r="G376" s="2355"/>
      <c r="H376" s="2023"/>
      <c r="I376" s="2023"/>
      <c r="J376" s="2023"/>
      <c r="K376" s="2347"/>
      <c r="L376" s="2349"/>
      <c r="M376" s="2392"/>
      <c r="N376" s="2352"/>
      <c r="O376" s="2352"/>
      <c r="P376" s="2354"/>
      <c r="Q376" s="2023"/>
      <c r="R376" s="2023"/>
      <c r="S376" s="2023"/>
      <c r="T376" s="2023"/>
      <c r="U376" s="1055"/>
      <c r="V376" s="1055"/>
      <c r="W376" s="1064"/>
      <c r="X376" s="1140"/>
      <c r="Y376" s="1055"/>
      <c r="Z376" s="1055"/>
      <c r="AA376" s="1138"/>
      <c r="AB376" s="1055"/>
      <c r="AC376" s="1139"/>
      <c r="AD376" s="1139"/>
      <c r="AE376" s="2346"/>
      <c r="AF376" s="525">
        <v>0</v>
      </c>
      <c r="AG376" s="525">
        <v>0</v>
      </c>
      <c r="AH376" s="1139">
        <f t="shared" si="10"/>
        <v>0</v>
      </c>
      <c r="AI376" s="1055"/>
      <c r="AJ376" s="1064"/>
      <c r="AK376" s="1055"/>
      <c r="AL376" s="1133"/>
      <c r="AM376" s="1055"/>
      <c r="AN376" s="1055"/>
      <c r="AO376" s="1064"/>
      <c r="AP376" s="1137"/>
      <c r="AQ376" s="1064"/>
      <c r="AR376" s="1137"/>
      <c r="AS376" s="1055"/>
      <c r="AT376" s="1133"/>
      <c r="AU376" s="1133"/>
      <c r="AV376" s="1133"/>
      <c r="AW376" s="1133"/>
      <c r="AX376" s="1133"/>
      <c r="AY376" s="1133"/>
      <c r="AZ376" s="1133"/>
      <c r="BA376" s="1133"/>
      <c r="BB376" s="1133"/>
      <c r="BC376" s="1133"/>
      <c r="BD376" s="1133"/>
      <c r="BE376" s="1480"/>
      <c r="BF376" s="1480"/>
      <c r="BG376" s="1480"/>
      <c r="BH376" s="1480"/>
      <c r="BI376" s="1480"/>
      <c r="BJ376" s="1480"/>
    </row>
    <row r="377" spans="1:62" s="629" customFormat="1" ht="12.75" x14ac:dyDescent="0.2">
      <c r="A377" s="2365"/>
      <c r="B377" s="2361"/>
      <c r="C377" s="2023"/>
      <c r="D377" s="2023"/>
      <c r="E377" s="2023"/>
      <c r="F377" s="2023"/>
      <c r="G377" s="2355"/>
      <c r="H377" s="2023"/>
      <c r="I377" s="2023"/>
      <c r="J377" s="2023"/>
      <c r="K377" s="2023"/>
      <c r="L377" s="2349"/>
      <c r="M377" s="2392"/>
      <c r="N377" s="2352"/>
      <c r="O377" s="2352"/>
      <c r="P377" s="1132" t="s">
        <v>4071</v>
      </c>
      <c r="Q377" s="2023"/>
      <c r="R377" s="2023"/>
      <c r="S377" s="2023"/>
      <c r="T377" s="2023"/>
      <c r="U377" s="1055"/>
      <c r="V377" s="1055"/>
      <c r="W377" s="1064"/>
      <c r="X377" s="1140"/>
      <c r="Y377" s="1055"/>
      <c r="Z377" s="1055"/>
      <c r="AA377" s="1138"/>
      <c r="AB377" s="1055"/>
      <c r="AC377" s="1139"/>
      <c r="AD377" s="1139"/>
      <c r="AE377" s="2371"/>
      <c r="AF377" s="525">
        <v>0</v>
      </c>
      <c r="AG377" s="1148">
        <f>1626.99+2810.61+112.2+112.2+1122+1870+2414.17+208.8+1870+604</f>
        <v>12750.97</v>
      </c>
      <c r="AH377" s="1139">
        <f t="shared" si="10"/>
        <v>12750.97</v>
      </c>
      <c r="AI377" s="1055"/>
      <c r="AJ377" s="1064"/>
      <c r="AK377" s="1055"/>
      <c r="AL377" s="1133"/>
      <c r="AM377" s="1055"/>
      <c r="AN377" s="1055"/>
      <c r="AO377" s="1064"/>
      <c r="AP377" s="1137"/>
      <c r="AQ377" s="1064"/>
      <c r="AR377" s="1137"/>
      <c r="AS377" s="1055"/>
      <c r="AT377" s="1133"/>
      <c r="AU377" s="1133"/>
      <c r="AV377" s="1133"/>
      <c r="AW377" s="1133"/>
      <c r="AX377" s="1133"/>
      <c r="AY377" s="1133"/>
      <c r="AZ377" s="1133"/>
      <c r="BA377" s="1133"/>
      <c r="BB377" s="1133"/>
      <c r="BC377" s="1133"/>
      <c r="BD377" s="1133"/>
      <c r="BE377" s="1480"/>
      <c r="BF377" s="1480"/>
      <c r="BG377" s="1480"/>
      <c r="BH377" s="1480"/>
      <c r="BI377" s="1480"/>
      <c r="BJ377" s="1480"/>
    </row>
    <row r="378" spans="1:62" s="629" customFormat="1" ht="45" customHeight="1" x14ac:dyDescent="0.2">
      <c r="A378" s="2365">
        <v>171</v>
      </c>
      <c r="B378" s="2361" t="s">
        <v>4374</v>
      </c>
      <c r="C378" s="2023" t="s">
        <v>757</v>
      </c>
      <c r="D378" s="2023" t="s">
        <v>1331</v>
      </c>
      <c r="E378" s="2023" t="s">
        <v>584</v>
      </c>
      <c r="F378" s="2023" t="s">
        <v>4297</v>
      </c>
      <c r="G378" s="2355">
        <v>11257</v>
      </c>
      <c r="H378" s="2023" t="s">
        <v>4452</v>
      </c>
      <c r="I378" s="2023" t="s">
        <v>4258</v>
      </c>
      <c r="J378" s="2023" t="s">
        <v>4259</v>
      </c>
      <c r="K378" s="2347">
        <v>41740</v>
      </c>
      <c r="L378" s="2349">
        <v>4734.8</v>
      </c>
      <c r="M378" s="2374">
        <v>11289</v>
      </c>
      <c r="N378" s="2352">
        <v>41740</v>
      </c>
      <c r="O378" s="2352">
        <v>42004</v>
      </c>
      <c r="P378" s="2354" t="s">
        <v>3905</v>
      </c>
      <c r="Q378" s="2023"/>
      <c r="R378" s="2023"/>
      <c r="S378" s="2023"/>
      <c r="T378" s="2023" t="s">
        <v>316</v>
      </c>
      <c r="U378" s="1055"/>
      <c r="V378" s="1055"/>
      <c r="W378" s="1064"/>
      <c r="X378" s="1140"/>
      <c r="Y378" s="1055"/>
      <c r="Z378" s="1055"/>
      <c r="AA378" s="1138"/>
      <c r="AB378" s="1055"/>
      <c r="AC378" s="1139"/>
      <c r="AD378" s="1139"/>
      <c r="AE378" s="2345">
        <f>L378-AD378+AC378</f>
        <v>4734.8</v>
      </c>
      <c r="AF378" s="525">
        <v>0</v>
      </c>
      <c r="AG378" s="1148">
        <f>64.4+89.6+117.6+140+627.2+28</f>
        <v>1066.8000000000002</v>
      </c>
      <c r="AH378" s="1139">
        <f t="shared" si="10"/>
        <v>1066.8000000000002</v>
      </c>
      <c r="AI378" s="1055"/>
      <c r="AJ378" s="1064"/>
      <c r="AK378" s="1055"/>
      <c r="AL378" s="1133"/>
      <c r="AM378" s="1055"/>
      <c r="AN378" s="1055"/>
      <c r="AO378" s="1064"/>
      <c r="AP378" s="1137"/>
      <c r="AQ378" s="1064"/>
      <c r="AR378" s="1137"/>
      <c r="AS378" s="1055"/>
      <c r="AT378" s="1133"/>
      <c r="AU378" s="1133"/>
      <c r="AV378" s="1133"/>
      <c r="AW378" s="1133"/>
      <c r="AX378" s="1133"/>
      <c r="AY378" s="1133"/>
      <c r="AZ378" s="1133"/>
      <c r="BA378" s="1133"/>
      <c r="BB378" s="1133"/>
      <c r="BC378" s="1133"/>
      <c r="BD378" s="1133"/>
      <c r="BE378" s="1480"/>
      <c r="BF378" s="1480"/>
      <c r="BG378" s="1480"/>
      <c r="BH378" s="1480"/>
      <c r="BI378" s="1480"/>
      <c r="BJ378" s="1480"/>
    </row>
    <row r="379" spans="1:62" s="629" customFormat="1" ht="21.75" customHeight="1" x14ac:dyDescent="0.2">
      <c r="A379" s="2365"/>
      <c r="B379" s="2361"/>
      <c r="C379" s="2023"/>
      <c r="D379" s="2023"/>
      <c r="E379" s="2023"/>
      <c r="F379" s="2023"/>
      <c r="G379" s="2355"/>
      <c r="H379" s="2023"/>
      <c r="I379" s="2023"/>
      <c r="J379" s="2023"/>
      <c r="K379" s="2347"/>
      <c r="L379" s="2349"/>
      <c r="M379" s="2374"/>
      <c r="N379" s="2352"/>
      <c r="O379" s="2352"/>
      <c r="P379" s="2354"/>
      <c r="Q379" s="2023"/>
      <c r="R379" s="2023"/>
      <c r="S379" s="2023"/>
      <c r="T379" s="2023"/>
      <c r="U379" s="1055"/>
      <c r="V379" s="1055"/>
      <c r="W379" s="1064"/>
      <c r="X379" s="1140"/>
      <c r="Y379" s="1055"/>
      <c r="Z379" s="1055"/>
      <c r="AA379" s="1138"/>
      <c r="AB379" s="1055"/>
      <c r="AC379" s="1139"/>
      <c r="AD379" s="1139"/>
      <c r="AE379" s="2346"/>
      <c r="AF379" s="525">
        <v>0</v>
      </c>
      <c r="AG379" s="525">
        <v>0</v>
      </c>
      <c r="AH379" s="1139">
        <f t="shared" si="10"/>
        <v>0</v>
      </c>
      <c r="AI379" s="1055"/>
      <c r="AJ379" s="1064"/>
      <c r="AK379" s="1055"/>
      <c r="AL379" s="1133"/>
      <c r="AM379" s="1055"/>
      <c r="AN379" s="1055"/>
      <c r="AO379" s="1064"/>
      <c r="AP379" s="1137"/>
      <c r="AQ379" s="1064"/>
      <c r="AR379" s="1137"/>
      <c r="AS379" s="1055"/>
      <c r="AT379" s="1133"/>
      <c r="AU379" s="1133"/>
      <c r="AV379" s="1133"/>
      <c r="AW379" s="1133"/>
      <c r="AX379" s="1133"/>
      <c r="AY379" s="1133"/>
      <c r="AZ379" s="1133"/>
      <c r="BA379" s="1133"/>
      <c r="BB379" s="1133"/>
      <c r="BC379" s="1133"/>
      <c r="BD379" s="1133"/>
      <c r="BE379" s="1480"/>
      <c r="BF379" s="1480"/>
      <c r="BG379" s="1480"/>
      <c r="BH379" s="1480"/>
      <c r="BI379" s="1480"/>
      <c r="BJ379" s="1480"/>
    </row>
    <row r="380" spans="1:62" s="629" customFormat="1" ht="12.75" x14ac:dyDescent="0.2">
      <c r="A380" s="2365"/>
      <c r="B380" s="2361"/>
      <c r="C380" s="2023"/>
      <c r="D380" s="2023"/>
      <c r="E380" s="2023"/>
      <c r="F380" s="2023"/>
      <c r="G380" s="2355"/>
      <c r="H380" s="2023"/>
      <c r="I380" s="2023"/>
      <c r="J380" s="2023"/>
      <c r="K380" s="2023"/>
      <c r="L380" s="2349"/>
      <c r="M380" s="2374"/>
      <c r="N380" s="2352"/>
      <c r="O380" s="2352"/>
      <c r="P380" s="1132" t="s">
        <v>4071</v>
      </c>
      <c r="Q380" s="2023"/>
      <c r="R380" s="2023"/>
      <c r="S380" s="2023"/>
      <c r="T380" s="2023"/>
      <c r="U380" s="1055"/>
      <c r="V380" s="1055"/>
      <c r="W380" s="1064"/>
      <c r="X380" s="1140"/>
      <c r="Y380" s="1055"/>
      <c r="Z380" s="1055"/>
      <c r="AA380" s="1138"/>
      <c r="AB380" s="1055"/>
      <c r="AC380" s="1139"/>
      <c r="AD380" s="1139"/>
      <c r="AE380" s="2371"/>
      <c r="AF380" s="525">
        <v>0</v>
      </c>
      <c r="AG380" s="1148">
        <f>204.4+168+159.6+226.8+137.2+173.6+22.4+100.8+50.4+22.4+56+414.4+106.4+145.6</f>
        <v>1988</v>
      </c>
      <c r="AH380" s="1139">
        <f t="shared" si="10"/>
        <v>1988</v>
      </c>
      <c r="AI380" s="1055"/>
      <c r="AJ380" s="1064"/>
      <c r="AK380" s="1055"/>
      <c r="AL380" s="1133"/>
      <c r="AM380" s="1055"/>
      <c r="AN380" s="1055"/>
      <c r="AO380" s="1064"/>
      <c r="AP380" s="1137"/>
      <c r="AQ380" s="1064"/>
      <c r="AR380" s="1137"/>
      <c r="AS380" s="1055"/>
      <c r="AT380" s="1133"/>
      <c r="AU380" s="1133"/>
      <c r="AV380" s="1133"/>
      <c r="AW380" s="1133"/>
      <c r="AX380" s="1133"/>
      <c r="AY380" s="1133"/>
      <c r="AZ380" s="1133"/>
      <c r="BA380" s="1133"/>
      <c r="BB380" s="1133"/>
      <c r="BC380" s="1133"/>
      <c r="BD380" s="1133"/>
      <c r="BE380" s="1480"/>
      <c r="BF380" s="1480"/>
      <c r="BG380" s="1480"/>
      <c r="BH380" s="1480"/>
      <c r="BI380" s="1480"/>
      <c r="BJ380" s="1480"/>
    </row>
    <row r="381" spans="1:62" s="629" customFormat="1" ht="45" customHeight="1" x14ac:dyDescent="0.2">
      <c r="A381" s="2148">
        <v>172</v>
      </c>
      <c r="B381" s="2361" t="s">
        <v>4374</v>
      </c>
      <c r="C381" s="2023" t="s">
        <v>4453</v>
      </c>
      <c r="D381" s="2023" t="s">
        <v>1331</v>
      </c>
      <c r="E381" s="2023" t="s">
        <v>584</v>
      </c>
      <c r="F381" s="2023" t="s">
        <v>4297</v>
      </c>
      <c r="G381" s="2355">
        <v>11257</v>
      </c>
      <c r="H381" s="2023" t="s">
        <v>4454</v>
      </c>
      <c r="I381" s="2023" t="s">
        <v>4381</v>
      </c>
      <c r="J381" s="2023" t="s">
        <v>4382</v>
      </c>
      <c r="K381" s="2347">
        <v>41740</v>
      </c>
      <c r="L381" s="2349">
        <v>27046.34</v>
      </c>
      <c r="M381" s="2374">
        <v>11264</v>
      </c>
      <c r="N381" s="2352">
        <v>41740</v>
      </c>
      <c r="O381" s="2352">
        <v>42004</v>
      </c>
      <c r="P381" s="2354" t="s">
        <v>3905</v>
      </c>
      <c r="Q381" s="2023"/>
      <c r="R381" s="2023"/>
      <c r="S381" s="2023"/>
      <c r="T381" s="2023" t="s">
        <v>316</v>
      </c>
      <c r="U381" s="1055"/>
      <c r="V381" s="1055"/>
      <c r="W381" s="1064"/>
      <c r="X381" s="1140"/>
      <c r="Y381" s="1055"/>
      <c r="Z381" s="1055"/>
      <c r="AA381" s="1138"/>
      <c r="AB381" s="1055"/>
      <c r="AC381" s="1139"/>
      <c r="AD381" s="1139"/>
      <c r="AE381" s="2345">
        <f>L381-AD381+AC381</f>
        <v>27046.34</v>
      </c>
      <c r="AF381" s="525">
        <v>0</v>
      </c>
      <c r="AG381" s="1150">
        <f>349.63+1012.28+2805.35+671.88+288.81+169.79+36+2439.92</f>
        <v>7773.6600000000008</v>
      </c>
      <c r="AH381" s="1139">
        <f t="shared" si="10"/>
        <v>7773.6600000000008</v>
      </c>
      <c r="AI381" s="1055"/>
      <c r="AJ381" s="1064"/>
      <c r="AK381" s="1055"/>
      <c r="AL381" s="1133"/>
      <c r="AM381" s="1055"/>
      <c r="AN381" s="1055"/>
      <c r="AO381" s="1064"/>
      <c r="AP381" s="1137"/>
      <c r="AQ381" s="1064"/>
      <c r="AR381" s="1137"/>
      <c r="AS381" s="1055"/>
      <c r="AT381" s="1133"/>
      <c r="AU381" s="1133"/>
      <c r="AV381" s="1133"/>
      <c r="AW381" s="1133"/>
      <c r="AX381" s="1133"/>
      <c r="AY381" s="1133"/>
      <c r="AZ381" s="1133"/>
      <c r="BA381" s="1133"/>
      <c r="BB381" s="1133"/>
      <c r="BC381" s="1133"/>
      <c r="BD381" s="1133"/>
      <c r="BE381" s="1480"/>
      <c r="BF381" s="1480"/>
      <c r="BG381" s="1480"/>
      <c r="BH381" s="1480"/>
      <c r="BI381" s="1480"/>
      <c r="BJ381" s="1480"/>
    </row>
    <row r="382" spans="1:62" s="629" customFormat="1" ht="12.75" x14ac:dyDescent="0.2">
      <c r="A382" s="2148"/>
      <c r="B382" s="2361"/>
      <c r="C382" s="2023"/>
      <c r="D382" s="2023"/>
      <c r="E382" s="2023"/>
      <c r="F382" s="2023"/>
      <c r="G382" s="2355"/>
      <c r="H382" s="2023"/>
      <c r="I382" s="2023"/>
      <c r="J382" s="2023"/>
      <c r="K382" s="2347"/>
      <c r="L382" s="2349"/>
      <c r="M382" s="2374"/>
      <c r="N382" s="2352"/>
      <c r="O382" s="2352"/>
      <c r="P382" s="2354"/>
      <c r="Q382" s="2023"/>
      <c r="R382" s="2023"/>
      <c r="S382" s="2023"/>
      <c r="T382" s="2023"/>
      <c r="U382" s="1055"/>
      <c r="V382" s="1055"/>
      <c r="W382" s="1064"/>
      <c r="X382" s="1140"/>
      <c r="Y382" s="1055"/>
      <c r="Z382" s="1055"/>
      <c r="AA382" s="1138"/>
      <c r="AB382" s="1055"/>
      <c r="AC382" s="1139"/>
      <c r="AD382" s="1139"/>
      <c r="AE382" s="2346"/>
      <c r="AF382" s="525">
        <v>0</v>
      </c>
      <c r="AG382" s="525">
        <v>0</v>
      </c>
      <c r="AH382" s="1139">
        <f t="shared" si="10"/>
        <v>0</v>
      </c>
      <c r="AI382" s="1055"/>
      <c r="AJ382" s="1064"/>
      <c r="AK382" s="1055"/>
      <c r="AL382" s="1133"/>
      <c r="AM382" s="1055"/>
      <c r="AN382" s="1055"/>
      <c r="AO382" s="1064"/>
      <c r="AP382" s="1137"/>
      <c r="AQ382" s="1064"/>
      <c r="AR382" s="1137"/>
      <c r="AS382" s="1055"/>
      <c r="AT382" s="1133"/>
      <c r="AU382" s="1133"/>
      <c r="AV382" s="1133"/>
      <c r="AW382" s="1133"/>
      <c r="AX382" s="1133"/>
      <c r="AY382" s="1133"/>
      <c r="AZ382" s="1133"/>
      <c r="BA382" s="1133"/>
      <c r="BB382" s="1133"/>
      <c r="BC382" s="1133"/>
      <c r="BD382" s="1133"/>
      <c r="BE382" s="1480"/>
      <c r="BF382" s="1480"/>
      <c r="BG382" s="1480"/>
      <c r="BH382" s="1480"/>
      <c r="BI382" s="1480"/>
      <c r="BJ382" s="1480"/>
    </row>
    <row r="383" spans="1:62" s="629" customFormat="1" ht="12.75" x14ac:dyDescent="0.2">
      <c r="A383" s="2148"/>
      <c r="B383" s="2361"/>
      <c r="C383" s="2023"/>
      <c r="D383" s="2023"/>
      <c r="E383" s="2023"/>
      <c r="F383" s="2023"/>
      <c r="G383" s="2355"/>
      <c r="H383" s="2023"/>
      <c r="I383" s="2023"/>
      <c r="J383" s="2023"/>
      <c r="K383" s="2023"/>
      <c r="L383" s="2349"/>
      <c r="M383" s="2374"/>
      <c r="N383" s="2352"/>
      <c r="O383" s="2352"/>
      <c r="P383" s="1132" t="s">
        <v>4071</v>
      </c>
      <c r="Q383" s="2023"/>
      <c r="R383" s="2023"/>
      <c r="S383" s="2023"/>
      <c r="T383" s="2023"/>
      <c r="U383" s="1055"/>
      <c r="V383" s="1055"/>
      <c r="W383" s="1064"/>
      <c r="X383" s="1140"/>
      <c r="Y383" s="1055"/>
      <c r="Z383" s="1055"/>
      <c r="AA383" s="1138"/>
      <c r="AB383" s="1055"/>
      <c r="AC383" s="1139"/>
      <c r="AD383" s="1139"/>
      <c r="AE383" s="2371"/>
      <c r="AF383" s="525">
        <v>0</v>
      </c>
      <c r="AG383" s="1150">
        <f>2610.82+2093.29+175.68+273+31.6+421.68+130.53+316.81</f>
        <v>6053.4100000000017</v>
      </c>
      <c r="AH383" s="1139">
        <f t="shared" si="10"/>
        <v>6053.4100000000017</v>
      </c>
      <c r="AI383" s="1055"/>
      <c r="AJ383" s="1064"/>
      <c r="AK383" s="1055"/>
      <c r="AL383" s="1133"/>
      <c r="AM383" s="1055"/>
      <c r="AN383" s="1055"/>
      <c r="AO383" s="1064"/>
      <c r="AP383" s="1137"/>
      <c r="AQ383" s="1064"/>
      <c r="AR383" s="1137"/>
      <c r="AS383" s="1055"/>
      <c r="AT383" s="1133"/>
      <c r="AU383" s="1133"/>
      <c r="AV383" s="1133"/>
      <c r="AW383" s="1133"/>
      <c r="AX383" s="1133"/>
      <c r="AY383" s="1133"/>
      <c r="AZ383" s="1133"/>
      <c r="BA383" s="1133"/>
      <c r="BB383" s="1133"/>
      <c r="BC383" s="1133"/>
      <c r="BD383" s="1133"/>
      <c r="BE383" s="1480"/>
      <c r="BF383" s="1480"/>
      <c r="BG383" s="1480"/>
      <c r="BH383" s="1480"/>
      <c r="BI383" s="1480"/>
      <c r="BJ383" s="1480"/>
    </row>
    <row r="384" spans="1:62" s="629" customFormat="1" ht="45" customHeight="1" x14ac:dyDescent="0.2">
      <c r="A384" s="2148">
        <v>173</v>
      </c>
      <c r="B384" s="2361" t="s">
        <v>4374</v>
      </c>
      <c r="C384" s="2023" t="s">
        <v>757</v>
      </c>
      <c r="D384" s="2023" t="s">
        <v>1548</v>
      </c>
      <c r="E384" s="2023" t="s">
        <v>584</v>
      </c>
      <c r="F384" s="2023" t="s">
        <v>4297</v>
      </c>
      <c r="G384" s="2355">
        <v>11264</v>
      </c>
      <c r="H384" s="2023" t="s">
        <v>4455</v>
      </c>
      <c r="I384" s="2023" t="s">
        <v>4384</v>
      </c>
      <c r="J384" s="2023" t="s">
        <v>1021</v>
      </c>
      <c r="K384" s="2347">
        <v>41740</v>
      </c>
      <c r="L384" s="2349">
        <v>73551.09</v>
      </c>
      <c r="M384" s="2374">
        <v>11289</v>
      </c>
      <c r="N384" s="2352">
        <v>41740</v>
      </c>
      <c r="O384" s="2352">
        <v>42004</v>
      </c>
      <c r="P384" s="2354" t="s">
        <v>3905</v>
      </c>
      <c r="Q384" s="2023"/>
      <c r="R384" s="2023"/>
      <c r="S384" s="2023"/>
      <c r="T384" s="2023" t="s">
        <v>316</v>
      </c>
      <c r="U384" s="1055"/>
      <c r="V384" s="1055"/>
      <c r="W384" s="1064"/>
      <c r="X384" s="1140"/>
      <c r="Y384" s="1055"/>
      <c r="Z384" s="1055"/>
      <c r="AA384" s="1138"/>
      <c r="AB384" s="1055"/>
      <c r="AC384" s="1139"/>
      <c r="AD384" s="1139"/>
      <c r="AE384" s="2345">
        <f>L384-AD384+AC384</f>
        <v>73551.09</v>
      </c>
      <c r="AF384" s="525">
        <v>0</v>
      </c>
      <c r="AG384" s="1148">
        <f>1500.52+8515.7+858.24+3647.46+4309.99+662.34+803.08+1349.21+921.96+871.25+799.87+251.37+4389.9+55.5+280.05+698.43</f>
        <v>29914.87</v>
      </c>
      <c r="AH384" s="1139">
        <f t="shared" si="10"/>
        <v>29914.87</v>
      </c>
      <c r="AI384" s="1055"/>
      <c r="AJ384" s="1064"/>
      <c r="AK384" s="1055"/>
      <c r="AL384" s="1133"/>
      <c r="AM384" s="1055"/>
      <c r="AN384" s="1055"/>
      <c r="AO384" s="1064"/>
      <c r="AP384" s="1137"/>
      <c r="AQ384" s="1064"/>
      <c r="AR384" s="1137"/>
      <c r="AS384" s="1055"/>
      <c r="AT384" s="1133"/>
      <c r="AU384" s="1133"/>
      <c r="AV384" s="1133"/>
      <c r="AW384" s="1133"/>
      <c r="AX384" s="1133"/>
      <c r="AY384" s="1133"/>
      <c r="AZ384" s="1133"/>
      <c r="BA384" s="1133"/>
      <c r="BB384" s="1133"/>
      <c r="BC384" s="1133"/>
      <c r="BD384" s="1133"/>
      <c r="BE384" s="1480"/>
      <c r="BF384" s="1480"/>
      <c r="BG384" s="1480"/>
      <c r="BH384" s="1480"/>
      <c r="BI384" s="1480"/>
      <c r="BJ384" s="1480"/>
    </row>
    <row r="385" spans="1:62" s="629" customFormat="1" ht="12.75" x14ac:dyDescent="0.2">
      <c r="A385" s="2148"/>
      <c r="B385" s="2361"/>
      <c r="C385" s="2023"/>
      <c r="D385" s="2023"/>
      <c r="E385" s="2023"/>
      <c r="F385" s="2023"/>
      <c r="G385" s="2355"/>
      <c r="H385" s="2023"/>
      <c r="I385" s="2023"/>
      <c r="J385" s="2023"/>
      <c r="K385" s="2347"/>
      <c r="L385" s="2349"/>
      <c r="M385" s="2374"/>
      <c r="N385" s="2352"/>
      <c r="O385" s="2352"/>
      <c r="P385" s="2354"/>
      <c r="Q385" s="2023"/>
      <c r="R385" s="2023"/>
      <c r="S385" s="2023"/>
      <c r="T385" s="2023"/>
      <c r="U385" s="1055"/>
      <c r="V385" s="1055"/>
      <c r="W385" s="1064"/>
      <c r="X385" s="1140"/>
      <c r="Y385" s="1055"/>
      <c r="Z385" s="1055"/>
      <c r="AA385" s="1138"/>
      <c r="AB385" s="1055"/>
      <c r="AC385" s="1139"/>
      <c r="AD385" s="1139"/>
      <c r="AE385" s="2346"/>
      <c r="AF385" s="525">
        <v>0</v>
      </c>
      <c r="AG385" s="525">
        <v>0</v>
      </c>
      <c r="AH385" s="1139">
        <f t="shared" si="10"/>
        <v>0</v>
      </c>
      <c r="AI385" s="1055"/>
      <c r="AJ385" s="1064"/>
      <c r="AK385" s="1055"/>
      <c r="AL385" s="1133"/>
      <c r="AM385" s="1055"/>
      <c r="AN385" s="1055"/>
      <c r="AO385" s="1064"/>
      <c r="AP385" s="1137"/>
      <c r="AQ385" s="1064"/>
      <c r="AR385" s="1137"/>
      <c r="AS385" s="1055"/>
      <c r="AT385" s="1133"/>
      <c r="AU385" s="1133"/>
      <c r="AV385" s="1133"/>
      <c r="AW385" s="1133"/>
      <c r="AX385" s="1133"/>
      <c r="AY385" s="1133"/>
      <c r="AZ385" s="1133"/>
      <c r="BA385" s="1133"/>
      <c r="BB385" s="1133"/>
      <c r="BC385" s="1133"/>
      <c r="BD385" s="1133"/>
      <c r="BE385" s="1480"/>
      <c r="BF385" s="1480"/>
      <c r="BG385" s="1480"/>
      <c r="BH385" s="1480"/>
      <c r="BI385" s="1480"/>
      <c r="BJ385" s="1480"/>
    </row>
    <row r="386" spans="1:62" s="629" customFormat="1" ht="12.75" x14ac:dyDescent="0.2">
      <c r="A386" s="2148"/>
      <c r="B386" s="2361"/>
      <c r="C386" s="2023"/>
      <c r="D386" s="2023"/>
      <c r="E386" s="2023"/>
      <c r="F386" s="2023"/>
      <c r="G386" s="2355"/>
      <c r="H386" s="2023"/>
      <c r="I386" s="2023"/>
      <c r="J386" s="2023"/>
      <c r="K386" s="2023"/>
      <c r="L386" s="2349"/>
      <c r="M386" s="2374"/>
      <c r="N386" s="2352"/>
      <c r="O386" s="2352"/>
      <c r="P386" s="1132" t="s">
        <v>4071</v>
      </c>
      <c r="Q386" s="2023"/>
      <c r="R386" s="2023"/>
      <c r="S386" s="2023"/>
      <c r="T386" s="2023"/>
      <c r="U386" s="1055"/>
      <c r="V386" s="1055"/>
      <c r="W386" s="1064"/>
      <c r="X386" s="1140"/>
      <c r="Y386" s="1055"/>
      <c r="Z386" s="1055"/>
      <c r="AA386" s="1138"/>
      <c r="AB386" s="1055"/>
      <c r="AC386" s="1139"/>
      <c r="AD386" s="1139"/>
      <c r="AE386" s="2371"/>
      <c r="AF386" s="525">
        <v>0</v>
      </c>
      <c r="AG386" s="1148">
        <f>11496.61+444.02+981.94+699.12+631.14+8739.03+1670.03+1530.56+405.25+247.34+536.4+458.92+2164.8+677.36+313.74+739.01+539.98+1236.92+476.77+363.56+11.92+1265.56+742.02+575.63+66.3</f>
        <v>37013.929999999986</v>
      </c>
      <c r="AH386" s="1139">
        <f t="shared" si="10"/>
        <v>37013.929999999986</v>
      </c>
      <c r="AI386" s="1055"/>
      <c r="AJ386" s="1064"/>
      <c r="AK386" s="1055"/>
      <c r="AL386" s="1133"/>
      <c r="AM386" s="1055"/>
      <c r="AN386" s="1055"/>
      <c r="AO386" s="1064"/>
      <c r="AP386" s="1137"/>
      <c r="AQ386" s="1064"/>
      <c r="AR386" s="1137"/>
      <c r="AS386" s="1055"/>
      <c r="AT386" s="1133"/>
      <c r="AU386" s="1133"/>
      <c r="AV386" s="1133"/>
      <c r="AW386" s="1133"/>
      <c r="AX386" s="1133"/>
      <c r="AY386" s="1133"/>
      <c r="AZ386" s="1133"/>
      <c r="BA386" s="1133"/>
      <c r="BB386" s="1133"/>
      <c r="BC386" s="1133"/>
      <c r="BD386" s="1133"/>
      <c r="BE386" s="1480"/>
      <c r="BF386" s="1480"/>
      <c r="BG386" s="1480"/>
      <c r="BH386" s="1480"/>
      <c r="BI386" s="1480"/>
      <c r="BJ386" s="1480"/>
    </row>
    <row r="387" spans="1:62" s="629" customFormat="1" ht="45" customHeight="1" x14ac:dyDescent="0.2">
      <c r="A387" s="2148">
        <v>174</v>
      </c>
      <c r="B387" s="2361" t="s">
        <v>4374</v>
      </c>
      <c r="C387" s="2023" t="s">
        <v>757</v>
      </c>
      <c r="D387" s="2023" t="s">
        <v>1331</v>
      </c>
      <c r="E387" s="2023" t="s">
        <v>584</v>
      </c>
      <c r="F387" s="2023" t="s">
        <v>4297</v>
      </c>
      <c r="G387" s="2355">
        <v>11257</v>
      </c>
      <c r="H387" s="2023" t="s">
        <v>4456</v>
      </c>
      <c r="I387" s="2023" t="s">
        <v>4133</v>
      </c>
      <c r="J387" s="2023" t="s">
        <v>4134</v>
      </c>
      <c r="K387" s="2347">
        <v>41740</v>
      </c>
      <c r="L387" s="2349">
        <v>68858.97</v>
      </c>
      <c r="M387" s="2374">
        <v>11289</v>
      </c>
      <c r="N387" s="2352">
        <v>41740</v>
      </c>
      <c r="O387" s="2352">
        <v>42004</v>
      </c>
      <c r="P387" s="2354" t="s">
        <v>3905</v>
      </c>
      <c r="Q387" s="2023"/>
      <c r="R387" s="2023"/>
      <c r="S387" s="2023"/>
      <c r="T387" s="2023" t="s">
        <v>316</v>
      </c>
      <c r="U387" s="1055"/>
      <c r="V387" s="1055"/>
      <c r="W387" s="1064"/>
      <c r="X387" s="1140"/>
      <c r="Y387" s="1055"/>
      <c r="Z387" s="1055"/>
      <c r="AA387" s="1138"/>
      <c r="AB387" s="1055"/>
      <c r="AC387" s="1139"/>
      <c r="AD387" s="1139"/>
      <c r="AE387" s="2345">
        <f>L387-AD387+AC387</f>
        <v>68858.97</v>
      </c>
      <c r="AF387" s="525">
        <v>0</v>
      </c>
      <c r="AG387" s="1150">
        <v>3798.34</v>
      </c>
      <c r="AH387" s="1139">
        <f t="shared" si="10"/>
        <v>3798.34</v>
      </c>
      <c r="AI387" s="1055"/>
      <c r="AJ387" s="1064"/>
      <c r="AK387" s="1055"/>
      <c r="AL387" s="1133"/>
      <c r="AM387" s="1055"/>
      <c r="AN387" s="1055"/>
      <c r="AO387" s="1064"/>
      <c r="AP387" s="1137"/>
      <c r="AQ387" s="1064"/>
      <c r="AR387" s="1137"/>
      <c r="AS387" s="1055"/>
      <c r="AT387" s="1133"/>
      <c r="AU387" s="1133"/>
      <c r="AV387" s="1133"/>
      <c r="AW387" s="1133"/>
      <c r="AX387" s="1133"/>
      <c r="AY387" s="1133"/>
      <c r="AZ387" s="1133"/>
      <c r="BA387" s="1133"/>
      <c r="BB387" s="1133"/>
      <c r="BC387" s="1133"/>
      <c r="BD387" s="1133"/>
      <c r="BE387" s="1480"/>
      <c r="BF387" s="1480"/>
      <c r="BG387" s="1480"/>
      <c r="BH387" s="1480"/>
      <c r="BI387" s="1480"/>
      <c r="BJ387" s="1480"/>
    </row>
    <row r="388" spans="1:62" s="629" customFormat="1" ht="12.75" x14ac:dyDescent="0.2">
      <c r="A388" s="2148"/>
      <c r="B388" s="2361"/>
      <c r="C388" s="2023"/>
      <c r="D388" s="2023"/>
      <c r="E388" s="2023"/>
      <c r="F388" s="2023"/>
      <c r="G388" s="2355"/>
      <c r="H388" s="2023"/>
      <c r="I388" s="2023"/>
      <c r="J388" s="2023"/>
      <c r="K388" s="2347"/>
      <c r="L388" s="2349"/>
      <c r="M388" s="2374"/>
      <c r="N388" s="2352"/>
      <c r="O388" s="2352"/>
      <c r="P388" s="2354"/>
      <c r="Q388" s="2023"/>
      <c r="R388" s="2023"/>
      <c r="S388" s="2023"/>
      <c r="T388" s="2023"/>
      <c r="U388" s="1055"/>
      <c r="V388" s="1055"/>
      <c r="W388" s="1064"/>
      <c r="X388" s="1140"/>
      <c r="Y388" s="1055"/>
      <c r="Z388" s="1055"/>
      <c r="AA388" s="1138"/>
      <c r="AB388" s="1055"/>
      <c r="AC388" s="1139"/>
      <c r="AD388" s="1139"/>
      <c r="AE388" s="2346"/>
      <c r="AF388" s="525">
        <v>0</v>
      </c>
      <c r="AG388" s="525">
        <v>0</v>
      </c>
      <c r="AH388" s="1139">
        <f t="shared" si="10"/>
        <v>0</v>
      </c>
      <c r="AI388" s="1055"/>
      <c r="AJ388" s="1064"/>
      <c r="AK388" s="1055"/>
      <c r="AL388" s="1133"/>
      <c r="AM388" s="1055"/>
      <c r="AN388" s="1055"/>
      <c r="AO388" s="1064"/>
      <c r="AP388" s="1137"/>
      <c r="AQ388" s="1064"/>
      <c r="AR388" s="1137"/>
      <c r="AS388" s="1055"/>
      <c r="AT388" s="1133"/>
      <c r="AU388" s="1133"/>
      <c r="AV388" s="1133"/>
      <c r="AW388" s="1133"/>
      <c r="AX388" s="1133"/>
      <c r="AY388" s="1133"/>
      <c r="AZ388" s="1133"/>
      <c r="BA388" s="1133"/>
      <c r="BB388" s="1133"/>
      <c r="BC388" s="1133"/>
      <c r="BD388" s="1133"/>
      <c r="BE388" s="1480"/>
      <c r="BF388" s="1480"/>
      <c r="BG388" s="1480"/>
      <c r="BH388" s="1480"/>
      <c r="BI388" s="1480"/>
      <c r="BJ388" s="1480"/>
    </row>
    <row r="389" spans="1:62" s="629" customFormat="1" ht="12.75" x14ac:dyDescent="0.2">
      <c r="A389" s="2148"/>
      <c r="B389" s="2361"/>
      <c r="C389" s="2023"/>
      <c r="D389" s="2023"/>
      <c r="E389" s="2023"/>
      <c r="F389" s="2023"/>
      <c r="G389" s="2355"/>
      <c r="H389" s="2023"/>
      <c r="I389" s="2023"/>
      <c r="J389" s="2023"/>
      <c r="K389" s="2023"/>
      <c r="L389" s="2349"/>
      <c r="M389" s="2374"/>
      <c r="N389" s="2352"/>
      <c r="O389" s="2352"/>
      <c r="P389" s="1132" t="s">
        <v>4071</v>
      </c>
      <c r="Q389" s="2023"/>
      <c r="R389" s="2023"/>
      <c r="S389" s="2023"/>
      <c r="T389" s="2023"/>
      <c r="U389" s="1055"/>
      <c r="V389" s="1055"/>
      <c r="W389" s="1064"/>
      <c r="X389" s="1140"/>
      <c r="Y389" s="1055"/>
      <c r="Z389" s="1055"/>
      <c r="AA389" s="1138"/>
      <c r="AB389" s="1055"/>
      <c r="AC389" s="1139"/>
      <c r="AD389" s="1139"/>
      <c r="AE389" s="2371"/>
      <c r="AF389" s="525">
        <v>0</v>
      </c>
      <c r="AG389" s="1150">
        <f>1156.99+725.7+337.06+933.01+725.7+966.14+8916.5+26.94+1553.61+1156.99+332.26</f>
        <v>16830.900000000001</v>
      </c>
      <c r="AH389" s="1139">
        <f t="shared" si="10"/>
        <v>16830.900000000001</v>
      </c>
      <c r="AI389" s="1055"/>
      <c r="AJ389" s="1064"/>
      <c r="AK389" s="1055"/>
      <c r="AL389" s="1133"/>
      <c r="AM389" s="1055"/>
      <c r="AN389" s="1055"/>
      <c r="AO389" s="1064"/>
      <c r="AP389" s="1137"/>
      <c r="AQ389" s="1064"/>
      <c r="AR389" s="1137"/>
      <c r="AS389" s="1055"/>
      <c r="AT389" s="1133"/>
      <c r="AU389" s="1133"/>
      <c r="AV389" s="1133"/>
      <c r="AW389" s="1133"/>
      <c r="AX389" s="1133"/>
      <c r="AY389" s="1133"/>
      <c r="AZ389" s="1133"/>
      <c r="BA389" s="1133"/>
      <c r="BB389" s="1133"/>
      <c r="BC389" s="1133"/>
      <c r="BD389" s="1133"/>
      <c r="BE389" s="1480"/>
      <c r="BF389" s="1480"/>
      <c r="BG389" s="1480"/>
      <c r="BH389" s="1480"/>
      <c r="BI389" s="1480"/>
      <c r="BJ389" s="1480"/>
    </row>
    <row r="390" spans="1:62" s="629" customFormat="1" ht="45" customHeight="1" x14ac:dyDescent="0.2">
      <c r="A390" s="2148">
        <v>175</v>
      </c>
      <c r="B390" s="2361" t="s">
        <v>4374</v>
      </c>
      <c r="C390" s="2023" t="s">
        <v>757</v>
      </c>
      <c r="D390" s="2023" t="s">
        <v>1331</v>
      </c>
      <c r="E390" s="2023" t="s">
        <v>584</v>
      </c>
      <c r="F390" s="2023" t="s">
        <v>4297</v>
      </c>
      <c r="G390" s="2355">
        <v>11257</v>
      </c>
      <c r="H390" s="2023" t="s">
        <v>4457</v>
      </c>
      <c r="I390" s="2023" t="s">
        <v>4203</v>
      </c>
      <c r="J390" s="2023" t="s">
        <v>225</v>
      </c>
      <c r="K390" s="2347">
        <v>41740</v>
      </c>
      <c r="L390" s="2349">
        <v>27633.5</v>
      </c>
      <c r="M390" s="2374">
        <v>11289</v>
      </c>
      <c r="N390" s="2352">
        <v>41740</v>
      </c>
      <c r="O390" s="2352">
        <v>42004</v>
      </c>
      <c r="P390" s="2354" t="s">
        <v>3905</v>
      </c>
      <c r="Q390" s="2023"/>
      <c r="R390" s="2023"/>
      <c r="S390" s="2023"/>
      <c r="T390" s="2023" t="s">
        <v>316</v>
      </c>
      <c r="U390" s="1055"/>
      <c r="V390" s="1055"/>
      <c r="W390" s="1064"/>
      <c r="X390" s="1140"/>
      <c r="Y390" s="1055"/>
      <c r="Z390" s="1055"/>
      <c r="AA390" s="1138"/>
      <c r="AB390" s="1055"/>
      <c r="AC390" s="1139"/>
      <c r="AD390" s="1139"/>
      <c r="AE390" s="2345">
        <f>L390-AD390+AC390</f>
        <v>27633.5</v>
      </c>
      <c r="AF390" s="525">
        <v>0</v>
      </c>
      <c r="AG390" s="1148">
        <v>649.9</v>
      </c>
      <c r="AH390" s="1139">
        <f t="shared" si="10"/>
        <v>649.9</v>
      </c>
      <c r="AI390" s="1055"/>
      <c r="AJ390" s="1064"/>
      <c r="AK390" s="1055"/>
      <c r="AL390" s="1133"/>
      <c r="AM390" s="1055"/>
      <c r="AN390" s="1055"/>
      <c r="AO390" s="1064"/>
      <c r="AP390" s="1137"/>
      <c r="AQ390" s="1064"/>
      <c r="AR390" s="1137"/>
      <c r="AS390" s="1055"/>
      <c r="AT390" s="1133"/>
      <c r="AU390" s="1133"/>
      <c r="AV390" s="1133"/>
      <c r="AW390" s="1133"/>
      <c r="AX390" s="1133"/>
      <c r="AY390" s="1133"/>
      <c r="AZ390" s="1133"/>
      <c r="BA390" s="1133"/>
      <c r="BB390" s="1133"/>
      <c r="BC390" s="1133"/>
      <c r="BD390" s="1133"/>
      <c r="BE390" s="1480"/>
      <c r="BF390" s="1480"/>
      <c r="BG390" s="1480"/>
      <c r="BH390" s="1480"/>
      <c r="BI390" s="1480"/>
      <c r="BJ390" s="1480"/>
    </row>
    <row r="391" spans="1:62" s="629" customFormat="1" ht="12.75" x14ac:dyDescent="0.2">
      <c r="A391" s="2148"/>
      <c r="B391" s="2361"/>
      <c r="C391" s="2023"/>
      <c r="D391" s="2023"/>
      <c r="E391" s="2023"/>
      <c r="F391" s="2023"/>
      <c r="G391" s="2355"/>
      <c r="H391" s="2023"/>
      <c r="I391" s="2023"/>
      <c r="J391" s="2023"/>
      <c r="K391" s="2347"/>
      <c r="L391" s="2349"/>
      <c r="M391" s="2374"/>
      <c r="N391" s="2352"/>
      <c r="O391" s="2352"/>
      <c r="P391" s="2354"/>
      <c r="Q391" s="2023"/>
      <c r="R391" s="2023"/>
      <c r="S391" s="2023"/>
      <c r="T391" s="2023"/>
      <c r="U391" s="1055"/>
      <c r="V391" s="1055"/>
      <c r="W391" s="1064"/>
      <c r="X391" s="1140"/>
      <c r="Y391" s="1055"/>
      <c r="Z391" s="1055"/>
      <c r="AA391" s="1138"/>
      <c r="AB391" s="1055"/>
      <c r="AC391" s="1139"/>
      <c r="AD391" s="1139"/>
      <c r="AE391" s="2346"/>
      <c r="AF391" s="525">
        <v>0</v>
      </c>
      <c r="AG391" s="525">
        <v>0</v>
      </c>
      <c r="AH391" s="1139">
        <f t="shared" si="10"/>
        <v>0</v>
      </c>
      <c r="AI391" s="1055"/>
      <c r="AJ391" s="1064"/>
      <c r="AK391" s="1055"/>
      <c r="AL391" s="1133"/>
      <c r="AM391" s="1055"/>
      <c r="AN391" s="1055"/>
      <c r="AO391" s="1064"/>
      <c r="AP391" s="1137"/>
      <c r="AQ391" s="1064"/>
      <c r="AR391" s="1137"/>
      <c r="AS391" s="1055"/>
      <c r="AT391" s="1133"/>
      <c r="AU391" s="1133"/>
      <c r="AV391" s="1133"/>
      <c r="AW391" s="1133"/>
      <c r="AX391" s="1133"/>
      <c r="AY391" s="1133"/>
      <c r="AZ391" s="1133"/>
      <c r="BA391" s="1133"/>
      <c r="BB391" s="1133"/>
      <c r="BC391" s="1133"/>
      <c r="BD391" s="1133"/>
      <c r="BE391" s="1480"/>
      <c r="BF391" s="1480"/>
      <c r="BG391" s="1480"/>
      <c r="BH391" s="1480"/>
      <c r="BI391" s="1480"/>
      <c r="BJ391" s="1480"/>
    </row>
    <row r="392" spans="1:62" s="629" customFormat="1" ht="12.75" x14ac:dyDescent="0.2">
      <c r="A392" s="2148"/>
      <c r="B392" s="2361"/>
      <c r="C392" s="2023"/>
      <c r="D392" s="2023"/>
      <c r="E392" s="2023"/>
      <c r="F392" s="2023"/>
      <c r="G392" s="2355"/>
      <c r="H392" s="2023"/>
      <c r="I392" s="2023"/>
      <c r="J392" s="2023"/>
      <c r="K392" s="2023"/>
      <c r="L392" s="2349"/>
      <c r="M392" s="2374"/>
      <c r="N392" s="2352"/>
      <c r="O392" s="2352"/>
      <c r="P392" s="1132" t="s">
        <v>4071</v>
      </c>
      <c r="Q392" s="2023"/>
      <c r="R392" s="2023"/>
      <c r="S392" s="2023"/>
      <c r="T392" s="2023"/>
      <c r="U392" s="1055"/>
      <c r="V392" s="1055"/>
      <c r="W392" s="1064"/>
      <c r="X392" s="1140"/>
      <c r="Y392" s="1055"/>
      <c r="Z392" s="1055"/>
      <c r="AA392" s="1138"/>
      <c r="AB392" s="1055"/>
      <c r="AC392" s="1139"/>
      <c r="AD392" s="1139"/>
      <c r="AE392" s="2371"/>
      <c r="AF392" s="525">
        <v>0</v>
      </c>
      <c r="AG392" s="1148">
        <f>290+203+2880.9+1760.45+645.05+174.6+824.5+106.7</f>
        <v>6885.2000000000007</v>
      </c>
      <c r="AH392" s="1139">
        <f t="shared" si="10"/>
        <v>6885.2000000000007</v>
      </c>
      <c r="AI392" s="1055"/>
      <c r="AJ392" s="1064"/>
      <c r="AK392" s="1055"/>
      <c r="AL392" s="1133"/>
      <c r="AM392" s="1055"/>
      <c r="AN392" s="1055"/>
      <c r="AO392" s="1064"/>
      <c r="AP392" s="1137"/>
      <c r="AQ392" s="1064"/>
      <c r="AR392" s="1137"/>
      <c r="AS392" s="1055"/>
      <c r="AT392" s="1133"/>
      <c r="AU392" s="1133"/>
      <c r="AV392" s="1133"/>
      <c r="AW392" s="1133"/>
      <c r="AX392" s="1133"/>
      <c r="AY392" s="1133"/>
      <c r="AZ392" s="1133"/>
      <c r="BA392" s="1133"/>
      <c r="BB392" s="1133"/>
      <c r="BC392" s="1133"/>
      <c r="BD392" s="1133"/>
      <c r="BE392" s="1480"/>
      <c r="BF392" s="1480"/>
      <c r="BG392" s="1480"/>
      <c r="BH392" s="1480"/>
      <c r="BI392" s="1480"/>
      <c r="BJ392" s="1480"/>
    </row>
    <row r="393" spans="1:62" s="629" customFormat="1" ht="45" customHeight="1" x14ac:dyDescent="0.2">
      <c r="A393" s="2148">
        <v>176</v>
      </c>
      <c r="B393" s="2361" t="s">
        <v>4374</v>
      </c>
      <c r="C393" s="2023" t="s">
        <v>757</v>
      </c>
      <c r="D393" s="2023" t="s">
        <v>1331</v>
      </c>
      <c r="E393" s="2023" t="s">
        <v>584</v>
      </c>
      <c r="F393" s="2023" t="s">
        <v>4297</v>
      </c>
      <c r="G393" s="2355">
        <v>11264</v>
      </c>
      <c r="H393" s="2023" t="s">
        <v>4458</v>
      </c>
      <c r="I393" s="2023" t="s">
        <v>4136</v>
      </c>
      <c r="J393" s="2023" t="s">
        <v>4137</v>
      </c>
      <c r="K393" s="2347">
        <v>41740</v>
      </c>
      <c r="L393" s="2349">
        <v>425602.99</v>
      </c>
      <c r="M393" s="2374">
        <v>11289</v>
      </c>
      <c r="N393" s="2352">
        <v>41740</v>
      </c>
      <c r="O393" s="2352">
        <v>42004</v>
      </c>
      <c r="P393" s="2354" t="s">
        <v>3905</v>
      </c>
      <c r="Q393" s="2023"/>
      <c r="R393" s="2023"/>
      <c r="S393" s="2023"/>
      <c r="T393" s="2023" t="s">
        <v>316</v>
      </c>
      <c r="U393" s="1055"/>
      <c r="V393" s="1055"/>
      <c r="W393" s="1064"/>
      <c r="X393" s="1140"/>
      <c r="Y393" s="1055"/>
      <c r="Z393" s="1055"/>
      <c r="AA393" s="1138"/>
      <c r="AB393" s="1055"/>
      <c r="AC393" s="1139"/>
      <c r="AD393" s="1139"/>
      <c r="AE393" s="2345">
        <f>L393-AD393+AC393</f>
        <v>425602.99</v>
      </c>
      <c r="AF393" s="525">
        <v>0</v>
      </c>
      <c r="AG393" s="1150">
        <v>27672.17</v>
      </c>
      <c r="AH393" s="1139">
        <f t="shared" si="10"/>
        <v>27672.17</v>
      </c>
      <c r="AI393" s="1055"/>
      <c r="AJ393" s="1064"/>
      <c r="AK393" s="1055"/>
      <c r="AL393" s="1133"/>
      <c r="AM393" s="1055"/>
      <c r="AN393" s="1055"/>
      <c r="AO393" s="1064"/>
      <c r="AP393" s="1137"/>
      <c r="AQ393" s="1064"/>
      <c r="AR393" s="1137"/>
      <c r="AS393" s="1055"/>
      <c r="AT393" s="1133"/>
      <c r="AU393" s="1133"/>
      <c r="AV393" s="1133"/>
      <c r="AW393" s="1133"/>
      <c r="AX393" s="1133"/>
      <c r="AY393" s="1133"/>
      <c r="AZ393" s="1133"/>
      <c r="BA393" s="1133"/>
      <c r="BB393" s="1133"/>
      <c r="BC393" s="1133"/>
      <c r="BD393" s="1133"/>
      <c r="BE393" s="1480"/>
      <c r="BF393" s="1480"/>
      <c r="BG393" s="1480"/>
      <c r="BH393" s="1480"/>
      <c r="BI393" s="1480"/>
      <c r="BJ393" s="1480"/>
    </row>
    <row r="394" spans="1:62" s="629" customFormat="1" ht="12.75" x14ac:dyDescent="0.2">
      <c r="A394" s="2148"/>
      <c r="B394" s="2361"/>
      <c r="C394" s="2023"/>
      <c r="D394" s="2023"/>
      <c r="E394" s="2023"/>
      <c r="F394" s="2023"/>
      <c r="G394" s="2355"/>
      <c r="H394" s="2023"/>
      <c r="I394" s="2023"/>
      <c r="J394" s="2023"/>
      <c r="K394" s="2023"/>
      <c r="L394" s="2349"/>
      <c r="M394" s="2374"/>
      <c r="N394" s="2352"/>
      <c r="O394" s="2352"/>
      <c r="P394" s="2354"/>
      <c r="Q394" s="2023"/>
      <c r="R394" s="2023"/>
      <c r="S394" s="2023"/>
      <c r="T394" s="2023"/>
      <c r="U394" s="1055"/>
      <c r="V394" s="1055"/>
      <c r="W394" s="1064"/>
      <c r="X394" s="1140"/>
      <c r="Y394" s="1055"/>
      <c r="Z394" s="1055"/>
      <c r="AA394" s="1138"/>
      <c r="AB394" s="1055"/>
      <c r="AC394" s="1139"/>
      <c r="AD394" s="1139"/>
      <c r="AE394" s="2346"/>
      <c r="AF394" s="525">
        <v>0</v>
      </c>
      <c r="AG394" s="525">
        <v>0</v>
      </c>
      <c r="AH394" s="1139">
        <f t="shared" si="10"/>
        <v>0</v>
      </c>
      <c r="AI394" s="1055"/>
      <c r="AJ394" s="1064"/>
      <c r="AK394" s="1055"/>
      <c r="AL394" s="1133"/>
      <c r="AM394" s="1055"/>
      <c r="AN394" s="1055"/>
      <c r="AO394" s="1064"/>
      <c r="AP394" s="1137"/>
      <c r="AQ394" s="1064"/>
      <c r="AR394" s="1137"/>
      <c r="AS394" s="1055"/>
      <c r="AT394" s="1133"/>
      <c r="AU394" s="1133"/>
      <c r="AV394" s="1133"/>
      <c r="AW394" s="1133"/>
      <c r="AX394" s="1133"/>
      <c r="AY394" s="1133"/>
      <c r="AZ394" s="1133"/>
      <c r="BA394" s="1133"/>
      <c r="BB394" s="1133"/>
      <c r="BC394" s="1133"/>
      <c r="BD394" s="1133"/>
      <c r="BE394" s="1480"/>
      <c r="BF394" s="1480"/>
      <c r="BG394" s="1480"/>
      <c r="BH394" s="1480"/>
      <c r="BI394" s="1480"/>
      <c r="BJ394" s="1480"/>
    </row>
    <row r="395" spans="1:62" s="629" customFormat="1" ht="12.75" x14ac:dyDescent="0.2">
      <c r="A395" s="2148"/>
      <c r="B395" s="2361"/>
      <c r="C395" s="2023"/>
      <c r="D395" s="2023"/>
      <c r="E395" s="2023"/>
      <c r="F395" s="2023"/>
      <c r="G395" s="2355"/>
      <c r="H395" s="2023"/>
      <c r="I395" s="2023"/>
      <c r="J395" s="2023"/>
      <c r="K395" s="2023"/>
      <c r="L395" s="2349"/>
      <c r="M395" s="2374"/>
      <c r="N395" s="2352"/>
      <c r="O395" s="2352"/>
      <c r="P395" s="1132" t="s">
        <v>4071</v>
      </c>
      <c r="Q395" s="2023"/>
      <c r="R395" s="2023"/>
      <c r="S395" s="2023"/>
      <c r="T395" s="2023"/>
      <c r="U395" s="1055"/>
      <c r="V395" s="1055"/>
      <c r="W395" s="1064"/>
      <c r="X395" s="1140"/>
      <c r="Y395" s="1055"/>
      <c r="Z395" s="1055"/>
      <c r="AA395" s="1138"/>
      <c r="AB395" s="1055"/>
      <c r="AC395" s="1139"/>
      <c r="AD395" s="1139"/>
      <c r="AE395" s="2371"/>
      <c r="AF395" s="525">
        <v>0</v>
      </c>
      <c r="AG395" s="1150">
        <f>2081.31+1209.89+721.95+1235.38+1992.88+30087.05+6197.38+7840.2+12511.17+7885.28+20219.98+22632.29+8394.03+7485.81+12094.79+14304.7+10729.76+6766.47+24818.73+41547.45+3206.87+11858.32+11060.75+4319.98+946.88+8878.59+2373.4+2719.07+2373.71</f>
        <v>288494.07000000007</v>
      </c>
      <c r="AH395" s="1139">
        <f t="shared" si="10"/>
        <v>288494.07000000007</v>
      </c>
      <c r="AI395" s="1055"/>
      <c r="AJ395" s="1064"/>
      <c r="AK395" s="1055"/>
      <c r="AL395" s="1133"/>
      <c r="AM395" s="1055"/>
      <c r="AN395" s="1055"/>
      <c r="AO395" s="1064"/>
      <c r="AP395" s="1137"/>
      <c r="AQ395" s="1064"/>
      <c r="AR395" s="1137"/>
      <c r="AS395" s="1055"/>
      <c r="AT395" s="1133"/>
      <c r="AU395" s="1133"/>
      <c r="AV395" s="1133"/>
      <c r="AW395" s="1133"/>
      <c r="AX395" s="1133"/>
      <c r="AY395" s="1133"/>
      <c r="AZ395" s="1133"/>
      <c r="BA395" s="1133"/>
      <c r="BB395" s="1133"/>
      <c r="BC395" s="1133"/>
      <c r="BD395" s="1133"/>
      <c r="BE395" s="1480"/>
      <c r="BF395" s="1480"/>
      <c r="BG395" s="1480"/>
      <c r="BH395" s="1480"/>
      <c r="BI395" s="1480"/>
      <c r="BJ395" s="1480"/>
    </row>
    <row r="396" spans="1:62" s="629" customFormat="1" ht="45" customHeight="1" x14ac:dyDescent="0.2">
      <c r="A396" s="2365">
        <v>177</v>
      </c>
      <c r="B396" s="2361" t="s">
        <v>4459</v>
      </c>
      <c r="C396" s="2355" t="s">
        <v>840</v>
      </c>
      <c r="D396" s="2023" t="s">
        <v>1331</v>
      </c>
      <c r="E396" s="2023" t="s">
        <v>584</v>
      </c>
      <c r="F396" s="2023" t="s">
        <v>4297</v>
      </c>
      <c r="G396" s="2355">
        <v>11274</v>
      </c>
      <c r="H396" s="2023" t="s">
        <v>4460</v>
      </c>
      <c r="I396" s="2023" t="s">
        <v>4136</v>
      </c>
      <c r="J396" s="2023" t="s">
        <v>4137</v>
      </c>
      <c r="K396" s="2347">
        <v>41754</v>
      </c>
      <c r="L396" s="2372">
        <v>101197.5</v>
      </c>
      <c r="M396" s="2393">
        <v>11296</v>
      </c>
      <c r="N396" s="2352">
        <v>41754</v>
      </c>
      <c r="O396" s="2352">
        <v>42004</v>
      </c>
      <c r="P396" s="2354" t="s">
        <v>3905</v>
      </c>
      <c r="Q396" s="2023"/>
      <c r="R396" s="2023"/>
      <c r="S396" s="2023"/>
      <c r="T396" s="2023" t="s">
        <v>316</v>
      </c>
      <c r="U396" s="1055"/>
      <c r="V396" s="1055"/>
      <c r="W396" s="1064"/>
      <c r="X396" s="1140"/>
      <c r="Y396" s="1055"/>
      <c r="Z396" s="1055"/>
      <c r="AA396" s="1138"/>
      <c r="AB396" s="1055"/>
      <c r="AC396" s="1139"/>
      <c r="AD396" s="1139"/>
      <c r="AE396" s="2345">
        <f>L396-AD396+AC396</f>
        <v>101197.5</v>
      </c>
      <c r="AF396" s="525">
        <v>0</v>
      </c>
      <c r="AG396" s="1150">
        <v>82818.39</v>
      </c>
      <c r="AH396" s="1139">
        <f t="shared" si="10"/>
        <v>82818.39</v>
      </c>
      <c r="AI396" s="1055"/>
      <c r="AJ396" s="1064"/>
      <c r="AK396" s="1055"/>
      <c r="AL396" s="1133"/>
      <c r="AM396" s="1055"/>
      <c r="AN396" s="1055"/>
      <c r="AO396" s="1064"/>
      <c r="AP396" s="1137"/>
      <c r="AQ396" s="1064"/>
      <c r="AR396" s="1137"/>
      <c r="AS396" s="1055"/>
      <c r="AT396" s="1133"/>
      <c r="AU396" s="1133"/>
      <c r="AV396" s="1133"/>
      <c r="AW396" s="1133"/>
      <c r="AX396" s="1133"/>
      <c r="AY396" s="1133"/>
      <c r="AZ396" s="1133"/>
      <c r="BA396" s="1133"/>
      <c r="BB396" s="1133"/>
      <c r="BC396" s="1133"/>
      <c r="BD396" s="1133"/>
      <c r="BE396" s="1480"/>
      <c r="BF396" s="1480"/>
      <c r="BG396" s="1480"/>
      <c r="BH396" s="1480"/>
      <c r="BI396" s="1480"/>
      <c r="BJ396" s="1480"/>
    </row>
    <row r="397" spans="1:62" s="629" customFormat="1" ht="12.75" x14ac:dyDescent="0.2">
      <c r="A397" s="2365"/>
      <c r="B397" s="2361"/>
      <c r="C397" s="2355"/>
      <c r="D397" s="2023"/>
      <c r="E397" s="2023"/>
      <c r="F397" s="2023"/>
      <c r="G397" s="2355"/>
      <c r="H397" s="2023"/>
      <c r="I397" s="2023"/>
      <c r="J397" s="2023"/>
      <c r="K397" s="2347"/>
      <c r="L397" s="2372"/>
      <c r="M397" s="2393"/>
      <c r="N397" s="2352"/>
      <c r="O397" s="2352"/>
      <c r="P397" s="2354"/>
      <c r="Q397" s="2023"/>
      <c r="R397" s="2023"/>
      <c r="S397" s="2023"/>
      <c r="T397" s="2023"/>
      <c r="U397" s="1055"/>
      <c r="V397" s="1055"/>
      <c r="W397" s="1064"/>
      <c r="X397" s="1140"/>
      <c r="Y397" s="1055"/>
      <c r="Z397" s="1055"/>
      <c r="AA397" s="1138"/>
      <c r="AB397" s="1055"/>
      <c r="AC397" s="1139"/>
      <c r="AD397" s="1139"/>
      <c r="AE397" s="2346"/>
      <c r="AF397" s="525">
        <v>0</v>
      </c>
      <c r="AG397" s="525">
        <v>0</v>
      </c>
      <c r="AH397" s="1139">
        <f t="shared" si="10"/>
        <v>0</v>
      </c>
      <c r="AI397" s="1055"/>
      <c r="AJ397" s="1064"/>
      <c r="AK397" s="1055"/>
      <c r="AL397" s="1133"/>
      <c r="AM397" s="1055"/>
      <c r="AN397" s="1055"/>
      <c r="AO397" s="1064"/>
      <c r="AP397" s="1137"/>
      <c r="AQ397" s="1064"/>
      <c r="AR397" s="1137"/>
      <c r="AS397" s="1055"/>
      <c r="AT397" s="1133"/>
      <c r="AU397" s="1133"/>
      <c r="AV397" s="1133"/>
      <c r="AW397" s="1133"/>
      <c r="AX397" s="1133"/>
      <c r="AY397" s="1133"/>
      <c r="AZ397" s="1133"/>
      <c r="BA397" s="1133"/>
      <c r="BB397" s="1133"/>
      <c r="BC397" s="1133"/>
      <c r="BD397" s="1133"/>
      <c r="BE397" s="1480"/>
      <c r="BF397" s="1480"/>
      <c r="BG397" s="1480"/>
      <c r="BH397" s="1480"/>
      <c r="BI397" s="1480"/>
      <c r="BJ397" s="1480"/>
    </row>
    <row r="398" spans="1:62" s="629" customFormat="1" ht="12.75" x14ac:dyDescent="0.2">
      <c r="A398" s="2365"/>
      <c r="B398" s="2361"/>
      <c r="C398" s="2355"/>
      <c r="D398" s="2023"/>
      <c r="E398" s="2023"/>
      <c r="F398" s="2023"/>
      <c r="G398" s="2355"/>
      <c r="H398" s="2023"/>
      <c r="I398" s="2023"/>
      <c r="J398" s="2023"/>
      <c r="K398" s="2023"/>
      <c r="L398" s="2372"/>
      <c r="M398" s="2374"/>
      <c r="N398" s="2352"/>
      <c r="O398" s="2352"/>
      <c r="P398" s="1132" t="s">
        <v>4071</v>
      </c>
      <c r="Q398" s="2023"/>
      <c r="R398" s="2023"/>
      <c r="S398" s="2023"/>
      <c r="T398" s="2023"/>
      <c r="U398" s="1055"/>
      <c r="V398" s="1055"/>
      <c r="W398" s="1064"/>
      <c r="X398" s="1140"/>
      <c r="Y398" s="1055"/>
      <c r="Z398" s="1055"/>
      <c r="AA398" s="1138"/>
      <c r="AB398" s="1055"/>
      <c r="AC398" s="1139"/>
      <c r="AD398" s="1139"/>
      <c r="AE398" s="2371"/>
      <c r="AF398" s="525">
        <v>0</v>
      </c>
      <c r="AG398" s="1150">
        <f>154.35+51.45+235.2</f>
        <v>441</v>
      </c>
      <c r="AH398" s="1139">
        <f t="shared" si="10"/>
        <v>441</v>
      </c>
      <c r="AI398" s="1055"/>
      <c r="AJ398" s="1064"/>
      <c r="AK398" s="1055"/>
      <c r="AL398" s="1133"/>
      <c r="AM398" s="1055"/>
      <c r="AN398" s="1055"/>
      <c r="AO398" s="1064"/>
      <c r="AP398" s="1137"/>
      <c r="AQ398" s="1064"/>
      <c r="AR398" s="1137"/>
      <c r="AS398" s="1055"/>
      <c r="AT398" s="1133"/>
      <c r="AU398" s="1133"/>
      <c r="AV398" s="1133"/>
      <c r="AW398" s="1133"/>
      <c r="AX398" s="1133"/>
      <c r="AY398" s="1133"/>
      <c r="AZ398" s="1133"/>
      <c r="BA398" s="1133"/>
      <c r="BB398" s="1133"/>
      <c r="BC398" s="1133"/>
      <c r="BD398" s="1133"/>
      <c r="BE398" s="1480"/>
      <c r="BF398" s="1480"/>
      <c r="BG398" s="1480"/>
      <c r="BH398" s="1480"/>
      <c r="BI398" s="1480"/>
      <c r="BJ398" s="1480"/>
    </row>
    <row r="399" spans="1:62" s="629" customFormat="1" ht="45" customHeight="1" x14ac:dyDescent="0.2">
      <c r="A399" s="2365">
        <v>178</v>
      </c>
      <c r="B399" s="2361" t="s">
        <v>4459</v>
      </c>
      <c r="C399" s="2355" t="s">
        <v>840</v>
      </c>
      <c r="D399" s="2023" t="s">
        <v>1548</v>
      </c>
      <c r="E399" s="2023" t="s">
        <v>584</v>
      </c>
      <c r="F399" s="2023" t="s">
        <v>4297</v>
      </c>
      <c r="G399" s="2355">
        <v>11274</v>
      </c>
      <c r="H399" s="2023" t="s">
        <v>4461</v>
      </c>
      <c r="I399" s="2023" t="s">
        <v>4258</v>
      </c>
      <c r="J399" s="2355" t="s">
        <v>4259</v>
      </c>
      <c r="K399" s="2352">
        <v>41754</v>
      </c>
      <c r="L399" s="2349">
        <v>140652.85</v>
      </c>
      <c r="M399" s="2393">
        <v>11296</v>
      </c>
      <c r="N399" s="2352">
        <v>41754</v>
      </c>
      <c r="O399" s="2352">
        <v>42004</v>
      </c>
      <c r="P399" s="2354" t="s">
        <v>3905</v>
      </c>
      <c r="Q399" s="2023"/>
      <c r="R399" s="2023"/>
      <c r="S399" s="2023"/>
      <c r="T399" s="2023" t="s">
        <v>316</v>
      </c>
      <c r="U399" s="1055"/>
      <c r="V399" s="1055"/>
      <c r="W399" s="1064"/>
      <c r="X399" s="1140"/>
      <c r="Y399" s="1055"/>
      <c r="Z399" s="1055"/>
      <c r="AA399" s="1138"/>
      <c r="AB399" s="1055"/>
      <c r="AC399" s="1139"/>
      <c r="AD399" s="1139"/>
      <c r="AE399" s="1155"/>
      <c r="AF399" s="525">
        <v>0</v>
      </c>
      <c r="AG399" s="1150">
        <f>8419.05+5047.9+13837.6+6124.55+8948.55+7766+11260.7+4994.95+3671.2+2435.7+2788.7+2612.2+1729.7+1870.9+2435.7+2438.15+2563.99+1069.64+1006.72+1517.9+7165+1041.35+6830.55</f>
        <v>107576.69999999997</v>
      </c>
      <c r="AH399" s="1139">
        <f t="shared" si="10"/>
        <v>107576.69999999997</v>
      </c>
      <c r="AI399" s="1055"/>
      <c r="AJ399" s="1064"/>
      <c r="AK399" s="1055"/>
      <c r="AL399" s="1133"/>
      <c r="AM399" s="1055"/>
      <c r="AN399" s="1055"/>
      <c r="AO399" s="1064"/>
      <c r="AP399" s="1137"/>
      <c r="AQ399" s="1064"/>
      <c r="AR399" s="1137"/>
      <c r="AS399" s="1055"/>
      <c r="AT399" s="1133"/>
      <c r="AU399" s="1133"/>
      <c r="AV399" s="1133"/>
      <c r="AW399" s="1133"/>
      <c r="AX399" s="1133"/>
      <c r="AY399" s="1133"/>
      <c r="AZ399" s="1133"/>
      <c r="BA399" s="1133"/>
      <c r="BB399" s="1133"/>
      <c r="BC399" s="1133"/>
      <c r="BD399" s="1133"/>
      <c r="BE399" s="1480"/>
      <c r="BF399" s="1480"/>
      <c r="BG399" s="1480"/>
      <c r="BH399" s="1480"/>
      <c r="BI399" s="1480"/>
      <c r="BJ399" s="1480"/>
    </row>
    <row r="400" spans="1:62" s="629" customFormat="1" ht="25.5" customHeight="1" x14ac:dyDescent="0.2">
      <c r="A400" s="2365"/>
      <c r="B400" s="2361"/>
      <c r="C400" s="2355"/>
      <c r="D400" s="2023"/>
      <c r="E400" s="2023"/>
      <c r="F400" s="2023"/>
      <c r="G400" s="2355"/>
      <c r="H400" s="2023"/>
      <c r="I400" s="2023"/>
      <c r="J400" s="2355"/>
      <c r="K400" s="2352"/>
      <c r="L400" s="2349"/>
      <c r="M400" s="2393"/>
      <c r="N400" s="2352"/>
      <c r="O400" s="2352"/>
      <c r="P400" s="2354"/>
      <c r="Q400" s="2023"/>
      <c r="R400" s="2023"/>
      <c r="S400" s="2023"/>
      <c r="T400" s="2023"/>
      <c r="U400" s="1055" t="s">
        <v>3906</v>
      </c>
      <c r="V400" s="1137">
        <v>41967</v>
      </c>
      <c r="W400" s="1064">
        <v>11480</v>
      </c>
      <c r="X400" s="1140" t="s">
        <v>4299</v>
      </c>
      <c r="Y400" s="1137">
        <v>41754</v>
      </c>
      <c r="Z400" s="1137">
        <v>42004</v>
      </c>
      <c r="AA400" s="1138"/>
      <c r="AB400" s="1138">
        <f>AD400/L399</f>
        <v>7.3911406700966242E-2</v>
      </c>
      <c r="AC400" s="1139"/>
      <c r="AD400" s="1139">
        <v>10395.85</v>
      </c>
      <c r="AE400" s="1155">
        <f>L399-AD400</f>
        <v>130257</v>
      </c>
      <c r="AF400" s="525">
        <v>0</v>
      </c>
      <c r="AG400" s="525">
        <v>0</v>
      </c>
      <c r="AH400" s="1139">
        <f t="shared" si="10"/>
        <v>0</v>
      </c>
      <c r="AI400" s="1055"/>
      <c r="AJ400" s="1064"/>
      <c r="AK400" s="1055"/>
      <c r="AL400" s="1133"/>
      <c r="AM400" s="1055"/>
      <c r="AN400" s="1055"/>
      <c r="AO400" s="1064"/>
      <c r="AP400" s="1137"/>
      <c r="AQ400" s="1064"/>
      <c r="AR400" s="1137"/>
      <c r="AS400" s="1055"/>
      <c r="AT400" s="1133"/>
      <c r="AU400" s="1133"/>
      <c r="AV400" s="1133"/>
      <c r="AW400" s="1133"/>
      <c r="AX400" s="1133"/>
      <c r="AY400" s="1133"/>
      <c r="AZ400" s="1133"/>
      <c r="BA400" s="1133"/>
      <c r="BB400" s="1133"/>
      <c r="BC400" s="1133"/>
      <c r="BD400" s="1133"/>
      <c r="BE400" s="1480"/>
      <c r="BF400" s="1480"/>
      <c r="BG400" s="1480"/>
      <c r="BH400" s="1480"/>
      <c r="BI400" s="1480"/>
      <c r="BJ400" s="1480"/>
    </row>
    <row r="401" spans="1:62" s="629" customFormat="1" ht="12.75" x14ac:dyDescent="0.2">
      <c r="A401" s="2365"/>
      <c r="B401" s="2361"/>
      <c r="C401" s="2355"/>
      <c r="D401" s="2023"/>
      <c r="E401" s="2023"/>
      <c r="F401" s="2023"/>
      <c r="G401" s="2355"/>
      <c r="H401" s="2023"/>
      <c r="I401" s="2023"/>
      <c r="J401" s="2355"/>
      <c r="K401" s="2355"/>
      <c r="L401" s="2349"/>
      <c r="M401" s="2374"/>
      <c r="N401" s="2352"/>
      <c r="O401" s="2352"/>
      <c r="P401" s="1132" t="s">
        <v>4071</v>
      </c>
      <c r="Q401" s="2023"/>
      <c r="R401" s="2023"/>
      <c r="S401" s="2023"/>
      <c r="T401" s="2023"/>
      <c r="U401" s="1055"/>
      <c r="V401" s="1055"/>
      <c r="W401" s="1064"/>
      <c r="X401" s="1140"/>
      <c r="Y401" s="1055"/>
      <c r="Z401" s="1055"/>
      <c r="AA401" s="1138"/>
      <c r="AB401" s="1055"/>
      <c r="AC401" s="1139"/>
      <c r="AD401" s="1139"/>
      <c r="AE401" s="1155"/>
      <c r="AF401" s="525">
        <v>0</v>
      </c>
      <c r="AG401" s="1150">
        <f>1500.25+494.2+917.8+5206.75</f>
        <v>8119</v>
      </c>
      <c r="AH401" s="1139">
        <f t="shared" si="10"/>
        <v>8119</v>
      </c>
      <c r="AI401" s="1055"/>
      <c r="AJ401" s="1064"/>
      <c r="AK401" s="1055"/>
      <c r="AL401" s="1133"/>
      <c r="AM401" s="1055"/>
      <c r="AN401" s="1055"/>
      <c r="AO401" s="1064"/>
      <c r="AP401" s="1137"/>
      <c r="AQ401" s="1064"/>
      <c r="AR401" s="1137"/>
      <c r="AS401" s="1055"/>
      <c r="AT401" s="1133"/>
      <c r="AU401" s="1133"/>
      <c r="AV401" s="1133"/>
      <c r="AW401" s="1133"/>
      <c r="AX401" s="1133"/>
      <c r="AY401" s="1133"/>
      <c r="AZ401" s="1133"/>
      <c r="BA401" s="1133"/>
      <c r="BB401" s="1133"/>
      <c r="BC401" s="1133"/>
      <c r="BD401" s="1133"/>
      <c r="BE401" s="1480"/>
      <c r="BF401" s="1480"/>
      <c r="BG401" s="1480"/>
      <c r="BH401" s="1480"/>
      <c r="BI401" s="1480"/>
      <c r="BJ401" s="1480"/>
    </row>
    <row r="402" spans="1:62" s="629" customFormat="1" ht="24.75" customHeight="1" x14ac:dyDescent="0.2">
      <c r="A402" s="2365">
        <v>179</v>
      </c>
      <c r="B402" s="2361" t="s">
        <v>4459</v>
      </c>
      <c r="C402" s="2355" t="s">
        <v>840</v>
      </c>
      <c r="D402" s="2023" t="s">
        <v>1548</v>
      </c>
      <c r="E402" s="2023" t="s">
        <v>584</v>
      </c>
      <c r="F402" s="2023" t="s">
        <v>4297</v>
      </c>
      <c r="G402" s="2355">
        <v>11274</v>
      </c>
      <c r="H402" s="2023" t="s">
        <v>4462</v>
      </c>
      <c r="I402" s="2023" t="s">
        <v>4203</v>
      </c>
      <c r="J402" s="2355" t="s">
        <v>225</v>
      </c>
      <c r="K402" s="2352">
        <v>41754</v>
      </c>
      <c r="L402" s="2349">
        <v>176145.61</v>
      </c>
      <c r="M402" s="2374">
        <v>11296</v>
      </c>
      <c r="N402" s="2352">
        <v>41754</v>
      </c>
      <c r="O402" s="2352">
        <v>42004</v>
      </c>
      <c r="P402" s="2354" t="s">
        <v>3905</v>
      </c>
      <c r="Q402" s="2023"/>
      <c r="R402" s="2023"/>
      <c r="S402" s="2023"/>
      <c r="T402" s="2023" t="s">
        <v>316</v>
      </c>
      <c r="U402" s="1055"/>
      <c r="V402" s="1055"/>
      <c r="W402" s="1064"/>
      <c r="X402" s="1140"/>
      <c r="Y402" s="1055"/>
      <c r="Z402" s="1055"/>
      <c r="AA402" s="1138"/>
      <c r="AB402" s="1055"/>
      <c r="AC402" s="1139"/>
      <c r="AD402" s="1139"/>
      <c r="AE402" s="1155"/>
      <c r="AF402" s="525">
        <v>0</v>
      </c>
      <c r="AG402" s="1150">
        <v>159199.1</v>
      </c>
      <c r="AH402" s="1139">
        <f t="shared" si="10"/>
        <v>159199.1</v>
      </c>
      <c r="AI402" s="1055"/>
      <c r="AJ402" s="1064"/>
      <c r="AK402" s="1055"/>
      <c r="AL402" s="1133"/>
      <c r="AM402" s="1055"/>
      <c r="AN402" s="1055"/>
      <c r="AO402" s="1064"/>
      <c r="AP402" s="1137"/>
      <c r="AQ402" s="1064"/>
      <c r="AR402" s="1137"/>
      <c r="AS402" s="1055"/>
      <c r="AT402" s="1133"/>
      <c r="AU402" s="1133"/>
      <c r="AV402" s="1133"/>
      <c r="AW402" s="1133"/>
      <c r="AX402" s="1133"/>
      <c r="AY402" s="1133"/>
      <c r="AZ402" s="1133"/>
      <c r="BA402" s="1133"/>
      <c r="BB402" s="1133"/>
      <c r="BC402" s="1133"/>
      <c r="BD402" s="1133"/>
      <c r="BE402" s="1480"/>
      <c r="BF402" s="1480"/>
      <c r="BG402" s="1480"/>
      <c r="BH402" s="1480"/>
      <c r="BI402" s="1480"/>
      <c r="BJ402" s="1480"/>
    </row>
    <row r="403" spans="1:62" s="629" customFormat="1" ht="12.75" x14ac:dyDescent="0.2">
      <c r="A403" s="2365"/>
      <c r="B403" s="2361"/>
      <c r="C403" s="2355"/>
      <c r="D403" s="2023"/>
      <c r="E403" s="2023"/>
      <c r="F403" s="2023"/>
      <c r="G403" s="2355"/>
      <c r="H403" s="2023"/>
      <c r="I403" s="2023"/>
      <c r="J403" s="2355"/>
      <c r="K403" s="2352"/>
      <c r="L403" s="2349"/>
      <c r="M403" s="2374"/>
      <c r="N403" s="2352"/>
      <c r="O403" s="2352"/>
      <c r="P403" s="2354"/>
      <c r="Q403" s="2023"/>
      <c r="R403" s="2023"/>
      <c r="S403" s="2023"/>
      <c r="T403" s="2023"/>
      <c r="U403" s="1055" t="s">
        <v>3906</v>
      </c>
      <c r="V403" s="1137">
        <v>41967</v>
      </c>
      <c r="W403" s="1064">
        <v>11489</v>
      </c>
      <c r="X403" s="1140" t="s">
        <v>4299</v>
      </c>
      <c r="Y403" s="1137"/>
      <c r="Z403" s="1137"/>
      <c r="AA403" s="1138"/>
      <c r="AB403" s="1138">
        <f>AD403/L402</f>
        <v>6.3773942478611871E-3</v>
      </c>
      <c r="AC403" s="1139"/>
      <c r="AD403" s="1139">
        <v>1123.3499999999999</v>
      </c>
      <c r="AE403" s="1155">
        <f>L402-AD403+AC403</f>
        <v>175022.25999999998</v>
      </c>
      <c r="AF403" s="525">
        <v>0</v>
      </c>
      <c r="AG403" s="525">
        <v>0</v>
      </c>
      <c r="AH403" s="1139">
        <f t="shared" si="10"/>
        <v>0</v>
      </c>
      <c r="AI403" s="1055"/>
      <c r="AJ403" s="1064"/>
      <c r="AK403" s="1055"/>
      <c r="AL403" s="1133"/>
      <c r="AM403" s="1055"/>
      <c r="AN403" s="1055"/>
      <c r="AO403" s="1064"/>
      <c r="AP403" s="1137"/>
      <c r="AQ403" s="1064"/>
      <c r="AR403" s="1137"/>
      <c r="AS403" s="1055"/>
      <c r="AT403" s="1133"/>
      <c r="AU403" s="1133"/>
      <c r="AV403" s="1133"/>
      <c r="AW403" s="1133"/>
      <c r="AX403" s="1133"/>
      <c r="AY403" s="1133"/>
      <c r="AZ403" s="1133"/>
      <c r="BA403" s="1133"/>
      <c r="BB403" s="1133"/>
      <c r="BC403" s="1133"/>
      <c r="BD403" s="1133"/>
      <c r="BE403" s="1480"/>
      <c r="BF403" s="1480"/>
      <c r="BG403" s="1480"/>
      <c r="BH403" s="1480"/>
      <c r="BI403" s="1480"/>
      <c r="BJ403" s="1480"/>
    </row>
    <row r="404" spans="1:62" s="629" customFormat="1" ht="12.75" x14ac:dyDescent="0.2">
      <c r="A404" s="2365"/>
      <c r="B404" s="2361"/>
      <c r="C404" s="2355"/>
      <c r="D404" s="2023"/>
      <c r="E404" s="2023"/>
      <c r="F404" s="2023"/>
      <c r="G404" s="2355"/>
      <c r="H404" s="2023"/>
      <c r="I404" s="2023"/>
      <c r="J404" s="2355"/>
      <c r="K404" s="2355"/>
      <c r="L404" s="2349"/>
      <c r="M404" s="2374"/>
      <c r="N404" s="2352"/>
      <c r="O404" s="2352"/>
      <c r="P404" s="1132" t="s">
        <v>4071</v>
      </c>
      <c r="Q404" s="2023"/>
      <c r="R404" s="2023"/>
      <c r="S404" s="2023"/>
      <c r="T404" s="2023"/>
      <c r="U404" s="1055"/>
      <c r="V404" s="1055"/>
      <c r="W404" s="1064"/>
      <c r="X404" s="1140"/>
      <c r="Y404" s="1055"/>
      <c r="Z404" s="1055"/>
      <c r="AA404" s="1138"/>
      <c r="AB404" s="1055"/>
      <c r="AC404" s="1139"/>
      <c r="AD404" s="1139"/>
      <c r="AE404" s="1155"/>
      <c r="AF404" s="525">
        <v>0</v>
      </c>
      <c r="AG404" s="1150">
        <f>759.39+1591.35+1827.21+1016.82+386.25+108.15</f>
        <v>5689.1699999999992</v>
      </c>
      <c r="AH404" s="1139">
        <f t="shared" si="10"/>
        <v>5689.1699999999992</v>
      </c>
      <c r="AI404" s="1055"/>
      <c r="AJ404" s="1064"/>
      <c r="AK404" s="1055"/>
      <c r="AL404" s="1133"/>
      <c r="AM404" s="1055"/>
      <c r="AN404" s="1055"/>
      <c r="AO404" s="1064"/>
      <c r="AP404" s="1137"/>
      <c r="AQ404" s="1064"/>
      <c r="AR404" s="1137"/>
      <c r="AS404" s="1055"/>
      <c r="AT404" s="1133"/>
      <c r="AU404" s="1133"/>
      <c r="AV404" s="1133"/>
      <c r="AW404" s="1133"/>
      <c r="AX404" s="1133"/>
      <c r="AY404" s="1133"/>
      <c r="AZ404" s="1133"/>
      <c r="BA404" s="1133"/>
      <c r="BB404" s="1133"/>
      <c r="BC404" s="1133"/>
      <c r="BD404" s="1133"/>
      <c r="BE404" s="1480"/>
      <c r="BF404" s="1480"/>
      <c r="BG404" s="1480"/>
      <c r="BH404" s="1480"/>
      <c r="BI404" s="1480"/>
      <c r="BJ404" s="1480"/>
    </row>
    <row r="405" spans="1:62" s="629" customFormat="1" ht="45" customHeight="1" x14ac:dyDescent="0.2">
      <c r="A405" s="2365">
        <v>180</v>
      </c>
      <c r="B405" s="2361" t="s">
        <v>4459</v>
      </c>
      <c r="C405" s="2023" t="s">
        <v>840</v>
      </c>
      <c r="D405" s="2023" t="s">
        <v>1331</v>
      </c>
      <c r="E405" s="2023" t="s">
        <v>584</v>
      </c>
      <c r="F405" s="2023" t="s">
        <v>4463</v>
      </c>
      <c r="G405" s="2355">
        <v>11274</v>
      </c>
      <c r="H405" s="2023" t="s">
        <v>4464</v>
      </c>
      <c r="I405" s="2023" t="s">
        <v>4305</v>
      </c>
      <c r="J405" s="2023" t="s">
        <v>4140</v>
      </c>
      <c r="K405" s="2347">
        <v>41754</v>
      </c>
      <c r="L405" s="2349">
        <v>87643.5</v>
      </c>
      <c r="M405" s="2374">
        <v>11296</v>
      </c>
      <c r="N405" s="2352">
        <v>41754</v>
      </c>
      <c r="O405" s="2352">
        <v>42004</v>
      </c>
      <c r="P405" s="2355">
        <v>1</v>
      </c>
      <c r="Q405" s="2023"/>
      <c r="R405" s="2023"/>
      <c r="S405" s="2023"/>
      <c r="T405" s="2355" t="s">
        <v>316</v>
      </c>
      <c r="U405" s="1055"/>
      <c r="V405" s="1055"/>
      <c r="W405" s="1064"/>
      <c r="X405" s="1140"/>
      <c r="Y405" s="1055"/>
      <c r="Z405" s="1055"/>
      <c r="AA405" s="1138"/>
      <c r="AB405" s="1055"/>
      <c r="AC405" s="1139"/>
      <c r="AD405" s="1139"/>
      <c r="AE405" s="1155"/>
      <c r="AF405" s="525">
        <v>0</v>
      </c>
      <c r="AG405" s="1139">
        <f>13700.76+8936.06+4782.68+9835.06+2858.82+4225.3+15211.08+1366.48+15642.6</f>
        <v>76558.840000000011</v>
      </c>
      <c r="AH405" s="1139">
        <f t="shared" si="10"/>
        <v>76558.840000000011</v>
      </c>
      <c r="AI405" s="1055"/>
      <c r="AJ405" s="1064"/>
      <c r="AK405" s="1055"/>
      <c r="AL405" s="1133"/>
      <c r="AM405" s="1055"/>
      <c r="AN405" s="1055"/>
      <c r="AO405" s="1064"/>
      <c r="AP405" s="1137"/>
      <c r="AQ405" s="1064"/>
      <c r="AR405" s="1137"/>
      <c r="AS405" s="1055"/>
      <c r="AT405" s="1133"/>
      <c r="AU405" s="1133"/>
      <c r="AV405" s="1133"/>
      <c r="AW405" s="1133"/>
      <c r="AX405" s="1133"/>
      <c r="AY405" s="1133"/>
      <c r="AZ405" s="1133"/>
      <c r="BA405" s="1133"/>
      <c r="BB405" s="1133"/>
      <c r="BC405" s="1133"/>
      <c r="BD405" s="1133"/>
      <c r="BE405" s="1480"/>
      <c r="BF405" s="1480"/>
      <c r="BG405" s="1480"/>
      <c r="BH405" s="1480"/>
      <c r="BI405" s="1480"/>
      <c r="BJ405" s="1480"/>
    </row>
    <row r="406" spans="1:62" s="629" customFormat="1" ht="45" customHeight="1" x14ac:dyDescent="0.2">
      <c r="A406" s="2365"/>
      <c r="B406" s="2361"/>
      <c r="C406" s="2023"/>
      <c r="D406" s="2023"/>
      <c r="E406" s="2023"/>
      <c r="F406" s="2023"/>
      <c r="G406" s="2355"/>
      <c r="H406" s="2023"/>
      <c r="I406" s="2023"/>
      <c r="J406" s="2023"/>
      <c r="K406" s="2347"/>
      <c r="L406" s="2349"/>
      <c r="M406" s="2374"/>
      <c r="N406" s="2352"/>
      <c r="O406" s="2352"/>
      <c r="P406" s="2355"/>
      <c r="Q406" s="2023"/>
      <c r="R406" s="2023"/>
      <c r="S406" s="2023"/>
      <c r="T406" s="2355"/>
      <c r="U406" s="1055" t="s">
        <v>3906</v>
      </c>
      <c r="V406" s="1137">
        <v>41967</v>
      </c>
      <c r="W406" s="1064">
        <v>11480</v>
      </c>
      <c r="X406" s="1140" t="s">
        <v>4465</v>
      </c>
      <c r="Y406" s="1137">
        <v>41754</v>
      </c>
      <c r="Z406" s="1137">
        <v>42004</v>
      </c>
      <c r="AA406" s="1138"/>
      <c r="AB406" s="537">
        <f>AD406/L405</f>
        <v>3.5695972890174399E-2</v>
      </c>
      <c r="AC406" s="1139"/>
      <c r="AD406" s="1139">
        <v>3128.52</v>
      </c>
      <c r="AE406" s="1155">
        <f>L405-AD406+AC406</f>
        <v>84514.98</v>
      </c>
      <c r="AF406" s="525">
        <v>0</v>
      </c>
      <c r="AG406" s="525">
        <v>0</v>
      </c>
      <c r="AH406" s="1139">
        <f t="shared" si="10"/>
        <v>0</v>
      </c>
      <c r="AI406" s="1055"/>
      <c r="AJ406" s="1064"/>
      <c r="AK406" s="1055"/>
      <c r="AL406" s="1133"/>
      <c r="AM406" s="1055"/>
      <c r="AN406" s="1055"/>
      <c r="AO406" s="1064"/>
      <c r="AP406" s="1137"/>
      <c r="AQ406" s="1064"/>
      <c r="AR406" s="1137"/>
      <c r="AS406" s="1055"/>
      <c r="AT406" s="1133"/>
      <c r="AU406" s="1133"/>
      <c r="AV406" s="1133"/>
      <c r="AW406" s="1133"/>
      <c r="AX406" s="1133"/>
      <c r="AY406" s="1133"/>
      <c r="AZ406" s="1133"/>
      <c r="BA406" s="1133"/>
      <c r="BB406" s="1133"/>
      <c r="BC406" s="1133"/>
      <c r="BD406" s="1133"/>
      <c r="BE406" s="1480"/>
      <c r="BF406" s="1480"/>
      <c r="BG406" s="1480"/>
      <c r="BH406" s="1480"/>
      <c r="BI406" s="1480"/>
      <c r="BJ406" s="1480"/>
    </row>
    <row r="407" spans="1:62" s="629" customFormat="1" ht="45" customHeight="1" x14ac:dyDescent="0.2">
      <c r="A407" s="1514">
        <v>181</v>
      </c>
      <c r="B407" s="636" t="s">
        <v>4078</v>
      </c>
      <c r="C407" s="1055" t="s">
        <v>381</v>
      </c>
      <c r="D407" s="1055" t="s">
        <v>1548</v>
      </c>
      <c r="E407" s="1055" t="s">
        <v>584</v>
      </c>
      <c r="F407" s="1055" t="s">
        <v>3897</v>
      </c>
      <c r="G407" s="1133">
        <v>11274</v>
      </c>
      <c r="H407" s="1055" t="s">
        <v>4466</v>
      </c>
      <c r="I407" s="1055" t="s">
        <v>4467</v>
      </c>
      <c r="J407" s="1055" t="s">
        <v>1955</v>
      </c>
      <c r="K407" s="1137">
        <v>41757</v>
      </c>
      <c r="L407" s="1135">
        <v>15390</v>
      </c>
      <c r="M407" s="538">
        <v>11301</v>
      </c>
      <c r="N407" s="1134">
        <v>41757</v>
      </c>
      <c r="O407" s="1134">
        <v>42004</v>
      </c>
      <c r="P407" s="1133">
        <v>1</v>
      </c>
      <c r="Q407" s="1055"/>
      <c r="R407" s="1055"/>
      <c r="S407" s="1055"/>
      <c r="T407" s="1133" t="s">
        <v>158</v>
      </c>
      <c r="U407" s="1055"/>
      <c r="V407" s="1055"/>
      <c r="W407" s="1064"/>
      <c r="X407" s="1140"/>
      <c r="Y407" s="1055"/>
      <c r="Z407" s="1055"/>
      <c r="AA407" s="1138"/>
      <c r="AB407" s="1055"/>
      <c r="AC407" s="1139"/>
      <c r="AD407" s="1139"/>
      <c r="AE407" s="1155">
        <f t="shared" ref="AE407:AE422" si="11">L407-AD407+AC407</f>
        <v>15390</v>
      </c>
      <c r="AF407" s="525">
        <v>0</v>
      </c>
      <c r="AG407" s="1135">
        <f>7600+1900+1900+1900</f>
        <v>13300</v>
      </c>
      <c r="AH407" s="1139">
        <f t="shared" si="10"/>
        <v>13300</v>
      </c>
      <c r="AI407" s="1055"/>
      <c r="AJ407" s="1064"/>
      <c r="AK407" s="1055"/>
      <c r="AL407" s="1133"/>
      <c r="AM407" s="1055"/>
      <c r="AN407" s="1055"/>
      <c r="AO407" s="1064"/>
      <c r="AP407" s="1137"/>
      <c r="AQ407" s="1064"/>
      <c r="AR407" s="1137"/>
      <c r="AS407" s="1055"/>
      <c r="AT407" s="1133"/>
      <c r="AU407" s="1133"/>
      <c r="AV407" s="1133"/>
      <c r="AW407" s="1133"/>
      <c r="AX407" s="1133"/>
      <c r="AY407" s="1133"/>
      <c r="AZ407" s="1133"/>
      <c r="BA407" s="1133"/>
      <c r="BB407" s="1133"/>
      <c r="BC407" s="1133"/>
      <c r="BD407" s="1133"/>
      <c r="BE407" s="1480"/>
      <c r="BF407" s="1480"/>
      <c r="BG407" s="1480"/>
      <c r="BH407" s="1480"/>
      <c r="BI407" s="1480"/>
      <c r="BJ407" s="1480"/>
    </row>
    <row r="408" spans="1:62" s="1" customFormat="1" ht="45" customHeight="1" x14ac:dyDescent="0.25">
      <c r="A408" s="1514">
        <v>182</v>
      </c>
      <c r="B408" s="636" t="s">
        <v>1982</v>
      </c>
      <c r="C408" s="1055" t="s">
        <v>4468</v>
      </c>
      <c r="D408" s="1055" t="s">
        <v>1548</v>
      </c>
      <c r="E408" s="1055" t="s">
        <v>584</v>
      </c>
      <c r="F408" s="1055" t="s">
        <v>4469</v>
      </c>
      <c r="G408" s="1133">
        <v>11370</v>
      </c>
      <c r="H408" s="1055" t="s">
        <v>4470</v>
      </c>
      <c r="I408" s="1055" t="s">
        <v>4471</v>
      </c>
      <c r="J408" s="1055" t="s">
        <v>4472</v>
      </c>
      <c r="K408" s="1137">
        <v>41876</v>
      </c>
      <c r="L408" s="1135">
        <v>35048.199999999997</v>
      </c>
      <c r="M408" s="538">
        <v>11390</v>
      </c>
      <c r="N408" s="1134">
        <v>41876</v>
      </c>
      <c r="O408" s="1134">
        <v>42004</v>
      </c>
      <c r="P408" s="1133">
        <v>1</v>
      </c>
      <c r="Q408" s="1055"/>
      <c r="R408" s="1055"/>
      <c r="S408" s="1055"/>
      <c r="T408" s="1133" t="s">
        <v>158</v>
      </c>
      <c r="U408" s="1055"/>
      <c r="V408" s="1055"/>
      <c r="W408" s="1064"/>
      <c r="X408" s="1140"/>
      <c r="Y408" s="1055"/>
      <c r="Z408" s="1055"/>
      <c r="AA408" s="1138"/>
      <c r="AB408" s="1055"/>
      <c r="AC408" s="1139"/>
      <c r="AD408" s="1139"/>
      <c r="AE408" s="1155">
        <f t="shared" si="11"/>
        <v>35048.199999999997</v>
      </c>
      <c r="AF408" s="525">
        <v>0</v>
      </c>
      <c r="AG408" s="1135">
        <v>8390.09</v>
      </c>
      <c r="AH408" s="1139">
        <f t="shared" si="10"/>
        <v>8390.09</v>
      </c>
      <c r="AI408" s="1055"/>
      <c r="AJ408" s="1064"/>
      <c r="AK408" s="1055"/>
      <c r="AL408" s="1133"/>
      <c r="AM408" s="1055"/>
      <c r="AN408" s="1055"/>
      <c r="AO408" s="1064"/>
      <c r="AP408" s="1137"/>
      <c r="AQ408" s="1064"/>
      <c r="AR408" s="1137"/>
      <c r="AS408" s="1055"/>
      <c r="AT408" s="1133"/>
      <c r="AU408" s="1133"/>
      <c r="AV408" s="1133"/>
      <c r="AW408" s="1133"/>
      <c r="AX408" s="1133"/>
      <c r="AY408" s="1133"/>
      <c r="AZ408" s="1133"/>
      <c r="BA408" s="1133"/>
      <c r="BB408" s="1133"/>
      <c r="BC408" s="1133"/>
      <c r="BD408" s="1133"/>
      <c r="BE408" s="1439"/>
      <c r="BF408" s="1439"/>
      <c r="BG408" s="1439"/>
      <c r="BH408" s="1439"/>
      <c r="BI408" s="1439"/>
      <c r="BJ408" s="1439"/>
    </row>
    <row r="409" spans="1:62" s="629" customFormat="1" ht="45" customHeight="1" x14ac:dyDescent="0.2">
      <c r="A409" s="1514">
        <v>183</v>
      </c>
      <c r="B409" s="636" t="s">
        <v>4473</v>
      </c>
      <c r="C409" s="1055" t="s">
        <v>1705</v>
      </c>
      <c r="D409" s="1055" t="s">
        <v>3977</v>
      </c>
      <c r="E409" s="1055" t="s">
        <v>584</v>
      </c>
      <c r="F409" s="1055" t="s">
        <v>4474</v>
      </c>
      <c r="G409" s="1133">
        <v>11298</v>
      </c>
      <c r="H409" s="1055" t="s">
        <v>4475</v>
      </c>
      <c r="I409" s="1055" t="s">
        <v>4476</v>
      </c>
      <c r="J409" s="1055" t="s">
        <v>4477</v>
      </c>
      <c r="K409" s="1137">
        <v>41743</v>
      </c>
      <c r="L409" s="1135">
        <v>102718.23</v>
      </c>
      <c r="M409" s="1136">
        <v>11301</v>
      </c>
      <c r="N409" s="1134">
        <v>41743</v>
      </c>
      <c r="O409" s="1134">
        <v>42004</v>
      </c>
      <c r="P409" s="1133">
        <v>1</v>
      </c>
      <c r="Q409" s="1055"/>
      <c r="R409" s="1055"/>
      <c r="S409" s="1055"/>
      <c r="T409" s="1133" t="s">
        <v>158</v>
      </c>
      <c r="U409" s="1055"/>
      <c r="V409" s="1055"/>
      <c r="W409" s="1064"/>
      <c r="X409" s="1140"/>
      <c r="Y409" s="1055"/>
      <c r="Z409" s="1055"/>
      <c r="AA409" s="1138"/>
      <c r="AB409" s="1055"/>
      <c r="AC409" s="1139"/>
      <c r="AD409" s="1139"/>
      <c r="AE409" s="1155">
        <f t="shared" si="11"/>
        <v>102718.23</v>
      </c>
      <c r="AF409" s="525">
        <v>0</v>
      </c>
      <c r="AG409" s="1135">
        <f>59760.79+31300</f>
        <v>91060.790000000008</v>
      </c>
      <c r="AH409" s="1139">
        <f t="shared" si="10"/>
        <v>91060.790000000008</v>
      </c>
      <c r="AI409" s="1055"/>
      <c r="AJ409" s="1064"/>
      <c r="AK409" s="1055"/>
      <c r="AL409" s="1133"/>
      <c r="AM409" s="1055"/>
      <c r="AN409" s="1055"/>
      <c r="AO409" s="1064"/>
      <c r="AP409" s="1137"/>
      <c r="AQ409" s="1064"/>
      <c r="AR409" s="1137"/>
      <c r="AS409" s="1055"/>
      <c r="AT409" s="1133"/>
      <c r="AU409" s="1133"/>
      <c r="AV409" s="1133"/>
      <c r="AW409" s="1133"/>
      <c r="AX409" s="1133"/>
      <c r="AY409" s="1133"/>
      <c r="AZ409" s="1133"/>
      <c r="BA409" s="1133"/>
      <c r="BB409" s="1133"/>
      <c r="BC409" s="1133"/>
      <c r="BD409" s="1133"/>
      <c r="BE409" s="1480"/>
      <c r="BF409" s="1480"/>
      <c r="BG409" s="1480"/>
      <c r="BH409" s="1480"/>
      <c r="BI409" s="1480"/>
      <c r="BJ409" s="1480"/>
    </row>
    <row r="410" spans="1:62" s="629" customFormat="1" ht="45" customHeight="1" x14ac:dyDescent="0.2">
      <c r="A410" s="2365">
        <v>184</v>
      </c>
      <c r="B410" s="2361" t="s">
        <v>4473</v>
      </c>
      <c r="C410" s="2023" t="s">
        <v>1705</v>
      </c>
      <c r="D410" s="2023" t="s">
        <v>3977</v>
      </c>
      <c r="E410" s="2023" t="s">
        <v>584</v>
      </c>
      <c r="F410" s="2023" t="s">
        <v>4474</v>
      </c>
      <c r="G410" s="2355">
        <v>11298</v>
      </c>
      <c r="H410" s="2023" t="s">
        <v>4478</v>
      </c>
      <c r="I410" s="2023" t="s">
        <v>4479</v>
      </c>
      <c r="J410" s="2023" t="s">
        <v>4480</v>
      </c>
      <c r="K410" s="2347">
        <v>41743</v>
      </c>
      <c r="L410" s="2349">
        <v>77459.8</v>
      </c>
      <c r="M410" s="2374">
        <v>11301</v>
      </c>
      <c r="N410" s="2352">
        <v>41743</v>
      </c>
      <c r="O410" s="2352">
        <v>42004</v>
      </c>
      <c r="P410" s="2355">
        <v>1</v>
      </c>
      <c r="Q410" s="1055"/>
      <c r="R410" s="1055"/>
      <c r="S410" s="1055"/>
      <c r="T410" s="2355" t="s">
        <v>158</v>
      </c>
      <c r="U410" s="1055"/>
      <c r="V410" s="1055"/>
      <c r="W410" s="1064"/>
      <c r="X410" s="1140"/>
      <c r="Y410" s="1055"/>
      <c r="Z410" s="1055"/>
      <c r="AA410" s="1138"/>
      <c r="AB410" s="1055"/>
      <c r="AC410" s="1139"/>
      <c r="AD410" s="1139"/>
      <c r="AE410" s="1155"/>
      <c r="AF410" s="525">
        <v>0</v>
      </c>
      <c r="AG410" s="1135">
        <v>71253.7</v>
      </c>
      <c r="AH410" s="1139">
        <f t="shared" si="10"/>
        <v>71253.7</v>
      </c>
      <c r="AI410" s="1055"/>
      <c r="AJ410" s="1064"/>
      <c r="AK410" s="1055"/>
      <c r="AL410" s="1133"/>
      <c r="AM410" s="1055"/>
      <c r="AN410" s="1055"/>
      <c r="AO410" s="1064"/>
      <c r="AP410" s="1137"/>
      <c r="AQ410" s="1064"/>
      <c r="AR410" s="1137"/>
      <c r="AS410" s="1055"/>
      <c r="AT410" s="1133"/>
      <c r="AU410" s="1133"/>
      <c r="AV410" s="1133"/>
      <c r="AW410" s="1133"/>
      <c r="AX410" s="1133"/>
      <c r="AY410" s="1133"/>
      <c r="AZ410" s="1133"/>
      <c r="BA410" s="1133"/>
      <c r="BB410" s="1133"/>
      <c r="BC410" s="1133"/>
      <c r="BD410" s="1133"/>
      <c r="BE410" s="1480"/>
      <c r="BF410" s="1480"/>
      <c r="BG410" s="1480"/>
      <c r="BH410" s="1480"/>
      <c r="BI410" s="1480"/>
      <c r="BJ410" s="1480"/>
    </row>
    <row r="411" spans="1:62" s="629" customFormat="1" ht="25.5" customHeight="1" x14ac:dyDescent="0.2">
      <c r="A411" s="2365"/>
      <c r="B411" s="2361"/>
      <c r="C411" s="2023"/>
      <c r="D411" s="2023"/>
      <c r="E411" s="2023"/>
      <c r="F411" s="2023"/>
      <c r="G411" s="2355"/>
      <c r="H411" s="2023"/>
      <c r="I411" s="2023"/>
      <c r="J411" s="2023"/>
      <c r="K411" s="2347"/>
      <c r="L411" s="2349"/>
      <c r="M411" s="2374"/>
      <c r="N411" s="2352"/>
      <c r="O411" s="2352"/>
      <c r="P411" s="2355"/>
      <c r="Q411" s="1055"/>
      <c r="R411" s="1055"/>
      <c r="S411" s="1055"/>
      <c r="T411" s="2355"/>
      <c r="U411" s="1055" t="s">
        <v>3906</v>
      </c>
      <c r="V411" s="1137">
        <v>41947</v>
      </c>
      <c r="W411" s="1064">
        <v>11433</v>
      </c>
      <c r="X411" s="1140" t="s">
        <v>4369</v>
      </c>
      <c r="Y411" s="1137">
        <v>41743</v>
      </c>
      <c r="Z411" s="1137">
        <v>42004</v>
      </c>
      <c r="AA411" s="1138">
        <f>AC411/L410</f>
        <v>0.25</v>
      </c>
      <c r="AB411" s="1055"/>
      <c r="AC411" s="1139">
        <v>19364.95</v>
      </c>
      <c r="AD411" s="1139"/>
      <c r="AE411" s="1155">
        <f>AC411+L410</f>
        <v>96824.75</v>
      </c>
      <c r="AF411" s="525">
        <v>0</v>
      </c>
      <c r="AG411" s="525">
        <v>0</v>
      </c>
      <c r="AH411" s="1139">
        <f t="shared" ref="AH411:AH474" si="12">AF411+AG411</f>
        <v>0</v>
      </c>
      <c r="AI411" s="1055"/>
      <c r="AJ411" s="1064"/>
      <c r="AK411" s="1055"/>
      <c r="AL411" s="1133"/>
      <c r="AM411" s="1055"/>
      <c r="AN411" s="1055"/>
      <c r="AO411" s="1064"/>
      <c r="AP411" s="1137"/>
      <c r="AQ411" s="1064"/>
      <c r="AR411" s="1137"/>
      <c r="AS411" s="1055"/>
      <c r="AT411" s="1133"/>
      <c r="AU411" s="1133"/>
      <c r="AV411" s="1133"/>
      <c r="AW411" s="1133"/>
      <c r="AX411" s="1133"/>
      <c r="AY411" s="1133"/>
      <c r="AZ411" s="1133"/>
      <c r="BA411" s="1133"/>
      <c r="BB411" s="1133"/>
      <c r="BC411" s="1133"/>
      <c r="BD411" s="1133"/>
      <c r="BE411" s="1480"/>
      <c r="BF411" s="1480"/>
      <c r="BG411" s="1480"/>
      <c r="BH411" s="1480"/>
      <c r="BI411" s="1480"/>
      <c r="BJ411" s="1480"/>
    </row>
    <row r="412" spans="1:62" s="629" customFormat="1" ht="25.5" customHeight="1" x14ac:dyDescent="0.2">
      <c r="A412" s="2365">
        <v>185</v>
      </c>
      <c r="B412" s="2361" t="s">
        <v>4473</v>
      </c>
      <c r="C412" s="2023" t="s">
        <v>1705</v>
      </c>
      <c r="D412" s="2023" t="s">
        <v>3977</v>
      </c>
      <c r="E412" s="2023" t="s">
        <v>584</v>
      </c>
      <c r="F412" s="2023" t="s">
        <v>4474</v>
      </c>
      <c r="G412" s="2355">
        <v>11298</v>
      </c>
      <c r="H412" s="2023" t="s">
        <v>4481</v>
      </c>
      <c r="I412" s="2023" t="s">
        <v>4482</v>
      </c>
      <c r="J412" s="2023" t="s">
        <v>4483</v>
      </c>
      <c r="K412" s="2347">
        <v>41743</v>
      </c>
      <c r="L412" s="2349">
        <v>116294.89</v>
      </c>
      <c r="M412" s="2374">
        <v>11301</v>
      </c>
      <c r="N412" s="2352">
        <v>41743</v>
      </c>
      <c r="O412" s="2352">
        <v>42004</v>
      </c>
      <c r="P412" s="1133">
        <v>1</v>
      </c>
      <c r="Q412" s="1055"/>
      <c r="R412" s="1055"/>
      <c r="S412" s="1055"/>
      <c r="T412" s="2355" t="s">
        <v>158</v>
      </c>
      <c r="U412" s="1055"/>
      <c r="V412" s="1137"/>
      <c r="W412" s="1064"/>
      <c r="X412" s="1140"/>
      <c r="Y412" s="1137"/>
      <c r="Z412" s="1137"/>
      <c r="AA412" s="1138"/>
      <c r="AB412" s="1055"/>
      <c r="AC412" s="1139"/>
      <c r="AD412" s="1139"/>
      <c r="AE412" s="1155"/>
      <c r="AF412" s="525">
        <v>0</v>
      </c>
      <c r="AG412" s="1135">
        <v>9893.93</v>
      </c>
      <c r="AH412" s="1139">
        <f t="shared" si="12"/>
        <v>9893.93</v>
      </c>
      <c r="AI412" s="1055"/>
      <c r="AJ412" s="1064"/>
      <c r="AK412" s="1055"/>
      <c r="AL412" s="1133"/>
      <c r="AM412" s="1055"/>
      <c r="AN412" s="1055"/>
      <c r="AO412" s="1064"/>
      <c r="AP412" s="1137"/>
      <c r="AQ412" s="1064"/>
      <c r="AR412" s="1137"/>
      <c r="AS412" s="1055"/>
      <c r="AT412" s="1133"/>
      <c r="AU412" s="1133"/>
      <c r="AV412" s="1133"/>
      <c r="AW412" s="1133"/>
      <c r="AX412" s="1133"/>
      <c r="AY412" s="1133"/>
      <c r="AZ412" s="1133"/>
      <c r="BA412" s="1133"/>
      <c r="BB412" s="1133"/>
      <c r="BC412" s="1133"/>
      <c r="BD412" s="1133"/>
      <c r="BE412" s="1480"/>
      <c r="BF412" s="1480"/>
      <c r="BG412" s="1480"/>
      <c r="BH412" s="1480"/>
      <c r="BI412" s="1480"/>
      <c r="BJ412" s="1480"/>
    </row>
    <row r="413" spans="1:62" s="629" customFormat="1" ht="54.75" customHeight="1" x14ac:dyDescent="0.2">
      <c r="A413" s="2365"/>
      <c r="B413" s="2361"/>
      <c r="C413" s="2023"/>
      <c r="D413" s="2023"/>
      <c r="E413" s="2023"/>
      <c r="F413" s="2023"/>
      <c r="G413" s="2355"/>
      <c r="H413" s="2023"/>
      <c r="I413" s="2023"/>
      <c r="J413" s="2023"/>
      <c r="K413" s="2347"/>
      <c r="L413" s="2349"/>
      <c r="M413" s="2374"/>
      <c r="N413" s="2352"/>
      <c r="O413" s="2352"/>
      <c r="P413" s="1133">
        <v>16</v>
      </c>
      <c r="Q413" s="1055"/>
      <c r="R413" s="1055"/>
      <c r="S413" s="1055"/>
      <c r="T413" s="2355"/>
      <c r="U413" s="1055"/>
      <c r="V413" s="1055"/>
      <c r="W413" s="1064"/>
      <c r="X413" s="1140"/>
      <c r="Y413" s="1055"/>
      <c r="Z413" s="1055"/>
      <c r="AA413" s="1138"/>
      <c r="AB413" s="1055"/>
      <c r="AC413" s="1139"/>
      <c r="AD413" s="1139"/>
      <c r="AE413" s="1155">
        <f>L412-AD413+AC413</f>
        <v>116294.89</v>
      </c>
      <c r="AF413" s="525">
        <v>0</v>
      </c>
      <c r="AG413" s="1135">
        <v>60091.9</v>
      </c>
      <c r="AH413" s="1139">
        <f t="shared" si="12"/>
        <v>60091.9</v>
      </c>
      <c r="AI413" s="1055"/>
      <c r="AJ413" s="1064"/>
      <c r="AK413" s="1055"/>
      <c r="AL413" s="1133"/>
      <c r="AM413" s="1055"/>
      <c r="AN413" s="1055"/>
      <c r="AO413" s="1064"/>
      <c r="AP413" s="1137"/>
      <c r="AQ413" s="1064"/>
      <c r="AR413" s="1137"/>
      <c r="AS413" s="1055"/>
      <c r="AT413" s="1133"/>
      <c r="AU413" s="1133"/>
      <c r="AV413" s="1133"/>
      <c r="AW413" s="1133"/>
      <c r="AX413" s="1133"/>
      <c r="AY413" s="1133"/>
      <c r="AZ413" s="1133"/>
      <c r="BA413" s="1133"/>
      <c r="BB413" s="1133"/>
      <c r="BC413" s="1133"/>
      <c r="BD413" s="1133"/>
      <c r="BE413" s="1480"/>
      <c r="BF413" s="1480"/>
      <c r="BG413" s="1480"/>
      <c r="BH413" s="1480"/>
      <c r="BI413" s="1480"/>
      <c r="BJ413" s="1480"/>
    </row>
    <row r="414" spans="1:62" s="629" customFormat="1" ht="26.25" customHeight="1" x14ac:dyDescent="0.2">
      <c r="A414" s="2365">
        <v>186</v>
      </c>
      <c r="B414" s="2361" t="s">
        <v>4473</v>
      </c>
      <c r="C414" s="2023" t="s">
        <v>1705</v>
      </c>
      <c r="D414" s="2023" t="s">
        <v>4067</v>
      </c>
      <c r="E414" s="2023" t="s">
        <v>584</v>
      </c>
      <c r="F414" s="2023" t="s">
        <v>4474</v>
      </c>
      <c r="G414" s="2355">
        <v>11298</v>
      </c>
      <c r="H414" s="2023" t="s">
        <v>4484</v>
      </c>
      <c r="I414" s="2023" t="s">
        <v>4485</v>
      </c>
      <c r="J414" s="2023" t="s">
        <v>4486</v>
      </c>
      <c r="K414" s="2347">
        <v>41743</v>
      </c>
      <c r="L414" s="2349">
        <v>51157.41</v>
      </c>
      <c r="M414" s="2374">
        <v>11301</v>
      </c>
      <c r="N414" s="2352">
        <v>41743</v>
      </c>
      <c r="O414" s="2352">
        <v>42004</v>
      </c>
      <c r="P414" s="1133">
        <v>1</v>
      </c>
      <c r="Q414" s="2023"/>
      <c r="R414" s="2023"/>
      <c r="S414" s="2023"/>
      <c r="T414" s="2355" t="s">
        <v>158</v>
      </c>
      <c r="U414" s="2023"/>
      <c r="V414" s="2023"/>
      <c r="W414" s="2006"/>
      <c r="X414" s="2392"/>
      <c r="Y414" s="2023"/>
      <c r="Z414" s="2023"/>
      <c r="AA414" s="2363"/>
      <c r="AB414" s="2023"/>
      <c r="AC414" s="2343"/>
      <c r="AD414" s="2343"/>
      <c r="AE414" s="1155"/>
      <c r="AF414" s="525">
        <v>0</v>
      </c>
      <c r="AG414" s="1135">
        <v>56584.29</v>
      </c>
      <c r="AH414" s="1139">
        <f t="shared" si="12"/>
        <v>56584.29</v>
      </c>
      <c r="AI414" s="1055"/>
      <c r="AJ414" s="1064"/>
      <c r="AK414" s="1055"/>
      <c r="AL414" s="1133"/>
      <c r="AM414" s="1055"/>
      <c r="AN414" s="1055"/>
      <c r="AO414" s="1064"/>
      <c r="AP414" s="1137"/>
      <c r="AQ414" s="1064"/>
      <c r="AR414" s="1137"/>
      <c r="AS414" s="1055"/>
      <c r="AT414" s="1133"/>
      <c r="AU414" s="1133"/>
      <c r="AV414" s="1133"/>
      <c r="AW414" s="1133"/>
      <c r="AX414" s="1133"/>
      <c r="AY414" s="1133"/>
      <c r="AZ414" s="1133"/>
      <c r="BA414" s="1133"/>
      <c r="BB414" s="1133"/>
      <c r="BC414" s="1133"/>
      <c r="BD414" s="1133"/>
      <c r="BE414" s="1480"/>
      <c r="BF414" s="1480"/>
      <c r="BG414" s="1480"/>
      <c r="BH414" s="1480"/>
      <c r="BI414" s="1480"/>
      <c r="BJ414" s="1480"/>
    </row>
    <row r="415" spans="1:62" s="629" customFormat="1" ht="21.75" customHeight="1" x14ac:dyDescent="0.2">
      <c r="A415" s="2365"/>
      <c r="B415" s="2361"/>
      <c r="C415" s="2023"/>
      <c r="D415" s="2023"/>
      <c r="E415" s="2023"/>
      <c r="F415" s="2023"/>
      <c r="G415" s="2355"/>
      <c r="H415" s="2023"/>
      <c r="I415" s="2023"/>
      <c r="J415" s="2023"/>
      <c r="K415" s="2347"/>
      <c r="L415" s="2349"/>
      <c r="M415" s="2374"/>
      <c r="N415" s="2352"/>
      <c r="O415" s="2352"/>
      <c r="P415" s="2355">
        <v>16</v>
      </c>
      <c r="Q415" s="2023"/>
      <c r="R415" s="2023"/>
      <c r="S415" s="2023"/>
      <c r="T415" s="2355"/>
      <c r="U415" s="2023"/>
      <c r="V415" s="2023"/>
      <c r="W415" s="2006"/>
      <c r="X415" s="2392"/>
      <c r="Y415" s="2023"/>
      <c r="Z415" s="2023"/>
      <c r="AA415" s="2363"/>
      <c r="AB415" s="2023"/>
      <c r="AC415" s="2343"/>
      <c r="AD415" s="2343"/>
      <c r="AE415" s="1155"/>
      <c r="AF415" s="525">
        <v>0</v>
      </c>
      <c r="AG415" s="1135">
        <v>16583.330000000002</v>
      </c>
      <c r="AH415" s="1139">
        <f t="shared" si="12"/>
        <v>16583.330000000002</v>
      </c>
      <c r="AI415" s="1055"/>
      <c r="AJ415" s="1064"/>
      <c r="AK415" s="1055"/>
      <c r="AL415" s="1133"/>
      <c r="AM415" s="1055"/>
      <c r="AN415" s="1055"/>
      <c r="AO415" s="1064"/>
      <c r="AP415" s="1137"/>
      <c r="AQ415" s="1064"/>
      <c r="AR415" s="1137"/>
      <c r="AS415" s="1055"/>
      <c r="AT415" s="1133"/>
      <c r="AU415" s="1133"/>
      <c r="AV415" s="1133"/>
      <c r="AW415" s="1133"/>
      <c r="AX415" s="1133"/>
      <c r="AY415" s="1133"/>
      <c r="AZ415" s="1133"/>
      <c r="BA415" s="1133"/>
      <c r="BB415" s="1133"/>
      <c r="BC415" s="1133"/>
      <c r="BD415" s="1133"/>
      <c r="BE415" s="1480"/>
      <c r="BF415" s="1480"/>
      <c r="BG415" s="1480"/>
      <c r="BH415" s="1480"/>
      <c r="BI415" s="1480"/>
      <c r="BJ415" s="1480"/>
    </row>
    <row r="416" spans="1:62" s="629" customFormat="1" ht="25.5" customHeight="1" x14ac:dyDescent="0.2">
      <c r="A416" s="2365"/>
      <c r="B416" s="2361"/>
      <c r="C416" s="2023"/>
      <c r="D416" s="2023"/>
      <c r="E416" s="2023"/>
      <c r="F416" s="2023"/>
      <c r="G416" s="2355"/>
      <c r="H416" s="2023"/>
      <c r="I416" s="2023"/>
      <c r="J416" s="2023"/>
      <c r="K416" s="2347"/>
      <c r="L416" s="2349"/>
      <c r="M416" s="2374"/>
      <c r="N416" s="2352"/>
      <c r="O416" s="2352"/>
      <c r="P416" s="2355"/>
      <c r="Q416" s="2023"/>
      <c r="R416" s="2023"/>
      <c r="S416" s="2023"/>
      <c r="T416" s="2355"/>
      <c r="U416" s="1055" t="s">
        <v>4487</v>
      </c>
      <c r="V416" s="1137">
        <v>41977</v>
      </c>
      <c r="W416" s="1064">
        <v>11433</v>
      </c>
      <c r="X416" s="1140" t="s">
        <v>4369</v>
      </c>
      <c r="Y416" s="1137">
        <v>41743</v>
      </c>
      <c r="Z416" s="1055" t="s">
        <v>4488</v>
      </c>
      <c r="AA416" s="1138">
        <f>AC416/L414</f>
        <v>0.2499999511312242</v>
      </c>
      <c r="AB416" s="1055"/>
      <c r="AC416" s="1139">
        <v>12789.35</v>
      </c>
      <c r="AD416" s="1139"/>
      <c r="AE416" s="1155">
        <f>AC416+L414</f>
        <v>63946.76</v>
      </c>
      <c r="AF416" s="525">
        <v>0</v>
      </c>
      <c r="AG416" s="525">
        <v>0</v>
      </c>
      <c r="AH416" s="1139">
        <f t="shared" si="12"/>
        <v>0</v>
      </c>
      <c r="AI416" s="1055"/>
      <c r="AJ416" s="1064"/>
      <c r="AK416" s="1055"/>
      <c r="AL416" s="1133"/>
      <c r="AM416" s="1055"/>
      <c r="AN416" s="1055"/>
      <c r="AO416" s="1064"/>
      <c r="AP416" s="1137"/>
      <c r="AQ416" s="1064"/>
      <c r="AR416" s="1137"/>
      <c r="AS416" s="1055"/>
      <c r="AT416" s="1133"/>
      <c r="AU416" s="1133"/>
      <c r="AV416" s="1133"/>
      <c r="AW416" s="1133"/>
      <c r="AX416" s="1133"/>
      <c r="AY416" s="1133"/>
      <c r="AZ416" s="1133"/>
      <c r="BA416" s="1133"/>
      <c r="BB416" s="1133"/>
      <c r="BC416" s="1133"/>
      <c r="BD416" s="1133"/>
      <c r="BE416" s="1480"/>
      <c r="BF416" s="1480"/>
      <c r="BG416" s="1480"/>
      <c r="BH416" s="1480"/>
      <c r="BI416" s="1480"/>
      <c r="BJ416" s="1480"/>
    </row>
    <row r="417" spans="1:62" s="629" customFormat="1" ht="45" customHeight="1" x14ac:dyDescent="0.2">
      <c r="A417" s="1514">
        <v>187</v>
      </c>
      <c r="B417" s="636" t="s">
        <v>4473</v>
      </c>
      <c r="C417" s="1055" t="s">
        <v>1705</v>
      </c>
      <c r="D417" s="1055" t="s">
        <v>3977</v>
      </c>
      <c r="E417" s="1055" t="s">
        <v>584</v>
      </c>
      <c r="F417" s="1055" t="s">
        <v>4474</v>
      </c>
      <c r="G417" s="1133">
        <v>11298</v>
      </c>
      <c r="H417" s="1055" t="s">
        <v>4489</v>
      </c>
      <c r="I417" s="1055" t="s">
        <v>3959</v>
      </c>
      <c r="J417" s="1055" t="s">
        <v>3960</v>
      </c>
      <c r="K417" s="1137">
        <v>41743</v>
      </c>
      <c r="L417" s="1135">
        <v>63837.45</v>
      </c>
      <c r="M417" s="1136">
        <v>11301</v>
      </c>
      <c r="N417" s="1134">
        <v>41743</v>
      </c>
      <c r="O417" s="1134">
        <v>42004</v>
      </c>
      <c r="P417" s="1133">
        <v>1</v>
      </c>
      <c r="Q417" s="1055"/>
      <c r="R417" s="1055"/>
      <c r="S417" s="1055"/>
      <c r="T417" s="1133" t="s">
        <v>158</v>
      </c>
      <c r="U417" s="1055"/>
      <c r="V417" s="1055"/>
      <c r="W417" s="1064"/>
      <c r="X417" s="1140"/>
      <c r="Y417" s="1055"/>
      <c r="Z417" s="1055"/>
      <c r="AA417" s="1138"/>
      <c r="AB417" s="1055"/>
      <c r="AC417" s="1573"/>
      <c r="AD417" s="1139"/>
      <c r="AE417" s="1155">
        <f t="shared" si="11"/>
        <v>63837.45</v>
      </c>
      <c r="AF417" s="525">
        <v>0</v>
      </c>
      <c r="AG417" s="1135">
        <v>55128.19</v>
      </c>
      <c r="AH417" s="1139">
        <f t="shared" si="12"/>
        <v>55128.19</v>
      </c>
      <c r="AI417" s="1055"/>
      <c r="AJ417" s="1064"/>
      <c r="AK417" s="1055"/>
      <c r="AL417" s="1133"/>
      <c r="AM417" s="1055"/>
      <c r="AN417" s="1055"/>
      <c r="AO417" s="1064"/>
      <c r="AP417" s="1137"/>
      <c r="AQ417" s="1064"/>
      <c r="AR417" s="1137"/>
      <c r="AS417" s="1055"/>
      <c r="AT417" s="1133"/>
      <c r="AU417" s="1133"/>
      <c r="AV417" s="1133"/>
      <c r="AW417" s="1133"/>
      <c r="AX417" s="1133"/>
      <c r="AY417" s="1133"/>
      <c r="AZ417" s="1133"/>
      <c r="BA417" s="1133"/>
      <c r="BB417" s="1133"/>
      <c r="BC417" s="1133"/>
      <c r="BD417" s="1133"/>
      <c r="BE417" s="1480"/>
      <c r="BF417" s="1480"/>
      <c r="BG417" s="1480"/>
      <c r="BH417" s="1480"/>
      <c r="BI417" s="1480"/>
      <c r="BJ417" s="1480"/>
    </row>
    <row r="418" spans="1:62" s="629" customFormat="1" ht="73.5" customHeight="1" x14ac:dyDescent="0.2">
      <c r="A418" s="1514">
        <v>188</v>
      </c>
      <c r="B418" s="636" t="s">
        <v>4473</v>
      </c>
      <c r="C418" s="1055" t="s">
        <v>1705</v>
      </c>
      <c r="D418" s="1055" t="s">
        <v>615</v>
      </c>
      <c r="E418" s="1055" t="s">
        <v>584</v>
      </c>
      <c r="F418" s="1055" t="s">
        <v>4474</v>
      </c>
      <c r="G418" s="1133">
        <v>11331</v>
      </c>
      <c r="H418" s="1055" t="s">
        <v>4490</v>
      </c>
      <c r="I418" s="1055" t="s">
        <v>4491</v>
      </c>
      <c r="J418" s="1055" t="s">
        <v>4492</v>
      </c>
      <c r="K418" s="1137">
        <v>41743</v>
      </c>
      <c r="L418" s="1135">
        <v>39182.230000000003</v>
      </c>
      <c r="M418" s="1136">
        <v>11301</v>
      </c>
      <c r="N418" s="1134">
        <v>41743</v>
      </c>
      <c r="O418" s="1134">
        <v>42004</v>
      </c>
      <c r="P418" s="1133">
        <v>1</v>
      </c>
      <c r="Q418" s="1055"/>
      <c r="R418" s="1055"/>
      <c r="S418" s="1055"/>
      <c r="T418" s="1133" t="s">
        <v>158</v>
      </c>
      <c r="U418" s="1055"/>
      <c r="V418" s="1055"/>
      <c r="W418" s="1064"/>
      <c r="X418" s="1140"/>
      <c r="Y418" s="1055"/>
      <c r="Z418" s="1055"/>
      <c r="AA418" s="1138"/>
      <c r="AB418" s="1055"/>
      <c r="AC418" s="1139"/>
      <c r="AD418" s="1139"/>
      <c r="AE418" s="1155">
        <f t="shared" si="11"/>
        <v>39182.230000000003</v>
      </c>
      <c r="AF418" s="525">
        <v>0</v>
      </c>
      <c r="AG418" s="1135">
        <v>38840.75</v>
      </c>
      <c r="AH418" s="1139">
        <f t="shared" si="12"/>
        <v>38840.75</v>
      </c>
      <c r="AI418" s="1055"/>
      <c r="AJ418" s="1064"/>
      <c r="AK418" s="1055"/>
      <c r="AL418" s="1133"/>
      <c r="AM418" s="1055"/>
      <c r="AN418" s="1055"/>
      <c r="AO418" s="1064"/>
      <c r="AP418" s="1137"/>
      <c r="AQ418" s="1064"/>
      <c r="AR418" s="1137"/>
      <c r="AS418" s="1055"/>
      <c r="AT418" s="1133"/>
      <c r="AU418" s="1133"/>
      <c r="AV418" s="1133"/>
      <c r="AW418" s="1133"/>
      <c r="AX418" s="1133"/>
      <c r="AY418" s="1133"/>
      <c r="AZ418" s="1133"/>
      <c r="BA418" s="1133"/>
      <c r="BB418" s="1133"/>
      <c r="BC418" s="1133"/>
      <c r="BD418" s="1133"/>
      <c r="BE418" s="1480"/>
      <c r="BF418" s="1480"/>
      <c r="BG418" s="1480"/>
      <c r="BH418" s="1480"/>
      <c r="BI418" s="1480"/>
      <c r="BJ418" s="1480"/>
    </row>
    <row r="419" spans="1:62" s="629" customFormat="1" ht="45" customHeight="1" x14ac:dyDescent="0.2">
      <c r="A419" s="1514">
        <v>189</v>
      </c>
      <c r="B419" s="636" t="s">
        <v>4473</v>
      </c>
      <c r="C419" s="1055" t="s">
        <v>1705</v>
      </c>
      <c r="D419" s="1055" t="s">
        <v>3977</v>
      </c>
      <c r="E419" s="1055" t="s">
        <v>584</v>
      </c>
      <c r="F419" s="1055" t="s">
        <v>4474</v>
      </c>
      <c r="G419" s="1133">
        <v>11331</v>
      </c>
      <c r="H419" s="1055" t="s">
        <v>4493</v>
      </c>
      <c r="I419" s="1055" t="s">
        <v>4494</v>
      </c>
      <c r="J419" s="1055" t="s">
        <v>4495</v>
      </c>
      <c r="K419" s="1137">
        <v>41743</v>
      </c>
      <c r="L419" s="1135">
        <v>61900.15</v>
      </c>
      <c r="M419" s="1136">
        <v>11301</v>
      </c>
      <c r="N419" s="1134">
        <v>41743</v>
      </c>
      <c r="O419" s="1134">
        <v>42004</v>
      </c>
      <c r="P419" s="1133">
        <v>1</v>
      </c>
      <c r="Q419" s="1055"/>
      <c r="R419" s="1055"/>
      <c r="S419" s="1055"/>
      <c r="T419" s="1133" t="s">
        <v>158</v>
      </c>
      <c r="U419" s="1055"/>
      <c r="V419" s="1055"/>
      <c r="W419" s="1064"/>
      <c r="X419" s="1140"/>
      <c r="Y419" s="1055"/>
      <c r="Z419" s="1055"/>
      <c r="AA419" s="1138"/>
      <c r="AB419" s="1055"/>
      <c r="AC419" s="1139"/>
      <c r="AD419" s="1139"/>
      <c r="AE419" s="1155">
        <f t="shared" si="11"/>
        <v>61900.15</v>
      </c>
      <c r="AF419" s="525">
        <v>0</v>
      </c>
      <c r="AG419" s="1135">
        <v>49594.44</v>
      </c>
      <c r="AH419" s="1139">
        <f t="shared" si="12"/>
        <v>49594.44</v>
      </c>
      <c r="AI419" s="1055"/>
      <c r="AJ419" s="1064"/>
      <c r="AK419" s="1055"/>
      <c r="AL419" s="1133"/>
      <c r="AM419" s="1055"/>
      <c r="AN419" s="1055"/>
      <c r="AO419" s="1064"/>
      <c r="AP419" s="1137"/>
      <c r="AQ419" s="1064"/>
      <c r="AR419" s="1137"/>
      <c r="AS419" s="1055"/>
      <c r="AT419" s="1133"/>
      <c r="AU419" s="1133"/>
      <c r="AV419" s="1133"/>
      <c r="AW419" s="1133"/>
      <c r="AX419" s="1133"/>
      <c r="AY419" s="1133"/>
      <c r="AZ419" s="1133"/>
      <c r="BA419" s="1133"/>
      <c r="BB419" s="1133"/>
      <c r="BC419" s="1133"/>
      <c r="BD419" s="1133"/>
      <c r="BE419" s="1480"/>
      <c r="BF419" s="1480"/>
      <c r="BG419" s="1480"/>
      <c r="BH419" s="1480"/>
      <c r="BI419" s="1480"/>
      <c r="BJ419" s="1480"/>
    </row>
    <row r="420" spans="1:62" s="629" customFormat="1" ht="45" customHeight="1" x14ac:dyDescent="0.2">
      <c r="A420" s="1514">
        <v>190</v>
      </c>
      <c r="B420" s="636" t="s">
        <v>4473</v>
      </c>
      <c r="C420" s="1055" t="s">
        <v>1705</v>
      </c>
      <c r="D420" s="1055" t="s">
        <v>3977</v>
      </c>
      <c r="E420" s="1055" t="s">
        <v>584</v>
      </c>
      <c r="F420" s="1055" t="s">
        <v>4474</v>
      </c>
      <c r="G420" s="1133">
        <v>11331</v>
      </c>
      <c r="H420" s="1055" t="s">
        <v>4496</v>
      </c>
      <c r="I420" s="1055" t="s">
        <v>4497</v>
      </c>
      <c r="J420" s="1055" t="s">
        <v>4498</v>
      </c>
      <c r="K420" s="1137">
        <v>41743</v>
      </c>
      <c r="L420" s="1135">
        <v>96739.94</v>
      </c>
      <c r="M420" s="1136">
        <v>11301</v>
      </c>
      <c r="N420" s="1134">
        <v>41743</v>
      </c>
      <c r="O420" s="1134">
        <v>42004</v>
      </c>
      <c r="P420" s="1133">
        <v>1</v>
      </c>
      <c r="Q420" s="1055"/>
      <c r="R420" s="1055"/>
      <c r="S420" s="1055"/>
      <c r="T420" s="1133" t="s">
        <v>158</v>
      </c>
      <c r="U420" s="1055"/>
      <c r="V420" s="1055"/>
      <c r="W420" s="1064"/>
      <c r="X420" s="1140"/>
      <c r="Y420" s="1055"/>
      <c r="Z420" s="1055"/>
      <c r="AA420" s="1138"/>
      <c r="AB420" s="1055"/>
      <c r="AC420" s="1139"/>
      <c r="AD420" s="1139"/>
      <c r="AE420" s="1155">
        <f t="shared" si="11"/>
        <v>96739.94</v>
      </c>
      <c r="AF420" s="525">
        <v>0</v>
      </c>
      <c r="AG420" s="1135">
        <v>38353.08</v>
      </c>
      <c r="AH420" s="1139">
        <f t="shared" si="12"/>
        <v>38353.08</v>
      </c>
      <c r="AI420" s="1055"/>
      <c r="AJ420" s="1064"/>
      <c r="AK420" s="1055"/>
      <c r="AL420" s="1133"/>
      <c r="AM420" s="1055"/>
      <c r="AN420" s="1055"/>
      <c r="AO420" s="1064"/>
      <c r="AP420" s="1137"/>
      <c r="AQ420" s="1064"/>
      <c r="AR420" s="1137"/>
      <c r="AS420" s="1055"/>
      <c r="AT420" s="1133"/>
      <c r="AU420" s="1133"/>
      <c r="AV420" s="1133"/>
      <c r="AW420" s="1133"/>
      <c r="AX420" s="1133"/>
      <c r="AY420" s="1133"/>
      <c r="AZ420" s="1133"/>
      <c r="BA420" s="1133"/>
      <c r="BB420" s="1133"/>
      <c r="BC420" s="1133"/>
      <c r="BD420" s="1133"/>
      <c r="BE420" s="1480"/>
      <c r="BF420" s="1480"/>
      <c r="BG420" s="1480"/>
      <c r="BH420" s="1480"/>
      <c r="BI420" s="1480"/>
      <c r="BJ420" s="1480"/>
    </row>
    <row r="421" spans="1:62" s="629" customFormat="1" ht="45" customHeight="1" x14ac:dyDescent="0.2">
      <c r="A421" s="1514">
        <v>191</v>
      </c>
      <c r="B421" s="636" t="s">
        <v>4499</v>
      </c>
      <c r="C421" s="1055" t="s">
        <v>1699</v>
      </c>
      <c r="D421" s="1055" t="s">
        <v>1331</v>
      </c>
      <c r="E421" s="1055" t="s">
        <v>584</v>
      </c>
      <c r="F421" s="1055" t="s">
        <v>4500</v>
      </c>
      <c r="G421" s="1145">
        <v>11298</v>
      </c>
      <c r="H421" s="1055" t="s">
        <v>4501</v>
      </c>
      <c r="I421" s="1055" t="s">
        <v>4502</v>
      </c>
      <c r="J421" s="1055" t="s">
        <v>749</v>
      </c>
      <c r="K421" s="1137">
        <v>41768</v>
      </c>
      <c r="L421" s="1135">
        <v>6552</v>
      </c>
      <c r="M421" s="1064">
        <v>11210</v>
      </c>
      <c r="N421" s="1134">
        <v>41768</v>
      </c>
      <c r="O421" s="1134">
        <v>42004</v>
      </c>
      <c r="P421" s="1133">
        <v>16</v>
      </c>
      <c r="Q421" s="1055"/>
      <c r="R421" s="1055"/>
      <c r="S421" s="1055"/>
      <c r="T421" s="1133" t="s">
        <v>316</v>
      </c>
      <c r="U421" s="1055"/>
      <c r="V421" s="1055"/>
      <c r="W421" s="1064"/>
      <c r="X421" s="1055"/>
      <c r="Y421" s="1055"/>
      <c r="Z421" s="1055"/>
      <c r="AA421" s="1138"/>
      <c r="AB421" s="1055"/>
      <c r="AC421" s="1139"/>
      <c r="AD421" s="1139"/>
      <c r="AE421" s="1155">
        <f t="shared" si="11"/>
        <v>6552</v>
      </c>
      <c r="AF421" s="525">
        <v>0</v>
      </c>
      <c r="AG421" s="1135">
        <f>585+2808</f>
        <v>3393</v>
      </c>
      <c r="AH421" s="1139">
        <f t="shared" si="12"/>
        <v>3393</v>
      </c>
      <c r="AI421" s="1055"/>
      <c r="AJ421" s="1064"/>
      <c r="AK421" s="1055"/>
      <c r="AL421" s="1133"/>
      <c r="AM421" s="1055"/>
      <c r="AN421" s="1055"/>
      <c r="AO421" s="1064"/>
      <c r="AP421" s="1137"/>
      <c r="AQ421" s="1064"/>
      <c r="AR421" s="1137"/>
      <c r="AS421" s="1055"/>
      <c r="AT421" s="1133"/>
      <c r="AU421" s="1133"/>
      <c r="AV421" s="1133"/>
      <c r="AW421" s="1133"/>
      <c r="AX421" s="1133"/>
      <c r="AY421" s="1133"/>
      <c r="AZ421" s="1133"/>
      <c r="BA421" s="1133"/>
      <c r="BB421" s="1133"/>
      <c r="BC421" s="1133"/>
      <c r="BD421" s="1133"/>
      <c r="BE421" s="1480"/>
      <c r="BF421" s="1480"/>
      <c r="BG421" s="1480"/>
      <c r="BH421" s="1480"/>
      <c r="BI421" s="1480"/>
      <c r="BJ421" s="1480"/>
    </row>
    <row r="422" spans="1:62" s="629" customFormat="1" ht="45" customHeight="1" x14ac:dyDescent="0.2">
      <c r="A422" s="2365">
        <v>192</v>
      </c>
      <c r="B422" s="2391" t="s">
        <v>4503</v>
      </c>
      <c r="C422" s="2023" t="s">
        <v>744</v>
      </c>
      <c r="D422" s="2023" t="s">
        <v>1331</v>
      </c>
      <c r="E422" s="2023" t="s">
        <v>584</v>
      </c>
      <c r="F422" s="2023" t="s">
        <v>4504</v>
      </c>
      <c r="G422" s="2355">
        <v>11267</v>
      </c>
      <c r="H422" s="2023" t="s">
        <v>4505</v>
      </c>
      <c r="I422" s="2023" t="s">
        <v>4133</v>
      </c>
      <c r="J422" s="2023" t="s">
        <v>4134</v>
      </c>
      <c r="K422" s="2347">
        <v>41779</v>
      </c>
      <c r="L422" s="2349">
        <v>26713.32</v>
      </c>
      <c r="M422" s="2006">
        <v>11210</v>
      </c>
      <c r="N422" s="2352">
        <v>41779</v>
      </c>
      <c r="O422" s="2352">
        <v>42004</v>
      </c>
      <c r="P422" s="2354" t="s">
        <v>3905</v>
      </c>
      <c r="Q422" s="2023"/>
      <c r="R422" s="2023"/>
      <c r="S422" s="2023"/>
      <c r="T422" s="2355" t="s">
        <v>316</v>
      </c>
      <c r="U422" s="2023"/>
      <c r="V422" s="2023"/>
      <c r="W422" s="2006"/>
      <c r="X422" s="1055"/>
      <c r="Y422" s="1055"/>
      <c r="Z422" s="1055"/>
      <c r="AA422" s="1138"/>
      <c r="AB422" s="1055"/>
      <c r="AC422" s="1139"/>
      <c r="AD422" s="1139"/>
      <c r="AE422" s="2345">
        <f t="shared" si="11"/>
        <v>26713.32</v>
      </c>
      <c r="AF422" s="525">
        <v>0</v>
      </c>
      <c r="AG422" s="525">
        <v>0</v>
      </c>
      <c r="AH422" s="1139">
        <f t="shared" si="12"/>
        <v>0</v>
      </c>
      <c r="AI422" s="1055"/>
      <c r="AJ422" s="1064"/>
      <c r="AK422" s="1055"/>
      <c r="AL422" s="1133"/>
      <c r="AM422" s="1055"/>
      <c r="AN422" s="1055"/>
      <c r="AO422" s="1064"/>
      <c r="AP422" s="1137"/>
      <c r="AQ422" s="1064"/>
      <c r="AR422" s="1137"/>
      <c r="AS422" s="1055"/>
      <c r="AT422" s="1133"/>
      <c r="AU422" s="1133"/>
      <c r="AV422" s="1133"/>
      <c r="AW422" s="1133"/>
      <c r="AX422" s="1133"/>
      <c r="AY422" s="1133"/>
      <c r="AZ422" s="1133"/>
      <c r="BA422" s="1133"/>
      <c r="BB422" s="1133"/>
      <c r="BC422" s="1133"/>
      <c r="BD422" s="1133"/>
      <c r="BE422" s="1480"/>
      <c r="BF422" s="1480"/>
      <c r="BG422" s="1480"/>
      <c r="BH422" s="1480"/>
      <c r="BI422" s="1480"/>
      <c r="BJ422" s="1480"/>
    </row>
    <row r="423" spans="1:62" s="629" customFormat="1" ht="12.75" x14ac:dyDescent="0.2">
      <c r="A423" s="2365"/>
      <c r="B423" s="2391"/>
      <c r="C423" s="2023"/>
      <c r="D423" s="2023"/>
      <c r="E423" s="2023"/>
      <c r="F423" s="2023"/>
      <c r="G423" s="2355"/>
      <c r="H423" s="2023"/>
      <c r="I423" s="2023"/>
      <c r="J423" s="2023"/>
      <c r="K423" s="2347"/>
      <c r="L423" s="2349"/>
      <c r="M423" s="2006"/>
      <c r="N423" s="2352"/>
      <c r="O423" s="2352"/>
      <c r="P423" s="2354"/>
      <c r="Q423" s="2023"/>
      <c r="R423" s="2023"/>
      <c r="S423" s="2023"/>
      <c r="T423" s="2355"/>
      <c r="U423" s="2023"/>
      <c r="V423" s="2023"/>
      <c r="W423" s="2006"/>
      <c r="X423" s="1055"/>
      <c r="Y423" s="1055"/>
      <c r="Z423" s="1055"/>
      <c r="AA423" s="1138"/>
      <c r="AB423" s="1055"/>
      <c r="AC423" s="1139"/>
      <c r="AD423" s="1139"/>
      <c r="AE423" s="2346"/>
      <c r="AF423" s="525">
        <v>0</v>
      </c>
      <c r="AG423" s="525">
        <v>0</v>
      </c>
      <c r="AH423" s="1139">
        <f t="shared" si="12"/>
        <v>0</v>
      </c>
      <c r="AI423" s="1055"/>
      <c r="AJ423" s="1064"/>
      <c r="AK423" s="1055"/>
      <c r="AL423" s="1133"/>
      <c r="AM423" s="1055"/>
      <c r="AN423" s="1055"/>
      <c r="AO423" s="1064"/>
      <c r="AP423" s="1137"/>
      <c r="AQ423" s="1064"/>
      <c r="AR423" s="1137"/>
      <c r="AS423" s="1055"/>
      <c r="AT423" s="1133"/>
      <c r="AU423" s="1133"/>
      <c r="AV423" s="1133"/>
      <c r="AW423" s="1133"/>
      <c r="AX423" s="1133"/>
      <c r="AY423" s="1133"/>
      <c r="AZ423" s="1133"/>
      <c r="BA423" s="1133"/>
      <c r="BB423" s="1133"/>
      <c r="BC423" s="1133"/>
      <c r="BD423" s="1133"/>
      <c r="BE423" s="1480"/>
      <c r="BF423" s="1480"/>
      <c r="BG423" s="1480"/>
      <c r="BH423" s="1480"/>
      <c r="BI423" s="1480"/>
      <c r="BJ423" s="1480"/>
    </row>
    <row r="424" spans="1:62" s="629" customFormat="1" ht="12.75" x14ac:dyDescent="0.2">
      <c r="A424" s="2365"/>
      <c r="B424" s="2391"/>
      <c r="C424" s="2023"/>
      <c r="D424" s="2023"/>
      <c r="E424" s="2023"/>
      <c r="F424" s="2023"/>
      <c r="G424" s="2355"/>
      <c r="H424" s="2023"/>
      <c r="I424" s="2023"/>
      <c r="J424" s="2023"/>
      <c r="K424" s="2023"/>
      <c r="L424" s="2349"/>
      <c r="M424" s="2006"/>
      <c r="N424" s="2352"/>
      <c r="O424" s="2352"/>
      <c r="P424" s="1132" t="s">
        <v>4071</v>
      </c>
      <c r="Q424" s="2023"/>
      <c r="R424" s="2023"/>
      <c r="S424" s="2023"/>
      <c r="T424" s="2355"/>
      <c r="U424" s="2023"/>
      <c r="V424" s="2023"/>
      <c r="W424" s="2006"/>
      <c r="X424" s="1055"/>
      <c r="Y424" s="1055"/>
      <c r="Z424" s="1055"/>
      <c r="AA424" s="1138"/>
      <c r="AB424" s="1055"/>
      <c r="AC424" s="1139"/>
      <c r="AD424" s="1139"/>
      <c r="AE424" s="2371"/>
      <c r="AF424" s="525">
        <v>0</v>
      </c>
      <c r="AG424" s="1135">
        <v>14422.2</v>
      </c>
      <c r="AH424" s="1139">
        <f t="shared" si="12"/>
        <v>14422.2</v>
      </c>
      <c r="AI424" s="1055"/>
      <c r="AJ424" s="1064"/>
      <c r="AK424" s="1055"/>
      <c r="AL424" s="1133"/>
      <c r="AM424" s="1055"/>
      <c r="AN424" s="1055"/>
      <c r="AO424" s="1064"/>
      <c r="AP424" s="1137"/>
      <c r="AQ424" s="1064"/>
      <c r="AR424" s="1137"/>
      <c r="AS424" s="1055"/>
      <c r="AT424" s="1133"/>
      <c r="AU424" s="1133"/>
      <c r="AV424" s="1133"/>
      <c r="AW424" s="1133"/>
      <c r="AX424" s="1133"/>
      <c r="AY424" s="1133"/>
      <c r="AZ424" s="1133"/>
      <c r="BA424" s="1133"/>
      <c r="BB424" s="1133"/>
      <c r="BC424" s="1133"/>
      <c r="BD424" s="1133"/>
      <c r="BE424" s="1480"/>
      <c r="BF424" s="1480"/>
      <c r="BG424" s="1480"/>
      <c r="BH424" s="1480"/>
      <c r="BI424" s="1480"/>
      <c r="BJ424" s="1480"/>
    </row>
    <row r="425" spans="1:62" s="629" customFormat="1" ht="45" customHeight="1" x14ac:dyDescent="0.2">
      <c r="A425" s="1514">
        <v>193</v>
      </c>
      <c r="B425" s="636" t="s">
        <v>4506</v>
      </c>
      <c r="C425" s="1055" t="s">
        <v>1382</v>
      </c>
      <c r="D425" s="1055" t="s">
        <v>1548</v>
      </c>
      <c r="E425" s="1055" t="s">
        <v>584</v>
      </c>
      <c r="F425" s="1055" t="s">
        <v>4507</v>
      </c>
      <c r="G425" s="1133">
        <v>11253</v>
      </c>
      <c r="H425" s="1055" t="s">
        <v>4508</v>
      </c>
      <c r="I425" s="1055" t="s">
        <v>4509</v>
      </c>
      <c r="J425" s="1055" t="s">
        <v>977</v>
      </c>
      <c r="K425" s="1137">
        <v>41779</v>
      </c>
      <c r="L425" s="1135">
        <v>24375</v>
      </c>
      <c r="M425" s="1064">
        <v>11210</v>
      </c>
      <c r="N425" s="1134">
        <v>41779</v>
      </c>
      <c r="O425" s="1134">
        <v>41825</v>
      </c>
      <c r="P425" s="1133">
        <v>1</v>
      </c>
      <c r="Q425" s="1055"/>
      <c r="R425" s="1055"/>
      <c r="S425" s="1055"/>
      <c r="T425" s="1133" t="s">
        <v>316</v>
      </c>
      <c r="U425" s="1055"/>
      <c r="V425" s="1055"/>
      <c r="W425" s="1064"/>
      <c r="X425" s="1055"/>
      <c r="Y425" s="1055"/>
      <c r="Z425" s="1055"/>
      <c r="AA425" s="1138"/>
      <c r="AB425" s="1055"/>
      <c r="AC425" s="1139"/>
      <c r="AD425" s="1139"/>
      <c r="AE425" s="1155">
        <f t="shared" ref="AE425:AE435" si="13">L425-AD425+AC425</f>
        <v>24375</v>
      </c>
      <c r="AF425" s="525">
        <v>0</v>
      </c>
      <c r="AG425" s="1135">
        <v>24375</v>
      </c>
      <c r="AH425" s="1139">
        <f t="shared" si="12"/>
        <v>24375</v>
      </c>
      <c r="AI425" s="1055"/>
      <c r="AJ425" s="1064"/>
      <c r="AK425" s="1055"/>
      <c r="AL425" s="1133"/>
      <c r="AM425" s="1055"/>
      <c r="AN425" s="1055"/>
      <c r="AO425" s="1064"/>
      <c r="AP425" s="1137"/>
      <c r="AQ425" s="1064"/>
      <c r="AR425" s="1137"/>
      <c r="AS425" s="1055"/>
      <c r="AT425" s="1133"/>
      <c r="AU425" s="1133"/>
      <c r="AV425" s="1133"/>
      <c r="AW425" s="1133"/>
      <c r="AX425" s="1133"/>
      <c r="AY425" s="1133"/>
      <c r="AZ425" s="1133"/>
      <c r="BA425" s="1133"/>
      <c r="BB425" s="1133"/>
      <c r="BC425" s="1133"/>
      <c r="BD425" s="1133"/>
      <c r="BE425" s="1480"/>
      <c r="BF425" s="1480"/>
      <c r="BG425" s="1480"/>
      <c r="BH425" s="1480"/>
      <c r="BI425" s="1480"/>
      <c r="BJ425" s="1480"/>
    </row>
    <row r="426" spans="1:62" s="629" customFormat="1" ht="45" customHeight="1" x14ac:dyDescent="0.2">
      <c r="A426" s="1514">
        <v>194</v>
      </c>
      <c r="B426" s="636" t="s">
        <v>4506</v>
      </c>
      <c r="C426" s="1055" t="s">
        <v>1382</v>
      </c>
      <c r="D426" s="1055" t="s">
        <v>1548</v>
      </c>
      <c r="E426" s="1055" t="s">
        <v>584</v>
      </c>
      <c r="F426" s="1055" t="s">
        <v>4507</v>
      </c>
      <c r="G426" s="1133">
        <v>11253</v>
      </c>
      <c r="H426" s="1055" t="s">
        <v>4510</v>
      </c>
      <c r="I426" s="1055" t="s">
        <v>4511</v>
      </c>
      <c r="J426" s="1055" t="s">
        <v>718</v>
      </c>
      <c r="K426" s="1137">
        <v>41779</v>
      </c>
      <c r="L426" s="1148">
        <v>34319</v>
      </c>
      <c r="M426" s="1064">
        <v>11090</v>
      </c>
      <c r="N426" s="1134">
        <v>41779</v>
      </c>
      <c r="O426" s="1134">
        <v>41825</v>
      </c>
      <c r="P426" s="1133">
        <v>1</v>
      </c>
      <c r="Q426" s="1055"/>
      <c r="R426" s="1055"/>
      <c r="S426" s="1055"/>
      <c r="T426" s="1055" t="s">
        <v>4512</v>
      </c>
      <c r="U426" s="1055"/>
      <c r="V426" s="1055"/>
      <c r="W426" s="1064"/>
      <c r="X426" s="1055"/>
      <c r="Y426" s="1055"/>
      <c r="Z426" s="1055"/>
      <c r="AA426" s="1138"/>
      <c r="AB426" s="1055"/>
      <c r="AC426" s="1139"/>
      <c r="AD426" s="1139"/>
      <c r="AE426" s="1155">
        <f t="shared" si="13"/>
        <v>34319</v>
      </c>
      <c r="AF426" s="525">
        <v>0</v>
      </c>
      <c r="AG426" s="1135">
        <v>50</v>
      </c>
      <c r="AH426" s="1139">
        <f t="shared" si="12"/>
        <v>50</v>
      </c>
      <c r="AI426" s="1055"/>
      <c r="AJ426" s="1064"/>
      <c r="AK426" s="1055"/>
      <c r="AL426" s="1133"/>
      <c r="AM426" s="1055"/>
      <c r="AN426" s="1055"/>
      <c r="AO426" s="1064"/>
      <c r="AP426" s="1137"/>
      <c r="AQ426" s="1064"/>
      <c r="AR426" s="1137"/>
      <c r="AS426" s="1055"/>
      <c r="AT426" s="1133"/>
      <c r="AU426" s="1133"/>
      <c r="AV426" s="1133"/>
      <c r="AW426" s="1133"/>
      <c r="AX426" s="1133"/>
      <c r="AY426" s="1133"/>
      <c r="AZ426" s="1133"/>
      <c r="BA426" s="1133"/>
      <c r="BB426" s="1133"/>
      <c r="BC426" s="1133"/>
      <c r="BD426" s="1133"/>
      <c r="BE426" s="1480"/>
      <c r="BF426" s="1480"/>
      <c r="BG426" s="1480"/>
      <c r="BH426" s="1480"/>
      <c r="BI426" s="1480"/>
      <c r="BJ426" s="1480"/>
    </row>
    <row r="427" spans="1:62" s="629" customFormat="1" ht="45" customHeight="1" x14ac:dyDescent="0.2">
      <c r="A427" s="1514">
        <v>195</v>
      </c>
      <c r="B427" s="636" t="s">
        <v>4506</v>
      </c>
      <c r="C427" s="1055" t="s">
        <v>1382</v>
      </c>
      <c r="D427" s="1055" t="s">
        <v>1331</v>
      </c>
      <c r="E427" s="1055" t="s">
        <v>584</v>
      </c>
      <c r="F427" s="1055" t="s">
        <v>4513</v>
      </c>
      <c r="G427" s="1133">
        <v>11253</v>
      </c>
      <c r="H427" s="1055" t="s">
        <v>4514</v>
      </c>
      <c r="I427" s="1055" t="s">
        <v>4515</v>
      </c>
      <c r="J427" s="1055" t="s">
        <v>1179</v>
      </c>
      <c r="K427" s="1055" t="s">
        <v>4516</v>
      </c>
      <c r="L427" s="1135">
        <v>25660</v>
      </c>
      <c r="M427" s="1064">
        <v>11313</v>
      </c>
      <c r="N427" s="1134">
        <v>41779</v>
      </c>
      <c r="O427" s="1134">
        <v>41825</v>
      </c>
      <c r="P427" s="1133">
        <v>1</v>
      </c>
      <c r="Q427" s="1055"/>
      <c r="R427" s="1055"/>
      <c r="S427" s="1055"/>
      <c r="T427" s="1055" t="s">
        <v>4512</v>
      </c>
      <c r="U427" s="1055"/>
      <c r="V427" s="1055"/>
      <c r="W427" s="1064"/>
      <c r="X427" s="1055"/>
      <c r="Y427" s="1055"/>
      <c r="Z427" s="1055"/>
      <c r="AA427" s="1138"/>
      <c r="AB427" s="1055"/>
      <c r="AC427" s="1139"/>
      <c r="AD427" s="1139"/>
      <c r="AE427" s="1155">
        <f t="shared" si="13"/>
        <v>25660</v>
      </c>
      <c r="AF427" s="525">
        <v>0</v>
      </c>
      <c r="AG427" s="1135">
        <f>5310+20350</f>
        <v>25660</v>
      </c>
      <c r="AH427" s="1139">
        <f t="shared" si="12"/>
        <v>25660</v>
      </c>
      <c r="AI427" s="1055"/>
      <c r="AJ427" s="1064"/>
      <c r="AK427" s="1055"/>
      <c r="AL427" s="1133"/>
      <c r="AM427" s="1055"/>
      <c r="AN427" s="1055"/>
      <c r="AO427" s="1064"/>
      <c r="AP427" s="1137"/>
      <c r="AQ427" s="1064"/>
      <c r="AR427" s="1137"/>
      <c r="AS427" s="1055"/>
      <c r="AT427" s="1133"/>
      <c r="AU427" s="1133"/>
      <c r="AV427" s="1133"/>
      <c r="AW427" s="1133"/>
      <c r="AX427" s="1133"/>
      <c r="AY427" s="1133"/>
      <c r="AZ427" s="1133"/>
      <c r="BA427" s="1133"/>
      <c r="BB427" s="1133"/>
      <c r="BC427" s="1133"/>
      <c r="BD427" s="1133"/>
      <c r="BE427" s="1480"/>
      <c r="BF427" s="1480"/>
      <c r="BG427" s="1480"/>
      <c r="BH427" s="1480"/>
      <c r="BI427" s="1480"/>
      <c r="BJ427" s="1480"/>
    </row>
    <row r="428" spans="1:62" s="629" customFormat="1" ht="45" customHeight="1" x14ac:dyDescent="0.2">
      <c r="A428" s="1514">
        <v>196</v>
      </c>
      <c r="B428" s="636" t="s">
        <v>4506</v>
      </c>
      <c r="C428" s="1055" t="s">
        <v>1382</v>
      </c>
      <c r="D428" s="1055" t="s">
        <v>1331</v>
      </c>
      <c r="E428" s="1055" t="s">
        <v>584</v>
      </c>
      <c r="F428" s="1055" t="s">
        <v>4507</v>
      </c>
      <c r="G428" s="1133">
        <v>11253</v>
      </c>
      <c r="H428" s="1055" t="s">
        <v>4517</v>
      </c>
      <c r="I428" s="1055" t="s">
        <v>4518</v>
      </c>
      <c r="J428" s="1055" t="s">
        <v>2130</v>
      </c>
      <c r="K428" s="1137">
        <v>41779</v>
      </c>
      <c r="L428" s="1148">
        <v>10437</v>
      </c>
      <c r="M428" s="1064">
        <v>11313</v>
      </c>
      <c r="N428" s="1134">
        <v>41779</v>
      </c>
      <c r="O428" s="1134">
        <v>41825</v>
      </c>
      <c r="P428" s="1133">
        <v>1</v>
      </c>
      <c r="Q428" s="1055"/>
      <c r="R428" s="1055"/>
      <c r="S428" s="1055"/>
      <c r="T428" s="1055" t="s">
        <v>316</v>
      </c>
      <c r="U428" s="1055"/>
      <c r="V428" s="1055"/>
      <c r="W428" s="1064"/>
      <c r="X428" s="1055"/>
      <c r="Y428" s="1055"/>
      <c r="Z428" s="1055"/>
      <c r="AA428" s="1138"/>
      <c r="AB428" s="1055"/>
      <c r="AC428" s="1139"/>
      <c r="AD428" s="1139"/>
      <c r="AE428" s="1155">
        <f t="shared" si="13"/>
        <v>10437</v>
      </c>
      <c r="AF428" s="525">
        <v>0</v>
      </c>
      <c r="AG428" s="1148">
        <f>2739+7698</f>
        <v>10437</v>
      </c>
      <c r="AH428" s="1139">
        <f t="shared" si="12"/>
        <v>10437</v>
      </c>
      <c r="AI428" s="1055"/>
      <c r="AJ428" s="1064"/>
      <c r="AK428" s="1055"/>
      <c r="AL428" s="1133"/>
      <c r="AM428" s="1055"/>
      <c r="AN428" s="1055"/>
      <c r="AO428" s="1064"/>
      <c r="AP428" s="1137"/>
      <c r="AQ428" s="1064"/>
      <c r="AR428" s="1137"/>
      <c r="AS428" s="1055"/>
      <c r="AT428" s="1133"/>
      <c r="AU428" s="1133"/>
      <c r="AV428" s="1133"/>
      <c r="AW428" s="1133"/>
      <c r="AX428" s="1133"/>
      <c r="AY428" s="1133"/>
      <c r="AZ428" s="1133"/>
      <c r="BA428" s="1133"/>
      <c r="BB428" s="1133"/>
      <c r="BC428" s="1133"/>
      <c r="BD428" s="1133"/>
      <c r="BE428" s="1480"/>
      <c r="BF428" s="1480"/>
      <c r="BG428" s="1480"/>
      <c r="BH428" s="1480"/>
      <c r="BI428" s="1480"/>
      <c r="BJ428" s="1480"/>
    </row>
    <row r="429" spans="1:62" s="629" customFormat="1" ht="45" customHeight="1" x14ac:dyDescent="0.2">
      <c r="A429" s="1514">
        <v>197</v>
      </c>
      <c r="B429" s="636" t="s">
        <v>4519</v>
      </c>
      <c r="C429" s="1055" t="s">
        <v>744</v>
      </c>
      <c r="D429" s="1055" t="s">
        <v>1331</v>
      </c>
      <c r="E429" s="1055" t="s">
        <v>584</v>
      </c>
      <c r="F429" s="1055" t="s">
        <v>4507</v>
      </c>
      <c r="G429" s="1145">
        <v>11253</v>
      </c>
      <c r="H429" s="1055" t="s">
        <v>4520</v>
      </c>
      <c r="I429" s="1055" t="s">
        <v>4295</v>
      </c>
      <c r="J429" s="1055" t="s">
        <v>315</v>
      </c>
      <c r="K429" s="1137">
        <v>41779</v>
      </c>
      <c r="L429" s="1135">
        <v>36750</v>
      </c>
      <c r="M429" s="1064">
        <v>11320</v>
      </c>
      <c r="N429" s="1134">
        <v>41779</v>
      </c>
      <c r="O429" s="1134">
        <v>42004</v>
      </c>
      <c r="P429" s="1133">
        <v>1</v>
      </c>
      <c r="Q429" s="1055"/>
      <c r="R429" s="1055"/>
      <c r="S429" s="1055"/>
      <c r="T429" s="1055" t="s">
        <v>316</v>
      </c>
      <c r="U429" s="1055"/>
      <c r="V429" s="1055"/>
      <c r="W429" s="1064"/>
      <c r="X429" s="1055"/>
      <c r="Y429" s="1055"/>
      <c r="Z429" s="1055"/>
      <c r="AA429" s="1138"/>
      <c r="AB429" s="1055"/>
      <c r="AC429" s="1139"/>
      <c r="AD429" s="1139"/>
      <c r="AE429" s="1155">
        <f t="shared" si="13"/>
        <v>36750</v>
      </c>
      <c r="AF429" s="525">
        <v>0</v>
      </c>
      <c r="AG429" s="1135">
        <v>15386</v>
      </c>
      <c r="AH429" s="1139">
        <f t="shared" si="12"/>
        <v>15386</v>
      </c>
      <c r="AI429" s="1055"/>
      <c r="AJ429" s="1064"/>
      <c r="AK429" s="1055"/>
      <c r="AL429" s="1133"/>
      <c r="AM429" s="1055"/>
      <c r="AN429" s="1055"/>
      <c r="AO429" s="1064"/>
      <c r="AP429" s="1137"/>
      <c r="AQ429" s="1064"/>
      <c r="AR429" s="1137"/>
      <c r="AS429" s="1055"/>
      <c r="AT429" s="1133"/>
      <c r="AU429" s="1133"/>
      <c r="AV429" s="1133"/>
      <c r="AW429" s="1133"/>
      <c r="AX429" s="1133"/>
      <c r="AY429" s="1133"/>
      <c r="AZ429" s="1133"/>
      <c r="BA429" s="1133"/>
      <c r="BB429" s="1133"/>
      <c r="BC429" s="1133"/>
      <c r="BD429" s="1133"/>
      <c r="BE429" s="1480"/>
      <c r="BF429" s="1480"/>
      <c r="BG429" s="1480"/>
      <c r="BH429" s="1480"/>
      <c r="BI429" s="1480"/>
      <c r="BJ429" s="1480"/>
    </row>
    <row r="430" spans="1:62" s="629" customFormat="1" ht="45" customHeight="1" x14ac:dyDescent="0.2">
      <c r="A430" s="1514">
        <v>198</v>
      </c>
      <c r="B430" s="636" t="s">
        <v>4521</v>
      </c>
      <c r="C430" s="1055" t="s">
        <v>1360</v>
      </c>
      <c r="D430" s="1055" t="s">
        <v>1548</v>
      </c>
      <c r="E430" s="1055" t="s">
        <v>584</v>
      </c>
      <c r="F430" s="1055" t="s">
        <v>4500</v>
      </c>
      <c r="G430" s="1133">
        <v>11049</v>
      </c>
      <c r="H430" s="1055" t="s">
        <v>4522</v>
      </c>
      <c r="I430" s="1055" t="s">
        <v>4523</v>
      </c>
      <c r="J430" s="1055" t="s">
        <v>4524</v>
      </c>
      <c r="K430" s="1137">
        <v>41801</v>
      </c>
      <c r="L430" s="1148">
        <v>7647</v>
      </c>
      <c r="M430" s="1064">
        <v>11090</v>
      </c>
      <c r="N430" s="1134">
        <v>41801</v>
      </c>
      <c r="O430" s="1134">
        <v>41831</v>
      </c>
      <c r="P430" s="1133">
        <v>1</v>
      </c>
      <c r="Q430" s="1055"/>
      <c r="R430" s="1055"/>
      <c r="S430" s="1055"/>
      <c r="T430" s="1055" t="s">
        <v>208</v>
      </c>
      <c r="U430" s="1055"/>
      <c r="V430" s="1055"/>
      <c r="W430" s="1064"/>
      <c r="X430" s="1055"/>
      <c r="Y430" s="1055"/>
      <c r="Z430" s="1055"/>
      <c r="AA430" s="1138"/>
      <c r="AB430" s="1055"/>
      <c r="AC430" s="1139"/>
      <c r="AD430" s="1139"/>
      <c r="AE430" s="1155">
        <f t="shared" si="13"/>
        <v>7647</v>
      </c>
      <c r="AF430" s="525">
        <v>0</v>
      </c>
      <c r="AG430" s="525">
        <v>0</v>
      </c>
      <c r="AH430" s="1139">
        <f t="shared" si="12"/>
        <v>0</v>
      </c>
      <c r="AI430" s="1055"/>
      <c r="AJ430" s="1064"/>
      <c r="AK430" s="1055"/>
      <c r="AL430" s="1133"/>
      <c r="AM430" s="1055"/>
      <c r="AN430" s="1055"/>
      <c r="AO430" s="1064"/>
      <c r="AP430" s="1137"/>
      <c r="AQ430" s="1064"/>
      <c r="AR430" s="1137"/>
      <c r="AS430" s="1055"/>
      <c r="AT430" s="1133"/>
      <c r="AU430" s="1133"/>
      <c r="AV430" s="1133"/>
      <c r="AW430" s="1133"/>
      <c r="AX430" s="1133"/>
      <c r="AY430" s="1133"/>
      <c r="AZ430" s="1133"/>
      <c r="BA430" s="1133"/>
      <c r="BB430" s="1133"/>
      <c r="BC430" s="1133"/>
      <c r="BD430" s="1133"/>
      <c r="BE430" s="1480"/>
      <c r="BF430" s="1480"/>
      <c r="BG430" s="1480"/>
      <c r="BH430" s="1480"/>
      <c r="BI430" s="1480"/>
      <c r="BJ430" s="1480"/>
    </row>
    <row r="431" spans="1:62" s="629" customFormat="1" ht="45" customHeight="1" x14ac:dyDescent="0.2">
      <c r="A431" s="1514">
        <v>199</v>
      </c>
      <c r="B431" s="636" t="s">
        <v>4521</v>
      </c>
      <c r="C431" s="1055" t="s">
        <v>1360</v>
      </c>
      <c r="D431" s="1055" t="s">
        <v>1331</v>
      </c>
      <c r="E431" s="1055" t="s">
        <v>584</v>
      </c>
      <c r="F431" s="1055" t="s">
        <v>4500</v>
      </c>
      <c r="G431" s="1133">
        <v>11049</v>
      </c>
      <c r="H431" s="1055" t="s">
        <v>4525</v>
      </c>
      <c r="I431" s="1055" t="s">
        <v>4526</v>
      </c>
      <c r="J431" s="1055" t="s">
        <v>1952</v>
      </c>
      <c r="K431" s="1137">
        <v>41801</v>
      </c>
      <c r="L431" s="1148">
        <v>6840</v>
      </c>
      <c r="M431" s="1064">
        <v>10813</v>
      </c>
      <c r="N431" s="1134">
        <v>407043</v>
      </c>
      <c r="O431" s="1134">
        <v>41831</v>
      </c>
      <c r="P431" s="1133">
        <v>1</v>
      </c>
      <c r="Q431" s="1055"/>
      <c r="R431" s="1055"/>
      <c r="S431" s="1055"/>
      <c r="T431" s="1055" t="s">
        <v>208</v>
      </c>
      <c r="U431" s="1146"/>
      <c r="V431" s="1055"/>
      <c r="W431" s="1064"/>
      <c r="X431" s="1146"/>
      <c r="Y431" s="1055"/>
      <c r="Z431" s="1055"/>
      <c r="AA431" s="1138"/>
      <c r="AB431" s="1055"/>
      <c r="AC431" s="1139"/>
      <c r="AD431" s="1139"/>
      <c r="AE431" s="1155">
        <f t="shared" si="13"/>
        <v>6840</v>
      </c>
      <c r="AF431" s="525">
        <v>0</v>
      </c>
      <c r="AG431" s="1135">
        <v>0</v>
      </c>
      <c r="AH431" s="1139">
        <f t="shared" si="12"/>
        <v>0</v>
      </c>
      <c r="AI431" s="1055"/>
      <c r="AJ431" s="1064"/>
      <c r="AK431" s="1055"/>
      <c r="AL431" s="1133"/>
      <c r="AM431" s="1055"/>
      <c r="AN431" s="1055"/>
      <c r="AO431" s="1064"/>
      <c r="AP431" s="1137"/>
      <c r="AQ431" s="1064"/>
      <c r="AR431" s="1137"/>
      <c r="AS431" s="1055"/>
      <c r="AT431" s="1133"/>
      <c r="AU431" s="1133"/>
      <c r="AV431" s="1133"/>
      <c r="AW431" s="1133"/>
      <c r="AX431" s="1133"/>
      <c r="AY431" s="1133"/>
      <c r="AZ431" s="1133"/>
      <c r="BA431" s="1133"/>
      <c r="BB431" s="1133"/>
      <c r="BC431" s="1133"/>
      <c r="BD431" s="1133"/>
      <c r="BE431" s="1480"/>
      <c r="BF431" s="1480"/>
      <c r="BG431" s="1480"/>
      <c r="BH431" s="1480"/>
      <c r="BI431" s="1480"/>
      <c r="BJ431" s="1480"/>
    </row>
    <row r="432" spans="1:62" s="629" customFormat="1" ht="45" customHeight="1" x14ac:dyDescent="0.2">
      <c r="A432" s="1514">
        <v>200</v>
      </c>
      <c r="B432" s="636" t="s">
        <v>4527</v>
      </c>
      <c r="C432" s="1055" t="s">
        <v>762</v>
      </c>
      <c r="D432" s="1055" t="s">
        <v>1331</v>
      </c>
      <c r="E432" s="1055" t="s">
        <v>584</v>
      </c>
      <c r="F432" s="1055" t="s">
        <v>4213</v>
      </c>
      <c r="G432" s="1133">
        <v>11069</v>
      </c>
      <c r="H432" s="1055" t="s">
        <v>4528</v>
      </c>
      <c r="I432" s="1055" t="s">
        <v>4529</v>
      </c>
      <c r="J432" s="1055" t="s">
        <v>4530</v>
      </c>
      <c r="K432" s="1137">
        <v>41792</v>
      </c>
      <c r="L432" s="1135">
        <v>7317</v>
      </c>
      <c r="M432" s="1064">
        <v>11334</v>
      </c>
      <c r="N432" s="1134">
        <v>41792</v>
      </c>
      <c r="O432" s="1134">
        <v>42004</v>
      </c>
      <c r="P432" s="1133">
        <v>1</v>
      </c>
      <c r="Q432" s="1055"/>
      <c r="R432" s="1055"/>
      <c r="S432" s="1055"/>
      <c r="T432" s="1055" t="s">
        <v>316</v>
      </c>
      <c r="U432" s="1146" t="s">
        <v>3906</v>
      </c>
      <c r="V432" s="1055"/>
      <c r="W432" s="1064">
        <v>11043</v>
      </c>
      <c r="X432" s="1146" t="s">
        <v>3955</v>
      </c>
      <c r="Y432" s="1137">
        <v>41405</v>
      </c>
      <c r="Z432" s="1137">
        <v>41466</v>
      </c>
      <c r="AA432" s="1138"/>
      <c r="AB432" s="1055"/>
      <c r="AC432" s="1139"/>
      <c r="AD432" s="1139"/>
      <c r="AE432" s="1155">
        <f t="shared" si="13"/>
        <v>7317</v>
      </c>
      <c r="AF432" s="525">
        <v>0</v>
      </c>
      <c r="AG432" s="1135">
        <v>0</v>
      </c>
      <c r="AH432" s="1139">
        <f t="shared" si="12"/>
        <v>0</v>
      </c>
      <c r="AI432" s="1055"/>
      <c r="AJ432" s="1064"/>
      <c r="AK432" s="1055"/>
      <c r="AL432" s="1133"/>
      <c r="AM432" s="1055"/>
      <c r="AN432" s="1055"/>
      <c r="AO432" s="1064"/>
      <c r="AP432" s="1137"/>
      <c r="AQ432" s="1064"/>
      <c r="AR432" s="1137"/>
      <c r="AS432" s="1055"/>
      <c r="AT432" s="1133"/>
      <c r="AU432" s="1133"/>
      <c r="AV432" s="1133"/>
      <c r="AW432" s="1133"/>
      <c r="AX432" s="1133"/>
      <c r="AY432" s="1133"/>
      <c r="AZ432" s="1133"/>
      <c r="BA432" s="1133"/>
      <c r="BB432" s="1133"/>
      <c r="BC432" s="1133"/>
      <c r="BD432" s="1133"/>
      <c r="BE432" s="1480"/>
      <c r="BF432" s="1480"/>
      <c r="BG432" s="1480"/>
      <c r="BH432" s="1480"/>
      <c r="BI432" s="1480"/>
      <c r="BJ432" s="1480"/>
    </row>
    <row r="433" spans="1:62" s="629" customFormat="1" ht="45" customHeight="1" x14ac:dyDescent="0.2">
      <c r="A433" s="1514">
        <v>201</v>
      </c>
      <c r="B433" s="636" t="s">
        <v>4527</v>
      </c>
      <c r="C433" s="1055" t="s">
        <v>762</v>
      </c>
      <c r="D433" s="1055" t="s">
        <v>1331</v>
      </c>
      <c r="E433" s="1055" t="s">
        <v>584</v>
      </c>
      <c r="F433" s="1055" t="s">
        <v>4213</v>
      </c>
      <c r="G433" s="1133">
        <v>11069</v>
      </c>
      <c r="H433" s="1055" t="s">
        <v>4531</v>
      </c>
      <c r="I433" s="1055" t="s">
        <v>4532</v>
      </c>
      <c r="J433" s="1055" t="s">
        <v>4533</v>
      </c>
      <c r="K433" s="1137">
        <v>41792</v>
      </c>
      <c r="L433" s="1148">
        <v>6132</v>
      </c>
      <c r="M433" s="1064">
        <v>11332</v>
      </c>
      <c r="N433" s="1134">
        <v>41792</v>
      </c>
      <c r="O433" s="1134">
        <v>42004</v>
      </c>
      <c r="P433" s="1133">
        <v>1</v>
      </c>
      <c r="Q433" s="1055"/>
      <c r="R433" s="1055"/>
      <c r="S433" s="1055"/>
      <c r="T433" s="1055" t="s">
        <v>316</v>
      </c>
      <c r="U433" s="1146"/>
      <c r="V433" s="1055"/>
      <c r="W433" s="1064"/>
      <c r="X433" s="1146"/>
      <c r="Y433" s="1137"/>
      <c r="Z433" s="1137"/>
      <c r="AA433" s="1138"/>
      <c r="AB433" s="1055"/>
      <c r="AC433" s="1139"/>
      <c r="AD433" s="1139"/>
      <c r="AE433" s="1155">
        <f t="shared" si="13"/>
        <v>6132</v>
      </c>
      <c r="AF433" s="525">
        <v>0</v>
      </c>
      <c r="AG433" s="1135">
        <v>0</v>
      </c>
      <c r="AH433" s="1139">
        <f t="shared" si="12"/>
        <v>0</v>
      </c>
      <c r="AI433" s="1055"/>
      <c r="AJ433" s="1064"/>
      <c r="AK433" s="1055"/>
      <c r="AL433" s="1133"/>
      <c r="AM433" s="1055"/>
      <c r="AN433" s="1055"/>
      <c r="AO433" s="1064"/>
      <c r="AP433" s="1137"/>
      <c r="AQ433" s="1064"/>
      <c r="AR433" s="1137"/>
      <c r="AS433" s="1055"/>
      <c r="AT433" s="1133"/>
      <c r="AU433" s="1133"/>
      <c r="AV433" s="1133"/>
      <c r="AW433" s="1133"/>
      <c r="AX433" s="1133"/>
      <c r="AY433" s="1133"/>
      <c r="AZ433" s="1133"/>
      <c r="BA433" s="1133"/>
      <c r="BB433" s="1133"/>
      <c r="BC433" s="1133"/>
      <c r="BD433" s="1133"/>
      <c r="BE433" s="1480"/>
      <c r="BF433" s="1480"/>
      <c r="BG433" s="1480"/>
      <c r="BH433" s="1480"/>
      <c r="BI433" s="1480"/>
      <c r="BJ433" s="1480"/>
    </row>
    <row r="434" spans="1:62" s="629" customFormat="1" ht="71.25" customHeight="1" x14ac:dyDescent="0.2">
      <c r="A434" s="1514">
        <v>202</v>
      </c>
      <c r="B434" s="636" t="s">
        <v>4534</v>
      </c>
      <c r="C434" s="1055" t="s">
        <v>1478</v>
      </c>
      <c r="D434" s="1055" t="s">
        <v>1331</v>
      </c>
      <c r="E434" s="1055" t="s">
        <v>584</v>
      </c>
      <c r="F434" s="1055" t="s">
        <v>4535</v>
      </c>
      <c r="G434" s="1064">
        <v>11014</v>
      </c>
      <c r="H434" s="1055" t="s">
        <v>4536</v>
      </c>
      <c r="I434" s="1055" t="s">
        <v>2101</v>
      </c>
      <c r="J434" s="1055" t="s">
        <v>2102</v>
      </c>
      <c r="K434" s="1137">
        <v>41810</v>
      </c>
      <c r="L434" s="1135">
        <v>19131</v>
      </c>
      <c r="M434" s="1133">
        <v>11341</v>
      </c>
      <c r="N434" s="1134">
        <v>41810</v>
      </c>
      <c r="O434" s="1134">
        <v>41855</v>
      </c>
      <c r="P434" s="1133">
        <v>16</v>
      </c>
      <c r="Q434" s="1055"/>
      <c r="R434" s="1055"/>
      <c r="S434" s="1055"/>
      <c r="T434" s="1133" t="s">
        <v>408</v>
      </c>
      <c r="U434" s="1055"/>
      <c r="V434" s="1055"/>
      <c r="W434" s="1145"/>
      <c r="X434" s="1146"/>
      <c r="Y434" s="1055"/>
      <c r="Z434" s="1055"/>
      <c r="AA434" s="1138"/>
      <c r="AB434" s="1055"/>
      <c r="AC434" s="1139"/>
      <c r="AD434" s="1139"/>
      <c r="AE434" s="1155">
        <f t="shared" si="13"/>
        <v>19131</v>
      </c>
      <c r="AF434" s="525">
        <v>0</v>
      </c>
      <c r="AG434" s="1139">
        <v>19131</v>
      </c>
      <c r="AH434" s="1139">
        <f t="shared" si="12"/>
        <v>19131</v>
      </c>
      <c r="AI434" s="1055"/>
      <c r="AJ434" s="1064"/>
      <c r="AK434" s="1055"/>
      <c r="AL434" s="1133"/>
      <c r="AM434" s="1055"/>
      <c r="AN434" s="1055"/>
      <c r="AO434" s="1064"/>
      <c r="AP434" s="1137"/>
      <c r="AQ434" s="1064"/>
      <c r="AR434" s="1137"/>
      <c r="AS434" s="1055"/>
      <c r="AT434" s="1133"/>
      <c r="AU434" s="1133"/>
      <c r="AV434" s="1133"/>
      <c r="AW434" s="1133"/>
      <c r="AX434" s="1133"/>
      <c r="AY434" s="1133"/>
      <c r="AZ434" s="1133"/>
      <c r="BA434" s="1133"/>
      <c r="BB434" s="1133"/>
      <c r="BC434" s="1133"/>
      <c r="BD434" s="1133"/>
      <c r="BE434" s="1480"/>
      <c r="BF434" s="1480"/>
      <c r="BG434" s="1480"/>
      <c r="BH434" s="1480"/>
      <c r="BI434" s="1480"/>
      <c r="BJ434" s="1480"/>
    </row>
    <row r="435" spans="1:62" s="629" customFormat="1" ht="72.75" customHeight="1" x14ac:dyDescent="0.2">
      <c r="A435" s="2365">
        <v>203</v>
      </c>
      <c r="B435" s="2361" t="s">
        <v>4534</v>
      </c>
      <c r="C435" s="2387" t="s">
        <v>1478</v>
      </c>
      <c r="D435" s="2023" t="s">
        <v>1331</v>
      </c>
      <c r="E435" s="2023" t="s">
        <v>584</v>
      </c>
      <c r="F435" s="2023" t="s">
        <v>4535</v>
      </c>
      <c r="G435" s="2006">
        <v>11014</v>
      </c>
      <c r="H435" s="2023" t="s">
        <v>4537</v>
      </c>
      <c r="I435" s="2023" t="s">
        <v>4538</v>
      </c>
      <c r="J435" s="2023" t="s">
        <v>4539</v>
      </c>
      <c r="K435" s="2347">
        <v>41810</v>
      </c>
      <c r="L435" s="2349">
        <v>36170</v>
      </c>
      <c r="M435" s="2355">
        <v>11341</v>
      </c>
      <c r="N435" s="2352">
        <v>41810</v>
      </c>
      <c r="O435" s="2352">
        <v>41855</v>
      </c>
      <c r="P435" s="2354" t="s">
        <v>3905</v>
      </c>
      <c r="Q435" s="2023"/>
      <c r="R435" s="2023"/>
      <c r="S435" s="2023"/>
      <c r="T435" s="2023" t="s">
        <v>4540</v>
      </c>
      <c r="U435" s="2023"/>
      <c r="V435" s="2023"/>
      <c r="W435" s="2373"/>
      <c r="X435" s="1146"/>
      <c r="Y435" s="1055"/>
      <c r="Z435" s="1055"/>
      <c r="AA435" s="1138"/>
      <c r="AB435" s="1055"/>
      <c r="AC435" s="1139"/>
      <c r="AD435" s="1139"/>
      <c r="AE435" s="2345">
        <f t="shared" si="13"/>
        <v>36170</v>
      </c>
      <c r="AF435" s="525">
        <v>0</v>
      </c>
      <c r="AG435" s="1139">
        <v>9700</v>
      </c>
      <c r="AH435" s="1139">
        <f t="shared" si="12"/>
        <v>9700</v>
      </c>
      <c r="AI435" s="1055"/>
      <c r="AJ435" s="1064"/>
      <c r="AK435" s="1055"/>
      <c r="AL435" s="1133"/>
      <c r="AM435" s="1055"/>
      <c r="AN435" s="1055"/>
      <c r="AO435" s="1064"/>
      <c r="AP435" s="1137"/>
      <c r="AQ435" s="1064"/>
      <c r="AR435" s="1137"/>
      <c r="AS435" s="1055"/>
      <c r="AT435" s="1133"/>
      <c r="AU435" s="1133"/>
      <c r="AV435" s="1133"/>
      <c r="AW435" s="1133"/>
      <c r="AX435" s="1133"/>
      <c r="AY435" s="1133"/>
      <c r="AZ435" s="1133"/>
      <c r="BA435" s="1133"/>
      <c r="BB435" s="1133"/>
      <c r="BC435" s="1133"/>
      <c r="BD435" s="1133"/>
      <c r="BE435" s="1480"/>
      <c r="BF435" s="1480"/>
      <c r="BG435" s="1480"/>
      <c r="BH435" s="1480"/>
      <c r="BI435" s="1480"/>
      <c r="BJ435" s="1480"/>
    </row>
    <row r="436" spans="1:62" s="629" customFormat="1" ht="12.75" x14ac:dyDescent="0.2">
      <c r="A436" s="2365"/>
      <c r="B436" s="2361"/>
      <c r="C436" s="2387"/>
      <c r="D436" s="2023"/>
      <c r="E436" s="2023"/>
      <c r="F436" s="2023"/>
      <c r="G436" s="2006"/>
      <c r="H436" s="2023"/>
      <c r="I436" s="2023"/>
      <c r="J436" s="2023"/>
      <c r="K436" s="2347"/>
      <c r="L436" s="2349"/>
      <c r="M436" s="2355"/>
      <c r="N436" s="2352"/>
      <c r="O436" s="2352"/>
      <c r="P436" s="2354"/>
      <c r="Q436" s="2023"/>
      <c r="R436" s="2023"/>
      <c r="S436" s="2023"/>
      <c r="T436" s="2023"/>
      <c r="U436" s="2023"/>
      <c r="V436" s="2023"/>
      <c r="W436" s="2373"/>
      <c r="X436" s="1146"/>
      <c r="Y436" s="1055"/>
      <c r="Z436" s="1055"/>
      <c r="AA436" s="1138"/>
      <c r="AB436" s="1055"/>
      <c r="AC436" s="1139"/>
      <c r="AD436" s="1139"/>
      <c r="AE436" s="2346"/>
      <c r="AF436" s="525">
        <v>0</v>
      </c>
      <c r="AG436" s="525">
        <v>0</v>
      </c>
      <c r="AH436" s="1139">
        <f t="shared" si="12"/>
        <v>0</v>
      </c>
      <c r="AI436" s="1055"/>
      <c r="AJ436" s="1064"/>
      <c r="AK436" s="1055"/>
      <c r="AL436" s="1133"/>
      <c r="AM436" s="1055"/>
      <c r="AN436" s="1055"/>
      <c r="AO436" s="1064"/>
      <c r="AP436" s="1137"/>
      <c r="AQ436" s="1064"/>
      <c r="AR436" s="1137"/>
      <c r="AS436" s="1055"/>
      <c r="AT436" s="1133"/>
      <c r="AU436" s="1133"/>
      <c r="AV436" s="1133"/>
      <c r="AW436" s="1133"/>
      <c r="AX436" s="1133"/>
      <c r="AY436" s="1133"/>
      <c r="AZ436" s="1133"/>
      <c r="BA436" s="1133"/>
      <c r="BB436" s="1133"/>
      <c r="BC436" s="1133"/>
      <c r="BD436" s="1133"/>
      <c r="BE436" s="1480"/>
      <c r="BF436" s="1480"/>
      <c r="BG436" s="1480"/>
      <c r="BH436" s="1480"/>
      <c r="BI436" s="1480"/>
      <c r="BJ436" s="1480"/>
    </row>
    <row r="437" spans="1:62" s="629" customFormat="1" ht="12.75" x14ac:dyDescent="0.2">
      <c r="A437" s="2365"/>
      <c r="B437" s="2361"/>
      <c r="C437" s="2387"/>
      <c r="D437" s="2023"/>
      <c r="E437" s="2023"/>
      <c r="F437" s="2023"/>
      <c r="G437" s="2006"/>
      <c r="H437" s="2023"/>
      <c r="I437" s="2023"/>
      <c r="J437" s="2023"/>
      <c r="K437" s="2347"/>
      <c r="L437" s="2349"/>
      <c r="M437" s="2355"/>
      <c r="N437" s="2352"/>
      <c r="O437" s="2352"/>
      <c r="P437" s="2354"/>
      <c r="Q437" s="2023"/>
      <c r="R437" s="2023"/>
      <c r="S437" s="2023"/>
      <c r="T437" s="2023"/>
      <c r="U437" s="2023"/>
      <c r="V437" s="2023"/>
      <c r="W437" s="2373"/>
      <c r="X437" s="1146"/>
      <c r="Y437" s="1055"/>
      <c r="Z437" s="1055"/>
      <c r="AA437" s="1138"/>
      <c r="AB437" s="1055"/>
      <c r="AC437" s="1139"/>
      <c r="AD437" s="1139"/>
      <c r="AE437" s="2346"/>
      <c r="AF437" s="525">
        <v>0</v>
      </c>
      <c r="AG437" s="525">
        <v>0</v>
      </c>
      <c r="AH437" s="1139">
        <f t="shared" si="12"/>
        <v>0</v>
      </c>
      <c r="AI437" s="1055"/>
      <c r="AJ437" s="1064"/>
      <c r="AK437" s="1055"/>
      <c r="AL437" s="1133"/>
      <c r="AM437" s="1055"/>
      <c r="AN437" s="1055"/>
      <c r="AO437" s="1064"/>
      <c r="AP437" s="1137"/>
      <c r="AQ437" s="1064"/>
      <c r="AR437" s="1137"/>
      <c r="AS437" s="1055"/>
      <c r="AT437" s="1133"/>
      <c r="AU437" s="1133"/>
      <c r="AV437" s="1133"/>
      <c r="AW437" s="1133"/>
      <c r="AX437" s="1133"/>
      <c r="AY437" s="1133"/>
      <c r="AZ437" s="1133"/>
      <c r="BA437" s="1133"/>
      <c r="BB437" s="1133"/>
      <c r="BC437" s="1133"/>
      <c r="BD437" s="1133"/>
      <c r="BE437" s="1480"/>
      <c r="BF437" s="1480"/>
      <c r="BG437" s="1480"/>
      <c r="BH437" s="1480"/>
      <c r="BI437" s="1480"/>
      <c r="BJ437" s="1480"/>
    </row>
    <row r="438" spans="1:62" s="629" customFormat="1" ht="12.75" x14ac:dyDescent="0.2">
      <c r="A438" s="2365"/>
      <c r="B438" s="2361"/>
      <c r="C438" s="2387"/>
      <c r="D438" s="2023"/>
      <c r="E438" s="2023"/>
      <c r="F438" s="2023"/>
      <c r="G438" s="2006"/>
      <c r="H438" s="2023"/>
      <c r="I438" s="2023"/>
      <c r="J438" s="2023"/>
      <c r="K438" s="2347"/>
      <c r="L438" s="2349"/>
      <c r="M438" s="2355"/>
      <c r="N438" s="2352"/>
      <c r="O438" s="2352"/>
      <c r="P438" s="1132" t="s">
        <v>4071</v>
      </c>
      <c r="Q438" s="2023"/>
      <c r="R438" s="2023"/>
      <c r="S438" s="2023"/>
      <c r="T438" s="2023"/>
      <c r="U438" s="2023"/>
      <c r="V438" s="2023"/>
      <c r="W438" s="2373"/>
      <c r="X438" s="1146"/>
      <c r="Y438" s="1055"/>
      <c r="Z438" s="1055"/>
      <c r="AA438" s="1138"/>
      <c r="AB438" s="1055"/>
      <c r="AC438" s="1139"/>
      <c r="AD438" s="1139"/>
      <c r="AE438" s="2371"/>
      <c r="AF438" s="1155"/>
      <c r="AG438" s="1139">
        <f>13250+420</f>
        <v>13670</v>
      </c>
      <c r="AH438" s="1139">
        <f t="shared" si="12"/>
        <v>13670</v>
      </c>
      <c r="AI438" s="1055"/>
      <c r="AJ438" s="1064"/>
      <c r="AK438" s="1055"/>
      <c r="AL438" s="1133"/>
      <c r="AM438" s="1055"/>
      <c r="AN438" s="1055"/>
      <c r="AO438" s="1064"/>
      <c r="AP438" s="1137"/>
      <c r="AQ438" s="1064"/>
      <c r="AR438" s="1137"/>
      <c r="AS438" s="1055"/>
      <c r="AT438" s="1133"/>
      <c r="AU438" s="1133"/>
      <c r="AV438" s="1133"/>
      <c r="AW438" s="1133"/>
      <c r="AX438" s="1133"/>
      <c r="AY438" s="1133"/>
      <c r="AZ438" s="1133"/>
      <c r="BA438" s="1133"/>
      <c r="BB438" s="1133"/>
      <c r="BC438" s="1133"/>
      <c r="BD438" s="1133"/>
      <c r="BE438" s="1480"/>
      <c r="BF438" s="1480"/>
      <c r="BG438" s="1480"/>
      <c r="BH438" s="1480"/>
      <c r="BI438" s="1480"/>
      <c r="BJ438" s="1480"/>
    </row>
    <row r="439" spans="1:62" s="629" customFormat="1" ht="71.25" customHeight="1" x14ac:dyDescent="0.2">
      <c r="A439" s="1514">
        <v>204</v>
      </c>
      <c r="B439" s="636" t="s">
        <v>4534</v>
      </c>
      <c r="C439" s="1055" t="s">
        <v>1478</v>
      </c>
      <c r="D439" s="1055" t="s">
        <v>1331</v>
      </c>
      <c r="E439" s="1055" t="s">
        <v>584</v>
      </c>
      <c r="F439" s="1055" t="s">
        <v>4535</v>
      </c>
      <c r="G439" s="1064">
        <v>11097</v>
      </c>
      <c r="H439" s="1055" t="s">
        <v>4541</v>
      </c>
      <c r="I439" s="1055" t="s">
        <v>4542</v>
      </c>
      <c r="J439" s="1055" t="s">
        <v>4543</v>
      </c>
      <c r="K439" s="1137">
        <v>41810</v>
      </c>
      <c r="L439" s="1135">
        <v>7615.4</v>
      </c>
      <c r="M439" s="1145">
        <v>11341</v>
      </c>
      <c r="N439" s="1134">
        <v>41810</v>
      </c>
      <c r="O439" s="1134">
        <v>41855</v>
      </c>
      <c r="P439" s="1132" t="s">
        <v>4071</v>
      </c>
      <c r="Q439" s="1055"/>
      <c r="R439" s="1055"/>
      <c r="S439" s="1055"/>
      <c r="T439" s="1055" t="s">
        <v>408</v>
      </c>
      <c r="U439" s="1146"/>
      <c r="V439" s="1055"/>
      <c r="W439" s="1145"/>
      <c r="X439" s="1146"/>
      <c r="Y439" s="1055"/>
      <c r="Z439" s="1055"/>
      <c r="AA439" s="1138"/>
      <c r="AB439" s="1055"/>
      <c r="AC439" s="1139"/>
      <c r="AD439" s="1139"/>
      <c r="AE439" s="1155">
        <f>L439-AD439+AC439</f>
        <v>7615.4</v>
      </c>
      <c r="AF439" s="525">
        <v>0</v>
      </c>
      <c r="AG439" s="1139">
        <v>7615.4</v>
      </c>
      <c r="AH439" s="1139">
        <f t="shared" si="12"/>
        <v>7615.4</v>
      </c>
      <c r="AI439" s="1055"/>
      <c r="AJ439" s="1064"/>
      <c r="AK439" s="1055"/>
      <c r="AL439" s="1133"/>
      <c r="AM439" s="1055"/>
      <c r="AN439" s="1055"/>
      <c r="AO439" s="1064"/>
      <c r="AP439" s="1137"/>
      <c r="AQ439" s="1064"/>
      <c r="AR439" s="1137"/>
      <c r="AS439" s="1055"/>
      <c r="AT439" s="1133"/>
      <c r="AU439" s="1133"/>
      <c r="AV439" s="1133"/>
      <c r="AW439" s="1133"/>
      <c r="AX439" s="1133"/>
      <c r="AY439" s="1133"/>
      <c r="AZ439" s="1133"/>
      <c r="BA439" s="1133"/>
      <c r="BB439" s="1133"/>
      <c r="BC439" s="1133"/>
      <c r="BD439" s="1133"/>
      <c r="BE439" s="1480"/>
      <c r="BF439" s="1480"/>
      <c r="BG439" s="1480"/>
      <c r="BH439" s="1480"/>
      <c r="BI439" s="1480"/>
      <c r="BJ439" s="1480"/>
    </row>
    <row r="440" spans="1:62" s="629" customFormat="1" ht="45" customHeight="1" x14ac:dyDescent="0.2">
      <c r="A440" s="2365">
        <v>205</v>
      </c>
      <c r="B440" s="2361" t="s">
        <v>671</v>
      </c>
      <c r="C440" s="2387" t="s">
        <v>1478</v>
      </c>
      <c r="D440" s="2023" t="s">
        <v>1331</v>
      </c>
      <c r="E440" s="2023" t="s">
        <v>584</v>
      </c>
      <c r="F440" s="2023" t="s">
        <v>4544</v>
      </c>
      <c r="G440" s="2373">
        <v>11097</v>
      </c>
      <c r="H440" s="2023" t="s">
        <v>4545</v>
      </c>
      <c r="I440" s="2023" t="s">
        <v>4546</v>
      </c>
      <c r="J440" s="2023" t="s">
        <v>900</v>
      </c>
      <c r="K440" s="2347">
        <v>41810</v>
      </c>
      <c r="L440" s="2349">
        <v>38100</v>
      </c>
      <c r="M440" s="2006">
        <v>11341</v>
      </c>
      <c r="N440" s="2352">
        <v>41810</v>
      </c>
      <c r="O440" s="2352">
        <v>41856</v>
      </c>
      <c r="P440" s="2354" t="s">
        <v>3905</v>
      </c>
      <c r="Q440" s="2023"/>
      <c r="R440" s="2023"/>
      <c r="S440" s="2023"/>
      <c r="T440" s="2023" t="s">
        <v>408</v>
      </c>
      <c r="U440" s="2367"/>
      <c r="V440" s="2023"/>
      <c r="W440" s="2006"/>
      <c r="X440" s="1146"/>
      <c r="Y440" s="1137"/>
      <c r="Z440" s="1137"/>
      <c r="AA440" s="1138"/>
      <c r="AB440" s="1055"/>
      <c r="AC440" s="1139"/>
      <c r="AD440" s="1139"/>
      <c r="AE440" s="2345">
        <f>L440-AD440+AC440</f>
        <v>38100</v>
      </c>
      <c r="AF440" s="525">
        <v>0</v>
      </c>
      <c r="AG440" s="1135">
        <v>14070</v>
      </c>
      <c r="AH440" s="1139">
        <f t="shared" si="12"/>
        <v>14070</v>
      </c>
      <c r="AI440" s="1055"/>
      <c r="AJ440" s="1064"/>
      <c r="AK440" s="1055"/>
      <c r="AL440" s="1133"/>
      <c r="AM440" s="1055"/>
      <c r="AN440" s="1055"/>
      <c r="AO440" s="1064"/>
      <c r="AP440" s="1137"/>
      <c r="AQ440" s="1064"/>
      <c r="AR440" s="1137"/>
      <c r="AS440" s="1055"/>
      <c r="AT440" s="1133"/>
      <c r="AU440" s="1133"/>
      <c r="AV440" s="1133"/>
      <c r="AW440" s="1133"/>
      <c r="AX440" s="1133"/>
      <c r="AY440" s="1133"/>
      <c r="AZ440" s="1133"/>
      <c r="BA440" s="1133"/>
      <c r="BB440" s="1133"/>
      <c r="BC440" s="1133"/>
      <c r="BD440" s="1133"/>
      <c r="BE440" s="1480"/>
      <c r="BF440" s="1480"/>
      <c r="BG440" s="1480"/>
      <c r="BH440" s="1480"/>
      <c r="BI440" s="1480"/>
      <c r="BJ440" s="1480"/>
    </row>
    <row r="441" spans="1:62" s="629" customFormat="1" ht="25.5" customHeight="1" x14ac:dyDescent="0.2">
      <c r="A441" s="2365"/>
      <c r="B441" s="2361"/>
      <c r="C441" s="2387"/>
      <c r="D441" s="2023"/>
      <c r="E441" s="2023"/>
      <c r="F441" s="2023"/>
      <c r="G441" s="2373"/>
      <c r="H441" s="2023"/>
      <c r="I441" s="2023"/>
      <c r="J441" s="2023"/>
      <c r="K441" s="2347"/>
      <c r="L441" s="2349"/>
      <c r="M441" s="2006"/>
      <c r="N441" s="2352"/>
      <c r="O441" s="2352"/>
      <c r="P441" s="2354"/>
      <c r="Q441" s="2023"/>
      <c r="R441" s="2023"/>
      <c r="S441" s="2023"/>
      <c r="T441" s="2023"/>
      <c r="U441" s="2367"/>
      <c r="V441" s="2023"/>
      <c r="W441" s="2006"/>
      <c r="X441" s="1146"/>
      <c r="Y441" s="1137"/>
      <c r="Z441" s="1137"/>
      <c r="AA441" s="1138"/>
      <c r="AB441" s="1055"/>
      <c r="AC441" s="1139"/>
      <c r="AD441" s="1139"/>
      <c r="AE441" s="2346"/>
      <c r="AF441" s="525">
        <v>0</v>
      </c>
      <c r="AG441" s="525">
        <v>0</v>
      </c>
      <c r="AH441" s="1139">
        <f t="shared" si="12"/>
        <v>0</v>
      </c>
      <c r="AI441" s="1055"/>
      <c r="AJ441" s="1064"/>
      <c r="AK441" s="1055"/>
      <c r="AL441" s="1133"/>
      <c r="AM441" s="1055"/>
      <c r="AN441" s="1055"/>
      <c r="AO441" s="1064"/>
      <c r="AP441" s="1137"/>
      <c r="AQ441" s="1064"/>
      <c r="AR441" s="1137"/>
      <c r="AS441" s="1055"/>
      <c r="AT441" s="1133"/>
      <c r="AU441" s="1133"/>
      <c r="AV441" s="1133"/>
      <c r="AW441" s="1133"/>
      <c r="AX441" s="1133"/>
      <c r="AY441" s="1133"/>
      <c r="AZ441" s="1133"/>
      <c r="BA441" s="1133"/>
      <c r="BB441" s="1133"/>
      <c r="BC441" s="1133"/>
      <c r="BD441" s="1133"/>
      <c r="BE441" s="1480"/>
      <c r="BF441" s="1480"/>
      <c r="BG441" s="1480"/>
      <c r="BH441" s="1480"/>
      <c r="BI441" s="1480"/>
      <c r="BJ441" s="1480"/>
    </row>
    <row r="442" spans="1:62" s="629" customFormat="1" ht="12.75" x14ac:dyDescent="0.2">
      <c r="A442" s="2365"/>
      <c r="B442" s="2361"/>
      <c r="C442" s="2387"/>
      <c r="D442" s="2023"/>
      <c r="E442" s="2023"/>
      <c r="F442" s="2023"/>
      <c r="G442" s="2373"/>
      <c r="H442" s="2023"/>
      <c r="I442" s="2023"/>
      <c r="J442" s="2023"/>
      <c r="K442" s="2347"/>
      <c r="L442" s="2349"/>
      <c r="M442" s="2006"/>
      <c r="N442" s="2352"/>
      <c r="O442" s="2352"/>
      <c r="P442" s="1132" t="s">
        <v>4071</v>
      </c>
      <c r="Q442" s="2023"/>
      <c r="R442" s="2023"/>
      <c r="S442" s="2023"/>
      <c r="T442" s="2023"/>
      <c r="U442" s="2367"/>
      <c r="V442" s="2023"/>
      <c r="W442" s="2006"/>
      <c r="X442" s="1146"/>
      <c r="Y442" s="1137"/>
      <c r="Z442" s="1137"/>
      <c r="AA442" s="1138"/>
      <c r="AB442" s="1055"/>
      <c r="AC442" s="1139"/>
      <c r="AD442" s="1139"/>
      <c r="AE442" s="2371"/>
      <c r="AF442" s="525">
        <v>0</v>
      </c>
      <c r="AG442" s="1135">
        <v>24030</v>
      </c>
      <c r="AH442" s="1139">
        <f t="shared" si="12"/>
        <v>24030</v>
      </c>
      <c r="AI442" s="1055"/>
      <c r="AJ442" s="1064"/>
      <c r="AK442" s="1055"/>
      <c r="AL442" s="1133"/>
      <c r="AM442" s="1055"/>
      <c r="AN442" s="1055"/>
      <c r="AO442" s="1064"/>
      <c r="AP442" s="1137"/>
      <c r="AQ442" s="1064"/>
      <c r="AR442" s="1137"/>
      <c r="AS442" s="1055"/>
      <c r="AT442" s="1133"/>
      <c r="AU442" s="1133"/>
      <c r="AV442" s="1133"/>
      <c r="AW442" s="1133"/>
      <c r="AX442" s="1133"/>
      <c r="AY442" s="1133"/>
      <c r="AZ442" s="1133"/>
      <c r="BA442" s="1133"/>
      <c r="BB442" s="1133"/>
      <c r="BC442" s="1133"/>
      <c r="BD442" s="1133"/>
      <c r="BE442" s="1480"/>
      <c r="BF442" s="1480"/>
      <c r="BG442" s="1480"/>
      <c r="BH442" s="1480"/>
      <c r="BI442" s="1480"/>
      <c r="BJ442" s="1480"/>
    </row>
    <row r="443" spans="1:62" s="629" customFormat="1" ht="45" customHeight="1" x14ac:dyDescent="0.2">
      <c r="A443" s="1514">
        <v>206</v>
      </c>
      <c r="B443" s="636" t="s">
        <v>4547</v>
      </c>
      <c r="C443" s="1144" t="s">
        <v>4548</v>
      </c>
      <c r="D443" s="1055" t="s">
        <v>1548</v>
      </c>
      <c r="E443" s="1055" t="s">
        <v>584</v>
      </c>
      <c r="F443" s="1055" t="s">
        <v>4549</v>
      </c>
      <c r="G443" s="1145">
        <v>11190</v>
      </c>
      <c r="H443" s="1055" t="s">
        <v>4550</v>
      </c>
      <c r="I443" s="1055" t="s">
        <v>4551</v>
      </c>
      <c r="J443" s="1055" t="s">
        <v>4552</v>
      </c>
      <c r="K443" s="1137">
        <v>41859</v>
      </c>
      <c r="L443" s="1135">
        <v>7580</v>
      </c>
      <c r="M443" s="1064">
        <v>11370</v>
      </c>
      <c r="N443" s="1134">
        <v>41859</v>
      </c>
      <c r="O443" s="1134">
        <v>42224</v>
      </c>
      <c r="P443" s="1132" t="s">
        <v>3905</v>
      </c>
      <c r="Q443" s="1055"/>
      <c r="R443" s="1055"/>
      <c r="S443" s="1055"/>
      <c r="T443" s="1055" t="s">
        <v>316</v>
      </c>
      <c r="U443" s="1146"/>
      <c r="V443" s="1055"/>
      <c r="W443" s="1064"/>
      <c r="X443" s="1146"/>
      <c r="Y443" s="1137"/>
      <c r="Z443" s="1137"/>
      <c r="AA443" s="1138"/>
      <c r="AB443" s="1055"/>
      <c r="AC443" s="1139"/>
      <c r="AD443" s="1139"/>
      <c r="AE443" s="1155">
        <f t="shared" ref="AE443:AE449" si="14">L443-AD443+AC443</f>
        <v>7580</v>
      </c>
      <c r="AF443" s="525">
        <v>0</v>
      </c>
      <c r="AG443" s="1135">
        <v>7580</v>
      </c>
      <c r="AH443" s="1139">
        <f t="shared" si="12"/>
        <v>7580</v>
      </c>
      <c r="AI443" s="1055"/>
      <c r="AJ443" s="1064"/>
      <c r="AK443" s="1055"/>
      <c r="AL443" s="1133"/>
      <c r="AM443" s="1055"/>
      <c r="AN443" s="1055"/>
      <c r="AO443" s="1064"/>
      <c r="AP443" s="1137"/>
      <c r="AQ443" s="1064"/>
      <c r="AR443" s="1137"/>
      <c r="AS443" s="1055"/>
      <c r="AT443" s="1133"/>
      <c r="AU443" s="1133"/>
      <c r="AV443" s="1133"/>
      <c r="AW443" s="1133"/>
      <c r="AX443" s="1133"/>
      <c r="AY443" s="1133"/>
      <c r="AZ443" s="1133"/>
      <c r="BA443" s="1133"/>
      <c r="BB443" s="1133"/>
      <c r="BC443" s="1133"/>
      <c r="BD443" s="1133"/>
      <c r="BE443" s="1480"/>
      <c r="BF443" s="1480"/>
      <c r="BG443" s="1480"/>
      <c r="BH443" s="1480"/>
      <c r="BI443" s="1480"/>
      <c r="BJ443" s="1480"/>
    </row>
    <row r="444" spans="1:62" s="629" customFormat="1" ht="45" customHeight="1" x14ac:dyDescent="0.2">
      <c r="A444" s="1514">
        <v>207</v>
      </c>
      <c r="B444" s="636" t="s">
        <v>4229</v>
      </c>
      <c r="C444" s="1144" t="s">
        <v>4230</v>
      </c>
      <c r="D444" s="1055" t="s">
        <v>1548</v>
      </c>
      <c r="E444" s="1055" t="s">
        <v>584</v>
      </c>
      <c r="F444" s="1055" t="s">
        <v>4213</v>
      </c>
      <c r="G444" s="1145">
        <v>11174</v>
      </c>
      <c r="H444" s="1055" t="s">
        <v>4553</v>
      </c>
      <c r="I444" s="1055" t="s">
        <v>4554</v>
      </c>
      <c r="J444" s="1055" t="s">
        <v>4233</v>
      </c>
      <c r="K444" s="1137">
        <v>41870</v>
      </c>
      <c r="L444" s="1135">
        <v>12159.5</v>
      </c>
      <c r="M444" s="1064">
        <v>11384</v>
      </c>
      <c r="N444" s="1134">
        <v>41870</v>
      </c>
      <c r="O444" s="1134">
        <v>42004</v>
      </c>
      <c r="P444" s="1132" t="s">
        <v>3905</v>
      </c>
      <c r="Q444" s="1055"/>
      <c r="R444" s="1055"/>
      <c r="S444" s="1055"/>
      <c r="T444" s="1055" t="s">
        <v>316</v>
      </c>
      <c r="U444" s="1146"/>
      <c r="V444" s="1055"/>
      <c r="W444" s="1064"/>
      <c r="X444" s="1146"/>
      <c r="Y444" s="1137"/>
      <c r="Z444" s="1137"/>
      <c r="AA444" s="1138"/>
      <c r="AB444" s="1055"/>
      <c r="AC444" s="1139"/>
      <c r="AD444" s="1139"/>
      <c r="AE444" s="1155">
        <f t="shared" si="14"/>
        <v>12159.5</v>
      </c>
      <c r="AF444" s="525">
        <v>0</v>
      </c>
      <c r="AG444" s="1135">
        <v>0</v>
      </c>
      <c r="AH444" s="1139">
        <f t="shared" si="12"/>
        <v>0</v>
      </c>
      <c r="AI444" s="1055"/>
      <c r="AJ444" s="1064"/>
      <c r="AK444" s="1055"/>
      <c r="AL444" s="1133"/>
      <c r="AM444" s="1055"/>
      <c r="AN444" s="1055"/>
      <c r="AO444" s="1064"/>
      <c r="AP444" s="1137"/>
      <c r="AQ444" s="1064"/>
      <c r="AR444" s="1137"/>
      <c r="AS444" s="1055"/>
      <c r="AT444" s="1133"/>
      <c r="AU444" s="1133"/>
      <c r="AV444" s="1133"/>
      <c r="AW444" s="1133"/>
      <c r="AX444" s="1133"/>
      <c r="AY444" s="1133"/>
      <c r="AZ444" s="1133"/>
      <c r="BA444" s="1133"/>
      <c r="BB444" s="1133"/>
      <c r="BC444" s="1133"/>
      <c r="BD444" s="1133"/>
      <c r="BE444" s="1480"/>
      <c r="BF444" s="1480"/>
      <c r="BG444" s="1480"/>
      <c r="BH444" s="1480"/>
      <c r="BI444" s="1480"/>
      <c r="BJ444" s="1480"/>
    </row>
    <row r="445" spans="1:62" s="629" customFormat="1" ht="45" customHeight="1" x14ac:dyDescent="0.2">
      <c r="A445" s="1514">
        <v>208</v>
      </c>
      <c r="B445" s="636" t="s">
        <v>4229</v>
      </c>
      <c r="C445" s="1144" t="s">
        <v>4230</v>
      </c>
      <c r="D445" s="1055" t="s">
        <v>1548</v>
      </c>
      <c r="E445" s="1055" t="s">
        <v>584</v>
      </c>
      <c r="F445" s="1055" t="s">
        <v>4555</v>
      </c>
      <c r="G445" s="1145">
        <v>11174</v>
      </c>
      <c r="H445" s="1055" t="s">
        <v>4556</v>
      </c>
      <c r="I445" s="1055" t="s">
        <v>4232</v>
      </c>
      <c r="J445" s="1055" t="s">
        <v>4233</v>
      </c>
      <c r="K445" s="1137">
        <v>41870</v>
      </c>
      <c r="L445" s="1135">
        <v>4860</v>
      </c>
      <c r="M445" s="1064">
        <v>11384</v>
      </c>
      <c r="N445" s="1134">
        <v>41870</v>
      </c>
      <c r="O445" s="1134">
        <v>42004</v>
      </c>
      <c r="P445" s="1132" t="s">
        <v>3905</v>
      </c>
      <c r="Q445" s="1055"/>
      <c r="R445" s="1055"/>
      <c r="S445" s="1055"/>
      <c r="T445" s="1055" t="s">
        <v>316</v>
      </c>
      <c r="U445" s="1146"/>
      <c r="V445" s="1055"/>
      <c r="W445" s="1064"/>
      <c r="X445" s="1146"/>
      <c r="Y445" s="1137"/>
      <c r="Z445" s="1137"/>
      <c r="AA445" s="1138"/>
      <c r="AB445" s="1055"/>
      <c r="AC445" s="1139"/>
      <c r="AD445" s="1139"/>
      <c r="AE445" s="1155">
        <f t="shared" si="14"/>
        <v>4860</v>
      </c>
      <c r="AF445" s="525">
        <v>0</v>
      </c>
      <c r="AG445" s="1135">
        <v>0</v>
      </c>
      <c r="AH445" s="1139">
        <f t="shared" si="12"/>
        <v>0</v>
      </c>
      <c r="AI445" s="1055"/>
      <c r="AJ445" s="1064"/>
      <c r="AK445" s="1055"/>
      <c r="AL445" s="1133"/>
      <c r="AM445" s="1055"/>
      <c r="AN445" s="1055"/>
      <c r="AO445" s="1064"/>
      <c r="AP445" s="1137"/>
      <c r="AQ445" s="1064"/>
      <c r="AR445" s="1137"/>
      <c r="AS445" s="1055"/>
      <c r="AT445" s="1133"/>
      <c r="AU445" s="1133"/>
      <c r="AV445" s="1133"/>
      <c r="AW445" s="1133"/>
      <c r="AX445" s="1133"/>
      <c r="AY445" s="1133"/>
      <c r="AZ445" s="1133"/>
      <c r="BA445" s="1133"/>
      <c r="BB445" s="1133"/>
      <c r="BC445" s="1133"/>
      <c r="BD445" s="1133"/>
      <c r="BE445" s="1480"/>
      <c r="BF445" s="1480"/>
      <c r="BG445" s="1480"/>
      <c r="BH445" s="1480"/>
      <c r="BI445" s="1480"/>
      <c r="BJ445" s="1480"/>
    </row>
    <row r="446" spans="1:62" s="629" customFormat="1" ht="45" customHeight="1" x14ac:dyDescent="0.2">
      <c r="A446" s="1514">
        <v>209</v>
      </c>
      <c r="B446" s="636" t="s">
        <v>2369</v>
      </c>
      <c r="C446" s="1144" t="s">
        <v>1804</v>
      </c>
      <c r="D446" s="1055" t="s">
        <v>1548</v>
      </c>
      <c r="E446" s="1055" t="s">
        <v>584</v>
      </c>
      <c r="F446" s="1055" t="s">
        <v>4555</v>
      </c>
      <c r="G446" s="1145">
        <v>11357</v>
      </c>
      <c r="H446" s="1055" t="s">
        <v>4557</v>
      </c>
      <c r="I446" s="1055" t="s">
        <v>4558</v>
      </c>
      <c r="J446" s="1055" t="s">
        <v>4134</v>
      </c>
      <c r="K446" s="1137">
        <v>41871</v>
      </c>
      <c r="L446" s="1148">
        <v>132532.20000000001</v>
      </c>
      <c r="M446" s="1147">
        <v>11387</v>
      </c>
      <c r="N446" s="1134">
        <v>41871</v>
      </c>
      <c r="O446" s="1134">
        <v>42004</v>
      </c>
      <c r="P446" s="1132" t="s">
        <v>4071</v>
      </c>
      <c r="Q446" s="1055"/>
      <c r="R446" s="1055"/>
      <c r="S446" s="1055"/>
      <c r="T446" s="1055" t="s">
        <v>316</v>
      </c>
      <c r="U446" s="1146"/>
      <c r="V446" s="1055"/>
      <c r="W446" s="1064"/>
      <c r="X446" s="1146"/>
      <c r="Y446" s="1137"/>
      <c r="Z446" s="1137"/>
      <c r="AA446" s="1138"/>
      <c r="AB446" s="1055"/>
      <c r="AC446" s="1139"/>
      <c r="AD446" s="1139"/>
      <c r="AE446" s="1155">
        <f t="shared" si="14"/>
        <v>132532.20000000001</v>
      </c>
      <c r="AF446" s="525">
        <v>0</v>
      </c>
      <c r="AG446" s="1148">
        <f>915.6+14698.8+2124.2+36.6+17872.8+14796.4+11964+9156+2978.8+11768.8+1465</f>
        <v>87777</v>
      </c>
      <c r="AH446" s="1139">
        <f t="shared" si="12"/>
        <v>87777</v>
      </c>
      <c r="AI446" s="1055"/>
      <c r="AJ446" s="1064"/>
      <c r="AK446" s="1055"/>
      <c r="AL446" s="1133"/>
      <c r="AM446" s="1055"/>
      <c r="AN446" s="1055"/>
      <c r="AO446" s="1064"/>
      <c r="AP446" s="1137"/>
      <c r="AQ446" s="1064"/>
      <c r="AR446" s="1137"/>
      <c r="AS446" s="1055"/>
      <c r="AT446" s="1133"/>
      <c r="AU446" s="1133"/>
      <c r="AV446" s="1133"/>
      <c r="AW446" s="1133"/>
      <c r="AX446" s="1133"/>
      <c r="AY446" s="1133"/>
      <c r="AZ446" s="1133"/>
      <c r="BA446" s="1133"/>
      <c r="BB446" s="1133"/>
      <c r="BC446" s="1133"/>
      <c r="BD446" s="1133"/>
      <c r="BE446" s="1480"/>
      <c r="BF446" s="1480"/>
      <c r="BG446" s="1480"/>
      <c r="BH446" s="1480"/>
      <c r="BI446" s="1480"/>
      <c r="BJ446" s="1480"/>
    </row>
    <row r="447" spans="1:62" s="629" customFormat="1" ht="45" customHeight="1" x14ac:dyDescent="0.2">
      <c r="A447" s="1514">
        <v>210</v>
      </c>
      <c r="B447" s="636" t="s">
        <v>1982</v>
      </c>
      <c r="C447" s="1144" t="s">
        <v>4559</v>
      </c>
      <c r="D447" s="1055" t="s">
        <v>1548</v>
      </c>
      <c r="E447" s="1055" t="s">
        <v>584</v>
      </c>
      <c r="F447" s="1055" t="s">
        <v>4560</v>
      </c>
      <c r="G447" s="1145">
        <v>11370</v>
      </c>
      <c r="H447" s="1055" t="s">
        <v>4561</v>
      </c>
      <c r="I447" s="1055" t="s">
        <v>4562</v>
      </c>
      <c r="J447" s="1055" t="s">
        <v>4472</v>
      </c>
      <c r="K447" s="1137">
        <v>41864</v>
      </c>
      <c r="L447" s="1148">
        <v>42544.800000000003</v>
      </c>
      <c r="M447" s="1147">
        <v>11390</v>
      </c>
      <c r="N447" s="1134">
        <v>41864</v>
      </c>
      <c r="O447" s="1134">
        <v>42004</v>
      </c>
      <c r="P447" s="1132" t="s">
        <v>3905</v>
      </c>
      <c r="Q447" s="1055"/>
      <c r="R447" s="1055"/>
      <c r="S447" s="1055"/>
      <c r="T447" s="1055" t="s">
        <v>158</v>
      </c>
      <c r="U447" s="1146"/>
      <c r="V447" s="1055"/>
      <c r="W447" s="1064"/>
      <c r="X447" s="1146"/>
      <c r="Y447" s="1137"/>
      <c r="Z447" s="1137"/>
      <c r="AA447" s="1138"/>
      <c r="AB447" s="1055"/>
      <c r="AC447" s="1139"/>
      <c r="AD447" s="1139"/>
      <c r="AE447" s="1155">
        <f t="shared" si="14"/>
        <v>42544.800000000003</v>
      </c>
      <c r="AF447" s="525">
        <v>0</v>
      </c>
      <c r="AG447" s="1148">
        <f>2007.19+8620.92+7445.34+7445.34</f>
        <v>25518.79</v>
      </c>
      <c r="AH447" s="1139">
        <f t="shared" si="12"/>
        <v>25518.79</v>
      </c>
      <c r="AI447" s="1055"/>
      <c r="AJ447" s="1064"/>
      <c r="AK447" s="1055"/>
      <c r="AL447" s="1133"/>
      <c r="AM447" s="1055"/>
      <c r="AN447" s="1055"/>
      <c r="AO447" s="1064"/>
      <c r="AP447" s="1137"/>
      <c r="AQ447" s="1064"/>
      <c r="AR447" s="1137"/>
      <c r="AS447" s="1055"/>
      <c r="AT447" s="1133"/>
      <c r="AU447" s="1133"/>
      <c r="AV447" s="1133"/>
      <c r="AW447" s="1133"/>
      <c r="AX447" s="1133"/>
      <c r="AY447" s="1133"/>
      <c r="AZ447" s="1133"/>
      <c r="BA447" s="1133"/>
      <c r="BB447" s="1133"/>
      <c r="BC447" s="1133"/>
      <c r="BD447" s="1133"/>
      <c r="BE447" s="1480"/>
      <c r="BF447" s="1480"/>
      <c r="BG447" s="1480"/>
      <c r="BH447" s="1480"/>
      <c r="BI447" s="1480"/>
      <c r="BJ447" s="1480"/>
    </row>
    <row r="448" spans="1:62" s="629" customFormat="1" ht="45" customHeight="1" x14ac:dyDescent="0.2">
      <c r="A448" s="1514">
        <v>211</v>
      </c>
      <c r="B448" s="636" t="s">
        <v>1982</v>
      </c>
      <c r="C448" s="1144" t="s">
        <v>4559</v>
      </c>
      <c r="D448" s="1055" t="s">
        <v>1548</v>
      </c>
      <c r="E448" s="1055" t="s">
        <v>584</v>
      </c>
      <c r="F448" s="1055" t="s">
        <v>4563</v>
      </c>
      <c r="G448" s="1064">
        <v>11370</v>
      </c>
      <c r="H448" s="1146" t="s">
        <v>4564</v>
      </c>
      <c r="I448" s="1055" t="s">
        <v>4565</v>
      </c>
      <c r="J448" s="1055" t="s">
        <v>4566</v>
      </c>
      <c r="K448" s="1137">
        <v>41864</v>
      </c>
      <c r="L448" s="1148">
        <v>37094.400000000001</v>
      </c>
      <c r="M448" s="1147">
        <v>11390</v>
      </c>
      <c r="N448" s="1134">
        <v>41864</v>
      </c>
      <c r="O448" s="1134">
        <v>42004</v>
      </c>
      <c r="P448" s="1132" t="s">
        <v>3905</v>
      </c>
      <c r="Q448" s="1055"/>
      <c r="R448" s="1055"/>
      <c r="S448" s="1055"/>
      <c r="T448" s="1055" t="s">
        <v>158</v>
      </c>
      <c r="U448" s="1146"/>
      <c r="V448" s="1055"/>
      <c r="W448" s="1064"/>
      <c r="X448" s="1146"/>
      <c r="Y448" s="1137"/>
      <c r="Z448" s="1137"/>
      <c r="AA448" s="1138"/>
      <c r="AB448" s="1055"/>
      <c r="AC448" s="1139"/>
      <c r="AD448" s="1139"/>
      <c r="AE448" s="1155">
        <f t="shared" si="14"/>
        <v>37094.400000000001</v>
      </c>
      <c r="AF448" s="525">
        <v>0</v>
      </c>
      <c r="AG448" s="1148">
        <v>25347.84</v>
      </c>
      <c r="AH448" s="1139">
        <f t="shared" si="12"/>
        <v>25347.84</v>
      </c>
      <c r="AI448" s="1055"/>
      <c r="AJ448" s="1064"/>
      <c r="AK448" s="1055"/>
      <c r="AL448" s="1133"/>
      <c r="AM448" s="1055"/>
      <c r="AN448" s="1055"/>
      <c r="AO448" s="1064"/>
      <c r="AP448" s="1137"/>
      <c r="AQ448" s="1064"/>
      <c r="AR448" s="1137"/>
      <c r="AS448" s="1055"/>
      <c r="AT448" s="1133"/>
      <c r="AU448" s="1133"/>
      <c r="AV448" s="1133"/>
      <c r="AW448" s="1133"/>
      <c r="AX448" s="1133"/>
      <c r="AY448" s="1133"/>
      <c r="AZ448" s="1133"/>
      <c r="BA448" s="1133"/>
      <c r="BB448" s="1133"/>
      <c r="BC448" s="1133"/>
      <c r="BD448" s="1133"/>
      <c r="BE448" s="1480"/>
      <c r="BF448" s="1480"/>
      <c r="BG448" s="1480"/>
      <c r="BH448" s="1480"/>
      <c r="BI448" s="1480"/>
      <c r="BJ448" s="1480"/>
    </row>
    <row r="449" spans="1:62" s="629" customFormat="1" ht="45" customHeight="1" x14ac:dyDescent="0.2">
      <c r="A449" s="2365">
        <v>212</v>
      </c>
      <c r="B449" s="2361" t="s">
        <v>4567</v>
      </c>
      <c r="C449" s="2387" t="s">
        <v>810</v>
      </c>
      <c r="D449" s="2023" t="s">
        <v>615</v>
      </c>
      <c r="E449" s="2023" t="s">
        <v>584</v>
      </c>
      <c r="F449" s="2023" t="s">
        <v>4568</v>
      </c>
      <c r="G449" s="2373">
        <v>11395</v>
      </c>
      <c r="H449" s="2023" t="s">
        <v>4569</v>
      </c>
      <c r="I449" s="2023" t="s">
        <v>4570</v>
      </c>
      <c r="J449" s="2023" t="s">
        <v>4571</v>
      </c>
      <c r="K449" s="2347">
        <v>41905</v>
      </c>
      <c r="L449" s="2389">
        <v>59520</v>
      </c>
      <c r="M449" s="2388">
        <v>11412</v>
      </c>
      <c r="N449" s="2352">
        <v>41905</v>
      </c>
      <c r="O449" s="2352">
        <v>42004</v>
      </c>
      <c r="P449" s="1132" t="s">
        <v>3905</v>
      </c>
      <c r="Q449" s="1055"/>
      <c r="R449" s="1055"/>
      <c r="S449" s="1055"/>
      <c r="T449" s="1055"/>
      <c r="U449" s="1146"/>
      <c r="V449" s="1055"/>
      <c r="W449" s="1064"/>
      <c r="X449" s="1146"/>
      <c r="Y449" s="1137"/>
      <c r="Z449" s="1137"/>
      <c r="AA449" s="1138"/>
      <c r="AB449" s="1055"/>
      <c r="AC449" s="1139"/>
      <c r="AD449" s="1139"/>
      <c r="AE449" s="2345">
        <f t="shared" si="14"/>
        <v>59520</v>
      </c>
      <c r="AF449" s="525">
        <v>0</v>
      </c>
      <c r="AG449" s="1148"/>
      <c r="AH449" s="1139">
        <f t="shared" si="12"/>
        <v>0</v>
      </c>
      <c r="AI449" s="1055"/>
      <c r="AJ449" s="1064"/>
      <c r="AK449" s="1055"/>
      <c r="AL449" s="1133"/>
      <c r="AM449" s="1055"/>
      <c r="AN449" s="1055"/>
      <c r="AO449" s="1064"/>
      <c r="AP449" s="1137"/>
      <c r="AQ449" s="1064"/>
      <c r="AR449" s="1137"/>
      <c r="AS449" s="1055"/>
      <c r="AT449" s="1133"/>
      <c r="AU449" s="1133"/>
      <c r="AV449" s="1133"/>
      <c r="AW449" s="1133"/>
      <c r="AX449" s="1133"/>
      <c r="AY449" s="1133"/>
      <c r="AZ449" s="1133"/>
      <c r="BA449" s="1133"/>
      <c r="BB449" s="1133"/>
      <c r="BC449" s="1133"/>
      <c r="BD449" s="1133"/>
      <c r="BE449" s="1480"/>
      <c r="BF449" s="1480"/>
      <c r="BG449" s="1480"/>
      <c r="BH449" s="1480"/>
      <c r="BI449" s="1480"/>
      <c r="BJ449" s="1480"/>
    </row>
    <row r="450" spans="1:62" s="629" customFormat="1" ht="45" customHeight="1" x14ac:dyDescent="0.2">
      <c r="A450" s="2365"/>
      <c r="B450" s="2361"/>
      <c r="C450" s="2387"/>
      <c r="D450" s="2023"/>
      <c r="E450" s="2023"/>
      <c r="F450" s="2023"/>
      <c r="G450" s="2373"/>
      <c r="H450" s="2023"/>
      <c r="I450" s="2023"/>
      <c r="J450" s="2023"/>
      <c r="K450" s="2347"/>
      <c r="L450" s="2390"/>
      <c r="M450" s="2388"/>
      <c r="N450" s="2352"/>
      <c r="O450" s="2352"/>
      <c r="P450" s="1132" t="s">
        <v>4071</v>
      </c>
      <c r="Q450" s="1055"/>
      <c r="R450" s="1055"/>
      <c r="S450" s="1055"/>
      <c r="T450" s="1055"/>
      <c r="U450" s="1146"/>
      <c r="V450" s="1055"/>
      <c r="W450" s="1064"/>
      <c r="X450" s="1146"/>
      <c r="Y450" s="1137"/>
      <c r="Z450" s="1137"/>
      <c r="AA450" s="1138"/>
      <c r="AB450" s="1055"/>
      <c r="AC450" s="1139"/>
      <c r="AD450" s="1139"/>
      <c r="AE450" s="2371"/>
      <c r="AF450" s="525">
        <v>0</v>
      </c>
      <c r="AG450" s="1148">
        <f>56460+3060</f>
        <v>59520</v>
      </c>
      <c r="AH450" s="1139">
        <f t="shared" si="12"/>
        <v>59520</v>
      </c>
      <c r="AI450" s="1055"/>
      <c r="AJ450" s="1064"/>
      <c r="AK450" s="1055"/>
      <c r="AL450" s="1133"/>
      <c r="AM450" s="1055"/>
      <c r="AN450" s="1055"/>
      <c r="AO450" s="1064"/>
      <c r="AP450" s="1137"/>
      <c r="AQ450" s="1064"/>
      <c r="AR450" s="1137"/>
      <c r="AS450" s="1055"/>
      <c r="AT450" s="1133"/>
      <c r="AU450" s="1133"/>
      <c r="AV450" s="1133"/>
      <c r="AW450" s="1133"/>
      <c r="AX450" s="1133"/>
      <c r="AY450" s="1133"/>
      <c r="AZ450" s="1133"/>
      <c r="BA450" s="1133"/>
      <c r="BB450" s="1133"/>
      <c r="BC450" s="1133"/>
      <c r="BD450" s="1133"/>
      <c r="BE450" s="1480"/>
      <c r="BF450" s="1480"/>
      <c r="BG450" s="1480"/>
      <c r="BH450" s="1480"/>
      <c r="BI450" s="1480"/>
      <c r="BJ450" s="1480"/>
    </row>
    <row r="451" spans="1:62" s="629" customFormat="1" ht="45" customHeight="1" x14ac:dyDescent="0.2">
      <c r="A451" s="2365">
        <v>213</v>
      </c>
      <c r="B451" s="2361" t="s">
        <v>4256</v>
      </c>
      <c r="C451" s="2387" t="s">
        <v>757</v>
      </c>
      <c r="D451" s="2023" t="s">
        <v>1331</v>
      </c>
      <c r="E451" s="2023" t="s">
        <v>584</v>
      </c>
      <c r="F451" s="2023" t="s">
        <v>4572</v>
      </c>
      <c r="G451" s="2373">
        <v>11264</v>
      </c>
      <c r="H451" s="2023" t="s">
        <v>4573</v>
      </c>
      <c r="I451" s="2023" t="s">
        <v>4574</v>
      </c>
      <c r="J451" s="2023" t="s">
        <v>1021</v>
      </c>
      <c r="K451" s="2347">
        <v>41913</v>
      </c>
      <c r="L451" s="2349">
        <v>64705.15</v>
      </c>
      <c r="M451" s="2006">
        <v>11412</v>
      </c>
      <c r="N451" s="2352">
        <v>41913</v>
      </c>
      <c r="O451" s="2352">
        <v>42004</v>
      </c>
      <c r="P451" s="2354" t="s">
        <v>3905</v>
      </c>
      <c r="Q451" s="1055"/>
      <c r="R451" s="1055"/>
      <c r="S451" s="1055"/>
      <c r="T451" s="2023" t="s">
        <v>316</v>
      </c>
      <c r="U451" s="1146"/>
      <c r="V451" s="1055"/>
      <c r="W451" s="1064"/>
      <c r="X451" s="1146"/>
      <c r="Y451" s="1137"/>
      <c r="Z451" s="1137"/>
      <c r="AA451" s="1138"/>
      <c r="AB451" s="1055"/>
      <c r="AC451" s="1139"/>
      <c r="AD451" s="1139"/>
      <c r="AE451" s="2345">
        <f>L451-AD451+AC451</f>
        <v>64705.15</v>
      </c>
      <c r="AF451" s="525">
        <v>0</v>
      </c>
      <c r="AG451" s="1148">
        <v>21201.18</v>
      </c>
      <c r="AH451" s="1139">
        <f t="shared" si="12"/>
        <v>21201.18</v>
      </c>
      <c r="AI451" s="1055"/>
      <c r="AJ451" s="1064"/>
      <c r="AK451" s="1055"/>
      <c r="AL451" s="1133"/>
      <c r="AM451" s="1055"/>
      <c r="AN451" s="1055"/>
      <c r="AO451" s="1064"/>
      <c r="AP451" s="1137"/>
      <c r="AQ451" s="1064"/>
      <c r="AR451" s="1137"/>
      <c r="AS451" s="1055"/>
      <c r="AT451" s="1133"/>
      <c r="AU451" s="1133"/>
      <c r="AV451" s="1133"/>
      <c r="AW451" s="1133"/>
      <c r="AX451" s="1133"/>
      <c r="AY451" s="1133"/>
      <c r="AZ451" s="1133"/>
      <c r="BA451" s="1133"/>
      <c r="BB451" s="1133"/>
      <c r="BC451" s="1133"/>
      <c r="BD451" s="1133"/>
      <c r="BE451" s="1480"/>
      <c r="BF451" s="1480"/>
      <c r="BG451" s="1480"/>
      <c r="BH451" s="1480"/>
      <c r="BI451" s="1480"/>
      <c r="BJ451" s="1480"/>
    </row>
    <row r="452" spans="1:62" s="629" customFormat="1" ht="12.75" x14ac:dyDescent="0.2">
      <c r="A452" s="2365"/>
      <c r="B452" s="2361"/>
      <c r="C452" s="2387"/>
      <c r="D452" s="2023"/>
      <c r="E452" s="2023"/>
      <c r="F452" s="2023"/>
      <c r="G452" s="2373"/>
      <c r="H452" s="2023"/>
      <c r="I452" s="2023"/>
      <c r="J452" s="2023"/>
      <c r="K452" s="2347"/>
      <c r="L452" s="2349"/>
      <c r="M452" s="2006"/>
      <c r="N452" s="2352"/>
      <c r="O452" s="2352"/>
      <c r="P452" s="2354"/>
      <c r="Q452" s="1055"/>
      <c r="R452" s="1055"/>
      <c r="S452" s="1055"/>
      <c r="T452" s="2023"/>
      <c r="U452" s="1146"/>
      <c r="V452" s="1055"/>
      <c r="W452" s="1064"/>
      <c r="X452" s="1146"/>
      <c r="Y452" s="1137"/>
      <c r="Z452" s="1137"/>
      <c r="AA452" s="1138"/>
      <c r="AB452" s="1055"/>
      <c r="AC452" s="1139"/>
      <c r="AD452" s="1139"/>
      <c r="AE452" s="2346"/>
      <c r="AF452" s="525">
        <v>0</v>
      </c>
      <c r="AG452" s="525">
        <v>0</v>
      </c>
      <c r="AH452" s="1139">
        <f t="shared" si="12"/>
        <v>0</v>
      </c>
      <c r="AI452" s="1055"/>
      <c r="AJ452" s="1064"/>
      <c r="AK452" s="1055"/>
      <c r="AL452" s="1133"/>
      <c r="AM452" s="1055"/>
      <c r="AN452" s="1055"/>
      <c r="AO452" s="1064"/>
      <c r="AP452" s="1137"/>
      <c r="AQ452" s="1064"/>
      <c r="AR452" s="1137"/>
      <c r="AS452" s="1055"/>
      <c r="AT452" s="1133"/>
      <c r="AU452" s="1133"/>
      <c r="AV452" s="1133"/>
      <c r="AW452" s="1133"/>
      <c r="AX452" s="1133"/>
      <c r="AY452" s="1133"/>
      <c r="AZ452" s="1133"/>
      <c r="BA452" s="1133"/>
      <c r="BB452" s="1133"/>
      <c r="BC452" s="1133"/>
      <c r="BD452" s="1133"/>
      <c r="BE452" s="1480"/>
      <c r="BF452" s="1480"/>
      <c r="BG452" s="1480"/>
      <c r="BH452" s="1480"/>
      <c r="BI452" s="1480"/>
      <c r="BJ452" s="1480"/>
    </row>
    <row r="453" spans="1:62" s="629" customFormat="1" ht="12.75" x14ac:dyDescent="0.2">
      <c r="A453" s="2365"/>
      <c r="B453" s="2361"/>
      <c r="C453" s="2387"/>
      <c r="D453" s="2023"/>
      <c r="E453" s="2023"/>
      <c r="F453" s="2023"/>
      <c r="G453" s="2373"/>
      <c r="H453" s="2023"/>
      <c r="I453" s="2023"/>
      <c r="J453" s="2023"/>
      <c r="K453" s="2347"/>
      <c r="L453" s="2349"/>
      <c r="M453" s="2006"/>
      <c r="N453" s="2352"/>
      <c r="O453" s="2352"/>
      <c r="P453" s="1132" t="s">
        <v>4071</v>
      </c>
      <c r="Q453" s="1055"/>
      <c r="R453" s="1055"/>
      <c r="S453" s="1055"/>
      <c r="T453" s="2023"/>
      <c r="U453" s="1146"/>
      <c r="V453" s="1055"/>
      <c r="W453" s="1064"/>
      <c r="X453" s="1146"/>
      <c r="Y453" s="1137"/>
      <c r="Z453" s="1137"/>
      <c r="AA453" s="1138"/>
      <c r="AB453" s="1055"/>
      <c r="AC453" s="1139"/>
      <c r="AD453" s="1139"/>
      <c r="AE453" s="2371"/>
      <c r="AF453" s="525">
        <v>0</v>
      </c>
      <c r="AG453" s="1148">
        <f>5409.1+7135.52+2330.64+265.2+1961.62+928+1889.32+2271.86+384.69+1369.16</f>
        <v>23945.11</v>
      </c>
      <c r="AH453" s="1139">
        <f t="shared" si="12"/>
        <v>23945.11</v>
      </c>
      <c r="AI453" s="1055"/>
      <c r="AJ453" s="1064"/>
      <c r="AK453" s="1055"/>
      <c r="AL453" s="1133"/>
      <c r="AM453" s="1055"/>
      <c r="AN453" s="1055"/>
      <c r="AO453" s="1064"/>
      <c r="AP453" s="1137"/>
      <c r="AQ453" s="1064"/>
      <c r="AR453" s="1137"/>
      <c r="AS453" s="1055"/>
      <c r="AT453" s="1133"/>
      <c r="AU453" s="1133"/>
      <c r="AV453" s="1133"/>
      <c r="AW453" s="1133"/>
      <c r="AX453" s="1133"/>
      <c r="AY453" s="1133"/>
      <c r="AZ453" s="1133"/>
      <c r="BA453" s="1133"/>
      <c r="BB453" s="1133"/>
      <c r="BC453" s="1133"/>
      <c r="BD453" s="1133"/>
      <c r="BE453" s="1480"/>
      <c r="BF453" s="1480"/>
      <c r="BG453" s="1480"/>
      <c r="BH453" s="1480"/>
      <c r="BI453" s="1480"/>
      <c r="BJ453" s="1480"/>
    </row>
    <row r="454" spans="1:62" s="629" customFormat="1" ht="45" customHeight="1" x14ac:dyDescent="0.2">
      <c r="A454" s="2365">
        <v>214</v>
      </c>
      <c r="B454" s="2361" t="s">
        <v>4256</v>
      </c>
      <c r="C454" s="2355" t="s">
        <v>757</v>
      </c>
      <c r="D454" s="2023" t="s">
        <v>1548</v>
      </c>
      <c r="E454" s="2023" t="s">
        <v>584</v>
      </c>
      <c r="F454" s="2023" t="s">
        <v>4297</v>
      </c>
      <c r="G454" s="2355">
        <v>11257</v>
      </c>
      <c r="H454" s="2023" t="s">
        <v>4575</v>
      </c>
      <c r="I454" s="2023" t="s">
        <v>4136</v>
      </c>
      <c r="J454" s="2355" t="s">
        <v>4137</v>
      </c>
      <c r="K454" s="2352">
        <v>41913</v>
      </c>
      <c r="L454" s="2349">
        <v>186352.3</v>
      </c>
      <c r="M454" s="2006">
        <v>11406</v>
      </c>
      <c r="N454" s="2352">
        <v>41913</v>
      </c>
      <c r="O454" s="2352">
        <v>42004</v>
      </c>
      <c r="P454" s="2354" t="s">
        <v>3905</v>
      </c>
      <c r="Q454" s="1055"/>
      <c r="R454" s="1055"/>
      <c r="S454" s="1055"/>
      <c r="T454" s="2023" t="s">
        <v>316</v>
      </c>
      <c r="U454" s="1146"/>
      <c r="V454" s="1055"/>
      <c r="W454" s="1064"/>
      <c r="X454" s="1146"/>
      <c r="Y454" s="1137"/>
      <c r="Z454" s="1137"/>
      <c r="AA454" s="1138"/>
      <c r="AB454" s="1055"/>
      <c r="AC454" s="1139"/>
      <c r="AD454" s="1139"/>
      <c r="AE454" s="2345">
        <f>L454-AD454+AC454</f>
        <v>186352.3</v>
      </c>
      <c r="AF454" s="525">
        <v>0</v>
      </c>
      <c r="AG454" s="1148">
        <v>0</v>
      </c>
      <c r="AH454" s="1139">
        <f t="shared" si="12"/>
        <v>0</v>
      </c>
      <c r="AI454" s="1055"/>
      <c r="AJ454" s="1064"/>
      <c r="AK454" s="1055"/>
      <c r="AL454" s="1133"/>
      <c r="AM454" s="1055"/>
      <c r="AN454" s="1055"/>
      <c r="AO454" s="1064"/>
      <c r="AP454" s="1137"/>
      <c r="AQ454" s="1064"/>
      <c r="AR454" s="1137"/>
      <c r="AS454" s="1055"/>
      <c r="AT454" s="1133"/>
      <c r="AU454" s="1133"/>
      <c r="AV454" s="1133"/>
      <c r="AW454" s="1133"/>
      <c r="AX454" s="1133"/>
      <c r="AY454" s="1133"/>
      <c r="AZ454" s="1133"/>
      <c r="BA454" s="1133"/>
      <c r="BB454" s="1133"/>
      <c r="BC454" s="1133"/>
      <c r="BD454" s="1133"/>
      <c r="BE454" s="1480"/>
      <c r="BF454" s="1480"/>
      <c r="BG454" s="1480"/>
      <c r="BH454" s="1480"/>
      <c r="BI454" s="1480"/>
      <c r="BJ454" s="1480"/>
    </row>
    <row r="455" spans="1:62" s="629" customFormat="1" ht="12.75" x14ac:dyDescent="0.2">
      <c r="A455" s="2365"/>
      <c r="B455" s="2361"/>
      <c r="C455" s="2355"/>
      <c r="D455" s="2023"/>
      <c r="E455" s="2023"/>
      <c r="F455" s="2023"/>
      <c r="G455" s="2355"/>
      <c r="H455" s="2023"/>
      <c r="I455" s="2023"/>
      <c r="J455" s="2355"/>
      <c r="K455" s="2352"/>
      <c r="L455" s="2349"/>
      <c r="M455" s="2006"/>
      <c r="N455" s="2352"/>
      <c r="O455" s="2352"/>
      <c r="P455" s="2354"/>
      <c r="Q455" s="1055"/>
      <c r="R455" s="1055"/>
      <c r="S455" s="1055"/>
      <c r="T455" s="2023"/>
      <c r="U455" s="1146"/>
      <c r="V455" s="1055"/>
      <c r="W455" s="1064"/>
      <c r="X455" s="1146"/>
      <c r="Y455" s="1137"/>
      <c r="Z455" s="1137"/>
      <c r="AA455" s="1138"/>
      <c r="AB455" s="1055"/>
      <c r="AC455" s="1139"/>
      <c r="AD455" s="1139"/>
      <c r="AE455" s="2346"/>
      <c r="AF455" s="525">
        <v>0</v>
      </c>
      <c r="AG455" s="525">
        <v>0</v>
      </c>
      <c r="AH455" s="1139">
        <f t="shared" si="12"/>
        <v>0</v>
      </c>
      <c r="AI455" s="1055"/>
      <c r="AJ455" s="1064"/>
      <c r="AK455" s="1055"/>
      <c r="AL455" s="1133"/>
      <c r="AM455" s="1055"/>
      <c r="AN455" s="1055"/>
      <c r="AO455" s="1064"/>
      <c r="AP455" s="1137"/>
      <c r="AQ455" s="1064"/>
      <c r="AR455" s="1137"/>
      <c r="AS455" s="1055"/>
      <c r="AT455" s="1133"/>
      <c r="AU455" s="1133"/>
      <c r="AV455" s="1133"/>
      <c r="AW455" s="1133"/>
      <c r="AX455" s="1133"/>
      <c r="AY455" s="1133"/>
      <c r="AZ455" s="1133"/>
      <c r="BA455" s="1133"/>
      <c r="BB455" s="1133"/>
      <c r="BC455" s="1133"/>
      <c r="BD455" s="1133"/>
      <c r="BE455" s="1480"/>
      <c r="BF455" s="1480"/>
      <c r="BG455" s="1480"/>
      <c r="BH455" s="1480"/>
      <c r="BI455" s="1480"/>
      <c r="BJ455" s="1480"/>
    </row>
    <row r="456" spans="1:62" s="629" customFormat="1" ht="12.75" x14ac:dyDescent="0.2">
      <c r="A456" s="2365"/>
      <c r="B456" s="2361"/>
      <c r="C456" s="2355"/>
      <c r="D456" s="2023"/>
      <c r="E456" s="2023"/>
      <c r="F456" s="2023"/>
      <c r="G456" s="2355"/>
      <c r="H456" s="2023"/>
      <c r="I456" s="2023"/>
      <c r="J456" s="2355"/>
      <c r="K456" s="2355"/>
      <c r="L456" s="2349"/>
      <c r="M456" s="2006"/>
      <c r="N456" s="2352"/>
      <c r="O456" s="2352"/>
      <c r="P456" s="1132" t="s">
        <v>4071</v>
      </c>
      <c r="Q456" s="1055"/>
      <c r="R456" s="1055"/>
      <c r="S456" s="1055"/>
      <c r="T456" s="2023"/>
      <c r="U456" s="1146"/>
      <c r="V456" s="1055"/>
      <c r="W456" s="1064"/>
      <c r="X456" s="1146"/>
      <c r="Y456" s="1137"/>
      <c r="Z456" s="1137"/>
      <c r="AA456" s="1138"/>
      <c r="AB456" s="1055"/>
      <c r="AC456" s="1139"/>
      <c r="AD456" s="1139"/>
      <c r="AE456" s="2371"/>
      <c r="AF456" s="525">
        <v>0</v>
      </c>
      <c r="AG456" s="1148">
        <f>19787.18+2968.2+240.03+10241.91+14294.85+20895.26+4614.75+29971.79+11475.21+8969.76+115.57</f>
        <v>123574.51</v>
      </c>
      <c r="AH456" s="1139">
        <f t="shared" si="12"/>
        <v>123574.51</v>
      </c>
      <c r="AI456" s="1055"/>
      <c r="AJ456" s="1064"/>
      <c r="AK456" s="1055"/>
      <c r="AL456" s="1133"/>
      <c r="AM456" s="1055"/>
      <c r="AN456" s="1055"/>
      <c r="AO456" s="1064"/>
      <c r="AP456" s="1137"/>
      <c r="AQ456" s="1064"/>
      <c r="AR456" s="1137"/>
      <c r="AS456" s="1055"/>
      <c r="AT456" s="1133"/>
      <c r="AU456" s="1133"/>
      <c r="AV456" s="1133"/>
      <c r="AW456" s="1133"/>
      <c r="AX456" s="1133"/>
      <c r="AY456" s="1133"/>
      <c r="AZ456" s="1133"/>
      <c r="BA456" s="1133"/>
      <c r="BB456" s="1133"/>
      <c r="BC456" s="1133"/>
      <c r="BD456" s="1133"/>
      <c r="BE456" s="1480"/>
      <c r="BF456" s="1480"/>
      <c r="BG456" s="1480"/>
      <c r="BH456" s="1480"/>
      <c r="BI456" s="1480"/>
      <c r="BJ456" s="1480"/>
    </row>
    <row r="457" spans="1:62" s="629" customFormat="1" ht="45" customHeight="1" x14ac:dyDescent="0.2">
      <c r="A457" s="2365">
        <v>215</v>
      </c>
      <c r="B457" s="2361" t="s">
        <v>4256</v>
      </c>
      <c r="C457" s="2355" t="s">
        <v>757</v>
      </c>
      <c r="D457" s="2023" t="s">
        <v>1548</v>
      </c>
      <c r="E457" s="2023" t="s">
        <v>584</v>
      </c>
      <c r="F457" s="2023" t="s">
        <v>4297</v>
      </c>
      <c r="G457" s="2355">
        <v>11264</v>
      </c>
      <c r="H457" s="2023" t="s">
        <v>4576</v>
      </c>
      <c r="I457" s="2023" t="s">
        <v>4203</v>
      </c>
      <c r="J457" s="2355" t="s">
        <v>225</v>
      </c>
      <c r="K457" s="2352" t="s">
        <v>4577</v>
      </c>
      <c r="L457" s="2349">
        <v>25705</v>
      </c>
      <c r="M457" s="2006">
        <v>11406</v>
      </c>
      <c r="N457" s="2352">
        <v>41913</v>
      </c>
      <c r="O457" s="2352">
        <v>42004</v>
      </c>
      <c r="P457" s="2354" t="s">
        <v>3905</v>
      </c>
      <c r="Q457" s="1055"/>
      <c r="R457" s="1055"/>
      <c r="S457" s="1055"/>
      <c r="T457" s="2028" t="s">
        <v>316</v>
      </c>
      <c r="U457" s="1146"/>
      <c r="V457" s="1055"/>
      <c r="W457" s="1064"/>
      <c r="X457" s="1146"/>
      <c r="Y457" s="1137"/>
      <c r="Z457" s="1137"/>
      <c r="AA457" s="1138"/>
      <c r="AB457" s="1055"/>
      <c r="AC457" s="1139"/>
      <c r="AD457" s="1139"/>
      <c r="AE457" s="2345">
        <f>L457-AD457+AC457</f>
        <v>25705</v>
      </c>
      <c r="AF457" s="525">
        <v>0</v>
      </c>
      <c r="AG457" s="1148">
        <f>970</f>
        <v>970</v>
      </c>
      <c r="AH457" s="1139">
        <f t="shared" si="12"/>
        <v>970</v>
      </c>
      <c r="AI457" s="1055"/>
      <c r="AJ457" s="1064"/>
      <c r="AK457" s="1055"/>
      <c r="AL457" s="1133"/>
      <c r="AM457" s="1055"/>
      <c r="AN457" s="1055"/>
      <c r="AO457" s="1064"/>
      <c r="AP457" s="1137"/>
      <c r="AQ457" s="1064"/>
      <c r="AR457" s="1137"/>
      <c r="AS457" s="1055"/>
      <c r="AT457" s="1133"/>
      <c r="AU457" s="1133"/>
      <c r="AV457" s="1133"/>
      <c r="AW457" s="1133"/>
      <c r="AX457" s="1133"/>
      <c r="AY457" s="1133"/>
      <c r="AZ457" s="1133"/>
      <c r="BA457" s="1133"/>
      <c r="BB457" s="1133"/>
      <c r="BC457" s="1133"/>
      <c r="BD457" s="1133"/>
      <c r="BE457" s="1480"/>
      <c r="BF457" s="1480"/>
      <c r="BG457" s="1480"/>
      <c r="BH457" s="1480"/>
      <c r="BI457" s="1480"/>
      <c r="BJ457" s="1480"/>
    </row>
    <row r="458" spans="1:62" s="629" customFormat="1" ht="12.75" x14ac:dyDescent="0.2">
      <c r="A458" s="2365"/>
      <c r="B458" s="2361"/>
      <c r="C458" s="2355"/>
      <c r="D458" s="2023"/>
      <c r="E458" s="2023"/>
      <c r="F458" s="2023"/>
      <c r="G458" s="2355"/>
      <c r="H458" s="2023"/>
      <c r="I458" s="2023"/>
      <c r="J458" s="2355"/>
      <c r="K458" s="2352"/>
      <c r="L458" s="2349"/>
      <c r="M458" s="2006"/>
      <c r="N458" s="2352"/>
      <c r="O458" s="2352"/>
      <c r="P458" s="2354"/>
      <c r="Q458" s="1055"/>
      <c r="R458" s="1055"/>
      <c r="S458" s="1055"/>
      <c r="T458" s="2029"/>
      <c r="U458" s="1146"/>
      <c r="V458" s="1055"/>
      <c r="W458" s="1064"/>
      <c r="X458" s="1146"/>
      <c r="Y458" s="1137"/>
      <c r="Z458" s="1137"/>
      <c r="AA458" s="1138"/>
      <c r="AB458" s="1055"/>
      <c r="AC458" s="1139"/>
      <c r="AD458" s="1139"/>
      <c r="AE458" s="2346"/>
      <c r="AF458" s="525">
        <v>0</v>
      </c>
      <c r="AG458" s="525">
        <v>0</v>
      </c>
      <c r="AH458" s="1139">
        <f t="shared" si="12"/>
        <v>0</v>
      </c>
      <c r="AI458" s="1055"/>
      <c r="AJ458" s="1064"/>
      <c r="AK458" s="1055"/>
      <c r="AL458" s="1133"/>
      <c r="AM458" s="1055"/>
      <c r="AN458" s="1055"/>
      <c r="AO458" s="1064"/>
      <c r="AP458" s="1137"/>
      <c r="AQ458" s="1064"/>
      <c r="AR458" s="1137"/>
      <c r="AS458" s="1055"/>
      <c r="AT458" s="1133"/>
      <c r="AU458" s="1133"/>
      <c r="AV458" s="1133"/>
      <c r="AW458" s="1133"/>
      <c r="AX458" s="1133"/>
      <c r="AY458" s="1133"/>
      <c r="AZ458" s="1133"/>
      <c r="BA458" s="1133"/>
      <c r="BB458" s="1133"/>
      <c r="BC458" s="1133"/>
      <c r="BD458" s="1133"/>
      <c r="BE458" s="1480"/>
      <c r="BF458" s="1480"/>
      <c r="BG458" s="1480"/>
      <c r="BH458" s="1480"/>
      <c r="BI458" s="1480"/>
      <c r="BJ458" s="1480"/>
    </row>
    <row r="459" spans="1:62" s="629" customFormat="1" ht="12.75" x14ac:dyDescent="0.2">
      <c r="A459" s="2365"/>
      <c r="B459" s="2361"/>
      <c r="C459" s="2355"/>
      <c r="D459" s="2023"/>
      <c r="E459" s="2023"/>
      <c r="F459" s="2023"/>
      <c r="G459" s="2355"/>
      <c r="H459" s="2023"/>
      <c r="I459" s="2023"/>
      <c r="J459" s="2355"/>
      <c r="K459" s="2355"/>
      <c r="L459" s="2349"/>
      <c r="M459" s="2006"/>
      <c r="N459" s="2352"/>
      <c r="O459" s="2352"/>
      <c r="P459" s="1132" t="s">
        <v>4071</v>
      </c>
      <c r="Q459" s="1055"/>
      <c r="R459" s="1055"/>
      <c r="S459" s="1055"/>
      <c r="T459" s="2030"/>
      <c r="U459" s="1146"/>
      <c r="V459" s="1055"/>
      <c r="W459" s="1064"/>
      <c r="X459" s="1146"/>
      <c r="Y459" s="1137"/>
      <c r="Z459" s="1137"/>
      <c r="AA459" s="1138"/>
      <c r="AB459" s="1055"/>
      <c r="AC459" s="1139"/>
      <c r="AD459" s="1139"/>
      <c r="AE459" s="2371"/>
      <c r="AF459" s="525">
        <v>0</v>
      </c>
      <c r="AG459" s="1148">
        <f>722.65+3550.2</f>
        <v>4272.8499999999995</v>
      </c>
      <c r="AH459" s="1139">
        <f t="shared" si="12"/>
        <v>4272.8499999999995</v>
      </c>
      <c r="AI459" s="1055"/>
      <c r="AJ459" s="1064"/>
      <c r="AK459" s="1055"/>
      <c r="AL459" s="1133"/>
      <c r="AM459" s="1055"/>
      <c r="AN459" s="1055"/>
      <c r="AO459" s="1064"/>
      <c r="AP459" s="1137"/>
      <c r="AQ459" s="1064"/>
      <c r="AR459" s="1137"/>
      <c r="AS459" s="1055"/>
      <c r="AT459" s="1133"/>
      <c r="AU459" s="1133"/>
      <c r="AV459" s="1133"/>
      <c r="AW459" s="1133"/>
      <c r="AX459" s="1133"/>
      <c r="AY459" s="1133"/>
      <c r="AZ459" s="1133"/>
      <c r="BA459" s="1133"/>
      <c r="BB459" s="1133"/>
      <c r="BC459" s="1133"/>
      <c r="BD459" s="1133"/>
      <c r="BE459" s="1480"/>
      <c r="BF459" s="1480"/>
      <c r="BG459" s="1480"/>
      <c r="BH459" s="1480"/>
      <c r="BI459" s="1480"/>
      <c r="BJ459" s="1480"/>
    </row>
    <row r="460" spans="1:62" s="629" customFormat="1" ht="25.5" x14ac:dyDescent="0.2">
      <c r="A460" s="1514">
        <v>216</v>
      </c>
      <c r="B460" s="636" t="s">
        <v>4578</v>
      </c>
      <c r="C460" s="1055" t="s">
        <v>1382</v>
      </c>
      <c r="D460" s="1055" t="s">
        <v>1331</v>
      </c>
      <c r="E460" s="1055" t="s">
        <v>584</v>
      </c>
      <c r="F460" s="1055" t="s">
        <v>4513</v>
      </c>
      <c r="G460" s="1133">
        <v>11253</v>
      </c>
      <c r="H460" s="1055" t="s">
        <v>4579</v>
      </c>
      <c r="I460" s="1055" t="s">
        <v>4515</v>
      </c>
      <c r="J460" s="1055" t="s">
        <v>1179</v>
      </c>
      <c r="K460" s="1137">
        <v>41913</v>
      </c>
      <c r="L460" s="1135">
        <v>10990</v>
      </c>
      <c r="M460" s="1064">
        <v>11445</v>
      </c>
      <c r="N460" s="1134">
        <v>41913</v>
      </c>
      <c r="O460" s="1134">
        <v>41957</v>
      </c>
      <c r="P460" s="1133">
        <v>1</v>
      </c>
      <c r="Q460" s="1055"/>
      <c r="R460" s="1055"/>
      <c r="S460" s="1055"/>
      <c r="T460" s="1055" t="s">
        <v>408</v>
      </c>
      <c r="U460" s="1146"/>
      <c r="V460" s="1055"/>
      <c r="W460" s="1064"/>
      <c r="X460" s="1146"/>
      <c r="Y460" s="1137"/>
      <c r="Z460" s="1137"/>
      <c r="AA460" s="1138"/>
      <c r="AB460" s="1055"/>
      <c r="AC460" s="1139"/>
      <c r="AD460" s="1139"/>
      <c r="AE460" s="1155">
        <f>L460-AD460+AC460</f>
        <v>10990</v>
      </c>
      <c r="AF460" s="525">
        <v>0</v>
      </c>
      <c r="AG460" s="1148">
        <v>0</v>
      </c>
      <c r="AH460" s="1139">
        <f t="shared" si="12"/>
        <v>0</v>
      </c>
      <c r="AI460" s="1055"/>
      <c r="AJ460" s="1064"/>
      <c r="AK460" s="1055"/>
      <c r="AL460" s="1133"/>
      <c r="AM460" s="1055"/>
      <c r="AN460" s="1055"/>
      <c r="AO460" s="1064"/>
      <c r="AP460" s="1137"/>
      <c r="AQ460" s="1064"/>
      <c r="AR460" s="1137"/>
      <c r="AS460" s="1055"/>
      <c r="AT460" s="1133"/>
      <c r="AU460" s="1133"/>
      <c r="AV460" s="1133"/>
      <c r="AW460" s="1133"/>
      <c r="AX460" s="1133"/>
      <c r="AY460" s="1133"/>
      <c r="AZ460" s="1133"/>
      <c r="BA460" s="1133"/>
      <c r="BB460" s="1133"/>
      <c r="BC460" s="1133"/>
      <c r="BD460" s="1133"/>
      <c r="BE460" s="1480"/>
      <c r="BF460" s="1480"/>
      <c r="BG460" s="1480"/>
      <c r="BH460" s="1480"/>
      <c r="BI460" s="1480"/>
      <c r="BJ460" s="1480"/>
    </row>
    <row r="461" spans="1:62" s="629" customFormat="1" ht="45" customHeight="1" x14ac:dyDescent="0.2">
      <c r="A461" s="2365">
        <v>217</v>
      </c>
      <c r="B461" s="2361" t="s">
        <v>4459</v>
      </c>
      <c r="C461" s="2355" t="s">
        <v>840</v>
      </c>
      <c r="D461" s="2023" t="s">
        <v>1548</v>
      </c>
      <c r="E461" s="2023" t="s">
        <v>584</v>
      </c>
      <c r="F461" s="2023" t="s">
        <v>4297</v>
      </c>
      <c r="G461" s="2355">
        <v>11274</v>
      </c>
      <c r="H461" s="2023" t="s">
        <v>4580</v>
      </c>
      <c r="I461" s="2023" t="s">
        <v>4203</v>
      </c>
      <c r="J461" s="2355" t="s">
        <v>225</v>
      </c>
      <c r="K461" s="2352" t="s">
        <v>4577</v>
      </c>
      <c r="L461" s="2349">
        <v>103629</v>
      </c>
      <c r="M461" s="2006">
        <v>11412</v>
      </c>
      <c r="N461" s="2352">
        <v>41918</v>
      </c>
      <c r="O461" s="2352">
        <v>42004</v>
      </c>
      <c r="P461" s="2354" t="s">
        <v>3905</v>
      </c>
      <c r="Q461" s="1055"/>
      <c r="R461" s="1055"/>
      <c r="S461" s="1055"/>
      <c r="T461" s="2028" t="s">
        <v>316</v>
      </c>
      <c r="U461" s="1146"/>
      <c r="V461" s="1055"/>
      <c r="W461" s="1064"/>
      <c r="X461" s="1146"/>
      <c r="Y461" s="1137"/>
      <c r="Z461" s="1137"/>
      <c r="AA461" s="1138"/>
      <c r="AB461" s="1055"/>
      <c r="AC461" s="1139"/>
      <c r="AD461" s="1139"/>
      <c r="AE461" s="2345">
        <f>L461-AD461+AC461</f>
        <v>103629</v>
      </c>
      <c r="AF461" s="525">
        <v>0</v>
      </c>
      <c r="AG461" s="1148">
        <v>5496.55</v>
      </c>
      <c r="AH461" s="1139">
        <f t="shared" si="12"/>
        <v>5496.55</v>
      </c>
      <c r="AI461" s="1055"/>
      <c r="AJ461" s="1064"/>
      <c r="AK461" s="1055"/>
      <c r="AL461" s="1133"/>
      <c r="AM461" s="1055"/>
      <c r="AN461" s="1055"/>
      <c r="AO461" s="1064"/>
      <c r="AP461" s="1137"/>
      <c r="AQ461" s="1064"/>
      <c r="AR461" s="1137"/>
      <c r="AS461" s="1055"/>
      <c r="AT461" s="1133"/>
      <c r="AU461" s="1133"/>
      <c r="AV461" s="1133"/>
      <c r="AW461" s="1133"/>
      <c r="AX461" s="1133"/>
      <c r="AY461" s="1133"/>
      <c r="AZ461" s="1133"/>
      <c r="BA461" s="1133"/>
      <c r="BB461" s="1133"/>
      <c r="BC461" s="1133"/>
      <c r="BD461" s="1133"/>
      <c r="BE461" s="1480"/>
      <c r="BF461" s="1480"/>
      <c r="BG461" s="1480"/>
      <c r="BH461" s="1480"/>
      <c r="BI461" s="1480"/>
      <c r="BJ461" s="1480"/>
    </row>
    <row r="462" spans="1:62" s="629" customFormat="1" ht="12.75" x14ac:dyDescent="0.2">
      <c r="A462" s="2365"/>
      <c r="B462" s="2361"/>
      <c r="C462" s="2355"/>
      <c r="D462" s="2023"/>
      <c r="E462" s="2023"/>
      <c r="F462" s="2023"/>
      <c r="G462" s="2355"/>
      <c r="H462" s="2023"/>
      <c r="I462" s="2023"/>
      <c r="J462" s="2355"/>
      <c r="K462" s="2352"/>
      <c r="L462" s="2349"/>
      <c r="M462" s="2006"/>
      <c r="N462" s="2352"/>
      <c r="O462" s="2352"/>
      <c r="P462" s="2354"/>
      <c r="Q462" s="1055"/>
      <c r="R462" s="1055"/>
      <c r="S462" s="1055"/>
      <c r="T462" s="2029"/>
      <c r="U462" s="1146"/>
      <c r="V462" s="1055"/>
      <c r="W462" s="1064"/>
      <c r="X462" s="1146"/>
      <c r="Y462" s="1137"/>
      <c r="Z462" s="1137"/>
      <c r="AA462" s="1138"/>
      <c r="AB462" s="1055"/>
      <c r="AC462" s="1139"/>
      <c r="AD462" s="1139"/>
      <c r="AE462" s="2346"/>
      <c r="AF462" s="525">
        <v>0</v>
      </c>
      <c r="AG462" s="525">
        <v>0</v>
      </c>
      <c r="AH462" s="1139">
        <f t="shared" si="12"/>
        <v>0</v>
      </c>
      <c r="AI462" s="1055"/>
      <c r="AJ462" s="1064"/>
      <c r="AK462" s="1055"/>
      <c r="AL462" s="1133"/>
      <c r="AM462" s="1055"/>
      <c r="AN462" s="1055"/>
      <c r="AO462" s="1064"/>
      <c r="AP462" s="1137"/>
      <c r="AQ462" s="1064"/>
      <c r="AR462" s="1137"/>
      <c r="AS462" s="1055"/>
      <c r="AT462" s="1133"/>
      <c r="AU462" s="1133"/>
      <c r="AV462" s="1133"/>
      <c r="AW462" s="1133"/>
      <c r="AX462" s="1133"/>
      <c r="AY462" s="1133"/>
      <c r="AZ462" s="1133"/>
      <c r="BA462" s="1133"/>
      <c r="BB462" s="1133"/>
      <c r="BC462" s="1133"/>
      <c r="BD462" s="1133"/>
      <c r="BE462" s="1480"/>
      <c r="BF462" s="1480"/>
      <c r="BG462" s="1480"/>
      <c r="BH462" s="1480"/>
      <c r="BI462" s="1480"/>
      <c r="BJ462" s="1480"/>
    </row>
    <row r="463" spans="1:62" s="629" customFormat="1" ht="12.75" x14ac:dyDescent="0.2">
      <c r="A463" s="2365"/>
      <c r="B463" s="2361"/>
      <c r="C463" s="2355"/>
      <c r="D463" s="2023"/>
      <c r="E463" s="2023"/>
      <c r="F463" s="2023"/>
      <c r="G463" s="2355"/>
      <c r="H463" s="2023"/>
      <c r="I463" s="2023"/>
      <c r="J463" s="2355"/>
      <c r="K463" s="2355"/>
      <c r="L463" s="2349"/>
      <c r="M463" s="2006"/>
      <c r="N463" s="2352"/>
      <c r="O463" s="2352"/>
      <c r="P463" s="1132" t="s">
        <v>4071</v>
      </c>
      <c r="Q463" s="1055"/>
      <c r="R463" s="1055"/>
      <c r="S463" s="1055"/>
      <c r="T463" s="2030"/>
      <c r="U463" s="1146"/>
      <c r="V463" s="1055"/>
      <c r="W463" s="1064"/>
      <c r="X463" s="1146"/>
      <c r="Y463" s="1137"/>
      <c r="Z463" s="1137"/>
      <c r="AA463" s="1138"/>
      <c r="AB463" s="1055"/>
      <c r="AC463" s="1139"/>
      <c r="AD463" s="1139"/>
      <c r="AE463" s="2371"/>
      <c r="AF463" s="525">
        <v>0</v>
      </c>
      <c r="AG463" s="1148">
        <f>10758.59+1375.05+7194.63+1371.18+7310.22+13800.06</f>
        <v>41809.730000000003</v>
      </c>
      <c r="AH463" s="1139">
        <f t="shared" si="12"/>
        <v>41809.730000000003</v>
      </c>
      <c r="AI463" s="1055"/>
      <c r="AJ463" s="1064"/>
      <c r="AK463" s="1055"/>
      <c r="AL463" s="1133"/>
      <c r="AM463" s="1055"/>
      <c r="AN463" s="1055"/>
      <c r="AO463" s="1064"/>
      <c r="AP463" s="1137"/>
      <c r="AQ463" s="1064"/>
      <c r="AR463" s="1137"/>
      <c r="AS463" s="1055"/>
      <c r="AT463" s="1133"/>
      <c r="AU463" s="1133"/>
      <c r="AV463" s="1133"/>
      <c r="AW463" s="1133"/>
      <c r="AX463" s="1133"/>
      <c r="AY463" s="1133"/>
      <c r="AZ463" s="1133"/>
      <c r="BA463" s="1133"/>
      <c r="BB463" s="1133"/>
      <c r="BC463" s="1133"/>
      <c r="BD463" s="1133"/>
      <c r="BE463" s="1480"/>
      <c r="BF463" s="1480"/>
      <c r="BG463" s="1480"/>
      <c r="BH463" s="1480"/>
      <c r="BI463" s="1480"/>
      <c r="BJ463" s="1480"/>
    </row>
    <row r="464" spans="1:62" s="629" customFormat="1" ht="45" customHeight="1" x14ac:dyDescent="0.2">
      <c r="A464" s="2365">
        <v>218</v>
      </c>
      <c r="B464" s="2361" t="s">
        <v>4459</v>
      </c>
      <c r="C464" s="2355" t="s">
        <v>840</v>
      </c>
      <c r="D464" s="2023" t="s">
        <v>1548</v>
      </c>
      <c r="E464" s="2023" t="s">
        <v>584</v>
      </c>
      <c r="F464" s="2023" t="s">
        <v>4297</v>
      </c>
      <c r="G464" s="2355">
        <v>11274</v>
      </c>
      <c r="H464" s="2023" t="s">
        <v>4581</v>
      </c>
      <c r="I464" s="2023" t="s">
        <v>4136</v>
      </c>
      <c r="J464" s="2355" t="s">
        <v>4137</v>
      </c>
      <c r="K464" s="2352">
        <v>41918</v>
      </c>
      <c r="L464" s="2349">
        <v>65448.5</v>
      </c>
      <c r="M464" s="2006">
        <v>11412</v>
      </c>
      <c r="N464" s="2352">
        <v>41918</v>
      </c>
      <c r="O464" s="2352">
        <v>42004</v>
      </c>
      <c r="P464" s="2354" t="s">
        <v>3905</v>
      </c>
      <c r="Q464" s="1055"/>
      <c r="R464" s="1055"/>
      <c r="S464" s="1055"/>
      <c r="T464" s="2023" t="s">
        <v>316</v>
      </c>
      <c r="U464" s="1146"/>
      <c r="V464" s="1055"/>
      <c r="W464" s="1064"/>
      <c r="X464" s="1146"/>
      <c r="Y464" s="1137"/>
      <c r="Z464" s="1137"/>
      <c r="AA464" s="1138"/>
      <c r="AB464" s="1055"/>
      <c r="AC464" s="1139"/>
      <c r="AD464" s="1139"/>
      <c r="AE464" s="2345">
        <f>L464-AD464+AC464</f>
        <v>65448.5</v>
      </c>
      <c r="AF464" s="525">
        <v>0</v>
      </c>
      <c r="AG464" s="1148">
        <v>0</v>
      </c>
      <c r="AH464" s="1139">
        <f t="shared" si="12"/>
        <v>0</v>
      </c>
      <c r="AI464" s="1055"/>
      <c r="AJ464" s="1064"/>
      <c r="AK464" s="1055"/>
      <c r="AL464" s="1133"/>
      <c r="AM464" s="1055"/>
      <c r="AN464" s="1055"/>
      <c r="AO464" s="1064"/>
      <c r="AP464" s="1137"/>
      <c r="AQ464" s="1064"/>
      <c r="AR464" s="1137"/>
      <c r="AS464" s="1055"/>
      <c r="AT464" s="1133"/>
      <c r="AU464" s="1133"/>
      <c r="AV464" s="1133"/>
      <c r="AW464" s="1133"/>
      <c r="AX464" s="1133"/>
      <c r="AY464" s="1133"/>
      <c r="AZ464" s="1133"/>
      <c r="BA464" s="1133"/>
      <c r="BB464" s="1133"/>
      <c r="BC464" s="1133"/>
      <c r="BD464" s="1133"/>
      <c r="BE464" s="1480"/>
      <c r="BF464" s="1480"/>
      <c r="BG464" s="1480"/>
      <c r="BH464" s="1480"/>
      <c r="BI464" s="1480"/>
      <c r="BJ464" s="1480"/>
    </row>
    <row r="465" spans="1:62" s="629" customFormat="1" ht="12.75" x14ac:dyDescent="0.2">
      <c r="A465" s="2365"/>
      <c r="B465" s="2361"/>
      <c r="C465" s="2355"/>
      <c r="D465" s="2023"/>
      <c r="E465" s="2023"/>
      <c r="F465" s="2023"/>
      <c r="G465" s="2355"/>
      <c r="H465" s="2023"/>
      <c r="I465" s="2023"/>
      <c r="J465" s="2355"/>
      <c r="K465" s="2352"/>
      <c r="L465" s="2349"/>
      <c r="M465" s="2006"/>
      <c r="N465" s="2352"/>
      <c r="O465" s="2352"/>
      <c r="P465" s="2354"/>
      <c r="Q465" s="1055"/>
      <c r="R465" s="1055"/>
      <c r="S465" s="1055"/>
      <c r="T465" s="2023"/>
      <c r="U465" s="1146"/>
      <c r="V465" s="1055"/>
      <c r="W465" s="1064"/>
      <c r="X465" s="1146"/>
      <c r="Y465" s="1137"/>
      <c r="Z465" s="1137"/>
      <c r="AA465" s="1138"/>
      <c r="AB465" s="1055"/>
      <c r="AC465" s="1139"/>
      <c r="AD465" s="1139"/>
      <c r="AE465" s="2346"/>
      <c r="AF465" s="525">
        <v>0</v>
      </c>
      <c r="AG465" s="525">
        <v>0</v>
      </c>
      <c r="AH465" s="1139">
        <f t="shared" si="12"/>
        <v>0</v>
      </c>
      <c r="AI465" s="1055"/>
      <c r="AJ465" s="1064"/>
      <c r="AK465" s="1055"/>
      <c r="AL465" s="1133"/>
      <c r="AM465" s="1055"/>
      <c r="AN465" s="1055"/>
      <c r="AO465" s="1064"/>
      <c r="AP465" s="1137"/>
      <c r="AQ465" s="1064"/>
      <c r="AR465" s="1137"/>
      <c r="AS465" s="1055"/>
      <c r="AT465" s="1133"/>
      <c r="AU465" s="1133"/>
      <c r="AV465" s="1133"/>
      <c r="AW465" s="1133"/>
      <c r="AX465" s="1133"/>
      <c r="AY465" s="1133"/>
      <c r="AZ465" s="1133"/>
      <c r="BA465" s="1133"/>
      <c r="BB465" s="1133"/>
      <c r="BC465" s="1133"/>
      <c r="BD465" s="1133"/>
      <c r="BE465" s="1480"/>
      <c r="BF465" s="1480"/>
      <c r="BG465" s="1480"/>
      <c r="BH465" s="1480"/>
      <c r="BI465" s="1480"/>
      <c r="BJ465" s="1480"/>
    </row>
    <row r="466" spans="1:62" s="629" customFormat="1" ht="12.75" x14ac:dyDescent="0.2">
      <c r="A466" s="2365"/>
      <c r="B466" s="2361"/>
      <c r="C466" s="2355"/>
      <c r="D466" s="2023"/>
      <c r="E466" s="2023"/>
      <c r="F466" s="2023"/>
      <c r="G466" s="2355"/>
      <c r="H466" s="2023"/>
      <c r="I466" s="2023"/>
      <c r="J466" s="2355"/>
      <c r="K466" s="2355"/>
      <c r="L466" s="2349"/>
      <c r="M466" s="2006"/>
      <c r="N466" s="2352"/>
      <c r="O466" s="2352"/>
      <c r="P466" s="1132" t="s">
        <v>4071</v>
      </c>
      <c r="Q466" s="1055"/>
      <c r="R466" s="1055"/>
      <c r="S466" s="1055"/>
      <c r="T466" s="2023"/>
      <c r="U466" s="1146"/>
      <c r="V466" s="1055"/>
      <c r="W466" s="1064"/>
      <c r="X466" s="1146"/>
      <c r="Y466" s="1137"/>
      <c r="Z466" s="1137"/>
      <c r="AA466" s="1138"/>
      <c r="AB466" s="1055"/>
      <c r="AC466" s="1139"/>
      <c r="AD466" s="1139"/>
      <c r="AE466" s="2371"/>
      <c r="AF466" s="525">
        <v>0</v>
      </c>
      <c r="AG466" s="1148">
        <f>928.07+4042.61+2642.64</f>
        <v>7613.32</v>
      </c>
      <c r="AH466" s="1139">
        <f t="shared" si="12"/>
        <v>7613.32</v>
      </c>
      <c r="AI466" s="1055"/>
      <c r="AJ466" s="1064"/>
      <c r="AK466" s="1055"/>
      <c r="AL466" s="1133"/>
      <c r="AM466" s="1055"/>
      <c r="AN466" s="1055"/>
      <c r="AO466" s="1064"/>
      <c r="AP466" s="1137"/>
      <c r="AQ466" s="1064"/>
      <c r="AR466" s="1137"/>
      <c r="AS466" s="1055"/>
      <c r="AT466" s="1133"/>
      <c r="AU466" s="1133"/>
      <c r="AV466" s="1133"/>
      <c r="AW466" s="1133"/>
      <c r="AX466" s="1133"/>
      <c r="AY466" s="1133"/>
      <c r="AZ466" s="1133"/>
      <c r="BA466" s="1133"/>
      <c r="BB466" s="1133"/>
      <c r="BC466" s="1133"/>
      <c r="BD466" s="1133"/>
      <c r="BE466" s="1480"/>
      <c r="BF466" s="1480"/>
      <c r="BG466" s="1480"/>
      <c r="BH466" s="1480"/>
      <c r="BI466" s="1480"/>
      <c r="BJ466" s="1480"/>
    </row>
    <row r="467" spans="1:62" s="629" customFormat="1" ht="12.75" x14ac:dyDescent="0.2">
      <c r="A467" s="2365">
        <v>219</v>
      </c>
      <c r="B467" s="2361" t="s">
        <v>1938</v>
      </c>
      <c r="C467" s="2387" t="s">
        <v>840</v>
      </c>
      <c r="D467" s="2023" t="s">
        <v>1548</v>
      </c>
      <c r="E467" s="2023" t="s">
        <v>584</v>
      </c>
      <c r="F467" s="2023" t="s">
        <v>4582</v>
      </c>
      <c r="G467" s="2373">
        <v>11274</v>
      </c>
      <c r="H467" s="2023" t="s">
        <v>4583</v>
      </c>
      <c r="I467" s="2023" t="s">
        <v>4305</v>
      </c>
      <c r="J467" s="2023" t="s">
        <v>4140</v>
      </c>
      <c r="K467" s="2352">
        <v>41918</v>
      </c>
      <c r="L467" s="2349">
        <v>55018.8</v>
      </c>
      <c r="M467" s="2006">
        <v>11412</v>
      </c>
      <c r="N467" s="2352">
        <v>41918</v>
      </c>
      <c r="O467" s="2352">
        <v>42004</v>
      </c>
      <c r="P467" s="2354" t="s">
        <v>3905</v>
      </c>
      <c r="Q467" s="1055"/>
      <c r="R467" s="1055"/>
      <c r="S467" s="1055"/>
      <c r="T467" s="2023" t="s">
        <v>316</v>
      </c>
      <c r="U467" s="1146"/>
      <c r="V467" s="1055"/>
      <c r="W467" s="1064"/>
      <c r="X467" s="1146"/>
      <c r="Y467" s="1137"/>
      <c r="Z467" s="1137"/>
      <c r="AA467" s="1138"/>
      <c r="AB467" s="1055"/>
      <c r="AC467" s="1139"/>
      <c r="AD467" s="1139"/>
      <c r="AE467" s="2345">
        <f>L467-AD467+AC467</f>
        <v>55018.8</v>
      </c>
      <c r="AF467" s="525">
        <v>0</v>
      </c>
      <c r="AG467" s="525">
        <v>0</v>
      </c>
      <c r="AH467" s="1139">
        <f t="shared" si="12"/>
        <v>0</v>
      </c>
      <c r="AI467" s="1055"/>
      <c r="AJ467" s="1064"/>
      <c r="AK467" s="1055"/>
      <c r="AL467" s="1133"/>
      <c r="AM467" s="1055"/>
      <c r="AN467" s="1055"/>
      <c r="AO467" s="1064"/>
      <c r="AP467" s="1137"/>
      <c r="AQ467" s="1064"/>
      <c r="AR467" s="1137"/>
      <c r="AS467" s="1055"/>
      <c r="AT467" s="1133"/>
      <c r="AU467" s="1133"/>
      <c r="AV467" s="1133"/>
      <c r="AW467" s="1133"/>
      <c r="AX467" s="1133"/>
      <c r="AY467" s="1133"/>
      <c r="AZ467" s="1133"/>
      <c r="BA467" s="1133"/>
      <c r="BB467" s="1133"/>
      <c r="BC467" s="1133"/>
      <c r="BD467" s="1133"/>
      <c r="BE467" s="1480"/>
      <c r="BF467" s="1480"/>
      <c r="BG467" s="1480"/>
      <c r="BH467" s="1480"/>
      <c r="BI467" s="1480"/>
      <c r="BJ467" s="1480"/>
    </row>
    <row r="468" spans="1:62" s="629" customFormat="1" ht="12.75" x14ac:dyDescent="0.2">
      <c r="A468" s="2365"/>
      <c r="B468" s="2361"/>
      <c r="C468" s="2387"/>
      <c r="D468" s="2023"/>
      <c r="E468" s="2023"/>
      <c r="F468" s="2023"/>
      <c r="G468" s="2373"/>
      <c r="H468" s="2023"/>
      <c r="I468" s="2023"/>
      <c r="J468" s="2023"/>
      <c r="K468" s="2352"/>
      <c r="L468" s="2349"/>
      <c r="M468" s="2006"/>
      <c r="N468" s="2352"/>
      <c r="O468" s="2352"/>
      <c r="P468" s="2354"/>
      <c r="Q468" s="1055"/>
      <c r="R468" s="1055"/>
      <c r="S468" s="1055"/>
      <c r="T468" s="2023"/>
      <c r="U468" s="1146"/>
      <c r="V468" s="1055"/>
      <c r="W468" s="1064"/>
      <c r="X468" s="1146"/>
      <c r="Y468" s="1137"/>
      <c r="Z468" s="1137"/>
      <c r="AA468" s="1138"/>
      <c r="AB468" s="1055"/>
      <c r="AC468" s="1139"/>
      <c r="AD468" s="1139"/>
      <c r="AE468" s="2346"/>
      <c r="AF468" s="525">
        <v>0</v>
      </c>
      <c r="AG468" s="525">
        <v>0</v>
      </c>
      <c r="AH468" s="1139">
        <f t="shared" si="12"/>
        <v>0</v>
      </c>
      <c r="AI468" s="1055"/>
      <c r="AJ468" s="1064"/>
      <c r="AK468" s="1055"/>
      <c r="AL468" s="1133"/>
      <c r="AM468" s="1055"/>
      <c r="AN468" s="1055"/>
      <c r="AO468" s="1064"/>
      <c r="AP468" s="1137"/>
      <c r="AQ468" s="1064"/>
      <c r="AR468" s="1137"/>
      <c r="AS468" s="1055"/>
      <c r="AT468" s="1133"/>
      <c r="AU468" s="1133"/>
      <c r="AV468" s="1133"/>
      <c r="AW468" s="1133"/>
      <c r="AX468" s="1133"/>
      <c r="AY468" s="1133"/>
      <c r="AZ468" s="1133"/>
      <c r="BA468" s="1133"/>
      <c r="BB468" s="1133"/>
      <c r="BC468" s="1133"/>
      <c r="BD468" s="1133"/>
      <c r="BE468" s="1480"/>
      <c r="BF468" s="1480"/>
      <c r="BG468" s="1480"/>
      <c r="BH468" s="1480"/>
      <c r="BI468" s="1480"/>
      <c r="BJ468" s="1480"/>
    </row>
    <row r="469" spans="1:62" s="629" customFormat="1" ht="12.75" x14ac:dyDescent="0.2">
      <c r="A469" s="2365"/>
      <c r="B469" s="2361"/>
      <c r="C469" s="2387"/>
      <c r="D469" s="2023"/>
      <c r="E469" s="2023"/>
      <c r="F469" s="2023"/>
      <c r="G469" s="2373"/>
      <c r="H469" s="2023"/>
      <c r="I469" s="2023"/>
      <c r="J469" s="2023"/>
      <c r="K469" s="2352"/>
      <c r="L469" s="2349"/>
      <c r="M469" s="2006"/>
      <c r="N469" s="2352"/>
      <c r="O469" s="2352"/>
      <c r="P469" s="1132" t="s">
        <v>4071</v>
      </c>
      <c r="Q469" s="1055"/>
      <c r="R469" s="1055"/>
      <c r="S469" s="1055"/>
      <c r="T469" s="2023"/>
      <c r="U469" s="1146"/>
      <c r="V469" s="1055"/>
      <c r="W469" s="1064"/>
      <c r="X469" s="1146"/>
      <c r="Y469" s="1137"/>
      <c r="Z469" s="1137"/>
      <c r="AA469" s="1138"/>
      <c r="AB469" s="1055"/>
      <c r="AC469" s="1139"/>
      <c r="AD469" s="1139"/>
      <c r="AE469" s="2371"/>
      <c r="AF469" s="525">
        <v>0</v>
      </c>
      <c r="AG469" s="1148">
        <v>4117.42</v>
      </c>
      <c r="AH469" s="1139">
        <f t="shared" si="12"/>
        <v>4117.42</v>
      </c>
      <c r="AI469" s="1055"/>
      <c r="AJ469" s="1064"/>
      <c r="AK469" s="1055"/>
      <c r="AL469" s="1133"/>
      <c r="AM469" s="1055"/>
      <c r="AN469" s="1055"/>
      <c r="AO469" s="1064"/>
      <c r="AP469" s="1137"/>
      <c r="AQ469" s="1064"/>
      <c r="AR469" s="1137"/>
      <c r="AS469" s="1055"/>
      <c r="AT469" s="1133"/>
      <c r="AU469" s="1133"/>
      <c r="AV469" s="1133"/>
      <c r="AW469" s="1133"/>
      <c r="AX469" s="1133"/>
      <c r="AY469" s="1133"/>
      <c r="AZ469" s="1133"/>
      <c r="BA469" s="1133"/>
      <c r="BB469" s="1133"/>
      <c r="BC469" s="1133"/>
      <c r="BD469" s="1133"/>
      <c r="BE469" s="1480"/>
      <c r="BF469" s="1480"/>
      <c r="BG469" s="1480"/>
      <c r="BH469" s="1480"/>
      <c r="BI469" s="1480"/>
      <c r="BJ469" s="1480"/>
    </row>
    <row r="470" spans="1:62" s="629" customFormat="1" ht="12.75" x14ac:dyDescent="0.2">
      <c r="A470" s="2365">
        <v>220</v>
      </c>
      <c r="B470" s="2361" t="s">
        <v>4459</v>
      </c>
      <c r="C470" s="2355" t="s">
        <v>840</v>
      </c>
      <c r="D470" s="2023" t="s">
        <v>1548</v>
      </c>
      <c r="E470" s="2023" t="s">
        <v>584</v>
      </c>
      <c r="F470" s="2023" t="s">
        <v>4297</v>
      </c>
      <c r="G470" s="2355">
        <v>11274</v>
      </c>
      <c r="H470" s="2023" t="s">
        <v>4584</v>
      </c>
      <c r="I470" s="2023" t="s">
        <v>4258</v>
      </c>
      <c r="J470" s="2355" t="s">
        <v>4259</v>
      </c>
      <c r="K470" s="2352">
        <v>41918</v>
      </c>
      <c r="L470" s="2349">
        <v>81190</v>
      </c>
      <c r="M470" s="2006">
        <v>11412</v>
      </c>
      <c r="N470" s="2352">
        <v>41918</v>
      </c>
      <c r="O470" s="2352">
        <v>41943</v>
      </c>
      <c r="P470" s="2354" t="s">
        <v>3905</v>
      </c>
      <c r="Q470" s="1055"/>
      <c r="R470" s="1055"/>
      <c r="S470" s="1055"/>
      <c r="T470" s="2023" t="s">
        <v>316</v>
      </c>
      <c r="U470" s="1146"/>
      <c r="V470" s="1055"/>
      <c r="W470" s="1064"/>
      <c r="X470" s="1146"/>
      <c r="Y470" s="1137"/>
      <c r="Z470" s="1137"/>
      <c r="AA470" s="1138"/>
      <c r="AB470" s="1055"/>
      <c r="AC470" s="1139"/>
      <c r="AD470" s="1139"/>
      <c r="AE470" s="2345">
        <f>L470</f>
        <v>81190</v>
      </c>
      <c r="AF470" s="525">
        <v>0</v>
      </c>
      <c r="AG470" s="525">
        <v>0</v>
      </c>
      <c r="AH470" s="1139">
        <f t="shared" si="12"/>
        <v>0</v>
      </c>
      <c r="AI470" s="1055"/>
      <c r="AJ470" s="1064"/>
      <c r="AK470" s="1055"/>
      <c r="AL470" s="1133"/>
      <c r="AM470" s="1055"/>
      <c r="AN470" s="1055"/>
      <c r="AO470" s="1064"/>
      <c r="AP470" s="1137"/>
      <c r="AQ470" s="1064"/>
      <c r="AR470" s="1137"/>
      <c r="AS470" s="1055"/>
      <c r="AT470" s="1133"/>
      <c r="AU470" s="1133"/>
      <c r="AV470" s="1133"/>
      <c r="AW470" s="1133"/>
      <c r="AX470" s="1133"/>
      <c r="AY470" s="1133"/>
      <c r="AZ470" s="1133"/>
      <c r="BA470" s="1133"/>
      <c r="BB470" s="1133"/>
      <c r="BC470" s="1133"/>
      <c r="BD470" s="1133"/>
      <c r="BE470" s="1480"/>
      <c r="BF470" s="1480"/>
      <c r="BG470" s="1480"/>
      <c r="BH470" s="1480"/>
      <c r="BI470" s="1480"/>
      <c r="BJ470" s="1480"/>
    </row>
    <row r="471" spans="1:62" s="629" customFormat="1" ht="12.75" x14ac:dyDescent="0.2">
      <c r="A471" s="2365"/>
      <c r="B471" s="2361"/>
      <c r="C471" s="2355"/>
      <c r="D471" s="2023"/>
      <c r="E471" s="2023"/>
      <c r="F471" s="2023"/>
      <c r="G471" s="2355"/>
      <c r="H471" s="2023"/>
      <c r="I471" s="2023"/>
      <c r="J471" s="2355"/>
      <c r="K471" s="2355"/>
      <c r="L471" s="2349"/>
      <c r="M471" s="2006"/>
      <c r="N471" s="2352"/>
      <c r="O471" s="2352"/>
      <c r="P471" s="2354"/>
      <c r="Q471" s="1055"/>
      <c r="R471" s="1055"/>
      <c r="S471" s="1055"/>
      <c r="T471" s="2023"/>
      <c r="U471" s="1146"/>
      <c r="V471" s="1055"/>
      <c r="W471" s="1064"/>
      <c r="X471" s="1146"/>
      <c r="Y471" s="1137"/>
      <c r="Z471" s="1137"/>
      <c r="AA471" s="1138"/>
      <c r="AB471" s="1055"/>
      <c r="AC471" s="1139"/>
      <c r="AD471" s="1139"/>
      <c r="AE471" s="2346"/>
      <c r="AF471" s="525">
        <v>0</v>
      </c>
      <c r="AG471" s="525">
        <v>0</v>
      </c>
      <c r="AH471" s="1139">
        <f t="shared" si="12"/>
        <v>0</v>
      </c>
      <c r="AI471" s="1055"/>
      <c r="AJ471" s="1064"/>
      <c r="AK471" s="1055"/>
      <c r="AL471" s="1133"/>
      <c r="AM471" s="1055"/>
      <c r="AN471" s="1055"/>
      <c r="AO471" s="1064"/>
      <c r="AP471" s="1137"/>
      <c r="AQ471" s="1064"/>
      <c r="AR471" s="1137"/>
      <c r="AS471" s="1055"/>
      <c r="AT471" s="1133"/>
      <c r="AU471" s="1133"/>
      <c r="AV471" s="1133"/>
      <c r="AW471" s="1133"/>
      <c r="AX471" s="1133"/>
      <c r="AY471" s="1133"/>
      <c r="AZ471" s="1133"/>
      <c r="BA471" s="1133"/>
      <c r="BB471" s="1133"/>
      <c r="BC471" s="1133"/>
      <c r="BD471" s="1133"/>
      <c r="BE471" s="1480"/>
      <c r="BF471" s="1480"/>
      <c r="BG471" s="1480"/>
      <c r="BH471" s="1480"/>
      <c r="BI471" s="1480"/>
      <c r="BJ471" s="1480"/>
    </row>
    <row r="472" spans="1:62" s="629" customFormat="1" ht="12.75" x14ac:dyDescent="0.2">
      <c r="A472" s="2365"/>
      <c r="B472" s="2361"/>
      <c r="C472" s="2355"/>
      <c r="D472" s="2023"/>
      <c r="E472" s="2023"/>
      <c r="F472" s="2023"/>
      <c r="G472" s="2355"/>
      <c r="H472" s="2023"/>
      <c r="I472" s="2023"/>
      <c r="J472" s="2355"/>
      <c r="K472" s="2355"/>
      <c r="L472" s="2349"/>
      <c r="M472" s="2006"/>
      <c r="N472" s="2352"/>
      <c r="O472" s="2352"/>
      <c r="P472" s="1132" t="s">
        <v>4071</v>
      </c>
      <c r="Q472" s="1055"/>
      <c r="R472" s="1055"/>
      <c r="S472" s="1055"/>
      <c r="T472" s="2023"/>
      <c r="U472" s="1146"/>
      <c r="V472" s="1055"/>
      <c r="W472" s="1064"/>
      <c r="X472" s="1146"/>
      <c r="Y472" s="1137"/>
      <c r="Z472" s="1137"/>
      <c r="AA472" s="1138"/>
      <c r="AB472" s="1055"/>
      <c r="AC472" s="1139"/>
      <c r="AD472" s="1139"/>
      <c r="AE472" s="2371"/>
      <c r="AF472" s="525">
        <v>0</v>
      </c>
      <c r="AG472" s="1148">
        <f>13784.65+22980.3</f>
        <v>36764.949999999997</v>
      </c>
      <c r="AH472" s="1139">
        <f t="shared" si="12"/>
        <v>36764.949999999997</v>
      </c>
      <c r="AI472" s="1055"/>
      <c r="AJ472" s="1064"/>
      <c r="AK472" s="1055"/>
      <c r="AL472" s="1133"/>
      <c r="AM472" s="1055"/>
      <c r="AN472" s="1055"/>
      <c r="AO472" s="1064"/>
      <c r="AP472" s="1137"/>
      <c r="AQ472" s="1064"/>
      <c r="AR472" s="1137"/>
      <c r="AS472" s="1055"/>
      <c r="AT472" s="1133"/>
      <c r="AU472" s="1133"/>
      <c r="AV472" s="1133"/>
      <c r="AW472" s="1133"/>
      <c r="AX472" s="1133"/>
      <c r="AY472" s="1133"/>
      <c r="AZ472" s="1133"/>
      <c r="BA472" s="1133"/>
      <c r="BB472" s="1133"/>
      <c r="BC472" s="1133"/>
      <c r="BD472" s="1133"/>
      <c r="BE472" s="1480"/>
      <c r="BF472" s="1480"/>
      <c r="BG472" s="1480"/>
      <c r="BH472" s="1480"/>
      <c r="BI472" s="1480"/>
      <c r="BJ472" s="1480"/>
    </row>
    <row r="473" spans="1:62" s="629" customFormat="1" ht="45" customHeight="1" x14ac:dyDescent="0.2">
      <c r="A473" s="2365">
        <v>221</v>
      </c>
      <c r="B473" s="2361" t="s">
        <v>4585</v>
      </c>
      <c r="C473" s="2387" t="s">
        <v>744</v>
      </c>
      <c r="D473" s="2023" t="s">
        <v>1548</v>
      </c>
      <c r="E473" s="2023" t="s">
        <v>584</v>
      </c>
      <c r="F473" s="2023" t="s">
        <v>4582</v>
      </c>
      <c r="G473" s="2373">
        <v>11267</v>
      </c>
      <c r="H473" s="2023" t="s">
        <v>4586</v>
      </c>
      <c r="I473" s="2023" t="s">
        <v>4133</v>
      </c>
      <c r="J473" s="2023" t="s">
        <v>4134</v>
      </c>
      <c r="K473" s="2347">
        <v>41927</v>
      </c>
      <c r="L473" s="2349">
        <v>62465.1</v>
      </c>
      <c r="M473" s="2006">
        <v>11416</v>
      </c>
      <c r="N473" s="2352">
        <v>41927</v>
      </c>
      <c r="O473" s="2352">
        <v>42004</v>
      </c>
      <c r="P473" s="2354" t="s">
        <v>3905</v>
      </c>
      <c r="Q473" s="1055"/>
      <c r="R473" s="1055"/>
      <c r="S473" s="1055"/>
      <c r="T473" s="2023" t="s">
        <v>316</v>
      </c>
      <c r="U473" s="1146"/>
      <c r="V473" s="1055"/>
      <c r="W473" s="1064"/>
      <c r="X473" s="1146"/>
      <c r="Y473" s="1137"/>
      <c r="Z473" s="1137"/>
      <c r="AA473" s="1138"/>
      <c r="AB473" s="1055"/>
      <c r="AC473" s="1139"/>
      <c r="AD473" s="1139"/>
      <c r="AE473" s="2345">
        <f>L473-AD473+AC473</f>
        <v>62465.1</v>
      </c>
      <c r="AF473" s="525">
        <v>0</v>
      </c>
      <c r="AG473" s="1148">
        <f>2584+1695+12892.8+17278.2</f>
        <v>34450</v>
      </c>
      <c r="AH473" s="1139">
        <f t="shared" si="12"/>
        <v>34450</v>
      </c>
      <c r="AI473" s="1055"/>
      <c r="AJ473" s="1064"/>
      <c r="AK473" s="1055"/>
      <c r="AL473" s="1133"/>
      <c r="AM473" s="1055"/>
      <c r="AN473" s="1055"/>
      <c r="AO473" s="1064"/>
      <c r="AP473" s="1137"/>
      <c r="AQ473" s="1064"/>
      <c r="AR473" s="1137"/>
      <c r="AS473" s="1055"/>
      <c r="AT473" s="1133"/>
      <c r="AU473" s="1133"/>
      <c r="AV473" s="1133"/>
      <c r="AW473" s="1133"/>
      <c r="AX473" s="1133"/>
      <c r="AY473" s="1133"/>
      <c r="AZ473" s="1133"/>
      <c r="BA473" s="1133"/>
      <c r="BB473" s="1133"/>
      <c r="BC473" s="1133"/>
      <c r="BD473" s="1133"/>
      <c r="BE473" s="1480"/>
      <c r="BF473" s="1480"/>
      <c r="BG473" s="1480"/>
      <c r="BH473" s="1480"/>
      <c r="BI473" s="1480"/>
      <c r="BJ473" s="1480"/>
    </row>
    <row r="474" spans="1:62" s="629" customFormat="1" ht="22.5" customHeight="1" x14ac:dyDescent="0.2">
      <c r="A474" s="2365"/>
      <c r="B474" s="2361"/>
      <c r="C474" s="2387"/>
      <c r="D474" s="2023"/>
      <c r="E474" s="2023"/>
      <c r="F474" s="2023"/>
      <c r="G474" s="2373"/>
      <c r="H474" s="2023"/>
      <c r="I474" s="2023"/>
      <c r="J474" s="2023"/>
      <c r="K474" s="2347"/>
      <c r="L474" s="2349"/>
      <c r="M474" s="2006"/>
      <c r="N474" s="2352"/>
      <c r="O474" s="2352"/>
      <c r="P474" s="2354"/>
      <c r="Q474" s="1055"/>
      <c r="R474" s="1055"/>
      <c r="S474" s="1055"/>
      <c r="T474" s="2023"/>
      <c r="U474" s="1146"/>
      <c r="V474" s="1055"/>
      <c r="W474" s="1064"/>
      <c r="X474" s="1146"/>
      <c r="Y474" s="1137"/>
      <c r="Z474" s="1137"/>
      <c r="AA474" s="1138"/>
      <c r="AB474" s="1055"/>
      <c r="AC474" s="1139"/>
      <c r="AD474" s="1139"/>
      <c r="AE474" s="2346"/>
      <c r="AF474" s="525">
        <v>0</v>
      </c>
      <c r="AG474" s="525">
        <v>0</v>
      </c>
      <c r="AH474" s="1139">
        <f t="shared" si="12"/>
        <v>0</v>
      </c>
      <c r="AI474" s="1055"/>
      <c r="AJ474" s="1064"/>
      <c r="AK474" s="1055"/>
      <c r="AL474" s="1133"/>
      <c r="AM474" s="1055"/>
      <c r="AN474" s="1055"/>
      <c r="AO474" s="1064"/>
      <c r="AP474" s="1137"/>
      <c r="AQ474" s="1064"/>
      <c r="AR474" s="1137"/>
      <c r="AS474" s="1055"/>
      <c r="AT474" s="1133"/>
      <c r="AU474" s="1133"/>
      <c r="AV474" s="1133"/>
      <c r="AW474" s="1133"/>
      <c r="AX474" s="1133"/>
      <c r="AY474" s="1133"/>
      <c r="AZ474" s="1133"/>
      <c r="BA474" s="1133"/>
      <c r="BB474" s="1133"/>
      <c r="BC474" s="1133"/>
      <c r="BD474" s="1133"/>
      <c r="BE474" s="1480"/>
      <c r="BF474" s="1480"/>
      <c r="BG474" s="1480"/>
      <c r="BH474" s="1480"/>
      <c r="BI474" s="1480"/>
      <c r="BJ474" s="1480"/>
    </row>
    <row r="475" spans="1:62" s="629" customFormat="1" ht="18" customHeight="1" x14ac:dyDescent="0.2">
      <c r="A475" s="2365"/>
      <c r="B475" s="2361"/>
      <c r="C475" s="2387"/>
      <c r="D475" s="2023"/>
      <c r="E475" s="2023"/>
      <c r="F475" s="2023"/>
      <c r="G475" s="2373"/>
      <c r="H475" s="2023"/>
      <c r="I475" s="2023"/>
      <c r="J475" s="2023"/>
      <c r="K475" s="2347"/>
      <c r="L475" s="2349"/>
      <c r="M475" s="2006"/>
      <c r="N475" s="2352"/>
      <c r="O475" s="2352"/>
      <c r="P475" s="1132" t="s">
        <v>4071</v>
      </c>
      <c r="Q475" s="1055"/>
      <c r="R475" s="1055"/>
      <c r="S475" s="1055"/>
      <c r="T475" s="2023"/>
      <c r="U475" s="1146"/>
      <c r="V475" s="1055"/>
      <c r="W475" s="1064"/>
      <c r="X475" s="1146"/>
      <c r="Y475" s="1137"/>
      <c r="Z475" s="1137"/>
      <c r="AA475" s="1138"/>
      <c r="AB475" s="1055"/>
      <c r="AC475" s="1139"/>
      <c r="AD475" s="1139"/>
      <c r="AE475" s="2371"/>
      <c r="AF475" s="525">
        <v>0</v>
      </c>
      <c r="AG475" s="1148">
        <f>2672.11+3882+14881+2264.5+45.29+2976.2</f>
        <v>26721.100000000002</v>
      </c>
      <c r="AH475" s="1139">
        <f t="shared" ref="AH475:AH538" si="15">AF475+AG475</f>
        <v>26721.100000000002</v>
      </c>
      <c r="AI475" s="1055"/>
      <c r="AJ475" s="1064"/>
      <c r="AK475" s="1055"/>
      <c r="AL475" s="1133"/>
      <c r="AM475" s="1055"/>
      <c r="AN475" s="1055"/>
      <c r="AO475" s="1064"/>
      <c r="AP475" s="1137"/>
      <c r="AQ475" s="1064"/>
      <c r="AR475" s="1137"/>
      <c r="AS475" s="1055"/>
      <c r="AT475" s="1133"/>
      <c r="AU475" s="1133"/>
      <c r="AV475" s="1133"/>
      <c r="AW475" s="1133"/>
      <c r="AX475" s="1133"/>
      <c r="AY475" s="1133"/>
      <c r="AZ475" s="1133"/>
      <c r="BA475" s="1133"/>
      <c r="BB475" s="1133"/>
      <c r="BC475" s="1133"/>
      <c r="BD475" s="1133"/>
      <c r="BE475" s="1480"/>
      <c r="BF475" s="1480"/>
      <c r="BG475" s="1480"/>
      <c r="BH475" s="1480"/>
      <c r="BI475" s="1480"/>
      <c r="BJ475" s="1480"/>
    </row>
    <row r="476" spans="1:62" s="629" customFormat="1" ht="18" customHeight="1" x14ac:dyDescent="0.2">
      <c r="A476" s="2365">
        <v>222</v>
      </c>
      <c r="B476" s="2361" t="s">
        <v>4433</v>
      </c>
      <c r="C476" s="2023" t="s">
        <v>744</v>
      </c>
      <c r="D476" s="2023" t="s">
        <v>1331</v>
      </c>
      <c r="E476" s="2023" t="s">
        <v>584</v>
      </c>
      <c r="F476" s="2023" t="s">
        <v>4311</v>
      </c>
      <c r="G476" s="2355">
        <v>11267</v>
      </c>
      <c r="H476" s="2023" t="s">
        <v>4587</v>
      </c>
      <c r="I476" s="2023" t="s">
        <v>4441</v>
      </c>
      <c r="J476" s="2023" t="s">
        <v>4317</v>
      </c>
      <c r="K476" s="2347">
        <v>41927</v>
      </c>
      <c r="L476" s="2349">
        <v>40136.9</v>
      </c>
      <c r="M476" s="2374">
        <v>11418</v>
      </c>
      <c r="N476" s="2352">
        <v>41740</v>
      </c>
      <c r="O476" s="2352">
        <v>42004</v>
      </c>
      <c r="P476" s="2354" t="s">
        <v>3905</v>
      </c>
      <c r="Q476" s="2023"/>
      <c r="R476" s="2023"/>
      <c r="S476" s="2023"/>
      <c r="T476" s="2023" t="s">
        <v>316</v>
      </c>
      <c r="U476" s="1055"/>
      <c r="V476" s="1055"/>
      <c r="W476" s="1064"/>
      <c r="X476" s="1140"/>
      <c r="Y476" s="1055"/>
      <c r="Z476" s="1055"/>
      <c r="AA476" s="1138"/>
      <c r="AB476" s="1055"/>
      <c r="AC476" s="1139"/>
      <c r="AD476" s="1139"/>
      <c r="AE476" s="2345">
        <f>L476-AD476+AC476</f>
        <v>40136.9</v>
      </c>
      <c r="AF476" s="525">
        <v>0</v>
      </c>
      <c r="AG476" s="525">
        <v>0</v>
      </c>
      <c r="AH476" s="1139">
        <f t="shared" si="15"/>
        <v>0</v>
      </c>
      <c r="AI476" s="1055"/>
      <c r="AJ476" s="1064"/>
      <c r="AK476" s="1055"/>
      <c r="AL476" s="1133"/>
      <c r="AM476" s="1055"/>
      <c r="AN476" s="1055"/>
      <c r="AO476" s="1064"/>
      <c r="AP476" s="1137"/>
      <c r="AQ476" s="1064"/>
      <c r="AR476" s="1137"/>
      <c r="AS476" s="1055"/>
      <c r="AT476" s="1133"/>
      <c r="AU476" s="1133"/>
      <c r="AV476" s="1133"/>
      <c r="AW476" s="1133"/>
      <c r="AX476" s="1133"/>
      <c r="AY476" s="1133"/>
      <c r="AZ476" s="1133"/>
      <c r="BA476" s="1133"/>
      <c r="BB476" s="1133"/>
      <c r="BC476" s="1133"/>
      <c r="BD476" s="1133"/>
      <c r="BE476" s="1480"/>
      <c r="BF476" s="1480"/>
      <c r="BG476" s="1480"/>
      <c r="BH476" s="1480"/>
      <c r="BI476" s="1480"/>
      <c r="BJ476" s="1480"/>
    </row>
    <row r="477" spans="1:62" s="629" customFormat="1" ht="18" customHeight="1" x14ac:dyDescent="0.2">
      <c r="A477" s="2365"/>
      <c r="B477" s="2361"/>
      <c r="C477" s="2023"/>
      <c r="D477" s="2023"/>
      <c r="E477" s="2023"/>
      <c r="F477" s="2023"/>
      <c r="G477" s="2355"/>
      <c r="H477" s="2023"/>
      <c r="I477" s="2023"/>
      <c r="J477" s="2023"/>
      <c r="K477" s="2347"/>
      <c r="L477" s="2349"/>
      <c r="M477" s="2374"/>
      <c r="N477" s="2352"/>
      <c r="O477" s="2352"/>
      <c r="P477" s="2354"/>
      <c r="Q477" s="2023"/>
      <c r="R477" s="2023"/>
      <c r="S477" s="2023"/>
      <c r="T477" s="2023"/>
      <c r="U477" s="1055"/>
      <c r="V477" s="1055"/>
      <c r="W477" s="1064"/>
      <c r="X477" s="1140"/>
      <c r="Y477" s="1055"/>
      <c r="Z477" s="1055"/>
      <c r="AA477" s="1138"/>
      <c r="AB477" s="1055"/>
      <c r="AC477" s="1139"/>
      <c r="AD477" s="1139"/>
      <c r="AE477" s="2346"/>
      <c r="AF477" s="525">
        <v>0</v>
      </c>
      <c r="AG477" s="525">
        <v>0</v>
      </c>
      <c r="AH477" s="1139">
        <f t="shared" si="15"/>
        <v>0</v>
      </c>
      <c r="AI477" s="1055"/>
      <c r="AJ477" s="1064"/>
      <c r="AK477" s="1055"/>
      <c r="AL477" s="1133"/>
      <c r="AM477" s="1055"/>
      <c r="AN477" s="1055"/>
      <c r="AO477" s="1064"/>
      <c r="AP477" s="1137"/>
      <c r="AQ477" s="1064"/>
      <c r="AR477" s="1137"/>
      <c r="AS477" s="1055"/>
      <c r="AT477" s="1133"/>
      <c r="AU477" s="1133"/>
      <c r="AV477" s="1133"/>
      <c r="AW477" s="1133"/>
      <c r="AX477" s="1133"/>
      <c r="AY477" s="1133"/>
      <c r="AZ477" s="1133"/>
      <c r="BA477" s="1133"/>
      <c r="BB477" s="1133"/>
      <c r="BC477" s="1133"/>
      <c r="BD477" s="1133"/>
      <c r="BE477" s="1480"/>
      <c r="BF477" s="1480"/>
      <c r="BG477" s="1480"/>
      <c r="BH477" s="1480"/>
      <c r="BI477" s="1480"/>
      <c r="BJ477" s="1480"/>
    </row>
    <row r="478" spans="1:62" s="629" customFormat="1" ht="18" customHeight="1" x14ac:dyDescent="0.2">
      <c r="A478" s="2365"/>
      <c r="B478" s="2361"/>
      <c r="C478" s="2023"/>
      <c r="D478" s="2023"/>
      <c r="E478" s="2023"/>
      <c r="F478" s="2023"/>
      <c r="G478" s="2355"/>
      <c r="H478" s="2023"/>
      <c r="I478" s="2023"/>
      <c r="J478" s="2023"/>
      <c r="K478" s="2023"/>
      <c r="L478" s="2349"/>
      <c r="M478" s="2374"/>
      <c r="N478" s="2352"/>
      <c r="O478" s="2352"/>
      <c r="P478" s="1132" t="s">
        <v>4071</v>
      </c>
      <c r="Q478" s="2023"/>
      <c r="R478" s="2023"/>
      <c r="S478" s="2023"/>
      <c r="T478" s="2023"/>
      <c r="U478" s="1055"/>
      <c r="V478" s="1055"/>
      <c r="W478" s="1064"/>
      <c r="X478" s="1140"/>
      <c r="Y478" s="1055"/>
      <c r="Z478" s="1055"/>
      <c r="AA478" s="1138"/>
      <c r="AB478" s="1055"/>
      <c r="AC478" s="1139"/>
      <c r="AD478" s="1139"/>
      <c r="AE478" s="2371"/>
      <c r="AF478" s="525">
        <v>0</v>
      </c>
      <c r="AG478" s="1139">
        <f>10740+5499</f>
        <v>16239</v>
      </c>
      <c r="AH478" s="1139">
        <f t="shared" si="15"/>
        <v>16239</v>
      </c>
      <c r="AI478" s="1055"/>
      <c r="AJ478" s="1064"/>
      <c r="AK478" s="1055"/>
      <c r="AL478" s="1133"/>
      <c r="AM478" s="1055"/>
      <c r="AN478" s="1055"/>
      <c r="AO478" s="1064"/>
      <c r="AP478" s="1137"/>
      <c r="AQ478" s="1064"/>
      <c r="AR478" s="1137"/>
      <c r="AS478" s="1055"/>
      <c r="AT478" s="1133"/>
      <c r="AU478" s="1133"/>
      <c r="AV478" s="1133"/>
      <c r="AW478" s="1133"/>
      <c r="AX478" s="1133"/>
      <c r="AY478" s="1133"/>
      <c r="AZ478" s="1133"/>
      <c r="BA478" s="1133"/>
      <c r="BB478" s="1133"/>
      <c r="BC478" s="1133"/>
      <c r="BD478" s="1133"/>
      <c r="BE478" s="1480"/>
      <c r="BF478" s="1480"/>
      <c r="BG478" s="1480"/>
      <c r="BH478" s="1480"/>
      <c r="BI478" s="1480"/>
      <c r="BJ478" s="1480"/>
    </row>
    <row r="479" spans="1:62" s="629" customFormat="1" ht="45" customHeight="1" x14ac:dyDescent="0.2">
      <c r="A479" s="2365">
        <v>223</v>
      </c>
      <c r="B479" s="2361" t="s">
        <v>4585</v>
      </c>
      <c r="C479" s="2387" t="s">
        <v>744</v>
      </c>
      <c r="D479" s="2023" t="s">
        <v>1548</v>
      </c>
      <c r="E479" s="2023" t="s">
        <v>584</v>
      </c>
      <c r="F479" s="2023" t="s">
        <v>4582</v>
      </c>
      <c r="G479" s="2373">
        <v>11287</v>
      </c>
      <c r="H479" s="2023" t="s">
        <v>4588</v>
      </c>
      <c r="I479" s="2023" t="s">
        <v>4305</v>
      </c>
      <c r="J479" s="2023" t="s">
        <v>4140</v>
      </c>
      <c r="K479" s="2347">
        <v>41927</v>
      </c>
      <c r="L479" s="2349">
        <v>22475.599999999999</v>
      </c>
      <c r="M479" s="2006">
        <v>11418</v>
      </c>
      <c r="N479" s="2352">
        <v>41927</v>
      </c>
      <c r="O479" s="2352">
        <v>42004</v>
      </c>
      <c r="P479" s="2354" t="s">
        <v>3905</v>
      </c>
      <c r="Q479" s="1055"/>
      <c r="R479" s="1055"/>
      <c r="S479" s="1055"/>
      <c r="T479" s="2023" t="s">
        <v>316</v>
      </c>
      <c r="U479" s="1146"/>
      <c r="V479" s="1055"/>
      <c r="W479" s="1064"/>
      <c r="X479" s="1146"/>
      <c r="Y479" s="1137"/>
      <c r="Z479" s="1137"/>
      <c r="AA479" s="1138"/>
      <c r="AB479" s="1055"/>
      <c r="AC479" s="1139"/>
      <c r="AD479" s="1139"/>
      <c r="AE479" s="2345">
        <f>L479-AD479+AC479</f>
        <v>22475.599999999999</v>
      </c>
      <c r="AF479" s="525">
        <v>0</v>
      </c>
      <c r="AG479" s="1148">
        <f>837.6</f>
        <v>837.6</v>
      </c>
      <c r="AH479" s="1139">
        <f t="shared" si="15"/>
        <v>837.6</v>
      </c>
      <c r="AI479" s="1055"/>
      <c r="AJ479" s="1064"/>
      <c r="AK479" s="1055"/>
      <c r="AL479" s="1133"/>
      <c r="AM479" s="1055"/>
      <c r="AN479" s="1055"/>
      <c r="AO479" s="1064"/>
      <c r="AP479" s="1137"/>
      <c r="AQ479" s="1064"/>
      <c r="AR479" s="1137"/>
      <c r="AS479" s="1055"/>
      <c r="AT479" s="1133"/>
      <c r="AU479" s="1133"/>
      <c r="AV479" s="1133"/>
      <c r="AW479" s="1133"/>
      <c r="AX479" s="1133"/>
      <c r="AY479" s="1133"/>
      <c r="AZ479" s="1133"/>
      <c r="BA479" s="1133"/>
      <c r="BB479" s="1133"/>
      <c r="BC479" s="1133"/>
      <c r="BD479" s="1133"/>
      <c r="BE479" s="1480"/>
      <c r="BF479" s="1480"/>
      <c r="BG479" s="1480"/>
      <c r="BH479" s="1480"/>
      <c r="BI479" s="1480"/>
      <c r="BJ479" s="1480"/>
    </row>
    <row r="480" spans="1:62" s="629" customFormat="1" ht="18" customHeight="1" x14ac:dyDescent="0.2">
      <c r="A480" s="2365"/>
      <c r="B480" s="2361"/>
      <c r="C480" s="2387"/>
      <c r="D480" s="2023"/>
      <c r="E480" s="2023"/>
      <c r="F480" s="2023"/>
      <c r="G480" s="2373"/>
      <c r="H480" s="2023"/>
      <c r="I480" s="2023"/>
      <c r="J480" s="2023"/>
      <c r="K480" s="2347"/>
      <c r="L480" s="2349"/>
      <c r="M480" s="2006"/>
      <c r="N480" s="2352"/>
      <c r="O480" s="2352"/>
      <c r="P480" s="2354"/>
      <c r="Q480" s="1055"/>
      <c r="R480" s="1055"/>
      <c r="S480" s="1055"/>
      <c r="T480" s="2023"/>
      <c r="U480" s="1146"/>
      <c r="V480" s="1055"/>
      <c r="W480" s="1064"/>
      <c r="X480" s="1146"/>
      <c r="Y480" s="1137"/>
      <c r="Z480" s="1137"/>
      <c r="AA480" s="1138"/>
      <c r="AB480" s="1055"/>
      <c r="AC480" s="1139"/>
      <c r="AD480" s="1139"/>
      <c r="AE480" s="2346"/>
      <c r="AF480" s="525">
        <v>0</v>
      </c>
      <c r="AG480" s="525">
        <v>0</v>
      </c>
      <c r="AH480" s="1139">
        <f t="shared" si="15"/>
        <v>0</v>
      </c>
      <c r="AI480" s="1055"/>
      <c r="AJ480" s="1064"/>
      <c r="AK480" s="1055"/>
      <c r="AL480" s="1133"/>
      <c r="AM480" s="1055"/>
      <c r="AN480" s="1055"/>
      <c r="AO480" s="1064"/>
      <c r="AP480" s="1137"/>
      <c r="AQ480" s="1064"/>
      <c r="AR480" s="1137"/>
      <c r="AS480" s="1055"/>
      <c r="AT480" s="1133"/>
      <c r="AU480" s="1133"/>
      <c r="AV480" s="1133"/>
      <c r="AW480" s="1133"/>
      <c r="AX480" s="1133"/>
      <c r="AY480" s="1133"/>
      <c r="AZ480" s="1133"/>
      <c r="BA480" s="1133"/>
      <c r="BB480" s="1133"/>
      <c r="BC480" s="1133"/>
      <c r="BD480" s="1133"/>
      <c r="BE480" s="1480"/>
      <c r="BF480" s="1480"/>
      <c r="BG480" s="1480"/>
      <c r="BH480" s="1480"/>
      <c r="BI480" s="1480"/>
      <c r="BJ480" s="1480"/>
    </row>
    <row r="481" spans="1:62" s="629" customFormat="1" ht="18" customHeight="1" x14ac:dyDescent="0.2">
      <c r="A481" s="2365"/>
      <c r="B481" s="2361"/>
      <c r="C481" s="2387"/>
      <c r="D481" s="2023"/>
      <c r="E481" s="2023"/>
      <c r="F481" s="2023"/>
      <c r="G481" s="2373"/>
      <c r="H481" s="2023"/>
      <c r="I481" s="2023"/>
      <c r="J481" s="2023"/>
      <c r="K481" s="2347"/>
      <c r="L481" s="2349"/>
      <c r="M481" s="2006"/>
      <c r="N481" s="2352"/>
      <c r="O481" s="2352"/>
      <c r="P481" s="1132" t="s">
        <v>4071</v>
      </c>
      <c r="Q481" s="1055"/>
      <c r="R481" s="1055"/>
      <c r="S481" s="1055"/>
      <c r="T481" s="2023"/>
      <c r="U481" s="1146"/>
      <c r="V481" s="1055"/>
      <c r="W481" s="1064"/>
      <c r="X481" s="1146"/>
      <c r="Y481" s="1137"/>
      <c r="Z481" s="1137"/>
      <c r="AA481" s="1138"/>
      <c r="AB481" s="1055"/>
      <c r="AC481" s="1139"/>
      <c r="AD481" s="1139"/>
      <c r="AE481" s="2371"/>
      <c r="AF481" s="525">
        <v>0</v>
      </c>
      <c r="AG481" s="1148">
        <f>3490+1396+5584+5584+1396+4188</f>
        <v>21638</v>
      </c>
      <c r="AH481" s="1139">
        <f t="shared" si="15"/>
        <v>21638</v>
      </c>
      <c r="AI481" s="1055"/>
      <c r="AJ481" s="1064"/>
      <c r="AK481" s="1055"/>
      <c r="AL481" s="1133"/>
      <c r="AM481" s="1055"/>
      <c r="AN481" s="1055"/>
      <c r="AO481" s="1064"/>
      <c r="AP481" s="1137"/>
      <c r="AQ481" s="1064"/>
      <c r="AR481" s="1137"/>
      <c r="AS481" s="1055"/>
      <c r="AT481" s="1133"/>
      <c r="AU481" s="1133"/>
      <c r="AV481" s="1133"/>
      <c r="AW481" s="1133"/>
      <c r="AX481" s="1133"/>
      <c r="AY481" s="1133"/>
      <c r="AZ481" s="1133"/>
      <c r="BA481" s="1133"/>
      <c r="BB481" s="1133"/>
      <c r="BC481" s="1133"/>
      <c r="BD481" s="1133"/>
      <c r="BE481" s="1480"/>
      <c r="BF481" s="1480"/>
      <c r="BG481" s="1480"/>
      <c r="BH481" s="1480"/>
      <c r="BI481" s="1480"/>
      <c r="BJ481" s="1480"/>
    </row>
    <row r="482" spans="1:62" s="629" customFormat="1" ht="18" customHeight="1" x14ac:dyDescent="0.2">
      <c r="A482" s="2365">
        <v>224</v>
      </c>
      <c r="B482" s="2361" t="s">
        <v>4585</v>
      </c>
      <c r="C482" s="2387" t="s">
        <v>744</v>
      </c>
      <c r="D482" s="2023" t="s">
        <v>1331</v>
      </c>
      <c r="E482" s="2023" t="s">
        <v>584</v>
      </c>
      <c r="F482" s="2023" t="s">
        <v>4555</v>
      </c>
      <c r="G482" s="2373">
        <v>11267</v>
      </c>
      <c r="H482" s="2023" t="s">
        <v>4589</v>
      </c>
      <c r="I482" s="2023" t="s">
        <v>1958</v>
      </c>
      <c r="J482" s="2023" t="s">
        <v>4451</v>
      </c>
      <c r="K482" s="2347">
        <v>41927</v>
      </c>
      <c r="L482" s="2349">
        <v>1748</v>
      </c>
      <c r="M482" s="2388">
        <v>11418</v>
      </c>
      <c r="N482" s="2352">
        <v>41927</v>
      </c>
      <c r="O482" s="2352">
        <v>42004</v>
      </c>
      <c r="P482" s="1132" t="s">
        <v>3905</v>
      </c>
      <c r="Q482" s="1055"/>
      <c r="R482" s="1055"/>
      <c r="S482" s="1055"/>
      <c r="T482" s="2023" t="s">
        <v>316</v>
      </c>
      <c r="U482" s="1146"/>
      <c r="V482" s="1055"/>
      <c r="W482" s="1064"/>
      <c r="X482" s="1146"/>
      <c r="Y482" s="1137"/>
      <c r="Z482" s="1137"/>
      <c r="AA482" s="1138"/>
      <c r="AB482" s="1055"/>
      <c r="AC482" s="1139"/>
      <c r="AD482" s="1139"/>
      <c r="AE482" s="2345">
        <f>L482-AD482+AC482</f>
        <v>1748</v>
      </c>
      <c r="AF482" s="525">
        <v>0</v>
      </c>
      <c r="AG482" s="525">
        <v>0</v>
      </c>
      <c r="AH482" s="1139">
        <f t="shared" si="15"/>
        <v>0</v>
      </c>
      <c r="AI482" s="1055"/>
      <c r="AJ482" s="1064"/>
      <c r="AK482" s="1055"/>
      <c r="AL482" s="1133"/>
      <c r="AM482" s="1055"/>
      <c r="AN482" s="1055"/>
      <c r="AO482" s="1064"/>
      <c r="AP482" s="1137"/>
      <c r="AQ482" s="1064"/>
      <c r="AR482" s="1137"/>
      <c r="AS482" s="1055"/>
      <c r="AT482" s="1133"/>
      <c r="AU482" s="1133"/>
      <c r="AV482" s="1133"/>
      <c r="AW482" s="1133"/>
      <c r="AX482" s="1133"/>
      <c r="AY482" s="1133"/>
      <c r="AZ482" s="1133"/>
      <c r="BA482" s="1133"/>
      <c r="BB482" s="1133"/>
      <c r="BC482" s="1133"/>
      <c r="BD482" s="1133"/>
      <c r="BE482" s="1480"/>
      <c r="BF482" s="1480"/>
      <c r="BG482" s="1480"/>
      <c r="BH482" s="1480"/>
      <c r="BI482" s="1480"/>
      <c r="BJ482" s="1480"/>
    </row>
    <row r="483" spans="1:62" s="629" customFormat="1" ht="18" customHeight="1" x14ac:dyDescent="0.2">
      <c r="A483" s="2365"/>
      <c r="B483" s="2361"/>
      <c r="C483" s="2387"/>
      <c r="D483" s="2023"/>
      <c r="E483" s="2023"/>
      <c r="F483" s="2023"/>
      <c r="G483" s="2373"/>
      <c r="H483" s="2023"/>
      <c r="I483" s="2023"/>
      <c r="J483" s="2023"/>
      <c r="K483" s="2347"/>
      <c r="L483" s="2349"/>
      <c r="M483" s="2388"/>
      <c r="N483" s="2352"/>
      <c r="O483" s="2352"/>
      <c r="P483" s="1132" t="s">
        <v>4071</v>
      </c>
      <c r="Q483" s="1055"/>
      <c r="R483" s="1055"/>
      <c r="S483" s="1055"/>
      <c r="T483" s="2023"/>
      <c r="U483" s="1146"/>
      <c r="V483" s="1055"/>
      <c r="W483" s="1064"/>
      <c r="X483" s="1146"/>
      <c r="Y483" s="1137"/>
      <c r="Z483" s="1137"/>
      <c r="AA483" s="1138"/>
      <c r="AB483" s="1055"/>
      <c r="AC483" s="1139"/>
      <c r="AD483" s="1139"/>
      <c r="AE483" s="2371"/>
      <c r="AF483" s="525">
        <v>0</v>
      </c>
      <c r="AG483" s="1148">
        <v>621</v>
      </c>
      <c r="AH483" s="1139">
        <f t="shared" si="15"/>
        <v>621</v>
      </c>
      <c r="AI483" s="1055"/>
      <c r="AJ483" s="1064"/>
      <c r="AK483" s="1055"/>
      <c r="AL483" s="1133"/>
      <c r="AM483" s="1055"/>
      <c r="AN483" s="1055"/>
      <c r="AO483" s="1064"/>
      <c r="AP483" s="1137"/>
      <c r="AQ483" s="1064"/>
      <c r="AR483" s="1137"/>
      <c r="AS483" s="1055"/>
      <c r="AT483" s="1133"/>
      <c r="AU483" s="1133"/>
      <c r="AV483" s="1133"/>
      <c r="AW483" s="1133"/>
      <c r="AX483" s="1133"/>
      <c r="AY483" s="1133"/>
      <c r="AZ483" s="1133"/>
      <c r="BA483" s="1133"/>
      <c r="BB483" s="1133"/>
      <c r="BC483" s="1133"/>
      <c r="BD483" s="1133"/>
      <c r="BE483" s="1480"/>
      <c r="BF483" s="1480"/>
      <c r="BG483" s="1480"/>
      <c r="BH483" s="1480"/>
      <c r="BI483" s="1480"/>
      <c r="BJ483" s="1480"/>
    </row>
    <row r="484" spans="1:62" s="629" customFormat="1" ht="30" customHeight="1" x14ac:dyDescent="0.2">
      <c r="A484" s="2365">
        <v>225</v>
      </c>
      <c r="B484" s="2361" t="s">
        <v>4585</v>
      </c>
      <c r="C484" s="2387" t="s">
        <v>744</v>
      </c>
      <c r="D484" s="2023" t="s">
        <v>1331</v>
      </c>
      <c r="E484" s="2023" t="s">
        <v>584</v>
      </c>
      <c r="F484" s="2023" t="s">
        <v>4555</v>
      </c>
      <c r="G484" s="2373">
        <v>11267</v>
      </c>
      <c r="H484" s="2023" t="s">
        <v>4590</v>
      </c>
      <c r="I484" s="2023" t="s">
        <v>4574</v>
      </c>
      <c r="J484" s="2023" t="s">
        <v>1021</v>
      </c>
      <c r="K484" s="2347">
        <v>41927</v>
      </c>
      <c r="L484" s="2349">
        <v>17632.7</v>
      </c>
      <c r="M484" s="2006">
        <v>11418</v>
      </c>
      <c r="N484" s="2352">
        <v>41927</v>
      </c>
      <c r="O484" s="2352">
        <v>42004</v>
      </c>
      <c r="P484" s="1132" t="s">
        <v>3905</v>
      </c>
      <c r="Q484" s="2023"/>
      <c r="R484" s="2023"/>
      <c r="S484" s="2023"/>
      <c r="T484" s="2023" t="s">
        <v>316</v>
      </c>
      <c r="U484" s="2367"/>
      <c r="V484" s="1055"/>
      <c r="W484" s="1064"/>
      <c r="X484" s="1146"/>
      <c r="Y484" s="1137"/>
      <c r="Z484" s="1137"/>
      <c r="AA484" s="1138"/>
      <c r="AB484" s="1055"/>
      <c r="AC484" s="1139"/>
      <c r="AD484" s="1139"/>
      <c r="AE484" s="2345">
        <f>L484-AD484+AC484</f>
        <v>17632.7</v>
      </c>
      <c r="AF484" s="525">
        <v>0</v>
      </c>
      <c r="AG484" s="1148">
        <v>0</v>
      </c>
      <c r="AH484" s="1139">
        <f t="shared" si="15"/>
        <v>0</v>
      </c>
      <c r="AI484" s="1055"/>
      <c r="AJ484" s="1064"/>
      <c r="AK484" s="1055"/>
      <c r="AL484" s="1133"/>
      <c r="AM484" s="1055"/>
      <c r="AN484" s="1055"/>
      <c r="AO484" s="1064"/>
      <c r="AP484" s="1137"/>
      <c r="AQ484" s="1064"/>
      <c r="AR484" s="1137"/>
      <c r="AS484" s="1055"/>
      <c r="AT484" s="1133"/>
      <c r="AU484" s="1133"/>
      <c r="AV484" s="1133"/>
      <c r="AW484" s="1133"/>
      <c r="AX484" s="1133"/>
      <c r="AY484" s="1133"/>
      <c r="AZ484" s="1133"/>
      <c r="BA484" s="1133"/>
      <c r="BB484" s="1133"/>
      <c r="BC484" s="1133"/>
      <c r="BD484" s="1133"/>
      <c r="BE484" s="1480"/>
      <c r="BF484" s="1480"/>
      <c r="BG484" s="1480"/>
      <c r="BH484" s="1480"/>
      <c r="BI484" s="1480"/>
      <c r="BJ484" s="1480"/>
    </row>
    <row r="485" spans="1:62" s="629" customFormat="1" ht="18" customHeight="1" x14ac:dyDescent="0.2">
      <c r="A485" s="2365"/>
      <c r="B485" s="2361"/>
      <c r="C485" s="2387"/>
      <c r="D485" s="2023"/>
      <c r="E485" s="2023"/>
      <c r="F485" s="2023"/>
      <c r="G485" s="2373"/>
      <c r="H485" s="2023"/>
      <c r="I485" s="2023"/>
      <c r="J485" s="2023"/>
      <c r="K485" s="2347"/>
      <c r="L485" s="2349"/>
      <c r="M485" s="2006"/>
      <c r="N485" s="2352"/>
      <c r="O485" s="2352"/>
      <c r="P485" s="1132" t="s">
        <v>4071</v>
      </c>
      <c r="Q485" s="2023"/>
      <c r="R485" s="2023"/>
      <c r="S485" s="2023"/>
      <c r="T485" s="2023"/>
      <c r="U485" s="2367"/>
      <c r="V485" s="1055"/>
      <c r="W485" s="1064"/>
      <c r="X485" s="1146"/>
      <c r="Y485" s="1137"/>
      <c r="Z485" s="1137"/>
      <c r="AA485" s="1138"/>
      <c r="AB485" s="1055"/>
      <c r="AC485" s="1139"/>
      <c r="AD485" s="1139"/>
      <c r="AE485" s="2371"/>
      <c r="AF485" s="525">
        <v>0</v>
      </c>
      <c r="AG485" s="1148">
        <f>2716+1206+4850+388+1940+1940</f>
        <v>13040</v>
      </c>
      <c r="AH485" s="1139">
        <f t="shared" si="15"/>
        <v>13040</v>
      </c>
      <c r="AI485" s="1055"/>
      <c r="AJ485" s="1064"/>
      <c r="AK485" s="1055"/>
      <c r="AL485" s="1133"/>
      <c r="AM485" s="1055"/>
      <c r="AN485" s="1055"/>
      <c r="AO485" s="1064"/>
      <c r="AP485" s="1137"/>
      <c r="AQ485" s="1064"/>
      <c r="AR485" s="1137"/>
      <c r="AS485" s="1055"/>
      <c r="AT485" s="1133"/>
      <c r="AU485" s="1133"/>
      <c r="AV485" s="1133"/>
      <c r="AW485" s="1133"/>
      <c r="AX485" s="1133"/>
      <c r="AY485" s="1133"/>
      <c r="AZ485" s="1133"/>
      <c r="BA485" s="1133"/>
      <c r="BB485" s="1133"/>
      <c r="BC485" s="1133"/>
      <c r="BD485" s="1133"/>
      <c r="BE485" s="1480"/>
      <c r="BF485" s="1480"/>
      <c r="BG485" s="1480"/>
      <c r="BH485" s="1480"/>
      <c r="BI485" s="1480"/>
      <c r="BJ485" s="1480"/>
    </row>
    <row r="486" spans="1:62" s="629" customFormat="1" ht="18" customHeight="1" x14ac:dyDescent="0.2">
      <c r="A486" s="2365">
        <v>226</v>
      </c>
      <c r="B486" s="2361" t="s">
        <v>4256</v>
      </c>
      <c r="C486" s="2387" t="s">
        <v>757</v>
      </c>
      <c r="D486" s="2023" t="s">
        <v>1548</v>
      </c>
      <c r="E486" s="2023" t="s">
        <v>584</v>
      </c>
      <c r="F486" s="2023" t="s">
        <v>4297</v>
      </c>
      <c r="G486" s="2373">
        <v>11264</v>
      </c>
      <c r="H486" s="2023" t="s">
        <v>4591</v>
      </c>
      <c r="I486" s="2023" t="s">
        <v>4136</v>
      </c>
      <c r="J486" s="2023" t="s">
        <v>4137</v>
      </c>
      <c r="K486" s="2347">
        <v>41978</v>
      </c>
      <c r="L486" s="2349">
        <v>20760</v>
      </c>
      <c r="M486" s="2006">
        <v>11452</v>
      </c>
      <c r="N486" s="2352">
        <v>41978</v>
      </c>
      <c r="O486" s="2352">
        <v>42004</v>
      </c>
      <c r="P486" s="2354" t="s">
        <v>4071</v>
      </c>
      <c r="Q486" s="2023"/>
      <c r="R486" s="2023"/>
      <c r="S486" s="2023"/>
      <c r="T486" s="2028" t="s">
        <v>316</v>
      </c>
      <c r="U486" s="2367"/>
      <c r="V486" s="1055"/>
      <c r="W486" s="1064"/>
      <c r="X486" s="1146"/>
      <c r="Y486" s="1137"/>
      <c r="Z486" s="1137"/>
      <c r="AA486" s="1138"/>
      <c r="AB486" s="1055"/>
      <c r="AC486" s="1139"/>
      <c r="AD486" s="2343"/>
      <c r="AE486" s="2345">
        <f>L486-AD486+AC486</f>
        <v>20760</v>
      </c>
      <c r="AF486" s="525">
        <v>0</v>
      </c>
      <c r="AG486" s="1148">
        <f>12025.23+2838.93</f>
        <v>14864.16</v>
      </c>
      <c r="AH486" s="1139">
        <f t="shared" si="15"/>
        <v>14864.16</v>
      </c>
      <c r="AI486" s="1055"/>
      <c r="AJ486" s="1064"/>
      <c r="AK486" s="1055"/>
      <c r="AL486" s="1133"/>
      <c r="AM486" s="1055"/>
      <c r="AN486" s="1055"/>
      <c r="AO486" s="1064"/>
      <c r="AP486" s="1137"/>
      <c r="AQ486" s="1064"/>
      <c r="AR486" s="1137"/>
      <c r="AS486" s="1055"/>
      <c r="AT486" s="1133"/>
      <c r="AU486" s="1133"/>
      <c r="AV486" s="1133"/>
      <c r="AW486" s="1133"/>
      <c r="AX486" s="1133"/>
      <c r="AY486" s="1133"/>
      <c r="AZ486" s="1133"/>
      <c r="BA486" s="1133"/>
      <c r="BB486" s="1133"/>
      <c r="BC486" s="1133"/>
      <c r="BD486" s="1133"/>
      <c r="BE486" s="1480"/>
      <c r="BF486" s="1480"/>
      <c r="BG486" s="1480"/>
      <c r="BH486" s="1480"/>
      <c r="BI486" s="1480"/>
      <c r="BJ486" s="1480"/>
    </row>
    <row r="487" spans="1:62" s="629" customFormat="1" ht="18" customHeight="1" x14ac:dyDescent="0.2">
      <c r="A487" s="2365"/>
      <c r="B487" s="2361"/>
      <c r="C487" s="2387"/>
      <c r="D487" s="2023"/>
      <c r="E487" s="2023"/>
      <c r="F487" s="2023"/>
      <c r="G487" s="2373"/>
      <c r="H487" s="2023"/>
      <c r="I487" s="2023"/>
      <c r="J487" s="2023"/>
      <c r="K487" s="2347"/>
      <c r="L487" s="2349"/>
      <c r="M487" s="2006"/>
      <c r="N487" s="2352"/>
      <c r="O487" s="2352"/>
      <c r="P487" s="2354"/>
      <c r="Q487" s="2023"/>
      <c r="R487" s="2023"/>
      <c r="S487" s="2023"/>
      <c r="T487" s="2030"/>
      <c r="U487" s="2367"/>
      <c r="V487" s="1055"/>
      <c r="W487" s="1064"/>
      <c r="X487" s="1146"/>
      <c r="Y487" s="1137"/>
      <c r="Z487" s="1137"/>
      <c r="AA487" s="1138"/>
      <c r="AB487" s="1055"/>
      <c r="AC487" s="1139"/>
      <c r="AD487" s="2343"/>
      <c r="AE487" s="2371"/>
      <c r="AF487" s="525">
        <v>0</v>
      </c>
      <c r="AG487" s="525">
        <v>0</v>
      </c>
      <c r="AH487" s="1139">
        <f t="shared" si="15"/>
        <v>0</v>
      </c>
      <c r="AI487" s="1055"/>
      <c r="AJ487" s="1064"/>
      <c r="AK487" s="1055"/>
      <c r="AL487" s="1133"/>
      <c r="AM487" s="1055"/>
      <c r="AN487" s="1055"/>
      <c r="AO487" s="1064"/>
      <c r="AP487" s="1137"/>
      <c r="AQ487" s="1064"/>
      <c r="AR487" s="1137"/>
      <c r="AS487" s="1055"/>
      <c r="AT487" s="1133"/>
      <c r="AU487" s="1133"/>
      <c r="AV487" s="1133"/>
      <c r="AW487" s="1133"/>
      <c r="AX487" s="1133"/>
      <c r="AY487" s="1133"/>
      <c r="AZ487" s="1133"/>
      <c r="BA487" s="1133"/>
      <c r="BB487" s="1133"/>
      <c r="BC487" s="1133"/>
      <c r="BD487" s="1133"/>
      <c r="BE487" s="1480"/>
      <c r="BF487" s="1480"/>
      <c r="BG487" s="1480"/>
      <c r="BH487" s="1480"/>
      <c r="BI487" s="1480"/>
      <c r="BJ487" s="1480"/>
    </row>
    <row r="488" spans="1:62" s="629" customFormat="1" ht="30" customHeight="1" x14ac:dyDescent="0.2">
      <c r="A488" s="2365">
        <v>227</v>
      </c>
      <c r="B488" s="2361" t="s">
        <v>4592</v>
      </c>
      <c r="C488" s="2387" t="s">
        <v>1982</v>
      </c>
      <c r="D488" s="2023" t="s">
        <v>1548</v>
      </c>
      <c r="E488" s="2023" t="s">
        <v>584</v>
      </c>
      <c r="F488" s="2023" t="s">
        <v>4593</v>
      </c>
      <c r="G488" s="2373">
        <v>11463</v>
      </c>
      <c r="H488" s="2023" t="s">
        <v>4594</v>
      </c>
      <c r="I488" s="2023" t="s">
        <v>4595</v>
      </c>
      <c r="J488" s="2023" t="s">
        <v>4337</v>
      </c>
      <c r="K488" s="2347">
        <v>41991</v>
      </c>
      <c r="L488" s="2349">
        <v>65031</v>
      </c>
      <c r="M488" s="2006">
        <v>11466</v>
      </c>
      <c r="N488" s="2352">
        <v>41991</v>
      </c>
      <c r="O488" s="2352">
        <v>41686</v>
      </c>
      <c r="P488" s="1132" t="s">
        <v>3905</v>
      </c>
      <c r="Q488" s="1055"/>
      <c r="R488" s="1055"/>
      <c r="S488" s="1055"/>
      <c r="T488" s="2023" t="s">
        <v>208</v>
      </c>
      <c r="U488" s="2367"/>
      <c r="V488" s="1055"/>
      <c r="W488" s="1064"/>
      <c r="X488" s="1146"/>
      <c r="Y488" s="1137"/>
      <c r="Z488" s="1137"/>
      <c r="AA488" s="1138"/>
      <c r="AB488" s="1055"/>
      <c r="AC488" s="1139"/>
      <c r="AD488" s="1139"/>
      <c r="AE488" s="2345">
        <f>L488-AD488+AC488</f>
        <v>65031</v>
      </c>
      <c r="AF488" s="525">
        <v>0</v>
      </c>
      <c r="AG488" s="1148">
        <v>1151.5</v>
      </c>
      <c r="AH488" s="1139">
        <f t="shared" si="15"/>
        <v>1151.5</v>
      </c>
      <c r="AI488" s="1055"/>
      <c r="AJ488" s="1064"/>
      <c r="AK488" s="1055"/>
      <c r="AL488" s="1133"/>
      <c r="AM488" s="1055"/>
      <c r="AN488" s="1055"/>
      <c r="AO488" s="1064"/>
      <c r="AP488" s="1137"/>
      <c r="AQ488" s="1064"/>
      <c r="AR488" s="1137"/>
      <c r="AS488" s="1055"/>
      <c r="AT488" s="1133"/>
      <c r="AU488" s="1133"/>
      <c r="AV488" s="1133"/>
      <c r="AW488" s="1133"/>
      <c r="AX488" s="1133"/>
      <c r="AY488" s="1133"/>
      <c r="AZ488" s="1133"/>
      <c r="BA488" s="1133"/>
      <c r="BB488" s="1133"/>
      <c r="BC488" s="1133"/>
      <c r="BD488" s="1133"/>
      <c r="BE488" s="1480"/>
      <c r="BF488" s="1480"/>
      <c r="BG488" s="1480"/>
      <c r="BH488" s="1480"/>
      <c r="BI488" s="1480"/>
      <c r="BJ488" s="1480"/>
    </row>
    <row r="489" spans="1:62" s="629" customFormat="1" ht="31.5" customHeight="1" x14ac:dyDescent="0.2">
      <c r="A489" s="2365"/>
      <c r="B489" s="2361"/>
      <c r="C489" s="2387"/>
      <c r="D489" s="2023"/>
      <c r="E489" s="2023"/>
      <c r="F489" s="2023"/>
      <c r="G489" s="2373"/>
      <c r="H489" s="2023"/>
      <c r="I489" s="2023"/>
      <c r="J489" s="2023"/>
      <c r="K489" s="2347"/>
      <c r="L489" s="2349"/>
      <c r="M489" s="2006"/>
      <c r="N489" s="2352"/>
      <c r="O489" s="2352"/>
      <c r="P489" s="1132" t="s">
        <v>4071</v>
      </c>
      <c r="Q489" s="1055"/>
      <c r="R489" s="1055"/>
      <c r="S489" s="1055"/>
      <c r="T489" s="2023"/>
      <c r="U489" s="2367"/>
      <c r="V489" s="1055"/>
      <c r="W489" s="1064"/>
      <c r="X489" s="1146"/>
      <c r="Y489" s="1137"/>
      <c r="Z489" s="1137"/>
      <c r="AA489" s="1138"/>
      <c r="AB489" s="1055"/>
      <c r="AC489" s="1139"/>
      <c r="AD489" s="1139"/>
      <c r="AE489" s="2371"/>
      <c r="AF489" s="525">
        <v>0</v>
      </c>
      <c r="AG489" s="1148">
        <v>38680</v>
      </c>
      <c r="AH489" s="1139">
        <f t="shared" si="15"/>
        <v>38680</v>
      </c>
      <c r="AI489" s="1055"/>
      <c r="AJ489" s="1064"/>
      <c r="AK489" s="1055"/>
      <c r="AL489" s="1133"/>
      <c r="AM489" s="1055"/>
      <c r="AN489" s="1055"/>
      <c r="AO489" s="1064"/>
      <c r="AP489" s="1137"/>
      <c r="AQ489" s="1064"/>
      <c r="AR489" s="1137"/>
      <c r="AS489" s="1055"/>
      <c r="AT489" s="1133"/>
      <c r="AU489" s="1133"/>
      <c r="AV489" s="1133"/>
      <c r="AW489" s="1133"/>
      <c r="AX489" s="1133"/>
      <c r="AY489" s="1133"/>
      <c r="AZ489" s="1133"/>
      <c r="BA489" s="1133"/>
      <c r="BB489" s="1133"/>
      <c r="BC489" s="1133"/>
      <c r="BD489" s="1133"/>
      <c r="BE489" s="1480"/>
      <c r="BF489" s="1480"/>
      <c r="BG489" s="1480"/>
      <c r="BH489" s="1480"/>
      <c r="BI489" s="1480"/>
      <c r="BJ489" s="1480"/>
    </row>
    <row r="490" spans="1:62" s="629" customFormat="1" ht="45" customHeight="1" x14ac:dyDescent="0.2">
      <c r="A490" s="1514">
        <v>228</v>
      </c>
      <c r="B490" s="636" t="s">
        <v>2223</v>
      </c>
      <c r="C490" s="1055" t="s">
        <v>1788</v>
      </c>
      <c r="D490" s="1055" t="s">
        <v>1331</v>
      </c>
      <c r="E490" s="1090" t="s">
        <v>584</v>
      </c>
      <c r="F490" s="1055" t="s">
        <v>4176</v>
      </c>
      <c r="G490" s="1145">
        <v>11334</v>
      </c>
      <c r="H490" s="1055" t="s">
        <v>4596</v>
      </c>
      <c r="I490" s="1133" t="s">
        <v>4597</v>
      </c>
      <c r="J490" s="1133" t="s">
        <v>4598</v>
      </c>
      <c r="K490" s="1134">
        <v>41803</v>
      </c>
      <c r="L490" s="1135">
        <v>660000</v>
      </c>
      <c r="M490" s="1064">
        <v>11396</v>
      </c>
      <c r="N490" s="1134">
        <v>41803</v>
      </c>
      <c r="O490" s="1134">
        <v>42004</v>
      </c>
      <c r="P490" s="1133">
        <v>1</v>
      </c>
      <c r="Q490" s="1055"/>
      <c r="R490" s="1055"/>
      <c r="S490" s="1055"/>
      <c r="T490" s="1055" t="s">
        <v>316</v>
      </c>
      <c r="U490" s="1055"/>
      <c r="V490" s="1055"/>
      <c r="W490" s="1064"/>
      <c r="X490" s="1055"/>
      <c r="Y490" s="1055"/>
      <c r="Z490" s="1055"/>
      <c r="AA490" s="1138"/>
      <c r="AB490" s="1055"/>
      <c r="AC490" s="1139"/>
      <c r="AD490" s="1139"/>
      <c r="AE490" s="1155">
        <f t="shared" ref="AE490:AE499" si="16">L490-AD490+AC490</f>
        <v>660000</v>
      </c>
      <c r="AF490" s="525">
        <v>0</v>
      </c>
      <c r="AG490" s="1135">
        <v>253737</v>
      </c>
      <c r="AH490" s="1139">
        <f t="shared" si="15"/>
        <v>253737</v>
      </c>
      <c r="AI490" s="1146"/>
      <c r="AJ490" s="1146"/>
      <c r="AK490" s="1146"/>
      <c r="AL490" s="1146"/>
      <c r="AM490" s="1055"/>
      <c r="AN490" s="1055"/>
      <c r="AO490" s="1064"/>
      <c r="AP490" s="1137"/>
      <c r="AQ490" s="1064"/>
      <c r="AR490" s="1137"/>
      <c r="AS490" s="1055"/>
      <c r="AT490" s="1133"/>
      <c r="AU490" s="1133"/>
      <c r="AV490" s="1133"/>
      <c r="AW490" s="1133"/>
      <c r="AX490" s="1133"/>
      <c r="AY490" s="1133"/>
      <c r="AZ490" s="1133"/>
      <c r="BA490" s="1133"/>
      <c r="BB490" s="1133"/>
      <c r="BC490" s="1133"/>
      <c r="BD490" s="1133"/>
      <c r="BE490" s="1480"/>
      <c r="BF490" s="1480"/>
      <c r="BG490" s="1480"/>
      <c r="BH490" s="1480"/>
      <c r="BI490" s="1480"/>
      <c r="BJ490" s="1480"/>
    </row>
    <row r="491" spans="1:62" s="629" customFormat="1" ht="45" customHeight="1" x14ac:dyDescent="0.2">
      <c r="A491" s="1514">
        <v>229</v>
      </c>
      <c r="B491" s="636" t="s">
        <v>4310</v>
      </c>
      <c r="C491" s="1144" t="s">
        <v>986</v>
      </c>
      <c r="D491" s="1055" t="s">
        <v>1548</v>
      </c>
      <c r="E491" s="1055" t="s">
        <v>584</v>
      </c>
      <c r="F491" s="1055" t="s">
        <v>4555</v>
      </c>
      <c r="G491" s="1133">
        <v>11001</v>
      </c>
      <c r="H491" s="1091" t="s">
        <v>4599</v>
      </c>
      <c r="I491" s="1091" t="s">
        <v>4600</v>
      </c>
      <c r="J491" s="1055" t="s">
        <v>4601</v>
      </c>
      <c r="K491" s="1137">
        <v>41696</v>
      </c>
      <c r="L491" s="1148">
        <v>4678.6400000000003</v>
      </c>
      <c r="M491" s="1064"/>
      <c r="N491" s="1134">
        <v>41696</v>
      </c>
      <c r="O491" s="1134">
        <v>42004</v>
      </c>
      <c r="P491" s="1132">
        <v>1</v>
      </c>
      <c r="Q491" s="1055"/>
      <c r="R491" s="1055"/>
      <c r="S491" s="1055"/>
      <c r="T491" s="1055" t="s">
        <v>316</v>
      </c>
      <c r="U491" s="1146" t="s">
        <v>3908</v>
      </c>
      <c r="V491" s="1055"/>
      <c r="W491" s="1064">
        <v>11097</v>
      </c>
      <c r="X491" s="1146" t="s">
        <v>3955</v>
      </c>
      <c r="Y491" s="1137">
        <v>41466</v>
      </c>
      <c r="Z491" s="1137">
        <v>41497</v>
      </c>
      <c r="AA491" s="1138"/>
      <c r="AB491" s="1055"/>
      <c r="AC491" s="1139"/>
      <c r="AD491" s="1139"/>
      <c r="AE491" s="1155">
        <f t="shared" si="16"/>
        <v>4678.6400000000003</v>
      </c>
      <c r="AF491" s="525">
        <v>0</v>
      </c>
      <c r="AG491" s="1148">
        <v>1707</v>
      </c>
      <c r="AH491" s="1139">
        <f t="shared" si="15"/>
        <v>1707</v>
      </c>
      <c r="AI491" s="1055"/>
      <c r="AJ491" s="1064"/>
      <c r="AK491" s="1055"/>
      <c r="AL491" s="1133"/>
      <c r="AM491" s="1055"/>
      <c r="AN491" s="1055"/>
      <c r="AO491" s="1064"/>
      <c r="AP491" s="1137"/>
      <c r="AQ491" s="1064"/>
      <c r="AR491" s="1137"/>
      <c r="AS491" s="1055"/>
      <c r="AT491" s="1133"/>
      <c r="AU491" s="1133"/>
      <c r="AV491" s="1133"/>
      <c r="AW491" s="1133"/>
      <c r="AX491" s="1133"/>
      <c r="AY491" s="1133"/>
      <c r="AZ491" s="1133"/>
      <c r="BA491" s="1133"/>
      <c r="BB491" s="1133"/>
      <c r="BC491" s="1133"/>
      <c r="BD491" s="1133"/>
      <c r="BE491" s="1480"/>
      <c r="BF491" s="1480"/>
      <c r="BG491" s="1480"/>
      <c r="BH491" s="1480"/>
      <c r="BI491" s="1480"/>
      <c r="BJ491" s="1480"/>
    </row>
    <row r="492" spans="1:62" s="629" customFormat="1" ht="45" customHeight="1" x14ac:dyDescent="0.2">
      <c r="A492" s="2365">
        <v>230</v>
      </c>
      <c r="B492" s="2361" t="s">
        <v>4256</v>
      </c>
      <c r="C492" s="2387" t="s">
        <v>757</v>
      </c>
      <c r="D492" s="2023" t="s">
        <v>1548</v>
      </c>
      <c r="E492" s="2023" t="s">
        <v>584</v>
      </c>
      <c r="F492" s="2023" t="s">
        <v>4555</v>
      </c>
      <c r="G492" s="2373">
        <v>11264</v>
      </c>
      <c r="H492" s="2023" t="s">
        <v>4241</v>
      </c>
      <c r="I492" s="2023" t="s">
        <v>1958</v>
      </c>
      <c r="J492" s="2023" t="s">
        <v>746</v>
      </c>
      <c r="K492" s="2347">
        <v>41740</v>
      </c>
      <c r="L492" s="2372">
        <v>2361.8000000000002</v>
      </c>
      <c r="M492" s="2006"/>
      <c r="N492" s="2352">
        <v>41740</v>
      </c>
      <c r="O492" s="1134"/>
      <c r="P492" s="1132" t="s">
        <v>3905</v>
      </c>
      <c r="Q492" s="1055"/>
      <c r="R492" s="1055"/>
      <c r="S492" s="1055"/>
      <c r="T492" s="2028" t="s">
        <v>316</v>
      </c>
      <c r="U492" s="1146"/>
      <c r="V492" s="1055"/>
      <c r="W492" s="1064"/>
      <c r="X492" s="1146"/>
      <c r="Y492" s="1137"/>
      <c r="Z492" s="1137"/>
      <c r="AA492" s="1138"/>
      <c r="AB492" s="1055"/>
      <c r="AC492" s="1139"/>
      <c r="AD492" s="1139"/>
      <c r="AE492" s="2345">
        <f>L492-AD493+AC493</f>
        <v>2361.8000000000002</v>
      </c>
      <c r="AF492" s="525">
        <v>0</v>
      </c>
      <c r="AG492" s="1148">
        <v>294</v>
      </c>
      <c r="AH492" s="1139">
        <f t="shared" si="15"/>
        <v>294</v>
      </c>
      <c r="AI492" s="1055"/>
      <c r="AJ492" s="1064"/>
      <c r="AK492" s="1055"/>
      <c r="AL492" s="1133"/>
      <c r="AM492" s="1055"/>
      <c r="AN492" s="1055"/>
      <c r="AO492" s="1064"/>
      <c r="AP492" s="1137"/>
      <c r="AQ492" s="1064"/>
      <c r="AR492" s="1137"/>
      <c r="AS492" s="1055"/>
      <c r="AT492" s="1133"/>
      <c r="AU492" s="1133"/>
      <c r="AV492" s="1133"/>
      <c r="AW492" s="1133"/>
      <c r="AX492" s="1133"/>
      <c r="AY492" s="1133"/>
      <c r="AZ492" s="1133"/>
      <c r="BA492" s="1133"/>
      <c r="BB492" s="1133"/>
      <c r="BC492" s="1133"/>
      <c r="BD492" s="1133"/>
      <c r="BE492" s="1480"/>
      <c r="BF492" s="1480"/>
      <c r="BG492" s="1480"/>
      <c r="BH492" s="1480"/>
      <c r="BI492" s="1480"/>
      <c r="BJ492" s="1480"/>
    </row>
    <row r="493" spans="1:62" s="629" customFormat="1" ht="45" customHeight="1" x14ac:dyDescent="0.2">
      <c r="A493" s="2365"/>
      <c r="B493" s="2361"/>
      <c r="C493" s="2387"/>
      <c r="D493" s="2023"/>
      <c r="E493" s="2023"/>
      <c r="F493" s="2023"/>
      <c r="G493" s="2373"/>
      <c r="H493" s="2023"/>
      <c r="I493" s="2023"/>
      <c r="J493" s="2023"/>
      <c r="K493" s="2347"/>
      <c r="L493" s="2372"/>
      <c r="M493" s="2006"/>
      <c r="N493" s="2352"/>
      <c r="O493" s="1134"/>
      <c r="P493" s="1132" t="s">
        <v>4071</v>
      </c>
      <c r="Q493" s="1055"/>
      <c r="R493" s="1055"/>
      <c r="S493" s="1055"/>
      <c r="T493" s="2030"/>
      <c r="U493" s="1146"/>
      <c r="V493" s="1055"/>
      <c r="W493" s="1064"/>
      <c r="X493" s="1146"/>
      <c r="Y493" s="1137"/>
      <c r="Z493" s="1137"/>
      <c r="AA493" s="1138"/>
      <c r="AB493" s="1055"/>
      <c r="AC493" s="1139"/>
      <c r="AD493" s="1139"/>
      <c r="AE493" s="2371"/>
      <c r="AF493" s="525">
        <v>0</v>
      </c>
      <c r="AG493" s="1148">
        <v>536.9</v>
      </c>
      <c r="AH493" s="1139">
        <f t="shared" si="15"/>
        <v>536.9</v>
      </c>
      <c r="AI493" s="1055"/>
      <c r="AJ493" s="1064"/>
      <c r="AK493" s="1055"/>
      <c r="AL493" s="1133"/>
      <c r="AM493" s="1055"/>
      <c r="AN493" s="1055"/>
      <c r="AO493" s="1064"/>
      <c r="AP493" s="1137"/>
      <c r="AQ493" s="1064"/>
      <c r="AR493" s="1137"/>
      <c r="AS493" s="1055"/>
      <c r="AT493" s="1133"/>
      <c r="AU493" s="1133"/>
      <c r="AV493" s="1133"/>
      <c r="AW493" s="1133"/>
      <c r="AX493" s="1133"/>
      <c r="AY493" s="1133"/>
      <c r="AZ493" s="1133"/>
      <c r="BA493" s="1133"/>
      <c r="BB493" s="1133"/>
      <c r="BC493" s="1133"/>
      <c r="BD493" s="1133"/>
      <c r="BE493" s="1480"/>
      <c r="BF493" s="1480"/>
      <c r="BG493" s="1480"/>
      <c r="BH493" s="1480"/>
      <c r="BI493" s="1480"/>
      <c r="BJ493" s="1480"/>
    </row>
    <row r="494" spans="1:62" s="629" customFormat="1" ht="45" customHeight="1" x14ac:dyDescent="0.2">
      <c r="A494" s="1514">
        <v>231</v>
      </c>
      <c r="B494" s="1217" t="s">
        <v>4602</v>
      </c>
      <c r="C494" s="1055" t="s">
        <v>762</v>
      </c>
      <c r="D494" s="1055" t="s">
        <v>1548</v>
      </c>
      <c r="E494" s="1055" t="s">
        <v>584</v>
      </c>
      <c r="F494" s="1055" t="s">
        <v>4213</v>
      </c>
      <c r="G494" s="1064">
        <v>11069</v>
      </c>
      <c r="H494" s="1146" t="s">
        <v>4241</v>
      </c>
      <c r="I494" s="1055" t="s">
        <v>4603</v>
      </c>
      <c r="J494" s="1055" t="s">
        <v>4604</v>
      </c>
      <c r="K494" s="1137">
        <v>41792</v>
      </c>
      <c r="L494" s="1139">
        <v>3440.5</v>
      </c>
      <c r="M494" s="1064"/>
      <c r="N494" s="1137"/>
      <c r="O494" s="1137"/>
      <c r="P494" s="1146" t="s">
        <v>3905</v>
      </c>
      <c r="Q494" s="1055"/>
      <c r="R494" s="1055"/>
      <c r="S494" s="1055"/>
      <c r="T494" s="1055" t="s">
        <v>316</v>
      </c>
      <c r="U494" s="1055"/>
      <c r="V494" s="1055"/>
      <c r="W494" s="1064"/>
      <c r="X494" s="1146"/>
      <c r="Y494" s="1137"/>
      <c r="Z494" s="1137"/>
      <c r="AA494" s="1138"/>
      <c r="AB494" s="1055"/>
      <c r="AC494" s="1139"/>
      <c r="AD494" s="1139"/>
      <c r="AE494" s="1155">
        <f t="shared" si="16"/>
        <v>3440.5</v>
      </c>
      <c r="AF494" s="525">
        <v>0</v>
      </c>
      <c r="AG494" s="1135">
        <v>0</v>
      </c>
      <c r="AH494" s="1139">
        <f t="shared" si="15"/>
        <v>0</v>
      </c>
      <c r="AI494" s="1055"/>
      <c r="AJ494" s="1064"/>
      <c r="AK494" s="1055"/>
      <c r="AL494" s="1133"/>
      <c r="AM494" s="1055"/>
      <c r="AN494" s="1055"/>
      <c r="AO494" s="1064"/>
      <c r="AP494" s="1137"/>
      <c r="AQ494" s="1064"/>
      <c r="AR494" s="1137"/>
      <c r="AS494" s="1055"/>
      <c r="AT494" s="1133"/>
      <c r="AU494" s="1133"/>
      <c r="AV494" s="1133"/>
      <c r="AW494" s="1133"/>
      <c r="AX494" s="1133"/>
      <c r="AY494" s="1133"/>
      <c r="AZ494" s="1133"/>
      <c r="BA494" s="1133"/>
      <c r="BB494" s="1133"/>
      <c r="BC494" s="1133"/>
      <c r="BD494" s="1133"/>
      <c r="BE494" s="1480"/>
      <c r="BF494" s="1480"/>
      <c r="BG494" s="1480"/>
      <c r="BH494" s="1480"/>
      <c r="BI494" s="1480"/>
      <c r="BJ494" s="1480"/>
    </row>
    <row r="495" spans="1:62" s="629" customFormat="1" ht="45" customHeight="1" x14ac:dyDescent="0.2">
      <c r="A495" s="1514">
        <v>232</v>
      </c>
      <c r="B495" s="1217" t="s">
        <v>4605</v>
      </c>
      <c r="C495" s="1055" t="s">
        <v>1360</v>
      </c>
      <c r="D495" s="1055" t="s">
        <v>1548</v>
      </c>
      <c r="E495" s="1055" t="s">
        <v>584</v>
      </c>
      <c r="F495" s="1055" t="s">
        <v>4606</v>
      </c>
      <c r="G495" s="1064">
        <v>11049</v>
      </c>
      <c r="H495" s="1146" t="s">
        <v>4241</v>
      </c>
      <c r="I495" s="1055" t="s">
        <v>4607</v>
      </c>
      <c r="J495" s="1055" t="s">
        <v>743</v>
      </c>
      <c r="K495" s="1137">
        <v>41801</v>
      </c>
      <c r="L495" s="1139">
        <v>400</v>
      </c>
      <c r="M495" s="1064"/>
      <c r="N495" s="1137"/>
      <c r="O495" s="1137"/>
      <c r="P495" s="1146" t="s">
        <v>3905</v>
      </c>
      <c r="Q495" s="1055"/>
      <c r="R495" s="1055"/>
      <c r="S495" s="1055"/>
      <c r="T495" s="1055" t="s">
        <v>208</v>
      </c>
      <c r="U495" s="1055"/>
      <c r="V495" s="1055"/>
      <c r="W495" s="1064"/>
      <c r="X495" s="1146"/>
      <c r="Y495" s="1137"/>
      <c r="Z495" s="1137"/>
      <c r="AA495" s="1138"/>
      <c r="AB495" s="1055"/>
      <c r="AC495" s="1139"/>
      <c r="AD495" s="1139"/>
      <c r="AE495" s="1155">
        <f t="shared" si="16"/>
        <v>400</v>
      </c>
      <c r="AF495" s="525">
        <v>0</v>
      </c>
      <c r="AG495" s="1135">
        <v>0</v>
      </c>
      <c r="AH495" s="1139">
        <f t="shared" si="15"/>
        <v>0</v>
      </c>
      <c r="AI495" s="1055"/>
      <c r="AJ495" s="1064"/>
      <c r="AK495" s="1055"/>
      <c r="AL495" s="1133"/>
      <c r="AM495" s="1055"/>
      <c r="AN495" s="1055"/>
      <c r="AO495" s="1064"/>
      <c r="AP495" s="1137"/>
      <c r="AQ495" s="1064"/>
      <c r="AR495" s="1137"/>
      <c r="AS495" s="1055"/>
      <c r="AT495" s="1133"/>
      <c r="AU495" s="1133"/>
      <c r="AV495" s="1133"/>
      <c r="AW495" s="1133"/>
      <c r="AX495" s="1133"/>
      <c r="AY495" s="1133"/>
      <c r="AZ495" s="1133"/>
      <c r="BA495" s="1133"/>
      <c r="BB495" s="1133"/>
      <c r="BC495" s="1133"/>
      <c r="BD495" s="1133"/>
      <c r="BE495" s="1480"/>
      <c r="BF495" s="1480"/>
      <c r="BG495" s="1480"/>
      <c r="BH495" s="1480"/>
      <c r="BI495" s="1480"/>
      <c r="BJ495" s="1480"/>
    </row>
    <row r="496" spans="1:62" s="629" customFormat="1" ht="45" customHeight="1" x14ac:dyDescent="0.2">
      <c r="A496" s="1514">
        <v>233</v>
      </c>
      <c r="B496" s="636" t="s">
        <v>4506</v>
      </c>
      <c r="C496" s="1055" t="s">
        <v>1382</v>
      </c>
      <c r="D496" s="1055" t="s">
        <v>1331</v>
      </c>
      <c r="E496" s="1055" t="s">
        <v>584</v>
      </c>
      <c r="F496" s="1055" t="s">
        <v>4513</v>
      </c>
      <c r="G496" s="1133">
        <v>11253</v>
      </c>
      <c r="H496" s="1146" t="s">
        <v>4241</v>
      </c>
      <c r="I496" s="1055" t="s">
        <v>4515</v>
      </c>
      <c r="J496" s="1055" t="s">
        <v>1179</v>
      </c>
      <c r="K496" s="1137">
        <v>41863</v>
      </c>
      <c r="L496" s="1139">
        <v>2400</v>
      </c>
      <c r="M496" s="1064"/>
      <c r="N496" s="1137"/>
      <c r="O496" s="1137"/>
      <c r="P496" s="1146" t="s">
        <v>3905</v>
      </c>
      <c r="Q496" s="1055"/>
      <c r="R496" s="1055"/>
      <c r="S496" s="1055"/>
      <c r="T496" s="1055" t="s">
        <v>408</v>
      </c>
      <c r="U496" s="1055"/>
      <c r="V496" s="1055"/>
      <c r="W496" s="1064"/>
      <c r="X496" s="1146"/>
      <c r="Y496" s="1137"/>
      <c r="Z496" s="1137"/>
      <c r="AA496" s="1138"/>
      <c r="AB496" s="1055"/>
      <c r="AC496" s="1139"/>
      <c r="AD496" s="1139"/>
      <c r="AE496" s="1155">
        <f t="shared" si="16"/>
        <v>2400</v>
      </c>
      <c r="AF496" s="525">
        <v>0</v>
      </c>
      <c r="AG496" s="1135">
        <v>2400</v>
      </c>
      <c r="AH496" s="1139">
        <f t="shared" si="15"/>
        <v>2400</v>
      </c>
      <c r="AI496" s="1055"/>
      <c r="AJ496" s="1064"/>
      <c r="AK496" s="1055"/>
      <c r="AL496" s="1133"/>
      <c r="AM496" s="1055"/>
      <c r="AN496" s="1055"/>
      <c r="AO496" s="1064"/>
      <c r="AP496" s="1137"/>
      <c r="AQ496" s="1064"/>
      <c r="AR496" s="1137"/>
      <c r="AS496" s="1055"/>
      <c r="AT496" s="1133"/>
      <c r="AU496" s="1133"/>
      <c r="AV496" s="1133"/>
      <c r="AW496" s="1133"/>
      <c r="AX496" s="1133"/>
      <c r="AY496" s="1133"/>
      <c r="AZ496" s="1133"/>
      <c r="BA496" s="1133"/>
      <c r="BB496" s="1133"/>
      <c r="BC496" s="1133"/>
      <c r="BD496" s="1133"/>
      <c r="BE496" s="1480"/>
      <c r="BF496" s="1480"/>
      <c r="BG496" s="1480"/>
      <c r="BH496" s="1480"/>
      <c r="BI496" s="1480"/>
      <c r="BJ496" s="1480"/>
    </row>
    <row r="497" spans="1:62" s="629" customFormat="1" ht="45" customHeight="1" x14ac:dyDescent="0.2">
      <c r="A497" s="1514">
        <v>234</v>
      </c>
      <c r="B497" s="636" t="s">
        <v>1330</v>
      </c>
      <c r="C497" s="1055" t="s">
        <v>1070</v>
      </c>
      <c r="D497" s="1055" t="s">
        <v>1331</v>
      </c>
      <c r="E497" s="1055" t="s">
        <v>584</v>
      </c>
      <c r="F497" s="1055" t="s">
        <v>4507</v>
      </c>
      <c r="G497" s="1133">
        <v>11026</v>
      </c>
      <c r="H497" s="1146" t="s">
        <v>4241</v>
      </c>
      <c r="I497" s="1055" t="s">
        <v>4418</v>
      </c>
      <c r="J497" s="1055" t="s">
        <v>4216</v>
      </c>
      <c r="K497" s="1137">
        <v>41460</v>
      </c>
      <c r="L497" s="1139">
        <v>1040.04</v>
      </c>
      <c r="M497" s="1064"/>
      <c r="N497" s="1137"/>
      <c r="O497" s="1137"/>
      <c r="P497" s="1146" t="s">
        <v>3905</v>
      </c>
      <c r="Q497" s="1055"/>
      <c r="R497" s="1055"/>
      <c r="S497" s="1055"/>
      <c r="T497" s="1055" t="s">
        <v>316</v>
      </c>
      <c r="U497" s="1055"/>
      <c r="V497" s="1055"/>
      <c r="W497" s="1064"/>
      <c r="X497" s="1146"/>
      <c r="Y497" s="1137"/>
      <c r="Z497" s="1137"/>
      <c r="AA497" s="1138"/>
      <c r="AB497" s="1055"/>
      <c r="AC497" s="1139"/>
      <c r="AD497" s="1139"/>
      <c r="AE497" s="1155">
        <f t="shared" si="16"/>
        <v>1040.04</v>
      </c>
      <c r="AF497" s="525">
        <v>0</v>
      </c>
      <c r="AG497" s="1135">
        <v>901.93</v>
      </c>
      <c r="AH497" s="1139">
        <f t="shared" si="15"/>
        <v>901.93</v>
      </c>
      <c r="AI497" s="1055"/>
      <c r="AJ497" s="1064"/>
      <c r="AK497" s="1055"/>
      <c r="AL497" s="1133"/>
      <c r="AM497" s="1055"/>
      <c r="AN497" s="1055"/>
      <c r="AO497" s="1064"/>
      <c r="AP497" s="1137"/>
      <c r="AQ497" s="1064"/>
      <c r="AR497" s="1137"/>
      <c r="AS497" s="1055"/>
      <c r="AT497" s="1133"/>
      <c r="AU497" s="1133"/>
      <c r="AV497" s="1133"/>
      <c r="AW497" s="1133"/>
      <c r="AX497" s="1133"/>
      <c r="AY497" s="1133"/>
      <c r="AZ497" s="1133"/>
      <c r="BA497" s="1133"/>
      <c r="BB497" s="1133"/>
      <c r="BC497" s="1133"/>
      <c r="BD497" s="1133"/>
      <c r="BE497" s="1480"/>
      <c r="BF497" s="1480"/>
      <c r="BG497" s="1480"/>
      <c r="BH497" s="1480"/>
      <c r="BI497" s="1480"/>
      <c r="BJ497" s="1480"/>
    </row>
    <row r="498" spans="1:62" s="629" customFormat="1" ht="45" customHeight="1" x14ac:dyDescent="0.2">
      <c r="A498" s="1514">
        <v>235</v>
      </c>
      <c r="B498" s="636" t="s">
        <v>4256</v>
      </c>
      <c r="C498" s="1055" t="s">
        <v>757</v>
      </c>
      <c r="D498" s="1055" t="s">
        <v>1331</v>
      </c>
      <c r="E498" s="1055" t="s">
        <v>584</v>
      </c>
      <c r="F498" s="1055" t="s">
        <v>4608</v>
      </c>
      <c r="G498" s="1133">
        <v>11264</v>
      </c>
      <c r="H498" s="1146" t="s">
        <v>4241</v>
      </c>
      <c r="I498" s="1055" t="s">
        <v>4384</v>
      </c>
      <c r="J498" s="1055" t="s">
        <v>1021</v>
      </c>
      <c r="K498" s="1137">
        <v>41778</v>
      </c>
      <c r="L498" s="1139">
        <v>2382.8000000000002</v>
      </c>
      <c r="M498" s="1064"/>
      <c r="N498" s="1137"/>
      <c r="O498" s="1137"/>
      <c r="P498" s="1146" t="s">
        <v>3905</v>
      </c>
      <c r="Q498" s="1055"/>
      <c r="R498" s="1055"/>
      <c r="S498" s="1055"/>
      <c r="T498" s="1055" t="s">
        <v>316</v>
      </c>
      <c r="U498" s="1055"/>
      <c r="V498" s="1055"/>
      <c r="W498" s="1064"/>
      <c r="X498" s="1146"/>
      <c r="Y498" s="1137"/>
      <c r="Z498" s="1137"/>
      <c r="AA498" s="1138"/>
      <c r="AB498" s="1055"/>
      <c r="AC498" s="1139"/>
      <c r="AD498" s="1139"/>
      <c r="AE498" s="1155">
        <f t="shared" si="16"/>
        <v>2382.8000000000002</v>
      </c>
      <c r="AF498" s="525">
        <v>0</v>
      </c>
      <c r="AG498" s="1135">
        <v>2382.8000000000002</v>
      </c>
      <c r="AH498" s="1139">
        <f t="shared" si="15"/>
        <v>2382.8000000000002</v>
      </c>
      <c r="AI498" s="1055"/>
      <c r="AJ498" s="1064"/>
      <c r="AK498" s="1055"/>
      <c r="AL498" s="1133"/>
      <c r="AM498" s="1055"/>
      <c r="AN498" s="1055"/>
      <c r="AO498" s="1064"/>
      <c r="AP498" s="1137"/>
      <c r="AQ498" s="1064"/>
      <c r="AR498" s="1137"/>
      <c r="AS498" s="1055"/>
      <c r="AT498" s="1133"/>
      <c r="AU498" s="1133"/>
      <c r="AV498" s="1133"/>
      <c r="AW498" s="1133"/>
      <c r="AX498" s="1133"/>
      <c r="AY498" s="1133"/>
      <c r="AZ498" s="1133"/>
      <c r="BA498" s="1133"/>
      <c r="BB498" s="1133"/>
      <c r="BC498" s="1133"/>
      <c r="BD498" s="1133"/>
      <c r="BE498" s="1480"/>
      <c r="BF498" s="1480"/>
      <c r="BG498" s="1480"/>
      <c r="BH498" s="1480"/>
      <c r="BI498" s="1480"/>
      <c r="BJ498" s="1480"/>
    </row>
    <row r="499" spans="1:62" s="629" customFormat="1" ht="45" customHeight="1" x14ac:dyDescent="0.2">
      <c r="A499" s="1514">
        <v>236</v>
      </c>
      <c r="B499" s="636" t="s">
        <v>4256</v>
      </c>
      <c r="C499" s="1055" t="s">
        <v>757</v>
      </c>
      <c r="D499" s="1055" t="s">
        <v>1331</v>
      </c>
      <c r="E499" s="1055" t="s">
        <v>584</v>
      </c>
      <c r="F499" s="1055" t="s">
        <v>4608</v>
      </c>
      <c r="G499" s="1133">
        <v>11264</v>
      </c>
      <c r="H499" s="1146" t="s">
        <v>4241</v>
      </c>
      <c r="I499" s="1055" t="s">
        <v>4609</v>
      </c>
      <c r="J499" s="1055" t="s">
        <v>746</v>
      </c>
      <c r="K499" s="1137">
        <v>41709</v>
      </c>
      <c r="L499" s="1139">
        <v>924</v>
      </c>
      <c r="M499" s="1064"/>
      <c r="N499" s="1137"/>
      <c r="O499" s="1137"/>
      <c r="P499" s="1146" t="s">
        <v>3905</v>
      </c>
      <c r="Q499" s="1055"/>
      <c r="R499" s="1055"/>
      <c r="S499" s="1055"/>
      <c r="T499" s="1055" t="s">
        <v>316</v>
      </c>
      <c r="U499" s="1055"/>
      <c r="V499" s="1055"/>
      <c r="W499" s="1064"/>
      <c r="X499" s="1146"/>
      <c r="Y499" s="1137"/>
      <c r="Z499" s="1137"/>
      <c r="AA499" s="1138"/>
      <c r="AB499" s="1055"/>
      <c r="AC499" s="1139"/>
      <c r="AD499" s="1139"/>
      <c r="AE499" s="1155">
        <f t="shared" si="16"/>
        <v>924</v>
      </c>
      <c r="AF499" s="525">
        <v>0</v>
      </c>
      <c r="AG499" s="1135">
        <f>134.4+22.4+137.2</f>
        <v>294</v>
      </c>
      <c r="AH499" s="1139">
        <f t="shared" si="15"/>
        <v>294</v>
      </c>
      <c r="AI499" s="1055"/>
      <c r="AJ499" s="1064"/>
      <c r="AK499" s="1055"/>
      <c r="AL499" s="1133"/>
      <c r="AM499" s="1055"/>
      <c r="AN499" s="1055"/>
      <c r="AO499" s="1064"/>
      <c r="AP499" s="1137"/>
      <c r="AQ499" s="1064"/>
      <c r="AR499" s="1137"/>
      <c r="AS499" s="1055"/>
      <c r="AT499" s="1133"/>
      <c r="AU499" s="1133"/>
      <c r="AV499" s="1133"/>
      <c r="AW499" s="1133"/>
      <c r="AX499" s="1133"/>
      <c r="AY499" s="1133"/>
      <c r="AZ499" s="1133"/>
      <c r="BA499" s="1133"/>
      <c r="BB499" s="1133"/>
      <c r="BC499" s="1133"/>
      <c r="BD499" s="1133"/>
      <c r="BE499" s="1480"/>
      <c r="BF499" s="1480"/>
      <c r="BG499" s="1480"/>
      <c r="BH499" s="1480"/>
      <c r="BI499" s="1480"/>
      <c r="BJ499" s="1480"/>
    </row>
    <row r="500" spans="1:62" s="629" customFormat="1" ht="45" customHeight="1" x14ac:dyDescent="0.2">
      <c r="A500" s="2365">
        <v>237</v>
      </c>
      <c r="B500" s="2361" t="s">
        <v>4256</v>
      </c>
      <c r="C500" s="2023" t="s">
        <v>757</v>
      </c>
      <c r="D500" s="2023" t="s">
        <v>1331</v>
      </c>
      <c r="E500" s="2023" t="s">
        <v>584</v>
      </c>
      <c r="F500" s="2023" t="s">
        <v>4608</v>
      </c>
      <c r="G500" s="2355">
        <v>11264</v>
      </c>
      <c r="H500" s="2367" t="s">
        <v>4241</v>
      </c>
      <c r="I500" s="2023" t="s">
        <v>4609</v>
      </c>
      <c r="J500" s="2023" t="s">
        <v>746</v>
      </c>
      <c r="K500" s="2347">
        <v>41740</v>
      </c>
      <c r="L500" s="2343">
        <v>2361.8000000000002</v>
      </c>
      <c r="M500" s="2006"/>
      <c r="N500" s="2347"/>
      <c r="O500" s="2347"/>
      <c r="P500" s="526" t="s">
        <v>3905</v>
      </c>
      <c r="Q500" s="1055"/>
      <c r="R500" s="1055"/>
      <c r="S500" s="1055"/>
      <c r="T500" s="2023" t="s">
        <v>316</v>
      </c>
      <c r="U500" s="1055"/>
      <c r="V500" s="1055"/>
      <c r="W500" s="1064"/>
      <c r="X500" s="1146"/>
      <c r="Y500" s="1137"/>
      <c r="Z500" s="1137"/>
      <c r="AA500" s="1138"/>
      <c r="AB500" s="1055"/>
      <c r="AC500" s="1139"/>
      <c r="AD500" s="1139"/>
      <c r="AE500" s="2345">
        <f>L500-AD501+AC501</f>
        <v>2361.8000000000002</v>
      </c>
      <c r="AF500" s="525">
        <v>0</v>
      </c>
      <c r="AG500" s="1135">
        <v>25.2</v>
      </c>
      <c r="AH500" s="1139">
        <f t="shared" si="15"/>
        <v>25.2</v>
      </c>
      <c r="AI500" s="1055"/>
      <c r="AJ500" s="1064"/>
      <c r="AK500" s="1055"/>
      <c r="AL500" s="1133"/>
      <c r="AM500" s="1055"/>
      <c r="AN500" s="1055"/>
      <c r="AO500" s="1064"/>
      <c r="AP500" s="1137"/>
      <c r="AQ500" s="1064"/>
      <c r="AR500" s="1137"/>
      <c r="AS500" s="1055"/>
      <c r="AT500" s="1133"/>
      <c r="AU500" s="1133"/>
      <c r="AV500" s="1133"/>
      <c r="AW500" s="1133"/>
      <c r="AX500" s="1133"/>
      <c r="AY500" s="1133"/>
      <c r="AZ500" s="1133"/>
      <c r="BA500" s="1133"/>
      <c r="BB500" s="1133"/>
      <c r="BC500" s="1133"/>
      <c r="BD500" s="1133"/>
      <c r="BE500" s="1480"/>
      <c r="BF500" s="1480"/>
      <c r="BG500" s="1480"/>
      <c r="BH500" s="1480"/>
      <c r="BI500" s="1480"/>
      <c r="BJ500" s="1480"/>
    </row>
    <row r="501" spans="1:62" s="629" customFormat="1" ht="12.75" x14ac:dyDescent="0.2">
      <c r="A501" s="2365"/>
      <c r="B501" s="2361"/>
      <c r="C501" s="2023"/>
      <c r="D501" s="2023"/>
      <c r="E501" s="2023"/>
      <c r="F501" s="2023"/>
      <c r="G501" s="2355"/>
      <c r="H501" s="2367"/>
      <c r="I501" s="2023"/>
      <c r="J501" s="2023"/>
      <c r="K501" s="2347"/>
      <c r="L501" s="2343"/>
      <c r="M501" s="2006"/>
      <c r="N501" s="2347"/>
      <c r="O501" s="2347"/>
      <c r="P501" s="526" t="s">
        <v>4071</v>
      </c>
      <c r="Q501" s="1055"/>
      <c r="R501" s="1055"/>
      <c r="S501" s="1055"/>
      <c r="T501" s="2023"/>
      <c r="U501" s="1055"/>
      <c r="V501" s="1055"/>
      <c r="W501" s="1064"/>
      <c r="X501" s="1146"/>
      <c r="Y501" s="1137"/>
      <c r="Z501" s="1137"/>
      <c r="AA501" s="1138"/>
      <c r="AB501" s="1055"/>
      <c r="AC501" s="1139"/>
      <c r="AD501" s="1139"/>
      <c r="AE501" s="2371"/>
      <c r="AF501" s="525">
        <v>0</v>
      </c>
      <c r="AG501" s="1135">
        <v>0</v>
      </c>
      <c r="AH501" s="1139">
        <f t="shared" si="15"/>
        <v>0</v>
      </c>
      <c r="AI501" s="1055"/>
      <c r="AJ501" s="1064"/>
      <c r="AK501" s="1055"/>
      <c r="AL501" s="1133"/>
      <c r="AM501" s="1055"/>
      <c r="AN501" s="1055"/>
      <c r="AO501" s="1064"/>
      <c r="AP501" s="1137"/>
      <c r="AQ501" s="1064"/>
      <c r="AR501" s="1137"/>
      <c r="AS501" s="1055"/>
      <c r="AT501" s="1133"/>
      <c r="AU501" s="1133"/>
      <c r="AV501" s="1133"/>
      <c r="AW501" s="1133"/>
      <c r="AX501" s="1133"/>
      <c r="AY501" s="1133"/>
      <c r="AZ501" s="1133"/>
      <c r="BA501" s="1133"/>
      <c r="BB501" s="1133"/>
      <c r="BC501" s="1133"/>
      <c r="BD501" s="1133"/>
      <c r="BE501" s="1480"/>
      <c r="BF501" s="1480"/>
      <c r="BG501" s="1480"/>
      <c r="BH501" s="1480"/>
      <c r="BI501" s="1480"/>
      <c r="BJ501" s="1480"/>
    </row>
    <row r="502" spans="1:62" s="629" customFormat="1" ht="45" customHeight="1" x14ac:dyDescent="0.2">
      <c r="A502" s="1514">
        <v>238</v>
      </c>
      <c r="B502" s="636" t="s">
        <v>4605</v>
      </c>
      <c r="C502" s="1055" t="s">
        <v>1360</v>
      </c>
      <c r="D502" s="1055" t="s">
        <v>1331</v>
      </c>
      <c r="E502" s="1055" t="s">
        <v>584</v>
      </c>
      <c r="F502" s="1055" t="s">
        <v>4610</v>
      </c>
      <c r="G502" s="1133">
        <v>10049</v>
      </c>
      <c r="H502" s="1146" t="s">
        <v>4241</v>
      </c>
      <c r="I502" s="1055" t="s">
        <v>4611</v>
      </c>
      <c r="J502" s="1055" t="s">
        <v>752</v>
      </c>
      <c r="K502" s="1137">
        <v>41801</v>
      </c>
      <c r="L502" s="1139">
        <v>4818.07</v>
      </c>
      <c r="M502" s="1064"/>
      <c r="N502" s="1137"/>
      <c r="O502" s="1137"/>
      <c r="P502" s="526" t="s">
        <v>3905</v>
      </c>
      <c r="Q502" s="1055"/>
      <c r="R502" s="1055"/>
      <c r="S502" s="1055"/>
      <c r="T502" s="1055" t="s">
        <v>208</v>
      </c>
      <c r="U502" s="1055"/>
      <c r="V502" s="1055"/>
      <c r="W502" s="1064"/>
      <c r="X502" s="1146"/>
      <c r="Y502" s="1137"/>
      <c r="Z502" s="1137"/>
      <c r="AA502" s="1138"/>
      <c r="AB502" s="1055"/>
      <c r="AC502" s="1139"/>
      <c r="AD502" s="1139"/>
      <c r="AE502" s="1155">
        <f>L502-AD502+AC502</f>
        <v>4818.07</v>
      </c>
      <c r="AF502" s="525">
        <v>0</v>
      </c>
      <c r="AG502" s="1135">
        <v>0</v>
      </c>
      <c r="AH502" s="1139">
        <f t="shared" si="15"/>
        <v>0</v>
      </c>
      <c r="AI502" s="1055"/>
      <c r="AJ502" s="1064"/>
      <c r="AK502" s="1055"/>
      <c r="AL502" s="1133"/>
      <c r="AM502" s="1055"/>
      <c r="AN502" s="1055"/>
      <c r="AO502" s="1064"/>
      <c r="AP502" s="1137"/>
      <c r="AQ502" s="1064"/>
      <c r="AR502" s="1137"/>
      <c r="AS502" s="1055"/>
      <c r="AT502" s="1133"/>
      <c r="AU502" s="1133"/>
      <c r="AV502" s="1133"/>
      <c r="AW502" s="1133"/>
      <c r="AX502" s="1133"/>
      <c r="AY502" s="1133"/>
      <c r="AZ502" s="1133"/>
      <c r="BA502" s="1133"/>
      <c r="BB502" s="1133"/>
      <c r="BC502" s="1133"/>
      <c r="BD502" s="1133"/>
      <c r="BE502" s="1480"/>
      <c r="BF502" s="1480"/>
      <c r="BG502" s="1480"/>
      <c r="BH502" s="1480"/>
      <c r="BI502" s="1480"/>
      <c r="BJ502" s="1480"/>
    </row>
    <row r="503" spans="1:62" s="629" customFormat="1" ht="63.75" customHeight="1" x14ac:dyDescent="0.2">
      <c r="A503" s="1514">
        <v>239</v>
      </c>
      <c r="B503" s="636" t="s">
        <v>4612</v>
      </c>
      <c r="C503" s="1055" t="s">
        <v>1478</v>
      </c>
      <c r="D503" s="1055" t="s">
        <v>1331</v>
      </c>
      <c r="E503" s="1055" t="s">
        <v>584</v>
      </c>
      <c r="F503" s="1055" t="s">
        <v>4226</v>
      </c>
      <c r="G503" s="1133">
        <v>11097</v>
      </c>
      <c r="H503" s="1146" t="s">
        <v>4241</v>
      </c>
      <c r="I503" s="1055" t="s">
        <v>4613</v>
      </c>
      <c r="J503" s="1055" t="s">
        <v>4614</v>
      </c>
      <c r="K503" s="1137">
        <v>41810</v>
      </c>
      <c r="L503" s="1139">
        <v>2180</v>
      </c>
      <c r="M503" s="1064"/>
      <c r="N503" s="1137"/>
      <c r="O503" s="1137"/>
      <c r="P503" s="1146" t="s">
        <v>4071</v>
      </c>
      <c r="Q503" s="1055"/>
      <c r="R503" s="1055"/>
      <c r="S503" s="1055"/>
      <c r="T503" s="1055" t="s">
        <v>408</v>
      </c>
      <c r="U503" s="1055"/>
      <c r="V503" s="1055"/>
      <c r="W503" s="1064"/>
      <c r="X503" s="1146"/>
      <c r="Y503" s="1137"/>
      <c r="Z503" s="1137"/>
      <c r="AA503" s="1138"/>
      <c r="AB503" s="1055"/>
      <c r="AC503" s="1139"/>
      <c r="AD503" s="1139"/>
      <c r="AE503" s="1155">
        <f>L503-AD503+AC503</f>
        <v>2180</v>
      </c>
      <c r="AF503" s="525">
        <v>0</v>
      </c>
      <c r="AG503" s="1135">
        <v>2180</v>
      </c>
      <c r="AH503" s="1139">
        <f t="shared" si="15"/>
        <v>2180</v>
      </c>
      <c r="AI503" s="1055"/>
      <c r="AJ503" s="1064"/>
      <c r="AK503" s="1055"/>
      <c r="AL503" s="1133"/>
      <c r="AM503" s="1055"/>
      <c r="AN503" s="1055"/>
      <c r="AO503" s="1064"/>
      <c r="AP503" s="1137"/>
      <c r="AQ503" s="1064"/>
      <c r="AR503" s="1137"/>
      <c r="AS503" s="1055"/>
      <c r="AT503" s="1133"/>
      <c r="AU503" s="1133"/>
      <c r="AV503" s="1133"/>
      <c r="AW503" s="1133"/>
      <c r="AX503" s="1133"/>
      <c r="AY503" s="1133"/>
      <c r="AZ503" s="1133"/>
      <c r="BA503" s="1133"/>
      <c r="BB503" s="1133"/>
      <c r="BC503" s="1133"/>
      <c r="BD503" s="1133"/>
      <c r="BE503" s="1480"/>
      <c r="BF503" s="1480"/>
      <c r="BG503" s="1480"/>
      <c r="BH503" s="1480"/>
      <c r="BI503" s="1480"/>
      <c r="BJ503" s="1480"/>
    </row>
    <row r="504" spans="1:62" s="629" customFormat="1" ht="63.75" customHeight="1" x14ac:dyDescent="0.2">
      <c r="A504" s="1514">
        <v>340</v>
      </c>
      <c r="B504" s="1217" t="s">
        <v>4615</v>
      </c>
      <c r="C504" s="1144" t="s">
        <v>967</v>
      </c>
      <c r="D504" s="1055" t="s">
        <v>4616</v>
      </c>
      <c r="E504" s="1055" t="s">
        <v>584</v>
      </c>
      <c r="F504" s="1055" t="s">
        <v>4608</v>
      </c>
      <c r="G504" s="1064">
        <v>11059</v>
      </c>
      <c r="H504" s="1146" t="s">
        <v>4617</v>
      </c>
      <c r="I504" s="1055" t="s">
        <v>4618</v>
      </c>
      <c r="J504" s="1055" t="s">
        <v>4146</v>
      </c>
      <c r="K504" s="1137">
        <v>41458</v>
      </c>
      <c r="L504" s="1139">
        <v>245581.4</v>
      </c>
      <c r="M504" s="1064">
        <v>11090</v>
      </c>
      <c r="N504" s="1137">
        <v>41458</v>
      </c>
      <c r="O504" s="1137">
        <v>41639</v>
      </c>
      <c r="P504" s="1146" t="s">
        <v>3961</v>
      </c>
      <c r="Q504" s="1055"/>
      <c r="R504" s="1055"/>
      <c r="S504" s="1055"/>
      <c r="T504" s="1055" t="s">
        <v>316</v>
      </c>
      <c r="U504" s="1146"/>
      <c r="V504" s="1055"/>
      <c r="W504" s="1064"/>
      <c r="X504" s="1146"/>
      <c r="Y504" s="1137"/>
      <c r="Z504" s="1137"/>
      <c r="AA504" s="1138"/>
      <c r="AB504" s="1055"/>
      <c r="AC504" s="1139"/>
      <c r="AD504" s="1139"/>
      <c r="AE504" s="1155">
        <f>L504-AD504+AC504</f>
        <v>245581.4</v>
      </c>
      <c r="AF504" s="1155">
        <v>226791.9</v>
      </c>
      <c r="AG504" s="1135">
        <v>1999.5</v>
      </c>
      <c r="AH504" s="1139">
        <f t="shared" si="15"/>
        <v>228791.4</v>
      </c>
      <c r="AI504" s="1055"/>
      <c r="AJ504" s="1064"/>
      <c r="AK504" s="1055"/>
      <c r="AL504" s="1133"/>
      <c r="AM504" s="1055"/>
      <c r="AN504" s="1055"/>
      <c r="AO504" s="1064"/>
      <c r="AP504" s="1137"/>
      <c r="AQ504" s="1064"/>
      <c r="AR504" s="1137"/>
      <c r="AS504" s="1055"/>
      <c r="AT504" s="1133"/>
      <c r="AU504" s="1133"/>
      <c r="AV504" s="1133"/>
      <c r="AW504" s="1133"/>
      <c r="AX504" s="1133"/>
      <c r="AY504" s="1133"/>
      <c r="AZ504" s="1133"/>
      <c r="BA504" s="1133"/>
      <c r="BB504" s="1133"/>
      <c r="BC504" s="1133"/>
      <c r="BD504" s="1133"/>
      <c r="BE504" s="1480"/>
      <c r="BF504" s="1480"/>
      <c r="BG504" s="1480"/>
      <c r="BH504" s="1480"/>
      <c r="BI504" s="1480"/>
      <c r="BJ504" s="1480"/>
    </row>
    <row r="505" spans="1:62" s="629" customFormat="1" ht="75" customHeight="1" x14ac:dyDescent="0.2">
      <c r="A505" s="2365">
        <v>241</v>
      </c>
      <c r="B505" s="2366" t="s">
        <v>4615</v>
      </c>
      <c r="C505" s="2023" t="s">
        <v>967</v>
      </c>
      <c r="D505" s="2023" t="s">
        <v>4616</v>
      </c>
      <c r="E505" s="2023" t="s">
        <v>584</v>
      </c>
      <c r="F505" s="2023" t="s">
        <v>4608</v>
      </c>
      <c r="G505" s="2006">
        <v>11059</v>
      </c>
      <c r="H505" s="2367" t="s">
        <v>4619</v>
      </c>
      <c r="I505" s="2023" t="s">
        <v>4620</v>
      </c>
      <c r="J505" s="2023" t="s">
        <v>4621</v>
      </c>
      <c r="K505" s="2347">
        <v>41458</v>
      </c>
      <c r="L505" s="2343">
        <v>273680.59999999998</v>
      </c>
      <c r="M505" s="2006">
        <v>11090</v>
      </c>
      <c r="N505" s="2347">
        <v>41458</v>
      </c>
      <c r="O505" s="2347">
        <v>41639</v>
      </c>
      <c r="P505" s="2367" t="s">
        <v>3961</v>
      </c>
      <c r="Q505" s="1055"/>
      <c r="R505" s="1055"/>
      <c r="S505" s="1055"/>
      <c r="T505" s="2028" t="s">
        <v>316</v>
      </c>
      <c r="U505" s="1146"/>
      <c r="V505" s="1055"/>
      <c r="W505" s="1064"/>
      <c r="X505" s="1146"/>
      <c r="Y505" s="1137"/>
      <c r="Z505" s="1137"/>
      <c r="AA505" s="1138"/>
      <c r="AB505" s="1055"/>
      <c r="AC505" s="1139"/>
      <c r="AD505" s="1139"/>
      <c r="AE505" s="2345">
        <f>L505-AD505+AC505</f>
        <v>273680.59999999998</v>
      </c>
      <c r="AF505" s="1155">
        <v>167036.85999999999</v>
      </c>
      <c r="AG505" s="1135">
        <v>106643.74</v>
      </c>
      <c r="AH505" s="1139">
        <f t="shared" si="15"/>
        <v>273680.59999999998</v>
      </c>
      <c r="AI505" s="1055"/>
      <c r="AJ505" s="1064"/>
      <c r="AK505" s="1055"/>
      <c r="AL505" s="1133"/>
      <c r="AM505" s="1055"/>
      <c r="AN505" s="1055"/>
      <c r="AO505" s="1064"/>
      <c r="AP505" s="1137"/>
      <c r="AQ505" s="1064"/>
      <c r="AR505" s="1137"/>
      <c r="AS505" s="1055"/>
      <c r="AT505" s="1133"/>
      <c r="AU505" s="1133"/>
      <c r="AV505" s="1133"/>
      <c r="AW505" s="1133"/>
      <c r="AX505" s="1133"/>
      <c r="AY505" s="1133"/>
      <c r="AZ505" s="1133"/>
      <c r="BA505" s="1133"/>
      <c r="BB505" s="1133"/>
      <c r="BC505" s="1133"/>
      <c r="BD505" s="1133"/>
      <c r="BE505" s="1480"/>
      <c r="BF505" s="1480"/>
      <c r="BG505" s="1480"/>
      <c r="BH505" s="1480"/>
      <c r="BI505" s="1480"/>
      <c r="BJ505" s="1480"/>
    </row>
    <row r="506" spans="1:62" s="629" customFormat="1" ht="45" customHeight="1" x14ac:dyDescent="0.2">
      <c r="A506" s="2365"/>
      <c r="B506" s="2366"/>
      <c r="C506" s="2023"/>
      <c r="D506" s="2023"/>
      <c r="E506" s="2023"/>
      <c r="F506" s="2023"/>
      <c r="G506" s="2006"/>
      <c r="H506" s="2367"/>
      <c r="I506" s="2023"/>
      <c r="J506" s="2023"/>
      <c r="K506" s="2023"/>
      <c r="L506" s="2343"/>
      <c r="M506" s="2006"/>
      <c r="N506" s="2347"/>
      <c r="O506" s="2347"/>
      <c r="P506" s="2367"/>
      <c r="Q506" s="1055"/>
      <c r="R506" s="1055"/>
      <c r="S506" s="1055"/>
      <c r="T506" s="2030"/>
      <c r="U506" s="1146"/>
      <c r="V506" s="1055"/>
      <c r="W506" s="1064"/>
      <c r="X506" s="1146"/>
      <c r="Y506" s="1137"/>
      <c r="Z506" s="1137"/>
      <c r="AA506" s="1138"/>
      <c r="AB506" s="1055"/>
      <c r="AC506" s="1139"/>
      <c r="AD506" s="1139"/>
      <c r="AE506" s="2371"/>
      <c r="AF506" s="525">
        <v>0</v>
      </c>
      <c r="AG506" s="525">
        <v>0</v>
      </c>
      <c r="AH506" s="1139">
        <f t="shared" si="15"/>
        <v>0</v>
      </c>
      <c r="AI506" s="1055"/>
      <c r="AJ506" s="1064"/>
      <c r="AK506" s="1055"/>
      <c r="AL506" s="1133"/>
      <c r="AM506" s="1055"/>
      <c r="AN506" s="1055"/>
      <c r="AO506" s="1064"/>
      <c r="AP506" s="1137"/>
      <c r="AQ506" s="1064"/>
      <c r="AR506" s="1137"/>
      <c r="AS506" s="1055"/>
      <c r="AT506" s="1133"/>
      <c r="AU506" s="1133"/>
      <c r="AV506" s="1133"/>
      <c r="AW506" s="1133"/>
      <c r="AX506" s="1133"/>
      <c r="AY506" s="1133"/>
      <c r="AZ506" s="1133"/>
      <c r="BA506" s="1133"/>
      <c r="BB506" s="1133"/>
      <c r="BC506" s="1133"/>
      <c r="BD506" s="1133"/>
      <c r="BE506" s="1480"/>
      <c r="BF506" s="1480"/>
      <c r="BG506" s="1480"/>
      <c r="BH506" s="1480"/>
      <c r="BI506" s="1480"/>
      <c r="BJ506" s="1480"/>
    </row>
    <row r="507" spans="1:62" s="629" customFormat="1" ht="48" customHeight="1" x14ac:dyDescent="0.2">
      <c r="A507" s="1514">
        <v>242</v>
      </c>
      <c r="B507" s="1217" t="s">
        <v>4615</v>
      </c>
      <c r="C507" s="1055" t="s">
        <v>967</v>
      </c>
      <c r="D507" s="1055" t="s">
        <v>4616</v>
      </c>
      <c r="E507" s="1055" t="s">
        <v>584</v>
      </c>
      <c r="F507" s="1055" t="s">
        <v>4608</v>
      </c>
      <c r="G507" s="1064">
        <v>11059</v>
      </c>
      <c r="H507" s="1146" t="s">
        <v>4622</v>
      </c>
      <c r="I507" s="1055" t="s">
        <v>4623</v>
      </c>
      <c r="J507" s="1055" t="s">
        <v>4382</v>
      </c>
      <c r="K507" s="1137">
        <v>41458</v>
      </c>
      <c r="L507" s="1139">
        <v>230662.8</v>
      </c>
      <c r="M507" s="1064">
        <v>11090</v>
      </c>
      <c r="N507" s="1137">
        <v>41458</v>
      </c>
      <c r="O507" s="1137">
        <v>41639</v>
      </c>
      <c r="P507" s="1146" t="s">
        <v>3961</v>
      </c>
      <c r="Q507" s="1055"/>
      <c r="R507" s="1055"/>
      <c r="S507" s="1055"/>
      <c r="T507" s="1055" t="s">
        <v>316</v>
      </c>
      <c r="U507" s="1146"/>
      <c r="V507" s="1055"/>
      <c r="W507" s="1064"/>
      <c r="X507" s="1146"/>
      <c r="Y507" s="1137"/>
      <c r="Z507" s="1137"/>
      <c r="AA507" s="1138"/>
      <c r="AB507" s="1055"/>
      <c r="AC507" s="1139"/>
      <c r="AD507" s="1139"/>
      <c r="AE507" s="1155">
        <f>L507-AD507+AC507</f>
        <v>230662.8</v>
      </c>
      <c r="AF507" s="1155">
        <v>176330.85</v>
      </c>
      <c r="AG507" s="1135">
        <v>54331.95</v>
      </c>
      <c r="AH507" s="1139">
        <f t="shared" si="15"/>
        <v>230662.8</v>
      </c>
      <c r="AI507" s="1055"/>
      <c r="AJ507" s="1064"/>
      <c r="AK507" s="1055"/>
      <c r="AL507" s="1133"/>
      <c r="AM507" s="1055"/>
      <c r="AN507" s="1055"/>
      <c r="AO507" s="1064"/>
      <c r="AP507" s="1137"/>
      <c r="AQ507" s="1064"/>
      <c r="AR507" s="1137"/>
      <c r="AS507" s="1055"/>
      <c r="AT507" s="1133"/>
      <c r="AU507" s="1133"/>
      <c r="AV507" s="1133"/>
      <c r="AW507" s="1133"/>
      <c r="AX507" s="1133"/>
      <c r="AY507" s="1133"/>
      <c r="AZ507" s="1133"/>
      <c r="BA507" s="1133"/>
      <c r="BB507" s="1133"/>
      <c r="BC507" s="1133"/>
      <c r="BD507" s="1133"/>
      <c r="BE507" s="1480"/>
      <c r="BF507" s="1480"/>
      <c r="BG507" s="1480"/>
      <c r="BH507" s="1480"/>
      <c r="BI507" s="1480"/>
      <c r="BJ507" s="1480"/>
    </row>
    <row r="508" spans="1:62" s="629" customFormat="1" ht="45" customHeight="1" x14ac:dyDescent="0.2">
      <c r="A508" s="1514">
        <v>2423</v>
      </c>
      <c r="B508" s="1217" t="s">
        <v>4615</v>
      </c>
      <c r="C508" s="1055" t="s">
        <v>675</v>
      </c>
      <c r="D508" s="1055" t="s">
        <v>4616</v>
      </c>
      <c r="E508" s="1055" t="s">
        <v>584</v>
      </c>
      <c r="F508" s="1055" t="s">
        <v>4624</v>
      </c>
      <c r="G508" s="1064">
        <v>11333</v>
      </c>
      <c r="H508" s="1146" t="s">
        <v>4625</v>
      </c>
      <c r="I508" s="1055" t="s">
        <v>4145</v>
      </c>
      <c r="J508" s="1055" t="s">
        <v>4146</v>
      </c>
      <c r="K508" s="1137">
        <v>41821</v>
      </c>
      <c r="L508" s="1139">
        <v>228680.28</v>
      </c>
      <c r="M508" s="1064">
        <v>11357</v>
      </c>
      <c r="N508" s="1137">
        <v>41821</v>
      </c>
      <c r="O508" s="1137">
        <v>42004</v>
      </c>
      <c r="P508" s="1146" t="s">
        <v>4071</v>
      </c>
      <c r="Q508" s="1055"/>
      <c r="R508" s="1055"/>
      <c r="S508" s="1055"/>
      <c r="T508" s="1055" t="s">
        <v>316</v>
      </c>
      <c r="U508" s="1055"/>
      <c r="V508" s="1055"/>
      <c r="W508" s="1064"/>
      <c r="X508" s="1146"/>
      <c r="Y508" s="1137"/>
      <c r="Z508" s="1137"/>
      <c r="AA508" s="1138"/>
      <c r="AB508" s="1055"/>
      <c r="AC508" s="1139"/>
      <c r="AD508" s="1139"/>
      <c r="AE508" s="1155">
        <f>L508-AD508+AC508</f>
        <v>228680.28</v>
      </c>
      <c r="AF508" s="525">
        <v>0</v>
      </c>
      <c r="AG508" s="1135">
        <f>14715.87+719.22+1607.3+4223.23+8463.78+1587.65+9079.92+15725.63+29764.43+7340.08+3996.33+9313.06+29753.04+1687.09+10198.93+25986.52</f>
        <v>174162.08</v>
      </c>
      <c r="AH508" s="1139">
        <f t="shared" si="15"/>
        <v>174162.08</v>
      </c>
      <c r="AI508" s="1055"/>
      <c r="AJ508" s="1064"/>
      <c r="AK508" s="1055"/>
      <c r="AL508" s="1133"/>
      <c r="AM508" s="1055"/>
      <c r="AN508" s="1055"/>
      <c r="AO508" s="1064"/>
      <c r="AP508" s="1137"/>
      <c r="AQ508" s="1064"/>
      <c r="AR508" s="1137"/>
      <c r="AS508" s="1055"/>
      <c r="AT508" s="1133"/>
      <c r="AU508" s="1133"/>
      <c r="AV508" s="1133"/>
      <c r="AW508" s="1133"/>
      <c r="AX508" s="1133"/>
      <c r="AY508" s="1133"/>
      <c r="AZ508" s="1133"/>
      <c r="BA508" s="1133"/>
      <c r="BB508" s="1133"/>
      <c r="BC508" s="1133"/>
      <c r="BD508" s="1133"/>
      <c r="BE508" s="1480"/>
      <c r="BF508" s="1480"/>
      <c r="BG508" s="1480"/>
      <c r="BH508" s="1480"/>
      <c r="BI508" s="1480"/>
      <c r="BJ508" s="1480"/>
    </row>
    <row r="509" spans="1:62" s="629" customFormat="1" ht="46.5" customHeight="1" x14ac:dyDescent="0.2">
      <c r="A509" s="1514">
        <v>244</v>
      </c>
      <c r="B509" s="1217" t="s">
        <v>4615</v>
      </c>
      <c r="C509" s="1055" t="s">
        <v>675</v>
      </c>
      <c r="D509" s="1055" t="s">
        <v>4616</v>
      </c>
      <c r="E509" s="1055" t="s">
        <v>584</v>
      </c>
      <c r="F509" s="1055" t="s">
        <v>4624</v>
      </c>
      <c r="G509" s="1064">
        <v>11333</v>
      </c>
      <c r="H509" s="1146" t="s">
        <v>4626</v>
      </c>
      <c r="I509" s="1055" t="s">
        <v>4623</v>
      </c>
      <c r="J509" s="1055" t="s">
        <v>4382</v>
      </c>
      <c r="K509" s="1137">
        <v>41821</v>
      </c>
      <c r="L509" s="1139">
        <v>234270.78</v>
      </c>
      <c r="M509" s="1064">
        <v>11357</v>
      </c>
      <c r="N509" s="1137">
        <v>41821</v>
      </c>
      <c r="O509" s="1137">
        <v>42004</v>
      </c>
      <c r="P509" s="1146" t="s">
        <v>4071</v>
      </c>
      <c r="Q509" s="1055"/>
      <c r="R509" s="1055"/>
      <c r="S509" s="1055"/>
      <c r="T509" s="1055" t="s">
        <v>316</v>
      </c>
      <c r="U509" s="1055"/>
      <c r="V509" s="1055"/>
      <c r="W509" s="1064"/>
      <c r="X509" s="1146"/>
      <c r="Y509" s="1137"/>
      <c r="Z509" s="1137"/>
      <c r="AA509" s="1138"/>
      <c r="AB509" s="1055"/>
      <c r="AC509" s="1139"/>
      <c r="AD509" s="1139"/>
      <c r="AE509" s="1155">
        <f>L509-AD509+AC509</f>
        <v>234270.78</v>
      </c>
      <c r="AF509" s="525">
        <v>0</v>
      </c>
      <c r="AG509" s="1135">
        <v>75543.14</v>
      </c>
      <c r="AH509" s="1139">
        <f t="shared" si="15"/>
        <v>75543.14</v>
      </c>
      <c r="AI509" s="1055"/>
      <c r="AJ509" s="1064"/>
      <c r="AK509" s="1055"/>
      <c r="AL509" s="1133"/>
      <c r="AM509" s="1055"/>
      <c r="AN509" s="1055"/>
      <c r="AO509" s="1064"/>
      <c r="AP509" s="1137"/>
      <c r="AQ509" s="1064"/>
      <c r="AR509" s="1137"/>
      <c r="AS509" s="1055"/>
      <c r="AT509" s="1133"/>
      <c r="AU509" s="1133"/>
      <c r="AV509" s="1133"/>
      <c r="AW509" s="1133"/>
      <c r="AX509" s="1133"/>
      <c r="AY509" s="1133"/>
      <c r="AZ509" s="1133"/>
      <c r="BA509" s="1133"/>
      <c r="BB509" s="1133"/>
      <c r="BC509" s="1133"/>
      <c r="BD509" s="1133"/>
      <c r="BE509" s="1480"/>
      <c r="BF509" s="1480"/>
      <c r="BG509" s="1480"/>
      <c r="BH509" s="1480"/>
      <c r="BI509" s="1480"/>
      <c r="BJ509" s="1480"/>
    </row>
    <row r="510" spans="1:62" s="629" customFormat="1" ht="38.25" customHeight="1" x14ac:dyDescent="0.2">
      <c r="A510" s="2365">
        <v>245</v>
      </c>
      <c r="B510" s="2366" t="s">
        <v>4627</v>
      </c>
      <c r="C510" s="2386" t="s">
        <v>986</v>
      </c>
      <c r="D510" s="2023" t="s">
        <v>3991</v>
      </c>
      <c r="E510" s="2023" t="s">
        <v>584</v>
      </c>
      <c r="F510" s="2023" t="s">
        <v>4628</v>
      </c>
      <c r="G510" s="2006">
        <v>10956</v>
      </c>
      <c r="H510" s="2367" t="s">
        <v>4629</v>
      </c>
      <c r="I510" s="2023" t="s">
        <v>2841</v>
      </c>
      <c r="J510" s="2023" t="s">
        <v>1538</v>
      </c>
      <c r="K510" s="2347">
        <v>41365</v>
      </c>
      <c r="L510" s="2369">
        <v>310000</v>
      </c>
      <c r="M510" s="2006">
        <v>11034</v>
      </c>
      <c r="N510" s="2347">
        <v>41365</v>
      </c>
      <c r="O510" s="2347">
        <v>41639</v>
      </c>
      <c r="P510" s="2367" t="s">
        <v>3905</v>
      </c>
      <c r="Q510" s="2023"/>
      <c r="R510" s="2023"/>
      <c r="S510" s="2023"/>
      <c r="T510" s="2023" t="s">
        <v>208</v>
      </c>
      <c r="U510" s="1146"/>
      <c r="V510" s="1055"/>
      <c r="W510" s="1064"/>
      <c r="X510" s="1146"/>
      <c r="Y510" s="1055"/>
      <c r="Z510" s="1055"/>
      <c r="AA510" s="1138"/>
      <c r="AB510" s="1055"/>
      <c r="AC510" s="1139"/>
      <c r="AD510" s="1139"/>
      <c r="AE510" s="1155"/>
      <c r="AF510" s="525">
        <v>320617.71999999997</v>
      </c>
      <c r="AG510" s="1150">
        <v>18728.169999999998</v>
      </c>
      <c r="AH510" s="1139">
        <f t="shared" si="15"/>
        <v>339345.88999999996</v>
      </c>
      <c r="AI510" s="1055"/>
      <c r="AJ510" s="1064"/>
      <c r="AK510" s="1055"/>
      <c r="AL510" s="1133"/>
      <c r="AM510" s="1055"/>
      <c r="AN510" s="1055"/>
      <c r="AO510" s="1064"/>
      <c r="AP510" s="1137"/>
      <c r="AQ510" s="1064"/>
      <c r="AR510" s="2347"/>
      <c r="AS510" s="2023" t="s">
        <v>4630</v>
      </c>
      <c r="AT510" s="2355" t="s">
        <v>4631</v>
      </c>
      <c r="AU510" s="2352">
        <v>41365</v>
      </c>
      <c r="AV510" s="2352">
        <v>41453</v>
      </c>
      <c r="AW510" s="2355"/>
      <c r="AX510" s="2355"/>
      <c r="AY510" s="2352">
        <v>41365</v>
      </c>
      <c r="AZ510" s="2355" t="s">
        <v>1458</v>
      </c>
      <c r="BA510" s="2355" t="s">
        <v>1464</v>
      </c>
      <c r="BB510" s="1133"/>
      <c r="BC510" s="2355"/>
      <c r="BD510" s="2355"/>
      <c r="BE510" s="1480"/>
      <c r="BF510" s="1480"/>
      <c r="BG510" s="1480"/>
      <c r="BH510" s="1480"/>
      <c r="BI510" s="1480"/>
      <c r="BJ510" s="1480"/>
    </row>
    <row r="511" spans="1:62" s="629" customFormat="1" ht="32.25" customHeight="1" x14ac:dyDescent="0.2">
      <c r="A511" s="2365"/>
      <c r="B511" s="2366"/>
      <c r="C511" s="2023"/>
      <c r="D511" s="2023"/>
      <c r="E511" s="2023"/>
      <c r="F511" s="2023"/>
      <c r="G511" s="2006"/>
      <c r="H511" s="2367"/>
      <c r="I511" s="2023"/>
      <c r="J511" s="2023"/>
      <c r="K511" s="2023"/>
      <c r="L511" s="2369"/>
      <c r="M511" s="2006"/>
      <c r="N511" s="2347"/>
      <c r="O511" s="2347"/>
      <c r="P511" s="2367"/>
      <c r="Q511" s="2023"/>
      <c r="R511" s="2023"/>
      <c r="S511" s="2023"/>
      <c r="T511" s="2023"/>
      <c r="U511" s="1146" t="s">
        <v>3972</v>
      </c>
      <c r="V511" s="1055"/>
      <c r="W511" s="1064">
        <v>11174</v>
      </c>
      <c r="X511" s="1146" t="s">
        <v>3922</v>
      </c>
      <c r="Y511" s="2347">
        <v>41365</v>
      </c>
      <c r="Z511" s="2347">
        <v>41639</v>
      </c>
      <c r="AA511" s="537">
        <f>AC511/L510</f>
        <v>0.25</v>
      </c>
      <c r="AB511" s="1055"/>
      <c r="AC511" s="1139">
        <v>77500</v>
      </c>
      <c r="AD511" s="1139"/>
      <c r="AE511" s="1155">
        <f>L510+AC511</f>
        <v>387500</v>
      </c>
      <c r="AF511" s="525">
        <v>0</v>
      </c>
      <c r="AG511" s="525">
        <v>0</v>
      </c>
      <c r="AH511" s="1139">
        <f t="shared" si="15"/>
        <v>0</v>
      </c>
      <c r="AI511" s="1055"/>
      <c r="AJ511" s="1064"/>
      <c r="AK511" s="1055"/>
      <c r="AL511" s="1133"/>
      <c r="AM511" s="1055"/>
      <c r="AN511" s="1055"/>
      <c r="AO511" s="1064"/>
      <c r="AP511" s="1137"/>
      <c r="AQ511" s="1064"/>
      <c r="AR511" s="2347"/>
      <c r="AS511" s="2023"/>
      <c r="AT511" s="2355"/>
      <c r="AU511" s="2355"/>
      <c r="AV511" s="2355"/>
      <c r="AW511" s="2355"/>
      <c r="AX511" s="2355"/>
      <c r="AY511" s="2355"/>
      <c r="AZ511" s="2355"/>
      <c r="BA511" s="2355"/>
      <c r="BB511" s="1133"/>
      <c r="BC511" s="2355"/>
      <c r="BD511" s="2355"/>
      <c r="BE511" s="1480"/>
      <c r="BF511" s="1480"/>
      <c r="BG511" s="1480"/>
      <c r="BH511" s="1480"/>
      <c r="BI511" s="1480"/>
      <c r="BJ511" s="1480"/>
    </row>
    <row r="512" spans="1:62" s="629" customFormat="1" ht="12.75" x14ac:dyDescent="0.2">
      <c r="A512" s="2365"/>
      <c r="B512" s="2366"/>
      <c r="C512" s="2023"/>
      <c r="D512" s="2023"/>
      <c r="E512" s="2023"/>
      <c r="F512" s="2023"/>
      <c r="G512" s="2006"/>
      <c r="H512" s="2367"/>
      <c r="I512" s="2023"/>
      <c r="J512" s="2023"/>
      <c r="K512" s="2023"/>
      <c r="L512" s="2369"/>
      <c r="M512" s="2006"/>
      <c r="N512" s="2347"/>
      <c r="O512" s="2347"/>
      <c r="P512" s="2367"/>
      <c r="Q512" s="2023"/>
      <c r="R512" s="2023"/>
      <c r="S512" s="2023"/>
      <c r="T512" s="2023"/>
      <c r="U512" s="1146" t="s">
        <v>3891</v>
      </c>
      <c r="V512" s="1055"/>
      <c r="W512" s="1064">
        <v>11221</v>
      </c>
      <c r="X512" s="1146" t="s">
        <v>3923</v>
      </c>
      <c r="Y512" s="2347"/>
      <c r="Z512" s="2347"/>
      <c r="AA512" s="1138"/>
      <c r="AB512" s="1138">
        <f>AD512/L510</f>
        <v>0.15533032258064516</v>
      </c>
      <c r="AC512" s="1139"/>
      <c r="AD512" s="1139">
        <v>48152.4</v>
      </c>
      <c r="AE512" s="1155">
        <f>AE511-AD512</f>
        <v>339347.6</v>
      </c>
      <c r="AF512" s="525">
        <v>0</v>
      </c>
      <c r="AG512" s="525">
        <v>0</v>
      </c>
      <c r="AH512" s="1139">
        <f t="shared" si="15"/>
        <v>0</v>
      </c>
      <c r="AI512" s="1055"/>
      <c r="AJ512" s="1064"/>
      <c r="AK512" s="1055"/>
      <c r="AL512" s="1133"/>
      <c r="AM512" s="1055"/>
      <c r="AN512" s="1055"/>
      <c r="AO512" s="1064"/>
      <c r="AP512" s="1137"/>
      <c r="AQ512" s="1064"/>
      <c r="AR512" s="2347"/>
      <c r="AS512" s="2023"/>
      <c r="AT512" s="2355"/>
      <c r="AU512" s="2355"/>
      <c r="AV512" s="2355"/>
      <c r="AW512" s="2355"/>
      <c r="AX512" s="2355"/>
      <c r="AY512" s="2355"/>
      <c r="AZ512" s="2355"/>
      <c r="BA512" s="2355"/>
      <c r="BB512" s="1133"/>
      <c r="BC512" s="2355"/>
      <c r="BD512" s="2355"/>
      <c r="BE512" s="1480"/>
      <c r="BF512" s="1480"/>
      <c r="BG512" s="1480"/>
      <c r="BH512" s="1480"/>
      <c r="BI512" s="1480"/>
      <c r="BJ512" s="1480"/>
    </row>
    <row r="513" spans="1:62" s="629" customFormat="1" ht="38.25" customHeight="1" x14ac:dyDescent="0.2">
      <c r="A513" s="2365">
        <v>246</v>
      </c>
      <c r="B513" s="2361" t="s">
        <v>4632</v>
      </c>
      <c r="C513" s="2023" t="s">
        <v>4633</v>
      </c>
      <c r="D513" s="2023" t="s">
        <v>3991</v>
      </c>
      <c r="E513" s="2023" t="s">
        <v>584</v>
      </c>
      <c r="F513" s="2023" t="s">
        <v>4634</v>
      </c>
      <c r="G513" s="2006">
        <v>11060</v>
      </c>
      <c r="H513" s="2367" t="s">
        <v>4635</v>
      </c>
      <c r="I513" s="2023" t="s">
        <v>4636</v>
      </c>
      <c r="J513" s="2023" t="s">
        <v>1490</v>
      </c>
      <c r="K513" s="2347">
        <v>41478</v>
      </c>
      <c r="L513" s="2343">
        <v>95160.99</v>
      </c>
      <c r="M513" s="2006">
        <v>11100</v>
      </c>
      <c r="N513" s="2347">
        <v>41478</v>
      </c>
      <c r="O513" s="2347">
        <v>41540</v>
      </c>
      <c r="P513" s="2367" t="s">
        <v>3905</v>
      </c>
      <c r="Q513" s="2023"/>
      <c r="R513" s="2023"/>
      <c r="S513" s="2023"/>
      <c r="T513" s="2023" t="s">
        <v>208</v>
      </c>
      <c r="U513" s="1146"/>
      <c r="V513" s="1055"/>
      <c r="W513" s="1064"/>
      <c r="X513" s="1146"/>
      <c r="Y513" s="1055"/>
      <c r="Z513" s="1055"/>
      <c r="AA513" s="1138"/>
      <c r="AB513" s="1055"/>
      <c r="AC513" s="1139">
        <v>47359.72</v>
      </c>
      <c r="AD513" s="1139"/>
      <c r="AE513" s="1155">
        <f>L513-AD513+AC513</f>
        <v>142520.71000000002</v>
      </c>
      <c r="AF513" s="525">
        <v>0</v>
      </c>
      <c r="AG513" s="1139">
        <v>47359.72</v>
      </c>
      <c r="AH513" s="1139">
        <f t="shared" si="15"/>
        <v>47359.72</v>
      </c>
      <c r="AI513" s="1055"/>
      <c r="AJ513" s="1064"/>
      <c r="AK513" s="1055"/>
      <c r="AL513" s="1133"/>
      <c r="AM513" s="1055"/>
      <c r="AN513" s="1055"/>
      <c r="AO513" s="1064"/>
      <c r="AP513" s="1137"/>
      <c r="AQ513" s="1064"/>
      <c r="AR513" s="2347"/>
      <c r="AS513" s="2023" t="s">
        <v>4630</v>
      </c>
      <c r="AT513" s="2355" t="s">
        <v>4631</v>
      </c>
      <c r="AU513" s="2352">
        <v>41478</v>
      </c>
      <c r="AV513" s="2352">
        <v>41540</v>
      </c>
      <c r="AW513" s="2355"/>
      <c r="AX513" s="2355"/>
      <c r="AY513" s="2352">
        <v>41478</v>
      </c>
      <c r="AZ513" s="2355" t="s">
        <v>1458</v>
      </c>
      <c r="BA513" s="2355" t="s">
        <v>1464</v>
      </c>
      <c r="BB513" s="2355"/>
      <c r="BC513" s="2355"/>
      <c r="BD513" s="2355"/>
      <c r="BE513" s="1480"/>
      <c r="BF513" s="1480"/>
      <c r="BG513" s="1480"/>
      <c r="BH513" s="1480"/>
      <c r="BI513" s="1480"/>
      <c r="BJ513" s="1480"/>
    </row>
    <row r="514" spans="1:62" s="629" customFormat="1" ht="12.75" x14ac:dyDescent="0.2">
      <c r="A514" s="2365"/>
      <c r="B514" s="2361"/>
      <c r="C514" s="2023"/>
      <c r="D514" s="2023"/>
      <c r="E514" s="2023"/>
      <c r="F514" s="2023"/>
      <c r="G514" s="2006"/>
      <c r="H514" s="2367"/>
      <c r="I514" s="2023"/>
      <c r="J514" s="2023"/>
      <c r="K514" s="2347"/>
      <c r="L514" s="2343"/>
      <c r="M514" s="2006"/>
      <c r="N514" s="2347"/>
      <c r="O514" s="2347"/>
      <c r="P514" s="2367"/>
      <c r="Q514" s="2023"/>
      <c r="R514" s="2023"/>
      <c r="S514" s="2023"/>
      <c r="T514" s="2023"/>
      <c r="U514" s="1146"/>
      <c r="V514" s="1055"/>
      <c r="W514" s="1064"/>
      <c r="X514" s="1146"/>
      <c r="Y514" s="1137"/>
      <c r="Z514" s="1137"/>
      <c r="AA514" s="1138"/>
      <c r="AB514" s="1055"/>
      <c r="AC514" s="1139"/>
      <c r="AD514" s="1139"/>
      <c r="AE514" s="1155"/>
      <c r="AF514" s="525">
        <v>0</v>
      </c>
      <c r="AG514" s="525">
        <v>0</v>
      </c>
      <c r="AH514" s="1139">
        <f t="shared" si="15"/>
        <v>0</v>
      </c>
      <c r="AI514" s="1055"/>
      <c r="AJ514" s="1064"/>
      <c r="AK514" s="1055"/>
      <c r="AL514" s="1133"/>
      <c r="AM514" s="1055"/>
      <c r="AN514" s="1055"/>
      <c r="AO514" s="1064"/>
      <c r="AP514" s="1137"/>
      <c r="AQ514" s="1064"/>
      <c r="AR514" s="2347"/>
      <c r="AS514" s="2023"/>
      <c r="AT514" s="2355"/>
      <c r="AU514" s="2355"/>
      <c r="AV514" s="2355"/>
      <c r="AW514" s="2355"/>
      <c r="AX514" s="2355"/>
      <c r="AY514" s="2355"/>
      <c r="AZ514" s="2355"/>
      <c r="BA514" s="2355"/>
      <c r="BB514" s="2355"/>
      <c r="BC514" s="2355"/>
      <c r="BD514" s="2355"/>
      <c r="BE514" s="1480"/>
      <c r="BF514" s="1480"/>
      <c r="BG514" s="1480"/>
      <c r="BH514" s="1480"/>
      <c r="BI514" s="1480"/>
      <c r="BJ514" s="1480"/>
    </row>
    <row r="515" spans="1:62" s="629" customFormat="1" ht="12.75" x14ac:dyDescent="0.2">
      <c r="A515" s="2365"/>
      <c r="B515" s="2361"/>
      <c r="C515" s="2023"/>
      <c r="D515" s="2023"/>
      <c r="E515" s="2023"/>
      <c r="F515" s="2023"/>
      <c r="G515" s="2006"/>
      <c r="H515" s="2367"/>
      <c r="I515" s="2023"/>
      <c r="J515" s="2023"/>
      <c r="K515" s="2347"/>
      <c r="L515" s="2343"/>
      <c r="M515" s="2006"/>
      <c r="N515" s="2347"/>
      <c r="O515" s="2347"/>
      <c r="P515" s="2367"/>
      <c r="Q515" s="2023"/>
      <c r="R515" s="2023"/>
      <c r="S515" s="2023"/>
      <c r="T515" s="2023"/>
      <c r="U515" s="1146"/>
      <c r="V515" s="1055"/>
      <c r="W515" s="1064"/>
      <c r="X515" s="1146"/>
      <c r="Y515" s="1137"/>
      <c r="Z515" s="1137"/>
      <c r="AA515" s="1138"/>
      <c r="AB515" s="1055"/>
      <c r="AC515" s="1139"/>
      <c r="AD515" s="1139"/>
      <c r="AE515" s="1155"/>
      <c r="AF515" s="525">
        <v>0</v>
      </c>
      <c r="AG515" s="525">
        <v>0</v>
      </c>
      <c r="AH515" s="1139">
        <f t="shared" si="15"/>
        <v>0</v>
      </c>
      <c r="AI515" s="1055"/>
      <c r="AJ515" s="1064"/>
      <c r="AK515" s="1055"/>
      <c r="AL515" s="1133"/>
      <c r="AM515" s="1055"/>
      <c r="AN515" s="1055"/>
      <c r="AO515" s="1064"/>
      <c r="AP515" s="1137"/>
      <c r="AQ515" s="1064"/>
      <c r="AR515" s="2347"/>
      <c r="AS515" s="2023"/>
      <c r="AT515" s="2355"/>
      <c r="AU515" s="2355"/>
      <c r="AV515" s="2355"/>
      <c r="AW515" s="2355"/>
      <c r="AX515" s="2355"/>
      <c r="AY515" s="2355"/>
      <c r="AZ515" s="2355"/>
      <c r="BA515" s="2355"/>
      <c r="BB515" s="2355"/>
      <c r="BC515" s="2355"/>
      <c r="BD515" s="2355"/>
      <c r="BE515" s="1480"/>
      <c r="BF515" s="1480"/>
      <c r="BG515" s="1480"/>
      <c r="BH515" s="1480"/>
      <c r="BI515" s="1480"/>
      <c r="BJ515" s="1480"/>
    </row>
    <row r="516" spans="1:62" s="629" customFormat="1" ht="12.75" x14ac:dyDescent="0.2">
      <c r="A516" s="2365"/>
      <c r="B516" s="2361"/>
      <c r="C516" s="2023"/>
      <c r="D516" s="2023"/>
      <c r="E516" s="2023"/>
      <c r="F516" s="2023"/>
      <c r="G516" s="2006"/>
      <c r="H516" s="2367"/>
      <c r="I516" s="2023"/>
      <c r="J516" s="2023"/>
      <c r="K516" s="2347"/>
      <c r="L516" s="2343"/>
      <c r="M516" s="2006"/>
      <c r="N516" s="2347"/>
      <c r="O516" s="2347"/>
      <c r="P516" s="2367" t="s">
        <v>4637</v>
      </c>
      <c r="Q516" s="2023"/>
      <c r="R516" s="2023"/>
      <c r="S516" s="2023"/>
      <c r="T516" s="2023"/>
      <c r="U516" s="1146"/>
      <c r="V516" s="1137"/>
      <c r="W516" s="1064"/>
      <c r="X516" s="1146"/>
      <c r="Y516" s="1137"/>
      <c r="Z516" s="1137"/>
      <c r="AA516" s="1138"/>
      <c r="AB516" s="1055"/>
      <c r="AC516" s="1139"/>
      <c r="AD516" s="1139"/>
      <c r="AE516" s="1155"/>
      <c r="AF516" s="525">
        <v>0</v>
      </c>
      <c r="AG516" s="2343">
        <v>95160.99</v>
      </c>
      <c r="AH516" s="1139">
        <f t="shared" si="15"/>
        <v>95160.99</v>
      </c>
      <c r="AI516" s="1055"/>
      <c r="AJ516" s="1064"/>
      <c r="AK516" s="1055"/>
      <c r="AL516" s="1133"/>
      <c r="AM516" s="1055"/>
      <c r="AN516" s="1055"/>
      <c r="AO516" s="1064"/>
      <c r="AP516" s="1137"/>
      <c r="AQ516" s="1064"/>
      <c r="AR516" s="2347"/>
      <c r="AS516" s="2023"/>
      <c r="AT516" s="2355"/>
      <c r="AU516" s="2355"/>
      <c r="AV516" s="2355"/>
      <c r="AW516" s="2355"/>
      <c r="AX516" s="2355"/>
      <c r="AY516" s="2355"/>
      <c r="AZ516" s="2355"/>
      <c r="BA516" s="2355"/>
      <c r="BB516" s="2355"/>
      <c r="BC516" s="2355"/>
      <c r="BD516" s="2355"/>
      <c r="BE516" s="1480"/>
      <c r="BF516" s="1480"/>
      <c r="BG516" s="1480"/>
      <c r="BH516" s="1480"/>
      <c r="BI516" s="1480"/>
      <c r="BJ516" s="1480"/>
    </row>
    <row r="517" spans="1:62" s="629" customFormat="1" ht="12.75" x14ac:dyDescent="0.2">
      <c r="A517" s="2365"/>
      <c r="B517" s="2361"/>
      <c r="C517" s="2023"/>
      <c r="D517" s="2023"/>
      <c r="E517" s="2023"/>
      <c r="F517" s="2023"/>
      <c r="G517" s="2006"/>
      <c r="H517" s="2367"/>
      <c r="I517" s="2023"/>
      <c r="J517" s="2023"/>
      <c r="K517" s="2347"/>
      <c r="L517" s="2343"/>
      <c r="M517" s="2006"/>
      <c r="N517" s="2347"/>
      <c r="O517" s="2347"/>
      <c r="P517" s="2367"/>
      <c r="Q517" s="2023"/>
      <c r="R517" s="2023"/>
      <c r="S517" s="2023"/>
      <c r="T517" s="2023"/>
      <c r="U517" s="1055" t="s">
        <v>3893</v>
      </c>
      <c r="V517" s="1137"/>
      <c r="W517" s="1064"/>
      <c r="X517" s="1146"/>
      <c r="Y517" s="1137"/>
      <c r="Z517" s="1137"/>
      <c r="AA517" s="1138"/>
      <c r="AB517" s="1055"/>
      <c r="AC517" s="1139"/>
      <c r="AD517" s="1139"/>
      <c r="AE517" s="1155"/>
      <c r="AF517" s="525">
        <v>0</v>
      </c>
      <c r="AG517" s="2343"/>
      <c r="AH517" s="1139">
        <f t="shared" si="15"/>
        <v>0</v>
      </c>
      <c r="AI517" s="1055"/>
      <c r="AJ517" s="1064"/>
      <c r="AK517" s="1055"/>
      <c r="AL517" s="1133"/>
      <c r="AM517" s="1055"/>
      <c r="AN517" s="1055"/>
      <c r="AO517" s="1064"/>
      <c r="AP517" s="1137"/>
      <c r="AQ517" s="1064"/>
      <c r="AR517" s="2347"/>
      <c r="AS517" s="2023"/>
      <c r="AT517" s="2355"/>
      <c r="AU517" s="2355"/>
      <c r="AV517" s="2355"/>
      <c r="AW517" s="2355"/>
      <c r="AX517" s="2355"/>
      <c r="AY517" s="2355"/>
      <c r="AZ517" s="2355"/>
      <c r="BA517" s="2355"/>
      <c r="BB517" s="2355"/>
      <c r="BC517" s="2355"/>
      <c r="BD517" s="2355"/>
      <c r="BE517" s="1480"/>
      <c r="BF517" s="1480"/>
      <c r="BG517" s="1480"/>
      <c r="BH517" s="1480"/>
      <c r="BI517" s="1480"/>
      <c r="BJ517" s="1480"/>
    </row>
    <row r="518" spans="1:62" s="629" customFormat="1" ht="38.25" customHeight="1" x14ac:dyDescent="0.2">
      <c r="A518" s="1514">
        <v>247</v>
      </c>
      <c r="B518" s="636" t="s">
        <v>4638</v>
      </c>
      <c r="C518" s="1055" t="s">
        <v>1529</v>
      </c>
      <c r="D518" s="1055" t="s">
        <v>1315</v>
      </c>
      <c r="E518" s="1055" t="s">
        <v>584</v>
      </c>
      <c r="F518" s="1055" t="s">
        <v>4639</v>
      </c>
      <c r="G518" s="1064">
        <v>11108</v>
      </c>
      <c r="H518" s="1055" t="s">
        <v>4640</v>
      </c>
      <c r="I518" s="1055" t="s">
        <v>4641</v>
      </c>
      <c r="J518" s="1055" t="s">
        <v>4642</v>
      </c>
      <c r="K518" s="1137">
        <v>41500</v>
      </c>
      <c r="L518" s="1150">
        <v>37224</v>
      </c>
      <c r="M518" s="1064">
        <v>11117</v>
      </c>
      <c r="N518" s="1137">
        <v>41500</v>
      </c>
      <c r="O518" s="1137">
        <v>41680</v>
      </c>
      <c r="P518" s="1146" t="s">
        <v>4071</v>
      </c>
      <c r="Q518" s="1055"/>
      <c r="R518" s="1055"/>
      <c r="S518" s="1055"/>
      <c r="T518" s="1055" t="s">
        <v>158</v>
      </c>
      <c r="U518" s="1055"/>
      <c r="V518" s="1055"/>
      <c r="W518" s="1064"/>
      <c r="X518" s="1146"/>
      <c r="Y518" s="1055"/>
      <c r="Z518" s="1055"/>
      <c r="AA518" s="1138"/>
      <c r="AB518" s="1055"/>
      <c r="AC518" s="1139"/>
      <c r="AD518" s="1139"/>
      <c r="AE518" s="1155">
        <f>L518-AD518+AC518</f>
        <v>37224</v>
      </c>
      <c r="AF518" s="1155">
        <v>15857.42</v>
      </c>
      <c r="AG518" s="1139">
        <f>3722.4+3722.4+3722.4+3722.4+3722.4</f>
        <v>18612</v>
      </c>
      <c r="AH518" s="1139">
        <f t="shared" si="15"/>
        <v>34469.42</v>
      </c>
      <c r="AI518" s="1055"/>
      <c r="AJ518" s="1064"/>
      <c r="AK518" s="1055"/>
      <c r="AL518" s="1133"/>
      <c r="AM518" s="1055"/>
      <c r="AN518" s="1055"/>
      <c r="AO518" s="1064"/>
      <c r="AP518" s="1137"/>
      <c r="AQ518" s="1064"/>
      <c r="AR518" s="1137"/>
      <c r="AS518" s="1055"/>
      <c r="AT518" s="1133"/>
      <c r="AU518" s="1133"/>
      <c r="AV518" s="1133"/>
      <c r="AW518" s="1133"/>
      <c r="AX518" s="1133"/>
      <c r="AY518" s="1133"/>
      <c r="AZ518" s="1133"/>
      <c r="BA518" s="1133"/>
      <c r="BB518" s="1133"/>
      <c r="BC518" s="1133"/>
      <c r="BD518" s="1133"/>
      <c r="BE518" s="1480"/>
      <c r="BF518" s="1480"/>
      <c r="BG518" s="1480"/>
      <c r="BH518" s="1480"/>
      <c r="BI518" s="1480"/>
      <c r="BJ518" s="1480"/>
    </row>
    <row r="519" spans="1:62" s="629" customFormat="1" ht="38.25" customHeight="1" x14ac:dyDescent="0.2">
      <c r="A519" s="1514">
        <v>248</v>
      </c>
      <c r="B519" s="636" t="s">
        <v>4638</v>
      </c>
      <c r="C519" s="1055" t="s">
        <v>1529</v>
      </c>
      <c r="D519" s="1055" t="s">
        <v>1315</v>
      </c>
      <c r="E519" s="1055" t="s">
        <v>584</v>
      </c>
      <c r="F519" s="1055" t="s">
        <v>4639</v>
      </c>
      <c r="G519" s="1064">
        <v>11108</v>
      </c>
      <c r="H519" s="1055" t="s">
        <v>4643</v>
      </c>
      <c r="I519" s="1055" t="s">
        <v>4644</v>
      </c>
      <c r="J519" s="1055" t="s">
        <v>3999</v>
      </c>
      <c r="K519" s="1137">
        <v>41500</v>
      </c>
      <c r="L519" s="1150">
        <v>37224</v>
      </c>
      <c r="M519" s="1064">
        <v>11117</v>
      </c>
      <c r="N519" s="1137">
        <v>41500</v>
      </c>
      <c r="O519" s="1137">
        <v>41680</v>
      </c>
      <c r="P519" s="1146" t="s">
        <v>4071</v>
      </c>
      <c r="Q519" s="1055"/>
      <c r="R519" s="1055"/>
      <c r="S519" s="1055"/>
      <c r="T519" s="1055" t="s">
        <v>158</v>
      </c>
      <c r="U519" s="1055"/>
      <c r="V519" s="1055"/>
      <c r="W519" s="1064"/>
      <c r="X519" s="1055"/>
      <c r="Y519" s="1055"/>
      <c r="Z519" s="1055"/>
      <c r="AA519" s="1138"/>
      <c r="AB519" s="1055"/>
      <c r="AC519" s="1139"/>
      <c r="AD519" s="1139"/>
      <c r="AE519" s="1155">
        <f>L519-AD519+AC519</f>
        <v>37224</v>
      </c>
      <c r="AF519" s="1155">
        <v>15857.42</v>
      </c>
      <c r="AG519" s="1150">
        <f>14889.6+3722.4</f>
        <v>18612</v>
      </c>
      <c r="AH519" s="1139">
        <f t="shared" si="15"/>
        <v>34469.42</v>
      </c>
      <c r="AI519" s="1055"/>
      <c r="AJ519" s="1064"/>
      <c r="AK519" s="1055"/>
      <c r="AL519" s="1133"/>
      <c r="AM519" s="1055"/>
      <c r="AN519" s="1055"/>
      <c r="AO519" s="1064"/>
      <c r="AP519" s="1137"/>
      <c r="AQ519" s="1064"/>
      <c r="AR519" s="1137"/>
      <c r="AS519" s="1055"/>
      <c r="AT519" s="1133"/>
      <c r="AU519" s="1133"/>
      <c r="AV519" s="1133"/>
      <c r="AW519" s="1133"/>
      <c r="AX519" s="1133"/>
      <c r="AY519" s="1133"/>
      <c r="AZ519" s="1133"/>
      <c r="BA519" s="1133"/>
      <c r="BB519" s="1133"/>
      <c r="BC519" s="1133"/>
      <c r="BD519" s="1133"/>
      <c r="BE519" s="1480"/>
      <c r="BF519" s="1480"/>
      <c r="BG519" s="1480"/>
      <c r="BH519" s="1480"/>
      <c r="BI519" s="1480"/>
      <c r="BJ519" s="1480"/>
    </row>
    <row r="520" spans="1:62" s="629" customFormat="1" ht="68.25" customHeight="1" x14ac:dyDescent="0.2">
      <c r="A520" s="2365">
        <v>249</v>
      </c>
      <c r="B520" s="2361" t="s">
        <v>4645</v>
      </c>
      <c r="C520" s="2023" t="s">
        <v>750</v>
      </c>
      <c r="D520" s="2023" t="s">
        <v>1315</v>
      </c>
      <c r="E520" s="2023" t="s">
        <v>584</v>
      </c>
      <c r="F520" s="2023" t="s">
        <v>4646</v>
      </c>
      <c r="G520" s="2006">
        <v>11298</v>
      </c>
      <c r="H520" s="2023" t="s">
        <v>4647</v>
      </c>
      <c r="I520" s="2023" t="s">
        <v>3137</v>
      </c>
      <c r="J520" s="2023" t="s">
        <v>4648</v>
      </c>
      <c r="K520" s="2023" t="s">
        <v>4649</v>
      </c>
      <c r="L520" s="2349">
        <v>191304.45</v>
      </c>
      <c r="M520" s="2373">
        <v>11309</v>
      </c>
      <c r="N520" s="2352">
        <v>41767</v>
      </c>
      <c r="O520" s="2352">
        <v>41859</v>
      </c>
      <c r="P520" s="2355">
        <v>16</v>
      </c>
      <c r="Q520" s="2023"/>
      <c r="R520" s="2023"/>
      <c r="S520" s="2023"/>
      <c r="T520" s="2355" t="s">
        <v>1438</v>
      </c>
      <c r="U520" s="1055"/>
      <c r="V520" s="1055"/>
      <c r="W520" s="1145"/>
      <c r="X520" s="1146"/>
      <c r="Y520" s="1055"/>
      <c r="Z520" s="1055"/>
      <c r="AA520" s="1138"/>
      <c r="AB520" s="1055"/>
      <c r="AC520" s="1139"/>
      <c r="AD520" s="1139"/>
      <c r="AE520" s="1155"/>
      <c r="AF520" s="525">
        <v>0</v>
      </c>
      <c r="AG520" s="1139">
        <f>106206.6+56965.6+88451.7</f>
        <v>251623.90000000002</v>
      </c>
      <c r="AH520" s="1139">
        <f t="shared" si="15"/>
        <v>251623.90000000002</v>
      </c>
      <c r="AI520" s="1138"/>
      <c r="AJ520" s="1064"/>
      <c r="AK520" s="1055"/>
      <c r="AL520" s="1133"/>
      <c r="AM520" s="1055"/>
      <c r="AN520" s="1055"/>
      <c r="AO520" s="1064"/>
      <c r="AP520" s="1137"/>
      <c r="AQ520" s="1064"/>
      <c r="AR520" s="1137"/>
      <c r="AS520" s="2023" t="s">
        <v>4630</v>
      </c>
      <c r="AT520" s="2355" t="s">
        <v>4631</v>
      </c>
      <c r="AU520" s="42">
        <v>41767</v>
      </c>
      <c r="AV520" s="42">
        <v>41827</v>
      </c>
      <c r="AW520" s="1138">
        <f>AH520/AE523</f>
        <v>1</v>
      </c>
      <c r="AX520" s="2355" t="s">
        <v>4615</v>
      </c>
      <c r="AY520" s="2352">
        <v>41767</v>
      </c>
      <c r="AZ520" s="2355" t="s">
        <v>1458</v>
      </c>
      <c r="BA520" s="2355" t="s">
        <v>1464</v>
      </c>
      <c r="BB520" s="2355"/>
      <c r="BC520" s="2355"/>
      <c r="BD520" s="2355"/>
      <c r="BE520" s="1480"/>
      <c r="BF520" s="1480"/>
      <c r="BG520" s="1480"/>
      <c r="BH520" s="1480"/>
      <c r="BI520" s="1480"/>
      <c r="BJ520" s="1480"/>
    </row>
    <row r="521" spans="1:62" s="629" customFormat="1" ht="23.25" customHeight="1" x14ac:dyDescent="0.2">
      <c r="A521" s="2365"/>
      <c r="B521" s="2361"/>
      <c r="C521" s="2023"/>
      <c r="D521" s="2023"/>
      <c r="E521" s="2023"/>
      <c r="F521" s="2023"/>
      <c r="G521" s="2006"/>
      <c r="H521" s="2023"/>
      <c r="I521" s="2023"/>
      <c r="J521" s="2023"/>
      <c r="K521" s="2023"/>
      <c r="L521" s="2349"/>
      <c r="M521" s="2373"/>
      <c r="N521" s="2352"/>
      <c r="O521" s="2352"/>
      <c r="P521" s="2355"/>
      <c r="Q521" s="2023"/>
      <c r="R521" s="2023"/>
      <c r="S521" s="2023"/>
      <c r="T521" s="2355"/>
      <c r="U521" s="1055" t="s">
        <v>3906</v>
      </c>
      <c r="V521" s="539">
        <v>41855</v>
      </c>
      <c r="W521" s="540">
        <v>11425</v>
      </c>
      <c r="X521" s="526" t="s">
        <v>4650</v>
      </c>
      <c r="Y521" s="539">
        <v>41860</v>
      </c>
      <c r="Z521" s="539">
        <v>41950</v>
      </c>
      <c r="AA521" s="537"/>
      <c r="AB521" s="1091"/>
      <c r="AC521" s="1150"/>
      <c r="AD521" s="1139"/>
      <c r="AE521" s="1155"/>
      <c r="AF521" s="525">
        <v>0</v>
      </c>
      <c r="AG521" s="525">
        <v>0</v>
      </c>
      <c r="AH521" s="1139">
        <f t="shared" si="15"/>
        <v>0</v>
      </c>
      <c r="AI521" s="1138"/>
      <c r="AJ521" s="1064"/>
      <c r="AK521" s="1055"/>
      <c r="AL521" s="1133"/>
      <c r="AM521" s="1055"/>
      <c r="AN521" s="1055"/>
      <c r="AO521" s="1064"/>
      <c r="AP521" s="1137"/>
      <c r="AQ521" s="1064"/>
      <c r="AR521" s="2347"/>
      <c r="AS521" s="2023"/>
      <c r="AT521" s="2355"/>
      <c r="AU521" s="42">
        <v>41828</v>
      </c>
      <c r="AV521" s="42">
        <v>41888</v>
      </c>
      <c r="AW521" s="541"/>
      <c r="AX521" s="2355"/>
      <c r="AY521" s="2355"/>
      <c r="AZ521" s="2355"/>
      <c r="BA521" s="2355"/>
      <c r="BB521" s="2355"/>
      <c r="BC521" s="2355"/>
      <c r="BD521" s="2355"/>
      <c r="BE521" s="1480"/>
      <c r="BF521" s="1480"/>
      <c r="BG521" s="1480"/>
      <c r="BH521" s="1480"/>
      <c r="BI521" s="1480"/>
      <c r="BJ521" s="1480"/>
    </row>
    <row r="522" spans="1:62" s="629" customFormat="1" ht="23.25" customHeight="1" x14ac:dyDescent="0.2">
      <c r="A522" s="2365"/>
      <c r="B522" s="2361"/>
      <c r="C522" s="2023"/>
      <c r="D522" s="2023"/>
      <c r="E522" s="2023"/>
      <c r="F522" s="2023"/>
      <c r="G522" s="2006"/>
      <c r="H522" s="2023"/>
      <c r="I522" s="2023"/>
      <c r="J522" s="2023"/>
      <c r="K522" s="2023"/>
      <c r="L522" s="2349"/>
      <c r="M522" s="2373"/>
      <c r="N522" s="2352"/>
      <c r="O522" s="2352"/>
      <c r="P522" s="2355"/>
      <c r="Q522" s="2023"/>
      <c r="R522" s="2023"/>
      <c r="S522" s="2023"/>
      <c r="T522" s="2355"/>
      <c r="U522" s="1055" t="s">
        <v>3891</v>
      </c>
      <c r="V522" s="539">
        <v>41894</v>
      </c>
      <c r="W522" s="540">
        <v>11437</v>
      </c>
      <c r="X522" s="526" t="s">
        <v>4651</v>
      </c>
      <c r="Y522" s="539">
        <v>41951</v>
      </c>
      <c r="Z522" s="539">
        <v>42011</v>
      </c>
      <c r="AA522" s="537"/>
      <c r="AB522" s="539"/>
      <c r="AC522" s="1150"/>
      <c r="AD522" s="1139"/>
      <c r="AE522" s="1155"/>
      <c r="AF522" s="525">
        <v>0</v>
      </c>
      <c r="AG522" s="525">
        <v>0</v>
      </c>
      <c r="AH522" s="1139">
        <f t="shared" si="15"/>
        <v>0</v>
      </c>
      <c r="AI522" s="1138"/>
      <c r="AJ522" s="1064"/>
      <c r="AK522" s="1055"/>
      <c r="AL522" s="1133"/>
      <c r="AM522" s="1055"/>
      <c r="AN522" s="1055"/>
      <c r="AO522" s="1064"/>
      <c r="AP522" s="1137"/>
      <c r="AQ522" s="1064"/>
      <c r="AR522" s="2347"/>
      <c r="AS522" s="2023"/>
      <c r="AT522" s="2355"/>
      <c r="AU522" s="42">
        <v>41920</v>
      </c>
      <c r="AV522" s="42">
        <v>41949</v>
      </c>
      <c r="AW522" s="541"/>
      <c r="AX522" s="2355"/>
      <c r="AY522" s="2355"/>
      <c r="AZ522" s="2355"/>
      <c r="BA522" s="2355"/>
      <c r="BB522" s="2355"/>
      <c r="BC522" s="2355"/>
      <c r="BD522" s="2355"/>
      <c r="BE522" s="1480"/>
      <c r="BF522" s="1480"/>
      <c r="BG522" s="1480"/>
      <c r="BH522" s="1480"/>
      <c r="BI522" s="1480"/>
      <c r="BJ522" s="1480"/>
    </row>
    <row r="523" spans="1:62" s="629" customFormat="1" ht="30" customHeight="1" x14ac:dyDescent="0.2">
      <c r="A523" s="2365"/>
      <c r="B523" s="2361"/>
      <c r="C523" s="2023"/>
      <c r="D523" s="2023"/>
      <c r="E523" s="2023"/>
      <c r="F523" s="2023"/>
      <c r="G523" s="2006"/>
      <c r="H523" s="2023"/>
      <c r="I523" s="2023"/>
      <c r="J523" s="2023"/>
      <c r="K523" s="2023"/>
      <c r="L523" s="2349"/>
      <c r="M523" s="2373"/>
      <c r="N523" s="2352"/>
      <c r="O523" s="2352"/>
      <c r="P523" s="2355"/>
      <c r="Q523" s="2023"/>
      <c r="R523" s="2023"/>
      <c r="S523" s="2023"/>
      <c r="T523" s="2355"/>
      <c r="U523" s="1055" t="s">
        <v>3908</v>
      </c>
      <c r="V523" s="1137">
        <v>41941</v>
      </c>
      <c r="W523" s="1145">
        <v>11428</v>
      </c>
      <c r="X523" s="1146" t="s">
        <v>4652</v>
      </c>
      <c r="Y523" s="1137">
        <v>42012</v>
      </c>
      <c r="Z523" s="1137">
        <v>42072</v>
      </c>
      <c r="AA523" s="542">
        <f>AC523/L520</f>
        <v>0.31530604750699731</v>
      </c>
      <c r="AB523" s="1055"/>
      <c r="AC523" s="1139">
        <v>60319.45</v>
      </c>
      <c r="AD523" s="1139"/>
      <c r="AE523" s="1155">
        <f>AC523+L520</f>
        <v>251623.90000000002</v>
      </c>
      <c r="AF523" s="525">
        <v>0</v>
      </c>
      <c r="AG523" s="525">
        <v>0</v>
      </c>
      <c r="AH523" s="1139">
        <f t="shared" si="15"/>
        <v>0</v>
      </c>
      <c r="AI523" s="1138"/>
      <c r="AJ523" s="1064"/>
      <c r="AK523" s="1055"/>
      <c r="AL523" s="1133"/>
      <c r="AM523" s="1055"/>
      <c r="AN523" s="1055"/>
      <c r="AO523" s="1064"/>
      <c r="AP523" s="1137"/>
      <c r="AQ523" s="1064"/>
      <c r="AR523" s="2347"/>
      <c r="AS523" s="2023"/>
      <c r="AT523" s="2355"/>
      <c r="AU523" s="42">
        <v>41950</v>
      </c>
      <c r="AV523" s="42">
        <v>42041</v>
      </c>
      <c r="AW523" s="543"/>
      <c r="AX523" s="2355"/>
      <c r="AY523" s="2355"/>
      <c r="AZ523" s="2355"/>
      <c r="BA523" s="2355"/>
      <c r="BB523" s="2355"/>
      <c r="BC523" s="2355"/>
      <c r="BD523" s="2355"/>
      <c r="BE523" s="1480"/>
      <c r="BF523" s="1480"/>
      <c r="BG523" s="1480"/>
      <c r="BH523" s="1480"/>
      <c r="BI523" s="1480"/>
      <c r="BJ523" s="1480"/>
    </row>
    <row r="524" spans="1:62" s="629" customFormat="1" ht="53.25" customHeight="1" x14ac:dyDescent="0.2">
      <c r="A524" s="1514">
        <v>250</v>
      </c>
      <c r="B524" s="636" t="s">
        <v>4653</v>
      </c>
      <c r="C524" s="1055" t="s">
        <v>741</v>
      </c>
      <c r="D524" s="1055" t="s">
        <v>1315</v>
      </c>
      <c r="E524" s="1055" t="s">
        <v>584</v>
      </c>
      <c r="F524" s="1055" t="s">
        <v>4654</v>
      </c>
      <c r="G524" s="1064">
        <v>11302</v>
      </c>
      <c r="H524" s="1055" t="s">
        <v>4655</v>
      </c>
      <c r="I524" s="1055" t="s">
        <v>4656</v>
      </c>
      <c r="J524" s="1055" t="s">
        <v>4657</v>
      </c>
      <c r="K524" s="1137">
        <v>41774</v>
      </c>
      <c r="L524" s="1135">
        <v>299188.88</v>
      </c>
      <c r="M524" s="1145">
        <v>11309</v>
      </c>
      <c r="N524" s="1134">
        <v>41774</v>
      </c>
      <c r="O524" s="1134">
        <v>41927</v>
      </c>
      <c r="P524" s="1133">
        <v>1</v>
      </c>
      <c r="Q524" s="1055"/>
      <c r="R524" s="1055"/>
      <c r="S524" s="1055"/>
      <c r="T524" s="1133" t="s">
        <v>1438</v>
      </c>
      <c r="U524" s="1055"/>
      <c r="V524" s="1055"/>
      <c r="W524" s="1145"/>
      <c r="X524" s="1146"/>
      <c r="Y524" s="1055"/>
      <c r="Z524" s="1055"/>
      <c r="AA524" s="1138"/>
      <c r="AB524" s="1055"/>
      <c r="AC524" s="1139"/>
      <c r="AD524" s="1139"/>
      <c r="AE524" s="1155">
        <f t="shared" ref="AE524:AE543" si="17">L524-AD524+AC524</f>
        <v>299188.88</v>
      </c>
      <c r="AF524" s="525">
        <v>0</v>
      </c>
      <c r="AG524" s="1139">
        <f>77884.27</f>
        <v>77884.27</v>
      </c>
      <c r="AH524" s="1139">
        <f t="shared" si="15"/>
        <v>77884.27</v>
      </c>
      <c r="AI524" s="1138"/>
      <c r="AJ524" s="1064"/>
      <c r="AK524" s="1055"/>
      <c r="AL524" s="1133"/>
      <c r="AM524" s="1055"/>
      <c r="AN524" s="1055"/>
      <c r="AO524" s="1064"/>
      <c r="AP524" s="1137"/>
      <c r="AQ524" s="1064"/>
      <c r="AR524" s="1137"/>
      <c r="AS524" s="1055" t="s">
        <v>4630</v>
      </c>
      <c r="AT524" s="1133" t="s">
        <v>4631</v>
      </c>
      <c r="AU524" s="1134">
        <v>41774</v>
      </c>
      <c r="AV524" s="1134">
        <v>41923</v>
      </c>
      <c r="AW524" s="1138">
        <f>AH524/AE524</f>
        <v>0.26031806396013113</v>
      </c>
      <c r="AX524" s="1133"/>
      <c r="AY524" s="1134">
        <v>41774</v>
      </c>
      <c r="AZ524" s="1133" t="s">
        <v>1464</v>
      </c>
      <c r="BA524" s="1133" t="s">
        <v>1458</v>
      </c>
      <c r="BB524" s="1133"/>
      <c r="BC524" s="1133"/>
      <c r="BD524" s="1133"/>
      <c r="BE524" s="1480"/>
      <c r="BF524" s="1480"/>
      <c r="BG524" s="1480"/>
      <c r="BH524" s="1480"/>
      <c r="BI524" s="1480"/>
      <c r="BJ524" s="1480"/>
    </row>
    <row r="525" spans="1:62" s="629" customFormat="1" ht="51" x14ac:dyDescent="0.2">
      <c r="A525" s="1514">
        <v>251</v>
      </c>
      <c r="B525" s="1217" t="s">
        <v>4658</v>
      </c>
      <c r="C525" s="1055" t="s">
        <v>388</v>
      </c>
      <c r="D525" s="1055" t="s">
        <v>1315</v>
      </c>
      <c r="E525" s="1055" t="s">
        <v>584</v>
      </c>
      <c r="F525" s="1055" t="s">
        <v>4659</v>
      </c>
      <c r="G525" s="1064">
        <v>11266</v>
      </c>
      <c r="H525" s="1055" t="s">
        <v>4660</v>
      </c>
      <c r="I525" s="1055" t="s">
        <v>4661</v>
      </c>
      <c r="J525" s="1055" t="s">
        <v>4662</v>
      </c>
      <c r="K525" s="1137">
        <v>41781</v>
      </c>
      <c r="L525" s="1135">
        <v>516398.78</v>
      </c>
      <c r="M525" s="1145">
        <v>11320</v>
      </c>
      <c r="N525" s="1134">
        <v>41781</v>
      </c>
      <c r="O525" s="1134">
        <v>41930</v>
      </c>
      <c r="P525" s="1133">
        <v>1</v>
      </c>
      <c r="Q525" s="1055"/>
      <c r="R525" s="1055"/>
      <c r="S525" s="1055"/>
      <c r="T525" s="1055" t="s">
        <v>1438</v>
      </c>
      <c r="U525" s="1055"/>
      <c r="V525" s="1055"/>
      <c r="W525" s="1145"/>
      <c r="X525" s="1146"/>
      <c r="Y525" s="1055"/>
      <c r="Z525" s="1055"/>
      <c r="AA525" s="1138"/>
      <c r="AB525" s="1055"/>
      <c r="AC525" s="1139"/>
      <c r="AD525" s="1139"/>
      <c r="AE525" s="1155">
        <f t="shared" si="17"/>
        <v>516398.78</v>
      </c>
      <c r="AF525" s="525">
        <v>0</v>
      </c>
      <c r="AG525" s="1139">
        <v>152279.85999999999</v>
      </c>
      <c r="AH525" s="1139">
        <f t="shared" si="15"/>
        <v>152279.85999999999</v>
      </c>
      <c r="AI525" s="1138"/>
      <c r="AJ525" s="1064"/>
      <c r="AK525" s="1055"/>
      <c r="AL525" s="1133"/>
      <c r="AM525" s="1055"/>
      <c r="AN525" s="1055"/>
      <c r="AO525" s="1064"/>
      <c r="AP525" s="1137"/>
      <c r="AQ525" s="1064"/>
      <c r="AR525" s="1137"/>
      <c r="AS525" s="1055" t="s">
        <v>4630</v>
      </c>
      <c r="AT525" s="1133" t="s">
        <v>4631</v>
      </c>
      <c r="AU525" s="1134">
        <v>41781</v>
      </c>
      <c r="AV525" s="1134">
        <v>41961</v>
      </c>
      <c r="AW525" s="1138">
        <f>AH525/AE525</f>
        <v>0.29488810953426337</v>
      </c>
      <c r="AX525" s="1133"/>
      <c r="AY525" s="1134">
        <v>41781</v>
      </c>
      <c r="AZ525" s="1133" t="s">
        <v>1464</v>
      </c>
      <c r="BA525" s="1133" t="s">
        <v>1458</v>
      </c>
      <c r="BB525" s="1133"/>
      <c r="BC525" s="1133"/>
      <c r="BD525" s="1133"/>
      <c r="BE525" s="1480"/>
      <c r="BF525" s="1480"/>
      <c r="BG525" s="1480"/>
      <c r="BH525" s="1480"/>
      <c r="BI525" s="1480"/>
      <c r="BJ525" s="1480"/>
    </row>
    <row r="526" spans="1:62" s="629" customFormat="1" ht="38.25" customHeight="1" x14ac:dyDescent="0.2">
      <c r="A526" s="2365">
        <v>252</v>
      </c>
      <c r="B526" s="2361" t="s">
        <v>4473</v>
      </c>
      <c r="C526" s="2023" t="s">
        <v>744</v>
      </c>
      <c r="D526" s="2023" t="s">
        <v>1315</v>
      </c>
      <c r="E526" s="2023" t="s">
        <v>584</v>
      </c>
      <c r="F526" s="2023" t="s">
        <v>4663</v>
      </c>
      <c r="G526" s="2006">
        <v>11266</v>
      </c>
      <c r="H526" s="2023" t="s">
        <v>4664</v>
      </c>
      <c r="I526" s="2023" t="s">
        <v>4661</v>
      </c>
      <c r="J526" s="2023" t="s">
        <v>4662</v>
      </c>
      <c r="K526" s="2347">
        <v>41781</v>
      </c>
      <c r="L526" s="2349">
        <v>301719.8</v>
      </c>
      <c r="M526" s="2373">
        <v>11320</v>
      </c>
      <c r="N526" s="2352">
        <v>41781</v>
      </c>
      <c r="O526" s="2352">
        <f>N526+150-1</f>
        <v>41930</v>
      </c>
      <c r="P526" s="2355">
        <v>1</v>
      </c>
      <c r="Q526" s="2023"/>
      <c r="R526" s="2023"/>
      <c r="S526" s="2023"/>
      <c r="T526" s="2023" t="s">
        <v>1438</v>
      </c>
      <c r="U526" s="1055"/>
      <c r="V526" s="1055"/>
      <c r="W526" s="1145"/>
      <c r="X526" s="1146"/>
      <c r="Y526" s="1055"/>
      <c r="Z526" s="1055"/>
      <c r="AA526" s="1138"/>
      <c r="AB526" s="1055"/>
      <c r="AC526" s="1139"/>
      <c r="AD526" s="1139"/>
      <c r="AE526" s="1155">
        <f t="shared" si="17"/>
        <v>301719.8</v>
      </c>
      <c r="AF526" s="525">
        <v>0</v>
      </c>
      <c r="AG526" s="1139">
        <f>18689.32+130922.61</f>
        <v>149611.93</v>
      </c>
      <c r="AH526" s="1139">
        <f t="shared" si="15"/>
        <v>149611.93</v>
      </c>
      <c r="AI526" s="1138"/>
      <c r="AJ526" s="1064"/>
      <c r="AK526" s="1055"/>
      <c r="AL526" s="1133"/>
      <c r="AM526" s="1055"/>
      <c r="AN526" s="1055"/>
      <c r="AO526" s="1064"/>
      <c r="AP526" s="1137"/>
      <c r="AQ526" s="1064"/>
      <c r="AR526" s="1137"/>
      <c r="AS526" s="2028" t="s">
        <v>4630</v>
      </c>
      <c r="AT526" s="2356" t="s">
        <v>4631</v>
      </c>
      <c r="AU526" s="1134">
        <v>41781</v>
      </c>
      <c r="AV526" s="1134">
        <v>41870</v>
      </c>
      <c r="AW526" s="2364">
        <f>AH526/AE526</f>
        <v>0.49586381139056834</v>
      </c>
      <c r="AX526" s="1133"/>
      <c r="AY526" s="2353">
        <v>41781</v>
      </c>
      <c r="AZ526" s="2356" t="s">
        <v>1464</v>
      </c>
      <c r="BA526" s="2356" t="s">
        <v>1458</v>
      </c>
      <c r="BB526" s="1133"/>
      <c r="BC526" s="1133"/>
      <c r="BD526" s="1133"/>
      <c r="BE526" s="1480"/>
      <c r="BF526" s="1480"/>
      <c r="BG526" s="1480"/>
      <c r="BH526" s="1480"/>
      <c r="BI526" s="1480"/>
      <c r="BJ526" s="1480"/>
    </row>
    <row r="527" spans="1:62" s="629" customFormat="1" ht="12.75" x14ac:dyDescent="0.2">
      <c r="A527" s="2365"/>
      <c r="B527" s="2361"/>
      <c r="C527" s="2023"/>
      <c r="D527" s="2023"/>
      <c r="E527" s="2023"/>
      <c r="F527" s="2023"/>
      <c r="G527" s="2006"/>
      <c r="H527" s="2023"/>
      <c r="I527" s="2023"/>
      <c r="J527" s="2023"/>
      <c r="K527" s="2347"/>
      <c r="L527" s="2349"/>
      <c r="M527" s="2373"/>
      <c r="N527" s="2352"/>
      <c r="O527" s="2352"/>
      <c r="P527" s="2355"/>
      <c r="Q527" s="2023"/>
      <c r="R527" s="2023"/>
      <c r="S527" s="2023"/>
      <c r="T527" s="2023"/>
      <c r="U527" s="1055" t="s">
        <v>3906</v>
      </c>
      <c r="V527" s="1137">
        <v>41929</v>
      </c>
      <c r="W527" s="1145">
        <v>11440</v>
      </c>
      <c r="X527" s="1146" t="s">
        <v>4665</v>
      </c>
      <c r="Y527" s="1137">
        <v>41931</v>
      </c>
      <c r="Z527" s="1137">
        <f>Y527+90-1</f>
        <v>42020</v>
      </c>
      <c r="AA527" s="1138"/>
      <c r="AB527" s="1055"/>
      <c r="AC527" s="1139"/>
      <c r="AD527" s="1139"/>
      <c r="AE527" s="1155"/>
      <c r="AF527" s="525">
        <v>0</v>
      </c>
      <c r="AG527" s="1139"/>
      <c r="AH527" s="1139">
        <f t="shared" si="15"/>
        <v>0</v>
      </c>
      <c r="AI527" s="1138"/>
      <c r="AJ527" s="1064"/>
      <c r="AK527" s="1055"/>
      <c r="AL527" s="1133"/>
      <c r="AM527" s="1055"/>
      <c r="AN527" s="1055"/>
      <c r="AO527" s="1064"/>
      <c r="AP527" s="1137"/>
      <c r="AQ527" s="1064"/>
      <c r="AR527" s="1137"/>
      <c r="AS527" s="2030"/>
      <c r="AT527" s="2377"/>
      <c r="AU527" s="1134">
        <v>41871</v>
      </c>
      <c r="AV527" s="1134">
        <v>41930</v>
      </c>
      <c r="AW527" s="2379"/>
      <c r="AX527" s="1133"/>
      <c r="AY527" s="2381"/>
      <c r="AZ527" s="2377"/>
      <c r="BA527" s="2377"/>
      <c r="BB527" s="1133"/>
      <c r="BC527" s="1133"/>
      <c r="BD527" s="1133"/>
      <c r="BE527" s="1480"/>
      <c r="BF527" s="1480"/>
      <c r="BG527" s="1480"/>
      <c r="BH527" s="1480"/>
      <c r="BI527" s="1480"/>
      <c r="BJ527" s="1480"/>
    </row>
    <row r="528" spans="1:62" s="629" customFormat="1" ht="15.75" customHeight="1" x14ac:dyDescent="0.2">
      <c r="A528" s="2365">
        <v>253</v>
      </c>
      <c r="B528" s="2361" t="s">
        <v>4666</v>
      </c>
      <c r="C528" s="2023" t="s">
        <v>680</v>
      </c>
      <c r="D528" s="2023" t="s">
        <v>1315</v>
      </c>
      <c r="E528" s="2023" t="s">
        <v>584</v>
      </c>
      <c r="F528" s="2023" t="s">
        <v>4667</v>
      </c>
      <c r="G528" s="2006">
        <v>11315</v>
      </c>
      <c r="H528" s="2023" t="s">
        <v>4668</v>
      </c>
      <c r="I528" s="2023" t="s">
        <v>4669</v>
      </c>
      <c r="J528" s="2023" t="s">
        <v>1927</v>
      </c>
      <c r="K528" s="2347">
        <v>41792</v>
      </c>
      <c r="L528" s="2349">
        <v>111348.23</v>
      </c>
      <c r="M528" s="2373">
        <v>11327</v>
      </c>
      <c r="N528" s="2352">
        <v>41792</v>
      </c>
      <c r="O528" s="2352">
        <v>41941</v>
      </c>
      <c r="P528" s="1133">
        <v>1</v>
      </c>
      <c r="Q528" s="1055"/>
      <c r="R528" s="1055"/>
      <c r="S528" s="1055"/>
      <c r="T528" s="2023" t="s">
        <v>1438</v>
      </c>
      <c r="U528" s="1055"/>
      <c r="V528" s="1055"/>
      <c r="W528" s="1145"/>
      <c r="X528" s="1146"/>
      <c r="Y528" s="1055"/>
      <c r="Z528" s="1055"/>
      <c r="AA528" s="1138"/>
      <c r="AB528" s="1055"/>
      <c r="AC528" s="1139"/>
      <c r="AD528" s="1139"/>
      <c r="AE528" s="1155"/>
      <c r="AF528" s="525">
        <v>0</v>
      </c>
      <c r="AG528" s="1139">
        <v>55651.74</v>
      </c>
      <c r="AH528" s="1139">
        <f t="shared" si="15"/>
        <v>55651.74</v>
      </c>
      <c r="AI528" s="1138"/>
      <c r="AJ528" s="1064"/>
      <c r="AK528" s="1055"/>
      <c r="AL528" s="1133"/>
      <c r="AM528" s="1055"/>
      <c r="AN528" s="1055"/>
      <c r="AO528" s="1064"/>
      <c r="AP528" s="1137"/>
      <c r="AQ528" s="1064"/>
      <c r="AR528" s="514"/>
      <c r="AS528" s="2028" t="s">
        <v>4630</v>
      </c>
      <c r="AT528" s="2356" t="s">
        <v>4631</v>
      </c>
      <c r="AU528" s="544">
        <v>41884</v>
      </c>
      <c r="AV528" s="544">
        <v>41882</v>
      </c>
      <c r="AW528" s="2364">
        <f>(AH528+AH529)/AE530</f>
        <v>0.80407776498733929</v>
      </c>
      <c r="AX528" s="2355"/>
      <c r="AY528" s="2352">
        <v>41792</v>
      </c>
      <c r="AZ528" s="2355" t="s">
        <v>1464</v>
      </c>
      <c r="BA528" s="2355" t="s">
        <v>1458</v>
      </c>
      <c r="BB528" s="2355"/>
      <c r="BC528" s="2355"/>
      <c r="BD528" s="2355"/>
      <c r="BE528" s="1480"/>
      <c r="BF528" s="1480"/>
      <c r="BG528" s="1480"/>
      <c r="BH528" s="1480"/>
      <c r="BI528" s="1480"/>
      <c r="BJ528" s="1480"/>
    </row>
    <row r="529" spans="1:62" s="629" customFormat="1" ht="12.75" x14ac:dyDescent="0.2">
      <c r="A529" s="2365"/>
      <c r="B529" s="2361"/>
      <c r="C529" s="2023"/>
      <c r="D529" s="2023"/>
      <c r="E529" s="2023"/>
      <c r="F529" s="2023"/>
      <c r="G529" s="2006"/>
      <c r="H529" s="2023"/>
      <c r="I529" s="2023"/>
      <c r="J529" s="2023"/>
      <c r="K529" s="2347"/>
      <c r="L529" s="2349"/>
      <c r="M529" s="2373"/>
      <c r="N529" s="2352"/>
      <c r="O529" s="2352"/>
      <c r="P529" s="1133" t="s">
        <v>4670</v>
      </c>
      <c r="Q529" s="1055"/>
      <c r="R529" s="1055"/>
      <c r="S529" s="1055"/>
      <c r="T529" s="2023"/>
      <c r="U529" s="1055" t="s">
        <v>3906</v>
      </c>
      <c r="V529" s="1137">
        <v>41941</v>
      </c>
      <c r="W529" s="1145">
        <v>11443</v>
      </c>
      <c r="X529" s="1146" t="s">
        <v>4671</v>
      </c>
      <c r="Y529" s="1137">
        <v>41942</v>
      </c>
      <c r="Z529" s="1137">
        <f>Y529+90-1</f>
        <v>42031</v>
      </c>
      <c r="AA529" s="1138">
        <f>AC530/L528</f>
        <v>0.50003111859074911</v>
      </c>
      <c r="AB529" s="1055"/>
      <c r="AC529" s="1133"/>
      <c r="AD529" s="1139"/>
      <c r="AE529" s="1155"/>
      <c r="AF529" s="525">
        <v>0</v>
      </c>
      <c r="AG529" s="1139">
        <v>78650</v>
      </c>
      <c r="AH529" s="1139">
        <f t="shared" si="15"/>
        <v>78650</v>
      </c>
      <c r="AI529" s="1138"/>
      <c r="AJ529" s="1064"/>
      <c r="AK529" s="1055"/>
      <c r="AL529" s="1133"/>
      <c r="AM529" s="1055"/>
      <c r="AN529" s="1055"/>
      <c r="AO529" s="1064"/>
      <c r="AP529" s="1137"/>
      <c r="AQ529" s="1064"/>
      <c r="AR529" s="514"/>
      <c r="AS529" s="2029"/>
      <c r="AT529" s="2376"/>
      <c r="AU529" s="42">
        <v>41883</v>
      </c>
      <c r="AV529" s="42">
        <v>41943</v>
      </c>
      <c r="AW529" s="2378"/>
      <c r="AX529" s="2355"/>
      <c r="AY529" s="2355"/>
      <c r="AZ529" s="2355"/>
      <c r="BA529" s="2355"/>
      <c r="BB529" s="2355"/>
      <c r="BC529" s="2355"/>
      <c r="BD529" s="2355"/>
      <c r="BE529" s="1480"/>
      <c r="BF529" s="1480"/>
      <c r="BG529" s="1480"/>
      <c r="BH529" s="1480"/>
      <c r="BI529" s="1480"/>
      <c r="BJ529" s="1480"/>
    </row>
    <row r="530" spans="1:62" s="629" customFormat="1" ht="12.75" x14ac:dyDescent="0.2">
      <c r="A530" s="2365"/>
      <c r="B530" s="2361"/>
      <c r="C530" s="2023"/>
      <c r="D530" s="2023"/>
      <c r="E530" s="2023"/>
      <c r="F530" s="2023"/>
      <c r="G530" s="2006"/>
      <c r="H530" s="2023"/>
      <c r="I530" s="2023"/>
      <c r="J530" s="2023"/>
      <c r="K530" s="2347"/>
      <c r="L530" s="2349"/>
      <c r="M530" s="2373"/>
      <c r="N530" s="2352"/>
      <c r="O530" s="2352"/>
      <c r="P530" s="1133"/>
      <c r="Q530" s="1055"/>
      <c r="R530" s="1055"/>
      <c r="S530" s="1055"/>
      <c r="T530" s="2023"/>
      <c r="U530" s="1055" t="s">
        <v>3891</v>
      </c>
      <c r="V530" s="1137">
        <v>41961</v>
      </c>
      <c r="W530" s="1145">
        <v>11445</v>
      </c>
      <c r="X530" s="1146" t="s">
        <v>4672</v>
      </c>
      <c r="Y530" s="1055"/>
      <c r="Z530" s="1055"/>
      <c r="AA530" s="1138"/>
      <c r="AB530" s="1055"/>
      <c r="AC530" s="1139">
        <v>55677.58</v>
      </c>
      <c r="AD530" s="1139"/>
      <c r="AE530" s="1155">
        <f>AC530+L528</f>
        <v>167025.81</v>
      </c>
      <c r="AF530" s="525">
        <v>0</v>
      </c>
      <c r="AG530" s="525">
        <v>0</v>
      </c>
      <c r="AH530" s="1139">
        <f t="shared" si="15"/>
        <v>0</v>
      </c>
      <c r="AI530" s="1138"/>
      <c r="AJ530" s="1064"/>
      <c r="AK530" s="1055"/>
      <c r="AL530" s="1133"/>
      <c r="AM530" s="1055"/>
      <c r="AN530" s="1055"/>
      <c r="AO530" s="1064"/>
      <c r="AP530" s="1137"/>
      <c r="AQ530" s="1064"/>
      <c r="AR530" s="514"/>
      <c r="AS530" s="2029"/>
      <c r="AT530" s="2376"/>
      <c r="AU530" s="1133"/>
      <c r="AV530" s="1133"/>
      <c r="AW530" s="2378"/>
      <c r="AX530" s="1133"/>
      <c r="AY530" s="1133"/>
      <c r="AZ530" s="1133"/>
      <c r="BA530" s="1133"/>
      <c r="BB530" s="1133"/>
      <c r="BC530" s="1133"/>
      <c r="BD530" s="1133"/>
      <c r="BE530" s="1480"/>
      <c r="BF530" s="1480"/>
      <c r="BG530" s="1480"/>
      <c r="BH530" s="1480"/>
      <c r="BI530" s="1480"/>
      <c r="BJ530" s="1480"/>
    </row>
    <row r="531" spans="1:62" s="629" customFormat="1" ht="12.75" x14ac:dyDescent="0.2">
      <c r="A531" s="2365"/>
      <c r="B531" s="2361"/>
      <c r="C531" s="2023"/>
      <c r="D531" s="2023"/>
      <c r="E531" s="2023"/>
      <c r="F531" s="2023"/>
      <c r="G531" s="2006"/>
      <c r="H531" s="2023"/>
      <c r="I531" s="2023"/>
      <c r="J531" s="2023"/>
      <c r="K531" s="2347"/>
      <c r="L531" s="2349"/>
      <c r="M531" s="2373"/>
      <c r="N531" s="2352"/>
      <c r="O531" s="2352"/>
      <c r="P531" s="1133"/>
      <c r="Q531" s="1055"/>
      <c r="R531" s="1055"/>
      <c r="S531" s="1055"/>
      <c r="T531" s="2023"/>
      <c r="U531" s="1055" t="s">
        <v>3908</v>
      </c>
      <c r="V531" s="1055"/>
      <c r="W531" s="1145"/>
      <c r="X531" s="1146" t="s">
        <v>4673</v>
      </c>
      <c r="Y531" s="1137">
        <v>42032</v>
      </c>
      <c r="Z531" s="1137">
        <f>Y531+150-1</f>
        <v>42181</v>
      </c>
      <c r="AA531" s="1138"/>
      <c r="AB531" s="1055"/>
      <c r="AC531" s="1139"/>
      <c r="AD531" s="1139"/>
      <c r="AE531" s="1155"/>
      <c r="AF531" s="525">
        <v>0</v>
      </c>
      <c r="AG531" s="525">
        <v>0</v>
      </c>
      <c r="AH531" s="1139">
        <f t="shared" si="15"/>
        <v>0</v>
      </c>
      <c r="AI531" s="1138"/>
      <c r="AJ531" s="1064"/>
      <c r="AK531" s="1055"/>
      <c r="AL531" s="1133"/>
      <c r="AM531" s="1055"/>
      <c r="AN531" s="1055"/>
      <c r="AO531" s="1064"/>
      <c r="AP531" s="1137"/>
      <c r="AQ531" s="1064"/>
      <c r="AR531" s="545"/>
      <c r="AS531" s="2030"/>
      <c r="AT531" s="2377"/>
      <c r="AU531" s="1134">
        <v>41944</v>
      </c>
      <c r="AV531" s="1134">
        <v>42024</v>
      </c>
      <c r="AW531" s="2379"/>
      <c r="AX531" s="1133"/>
      <c r="AY531" s="1133"/>
      <c r="AZ531" s="1133"/>
      <c r="BA531" s="1133"/>
      <c r="BB531" s="1133"/>
      <c r="BC531" s="1133"/>
      <c r="BD531" s="1133"/>
      <c r="BE531" s="1480"/>
      <c r="BF531" s="1480"/>
      <c r="BG531" s="1480"/>
      <c r="BH531" s="1480"/>
      <c r="BI531" s="1480"/>
      <c r="BJ531" s="1480"/>
    </row>
    <row r="532" spans="1:62" s="629" customFormat="1" ht="21" customHeight="1" x14ac:dyDescent="0.2">
      <c r="A532" s="2365">
        <v>254</v>
      </c>
      <c r="B532" s="2361" t="s">
        <v>4674</v>
      </c>
      <c r="C532" s="2023" t="s">
        <v>381</v>
      </c>
      <c r="D532" s="2023" t="s">
        <v>1315</v>
      </c>
      <c r="E532" s="2023" t="s">
        <v>584</v>
      </c>
      <c r="F532" s="2023" t="s">
        <v>4675</v>
      </c>
      <c r="G532" s="2006">
        <v>11315</v>
      </c>
      <c r="H532" s="2023" t="s">
        <v>4676</v>
      </c>
      <c r="I532" s="2023" t="s">
        <v>4677</v>
      </c>
      <c r="J532" s="2023" t="s">
        <v>1905</v>
      </c>
      <c r="K532" s="2347">
        <v>41792</v>
      </c>
      <c r="L532" s="2349">
        <v>162106.23000000001</v>
      </c>
      <c r="M532" s="2373">
        <v>11327</v>
      </c>
      <c r="N532" s="2352">
        <v>41792</v>
      </c>
      <c r="O532" s="2352">
        <v>41941</v>
      </c>
      <c r="P532" s="1133" t="s">
        <v>4678</v>
      </c>
      <c r="Q532" s="2023"/>
      <c r="R532" s="2023"/>
      <c r="S532" s="2023"/>
      <c r="T532" s="2028" t="s">
        <v>1438</v>
      </c>
      <c r="U532" s="1055"/>
      <c r="V532" s="1055"/>
      <c r="W532" s="1145"/>
      <c r="X532" s="1146"/>
      <c r="Y532" s="1055"/>
      <c r="Z532" s="1055"/>
      <c r="AA532" s="1138"/>
      <c r="AB532" s="1055"/>
      <c r="AC532" s="1139"/>
      <c r="AD532" s="1139"/>
      <c r="AE532" s="525"/>
      <c r="AF532" s="525">
        <v>0</v>
      </c>
      <c r="AG532" s="1150">
        <f>34337.46+56940.55+75057.4+44593+11055.86</f>
        <v>221984.27000000002</v>
      </c>
      <c r="AH532" s="1139">
        <f t="shared" si="15"/>
        <v>221984.27000000002</v>
      </c>
      <c r="AI532" s="1138"/>
      <c r="AJ532" s="1064"/>
      <c r="AK532" s="1055"/>
      <c r="AL532" s="1133"/>
      <c r="AM532" s="1055"/>
      <c r="AN532" s="1055"/>
      <c r="AO532" s="1064"/>
      <c r="AP532" s="1137"/>
      <c r="AQ532" s="1064"/>
      <c r="AR532" s="514"/>
      <c r="AS532" s="2023" t="s">
        <v>4630</v>
      </c>
      <c r="AT532" s="2355" t="s">
        <v>4631</v>
      </c>
      <c r="AU532" s="2352">
        <v>41792</v>
      </c>
      <c r="AV532" s="2352">
        <v>41882</v>
      </c>
      <c r="AW532" s="2364">
        <f>AH532/AE534</f>
        <v>0.9128973739345384</v>
      </c>
      <c r="AX532" s="2355"/>
      <c r="AY532" s="2352">
        <v>41792</v>
      </c>
      <c r="AZ532" s="2355" t="s">
        <v>1464</v>
      </c>
      <c r="BA532" s="2355" t="s">
        <v>1458</v>
      </c>
      <c r="BB532" s="2355"/>
      <c r="BC532" s="2355"/>
      <c r="BD532" s="2355"/>
      <c r="BE532" s="1480"/>
      <c r="BF532" s="1480"/>
      <c r="BG532" s="1480"/>
      <c r="BH532" s="1480"/>
      <c r="BI532" s="1480"/>
      <c r="BJ532" s="1480"/>
    </row>
    <row r="533" spans="1:62" s="629" customFormat="1" ht="12.75" x14ac:dyDescent="0.2">
      <c r="A533" s="2365"/>
      <c r="B533" s="2361"/>
      <c r="C533" s="2023"/>
      <c r="D533" s="2023"/>
      <c r="E533" s="2023"/>
      <c r="F533" s="2023"/>
      <c r="G533" s="2006"/>
      <c r="H533" s="2023"/>
      <c r="I533" s="2023"/>
      <c r="J533" s="2023"/>
      <c r="K533" s="2347"/>
      <c r="L533" s="2349"/>
      <c r="M533" s="2373"/>
      <c r="N533" s="2352"/>
      <c r="O533" s="2352"/>
      <c r="P533" s="1133"/>
      <c r="Q533" s="2023"/>
      <c r="R533" s="2023"/>
      <c r="S533" s="2023"/>
      <c r="T533" s="2029"/>
      <c r="U533" s="1055" t="s">
        <v>3906</v>
      </c>
      <c r="V533" s="1137">
        <v>41906</v>
      </c>
      <c r="W533" s="1145">
        <v>11400</v>
      </c>
      <c r="X533" s="1146" t="s">
        <v>3922</v>
      </c>
      <c r="Y533" s="1137">
        <v>41906</v>
      </c>
      <c r="Z533" s="1137">
        <v>41941</v>
      </c>
      <c r="AA533" s="1138">
        <f>AC533/L532</f>
        <v>0.29239357426300022</v>
      </c>
      <c r="AB533" s="1055"/>
      <c r="AC533" s="1139">
        <v>47398.82</v>
      </c>
      <c r="AD533" s="1139"/>
      <c r="AE533" s="525">
        <f>AC533+L532</f>
        <v>209505.05000000002</v>
      </c>
      <c r="AF533" s="525">
        <v>0</v>
      </c>
      <c r="AG533" s="525">
        <v>0</v>
      </c>
      <c r="AH533" s="1139">
        <f t="shared" si="15"/>
        <v>0</v>
      </c>
      <c r="AI533" s="1138"/>
      <c r="AJ533" s="1064"/>
      <c r="AK533" s="1055"/>
      <c r="AL533" s="1133"/>
      <c r="AM533" s="1055"/>
      <c r="AN533" s="1055"/>
      <c r="AO533" s="1064"/>
      <c r="AP533" s="1137"/>
      <c r="AQ533" s="1064"/>
      <c r="AR533" s="514"/>
      <c r="AS533" s="2023"/>
      <c r="AT533" s="2355"/>
      <c r="AU533" s="2355"/>
      <c r="AV533" s="2355"/>
      <c r="AW533" s="2378"/>
      <c r="AX533" s="2355"/>
      <c r="AY533" s="2355"/>
      <c r="AZ533" s="2355"/>
      <c r="BA533" s="2355"/>
      <c r="BB533" s="2355"/>
      <c r="BC533" s="2355"/>
      <c r="BD533" s="2355"/>
      <c r="BE533" s="1480"/>
      <c r="BF533" s="1480"/>
      <c r="BG533" s="1480"/>
      <c r="BH533" s="1480"/>
      <c r="BI533" s="1480"/>
      <c r="BJ533" s="1480"/>
    </row>
    <row r="534" spans="1:62" s="629" customFormat="1" ht="12.75" x14ac:dyDescent="0.2">
      <c r="A534" s="2365"/>
      <c r="B534" s="2361"/>
      <c r="C534" s="2023"/>
      <c r="D534" s="2023"/>
      <c r="E534" s="2023"/>
      <c r="F534" s="2023"/>
      <c r="G534" s="2006"/>
      <c r="H534" s="2023"/>
      <c r="I534" s="2023"/>
      <c r="J534" s="2023"/>
      <c r="K534" s="2347"/>
      <c r="L534" s="2349"/>
      <c r="M534" s="2373"/>
      <c r="N534" s="2352"/>
      <c r="O534" s="2352"/>
      <c r="P534" s="1133"/>
      <c r="Q534" s="2023"/>
      <c r="R534" s="2023"/>
      <c r="S534" s="2023"/>
      <c r="T534" s="2030"/>
      <c r="U534" s="1055" t="s">
        <v>3891</v>
      </c>
      <c r="V534" s="1137">
        <v>41927</v>
      </c>
      <c r="W534" s="1145">
        <v>11420</v>
      </c>
      <c r="X534" s="1146" t="s">
        <v>3922</v>
      </c>
      <c r="Y534" s="1137">
        <v>41942</v>
      </c>
      <c r="Z534" s="1137">
        <v>41972</v>
      </c>
      <c r="AA534" s="1138">
        <f>AC534/L532</f>
        <v>0.20763847262378501</v>
      </c>
      <c r="AB534" s="1055"/>
      <c r="AC534" s="1139">
        <v>33659.49</v>
      </c>
      <c r="AD534" s="1139"/>
      <c r="AE534" s="525">
        <f>AE533+AC534</f>
        <v>243164.54</v>
      </c>
      <c r="AF534" s="525">
        <v>0</v>
      </c>
      <c r="AG534" s="525">
        <v>0</v>
      </c>
      <c r="AH534" s="1139">
        <f t="shared" si="15"/>
        <v>0</v>
      </c>
      <c r="AI534" s="1138"/>
      <c r="AJ534" s="1064"/>
      <c r="AK534" s="1055"/>
      <c r="AL534" s="1133"/>
      <c r="AM534" s="1055"/>
      <c r="AN534" s="1055"/>
      <c r="AO534" s="1064"/>
      <c r="AP534" s="1137"/>
      <c r="AQ534" s="1064"/>
      <c r="AR534" s="514"/>
      <c r="AS534" s="2023"/>
      <c r="AT534" s="2355"/>
      <c r="AU534" s="2355"/>
      <c r="AV534" s="2355"/>
      <c r="AW534" s="2379"/>
      <c r="AX534" s="2355"/>
      <c r="AY534" s="2355"/>
      <c r="AZ534" s="2355"/>
      <c r="BA534" s="2355"/>
      <c r="BB534" s="2355"/>
      <c r="BC534" s="2355"/>
      <c r="BD534" s="2355"/>
      <c r="BE534" s="1480"/>
      <c r="BF534" s="1480"/>
      <c r="BG534" s="1480"/>
      <c r="BH534" s="1480"/>
      <c r="BI534" s="1480"/>
      <c r="BJ534" s="1480"/>
    </row>
    <row r="535" spans="1:62" s="629" customFormat="1" ht="49.5" customHeight="1" x14ac:dyDescent="0.2">
      <c r="A535" s="2365">
        <v>255</v>
      </c>
      <c r="B535" s="2361" t="s">
        <v>1959</v>
      </c>
      <c r="C535" s="2367" t="s">
        <v>747</v>
      </c>
      <c r="D535" s="2023" t="s">
        <v>1315</v>
      </c>
      <c r="E535" s="2023" t="s">
        <v>584</v>
      </c>
      <c r="F535" s="2023" t="s">
        <v>4679</v>
      </c>
      <c r="G535" s="2006">
        <v>11315</v>
      </c>
      <c r="H535" s="2023" t="s">
        <v>4680</v>
      </c>
      <c r="I535" s="2023" t="s">
        <v>2083</v>
      </c>
      <c r="J535" s="2023" t="s">
        <v>1319</v>
      </c>
      <c r="K535" s="2347">
        <v>41801</v>
      </c>
      <c r="L535" s="2349">
        <v>168250.02</v>
      </c>
      <c r="M535" s="2373">
        <v>11334</v>
      </c>
      <c r="N535" s="2352">
        <v>41801</v>
      </c>
      <c r="O535" s="2352">
        <v>41920</v>
      </c>
      <c r="P535" s="2355">
        <v>1</v>
      </c>
      <c r="Q535" s="1055"/>
      <c r="R535" s="1055"/>
      <c r="S535" s="1055"/>
      <c r="T535" s="2028" t="s">
        <v>1438</v>
      </c>
      <c r="U535" s="1055"/>
      <c r="V535" s="1055"/>
      <c r="W535" s="1145"/>
      <c r="X535" s="1146"/>
      <c r="Y535" s="1055"/>
      <c r="Z535" s="1055"/>
      <c r="AA535" s="1138"/>
      <c r="AB535" s="1055"/>
      <c r="AC535" s="1139">
        <v>84091.61</v>
      </c>
      <c r="AD535" s="1139"/>
      <c r="AE535" s="2345">
        <f t="shared" si="17"/>
        <v>252341.63</v>
      </c>
      <c r="AF535" s="525">
        <v>0</v>
      </c>
      <c r="AG535" s="1139">
        <v>81769.990000000005</v>
      </c>
      <c r="AH535" s="1139">
        <f t="shared" si="15"/>
        <v>81769.990000000005</v>
      </c>
      <c r="AI535" s="1138"/>
      <c r="AJ535" s="1064"/>
      <c r="AK535" s="1055"/>
      <c r="AL535" s="1133"/>
      <c r="AM535" s="1055"/>
      <c r="AN535" s="1055"/>
      <c r="AO535" s="1064"/>
      <c r="AP535" s="1137"/>
      <c r="AQ535" s="1064"/>
      <c r="AR535" s="2347"/>
      <c r="AS535" s="2023" t="s">
        <v>4630</v>
      </c>
      <c r="AT535" s="2355" t="s">
        <v>4631</v>
      </c>
      <c r="AU535" s="2352">
        <v>41801</v>
      </c>
      <c r="AV535" s="2352">
        <v>41891</v>
      </c>
      <c r="AW535" s="2364">
        <f>(AH535+AH537)/AE535</f>
        <v>0.59261002633612214</v>
      </c>
      <c r="AX535" s="2355"/>
      <c r="AY535" s="2352">
        <v>41801</v>
      </c>
      <c r="AZ535" s="2355" t="s">
        <v>1464</v>
      </c>
      <c r="BA535" s="2355" t="s">
        <v>1458</v>
      </c>
      <c r="BB535" s="2355"/>
      <c r="BC535" s="2355"/>
      <c r="BD535" s="2355"/>
      <c r="BE535" s="546"/>
      <c r="BF535" s="1480"/>
      <c r="BG535" s="1480"/>
      <c r="BH535" s="1480"/>
      <c r="BI535" s="1480"/>
      <c r="BJ535" s="1480"/>
    </row>
    <row r="536" spans="1:62" s="629" customFormat="1" ht="30.75" customHeight="1" x14ac:dyDescent="0.2">
      <c r="A536" s="2365"/>
      <c r="B536" s="2361"/>
      <c r="C536" s="2367"/>
      <c r="D536" s="2023"/>
      <c r="E536" s="2023"/>
      <c r="F536" s="2023"/>
      <c r="G536" s="2006"/>
      <c r="H536" s="2023"/>
      <c r="I536" s="2023"/>
      <c r="J536" s="2023"/>
      <c r="K536" s="2347"/>
      <c r="L536" s="2349"/>
      <c r="M536" s="2373"/>
      <c r="N536" s="2352"/>
      <c r="O536" s="2352"/>
      <c r="P536" s="2355"/>
      <c r="Q536" s="1055"/>
      <c r="R536" s="1055"/>
      <c r="S536" s="1055"/>
      <c r="T536" s="2029"/>
      <c r="U536" s="1055"/>
      <c r="V536" s="1055"/>
      <c r="W536" s="1145"/>
      <c r="X536" s="1146"/>
      <c r="Y536" s="1055"/>
      <c r="Z536" s="1055"/>
      <c r="AA536" s="1138"/>
      <c r="AB536" s="1055"/>
      <c r="AC536" s="1139"/>
      <c r="AD536" s="1139"/>
      <c r="AE536" s="2346"/>
      <c r="AF536" s="525">
        <v>0</v>
      </c>
      <c r="AG536" s="525">
        <v>0</v>
      </c>
      <c r="AH536" s="1139">
        <f t="shared" si="15"/>
        <v>0</v>
      </c>
      <c r="AI536" s="1138"/>
      <c r="AJ536" s="1064"/>
      <c r="AK536" s="1055"/>
      <c r="AL536" s="1133"/>
      <c r="AM536" s="1055"/>
      <c r="AN536" s="1055"/>
      <c r="AO536" s="1064"/>
      <c r="AP536" s="1137"/>
      <c r="AQ536" s="1064"/>
      <c r="AR536" s="2347"/>
      <c r="AS536" s="2023"/>
      <c r="AT536" s="2355"/>
      <c r="AU536" s="2355"/>
      <c r="AV536" s="2355"/>
      <c r="AW536" s="2378"/>
      <c r="AX536" s="2355"/>
      <c r="AY536" s="2355"/>
      <c r="AZ536" s="2355"/>
      <c r="BA536" s="2355"/>
      <c r="BB536" s="2355"/>
      <c r="BC536" s="2355"/>
      <c r="BD536" s="2355"/>
      <c r="BE536" s="546"/>
      <c r="BF536" s="1480"/>
      <c r="BG536" s="1480"/>
      <c r="BH536" s="1480"/>
      <c r="BI536" s="1480"/>
      <c r="BJ536" s="1480"/>
    </row>
    <row r="537" spans="1:62" s="629" customFormat="1" ht="24.75" customHeight="1" x14ac:dyDescent="0.2">
      <c r="A537" s="2365"/>
      <c r="B537" s="2361"/>
      <c r="C537" s="2367"/>
      <c r="D537" s="2023"/>
      <c r="E537" s="2023"/>
      <c r="F537" s="2023"/>
      <c r="G537" s="2006"/>
      <c r="H537" s="2023"/>
      <c r="I537" s="2023"/>
      <c r="J537" s="2023"/>
      <c r="K537" s="2347"/>
      <c r="L537" s="2349"/>
      <c r="M537" s="2373"/>
      <c r="N537" s="2352"/>
      <c r="O537" s="2352"/>
      <c r="P537" s="1133">
        <v>16</v>
      </c>
      <c r="Q537" s="1055"/>
      <c r="R537" s="1055"/>
      <c r="S537" s="1055"/>
      <c r="T537" s="2030"/>
      <c r="U537" s="1055"/>
      <c r="V537" s="1055"/>
      <c r="W537" s="1145"/>
      <c r="X537" s="1146"/>
      <c r="Y537" s="1055"/>
      <c r="Z537" s="1055"/>
      <c r="AA537" s="1138"/>
      <c r="AB537" s="1055"/>
      <c r="AC537" s="1139"/>
      <c r="AD537" s="1139"/>
      <c r="AE537" s="2371"/>
      <c r="AF537" s="525">
        <v>0</v>
      </c>
      <c r="AG537" s="1139">
        <v>67770.19</v>
      </c>
      <c r="AH537" s="1139">
        <f t="shared" si="15"/>
        <v>67770.19</v>
      </c>
      <c r="AI537" s="1138"/>
      <c r="AJ537" s="1064"/>
      <c r="AK537" s="1055"/>
      <c r="AL537" s="1133"/>
      <c r="AM537" s="1055"/>
      <c r="AN537" s="1055"/>
      <c r="AO537" s="1064"/>
      <c r="AP537" s="1137"/>
      <c r="AQ537" s="1064"/>
      <c r="AR537" s="2347"/>
      <c r="AS537" s="2023"/>
      <c r="AT537" s="2355"/>
      <c r="AU537" s="2355"/>
      <c r="AV537" s="2355"/>
      <c r="AW537" s="2379"/>
      <c r="AX537" s="2355"/>
      <c r="AY537" s="2355"/>
      <c r="AZ537" s="2355"/>
      <c r="BA537" s="2355"/>
      <c r="BB537" s="2355"/>
      <c r="BC537" s="2355"/>
      <c r="BD537" s="2355"/>
      <c r="BE537" s="546"/>
      <c r="BF537" s="1480"/>
      <c r="BG537" s="1480"/>
      <c r="BH537" s="1480"/>
      <c r="BI537" s="1480"/>
      <c r="BJ537" s="1480"/>
    </row>
    <row r="538" spans="1:62" s="629" customFormat="1" ht="67.5" customHeight="1" x14ac:dyDescent="0.2">
      <c r="A538" s="1514">
        <v>256</v>
      </c>
      <c r="B538" s="636" t="s">
        <v>4681</v>
      </c>
      <c r="C538" s="1055" t="s">
        <v>777</v>
      </c>
      <c r="D538" s="1055" t="s">
        <v>1315</v>
      </c>
      <c r="E538" s="1055" t="s">
        <v>584</v>
      </c>
      <c r="F538" s="1055" t="s">
        <v>4682</v>
      </c>
      <c r="G538" s="1064">
        <v>11327</v>
      </c>
      <c r="H538" s="1055" t="s">
        <v>4683</v>
      </c>
      <c r="I538" s="1055" t="s">
        <v>4684</v>
      </c>
      <c r="J538" s="1055" t="s">
        <v>4685</v>
      </c>
      <c r="K538" s="1137">
        <v>41802</v>
      </c>
      <c r="L538" s="1135">
        <v>437593.1</v>
      </c>
      <c r="M538" s="1145">
        <v>11331</v>
      </c>
      <c r="N538" s="1134">
        <v>41802</v>
      </c>
      <c r="O538" s="1134">
        <v>41921</v>
      </c>
      <c r="P538" s="1133">
        <v>1</v>
      </c>
      <c r="Q538" s="1055"/>
      <c r="R538" s="1055"/>
      <c r="S538" s="1055"/>
      <c r="T538" s="1055" t="s">
        <v>1438</v>
      </c>
      <c r="U538" s="1055"/>
      <c r="V538" s="1055"/>
      <c r="W538" s="1145"/>
      <c r="X538" s="1146"/>
      <c r="Y538" s="1055"/>
      <c r="Z538" s="1055"/>
      <c r="AA538" s="1138"/>
      <c r="AB538" s="1055"/>
      <c r="AC538" s="1139"/>
      <c r="AD538" s="1139"/>
      <c r="AE538" s="1155">
        <f t="shared" si="17"/>
        <v>437593.1</v>
      </c>
      <c r="AF538" s="525">
        <v>0</v>
      </c>
      <c r="AG538" s="1139">
        <v>202836.05</v>
      </c>
      <c r="AH538" s="1139">
        <f t="shared" si="15"/>
        <v>202836.05</v>
      </c>
      <c r="AI538" s="1138"/>
      <c r="AJ538" s="1064"/>
      <c r="AK538" s="1055"/>
      <c r="AL538" s="1133"/>
      <c r="AM538" s="1055"/>
      <c r="AN538" s="1055"/>
      <c r="AO538" s="1064"/>
      <c r="AP538" s="1137"/>
      <c r="AQ538" s="1064"/>
      <c r="AR538" s="1137"/>
      <c r="AS538" s="1055" t="s">
        <v>4630</v>
      </c>
      <c r="AT538" s="1133" t="s">
        <v>4631</v>
      </c>
      <c r="AU538" s="1134">
        <v>41802</v>
      </c>
      <c r="AV538" s="1134">
        <v>41892</v>
      </c>
      <c r="AW538" s="1138">
        <f>AH538/AE538</f>
        <v>0.46352661867840239</v>
      </c>
      <c r="AX538" s="1133"/>
      <c r="AY538" s="1134">
        <v>41802</v>
      </c>
      <c r="AZ538" s="1133" t="s">
        <v>1464</v>
      </c>
      <c r="BA538" s="1133" t="s">
        <v>1458</v>
      </c>
      <c r="BB538" s="1133"/>
      <c r="BC538" s="1133"/>
      <c r="BD538" s="1133"/>
      <c r="BE538" s="546"/>
      <c r="BF538" s="1480"/>
      <c r="BG538" s="1480"/>
      <c r="BH538" s="1480"/>
      <c r="BI538" s="1480"/>
      <c r="BJ538" s="1480"/>
    </row>
    <row r="539" spans="1:62" s="629" customFormat="1" ht="38.25" customHeight="1" x14ac:dyDescent="0.2">
      <c r="A539" s="2365">
        <v>257</v>
      </c>
      <c r="B539" s="2361" t="s">
        <v>4686</v>
      </c>
      <c r="C539" s="2023" t="s">
        <v>724</v>
      </c>
      <c r="D539" s="2023" t="s">
        <v>1315</v>
      </c>
      <c r="E539" s="2023" t="s">
        <v>584</v>
      </c>
      <c r="F539" s="2023" t="s">
        <v>4687</v>
      </c>
      <c r="G539" s="2006">
        <v>11315</v>
      </c>
      <c r="H539" s="2023" t="s">
        <v>4688</v>
      </c>
      <c r="I539" s="2023" t="s">
        <v>4677</v>
      </c>
      <c r="J539" s="2023" t="s">
        <v>1905</v>
      </c>
      <c r="K539" s="2347">
        <v>41803</v>
      </c>
      <c r="L539" s="2349">
        <v>172599.72</v>
      </c>
      <c r="M539" s="2355">
        <v>11332</v>
      </c>
      <c r="N539" s="2352">
        <v>41803</v>
      </c>
      <c r="O539" s="2352">
        <v>41922</v>
      </c>
      <c r="P539" s="2355">
        <v>1</v>
      </c>
      <c r="Q539" s="2023"/>
      <c r="R539" s="2023"/>
      <c r="S539" s="2023"/>
      <c r="T539" s="2355" t="s">
        <v>1438</v>
      </c>
      <c r="U539" s="1055"/>
      <c r="V539" s="1055"/>
      <c r="W539" s="1145"/>
      <c r="X539" s="1146"/>
      <c r="Y539" s="1055"/>
      <c r="Z539" s="1055"/>
      <c r="AA539" s="1138"/>
      <c r="AB539" s="1055"/>
      <c r="AC539" s="1139"/>
      <c r="AD539" s="1139"/>
      <c r="AE539" s="1155"/>
      <c r="AF539" s="525">
        <v>0</v>
      </c>
      <c r="AG539" s="1139">
        <v>46177.22</v>
      </c>
      <c r="AH539" s="1139">
        <f t="shared" ref="AH539:AH602" si="18">AF539+AG539</f>
        <v>46177.22</v>
      </c>
      <c r="AI539" s="1138"/>
      <c r="AJ539" s="1064"/>
      <c r="AK539" s="1055"/>
      <c r="AL539" s="1133"/>
      <c r="AM539" s="1055"/>
      <c r="AN539" s="1055"/>
      <c r="AO539" s="1064"/>
      <c r="AP539" s="1137"/>
      <c r="AQ539" s="1064"/>
      <c r="AR539" s="2347"/>
      <c r="AS539" s="2023" t="s">
        <v>4630</v>
      </c>
      <c r="AT539" s="2355" t="s">
        <v>4631</v>
      </c>
      <c r="AU539" s="2352">
        <v>41803</v>
      </c>
      <c r="AV539" s="2352">
        <v>41893</v>
      </c>
      <c r="AW539" s="2364">
        <f>AH539/AE541</f>
        <v>0.21124501390810566</v>
      </c>
      <c r="AX539" s="2355"/>
      <c r="AY539" s="2352">
        <v>41803</v>
      </c>
      <c r="AZ539" s="2355" t="s">
        <v>1464</v>
      </c>
      <c r="BA539" s="2355" t="s">
        <v>1458</v>
      </c>
      <c r="BB539" s="2355"/>
      <c r="BC539" s="2355"/>
      <c r="BD539" s="2355"/>
      <c r="BE539" s="546"/>
      <c r="BF539" s="1480"/>
      <c r="BG539" s="1480"/>
      <c r="BH539" s="1480"/>
      <c r="BI539" s="1480"/>
      <c r="BJ539" s="1480"/>
    </row>
    <row r="540" spans="1:62" s="629" customFormat="1" ht="12.75" x14ac:dyDescent="0.2">
      <c r="A540" s="2365"/>
      <c r="B540" s="2361"/>
      <c r="C540" s="2023"/>
      <c r="D540" s="2023"/>
      <c r="E540" s="2023"/>
      <c r="F540" s="2023"/>
      <c r="G540" s="2006"/>
      <c r="H540" s="2023"/>
      <c r="I540" s="2023"/>
      <c r="J540" s="2023"/>
      <c r="K540" s="2347"/>
      <c r="L540" s="2349"/>
      <c r="M540" s="2355"/>
      <c r="N540" s="2352"/>
      <c r="O540" s="2352"/>
      <c r="P540" s="2355"/>
      <c r="Q540" s="2023"/>
      <c r="R540" s="2023"/>
      <c r="S540" s="2023"/>
      <c r="T540" s="2355"/>
      <c r="U540" s="526" t="s">
        <v>3972</v>
      </c>
      <c r="V540" s="1137">
        <v>41876</v>
      </c>
      <c r="W540" s="1145">
        <v>11379</v>
      </c>
      <c r="X540" s="1146" t="s">
        <v>4689</v>
      </c>
      <c r="Y540" s="1055"/>
      <c r="Z540" s="1055"/>
      <c r="AA540" s="1138">
        <f>AC540/L539</f>
        <v>0.23365582516588093</v>
      </c>
      <c r="AB540" s="1055"/>
      <c r="AC540" s="1139">
        <v>40328.93</v>
      </c>
      <c r="AD540" s="1139"/>
      <c r="AE540" s="1155">
        <f>AC540+L539</f>
        <v>212928.65</v>
      </c>
      <c r="AF540" s="525">
        <v>0</v>
      </c>
      <c r="AG540" s="525">
        <v>0</v>
      </c>
      <c r="AH540" s="1139">
        <f t="shared" si="18"/>
        <v>0</v>
      </c>
      <c r="AI540" s="2363"/>
      <c r="AJ540" s="2006"/>
      <c r="AK540" s="2023"/>
      <c r="AL540" s="1133"/>
      <c r="AM540" s="1055"/>
      <c r="AN540" s="1055"/>
      <c r="AO540" s="1064"/>
      <c r="AP540" s="1137"/>
      <c r="AQ540" s="1064"/>
      <c r="AR540" s="2347"/>
      <c r="AS540" s="2023"/>
      <c r="AT540" s="2355"/>
      <c r="AU540" s="2355"/>
      <c r="AV540" s="2355"/>
      <c r="AW540" s="2378"/>
      <c r="AX540" s="2355"/>
      <c r="AY540" s="2355"/>
      <c r="AZ540" s="2355"/>
      <c r="BA540" s="2355"/>
      <c r="BB540" s="2355"/>
      <c r="BC540" s="2355"/>
      <c r="BD540" s="2355"/>
      <c r="BE540" s="546"/>
      <c r="BF540" s="1480"/>
      <c r="BG540" s="1480"/>
      <c r="BH540" s="1480"/>
      <c r="BI540" s="1480"/>
      <c r="BJ540" s="1480"/>
    </row>
    <row r="541" spans="1:62" s="629" customFormat="1" ht="12.75" x14ac:dyDescent="0.2">
      <c r="A541" s="2365"/>
      <c r="B541" s="2361"/>
      <c r="C541" s="2023"/>
      <c r="D541" s="2023"/>
      <c r="E541" s="2023"/>
      <c r="F541" s="2023"/>
      <c r="G541" s="2006"/>
      <c r="H541" s="2023"/>
      <c r="I541" s="2023"/>
      <c r="J541" s="2023"/>
      <c r="K541" s="2347"/>
      <c r="L541" s="2349"/>
      <c r="M541" s="2355"/>
      <c r="N541" s="2352"/>
      <c r="O541" s="2352"/>
      <c r="P541" s="2355"/>
      <c r="Q541" s="2023"/>
      <c r="R541" s="2023"/>
      <c r="S541" s="2023"/>
      <c r="T541" s="2355"/>
      <c r="U541" s="526" t="s">
        <v>3989</v>
      </c>
      <c r="V541" s="1137">
        <v>41919</v>
      </c>
      <c r="W541" s="1145">
        <v>11409</v>
      </c>
      <c r="X541" s="1146" t="s">
        <v>4690</v>
      </c>
      <c r="Y541" s="1055"/>
      <c r="Z541" s="1055"/>
      <c r="AA541" s="1138">
        <f>AC541/AE540</f>
        <v>2.7089027239875892E-2</v>
      </c>
      <c r="AB541" s="1139">
        <f>AD541/AE540</f>
        <v>4.7494782876799339E-4</v>
      </c>
      <c r="AC541" s="1139">
        <v>5768.03</v>
      </c>
      <c r="AD541" s="1139">
        <v>101.13</v>
      </c>
      <c r="AE541" s="1155">
        <f>AE540+AC541-AD541</f>
        <v>218595.55</v>
      </c>
      <c r="AF541" s="525">
        <v>0</v>
      </c>
      <c r="AG541" s="525">
        <v>0</v>
      </c>
      <c r="AH541" s="1139">
        <f t="shared" si="18"/>
        <v>0</v>
      </c>
      <c r="AI541" s="2363"/>
      <c r="AJ541" s="2006"/>
      <c r="AK541" s="2023"/>
      <c r="AL541" s="1133"/>
      <c r="AM541" s="1055"/>
      <c r="AN541" s="1055"/>
      <c r="AO541" s="1064"/>
      <c r="AP541" s="1137"/>
      <c r="AQ541" s="1064"/>
      <c r="AR541" s="2347"/>
      <c r="AS541" s="2023"/>
      <c r="AT541" s="2355"/>
      <c r="AU541" s="2355"/>
      <c r="AV541" s="2355"/>
      <c r="AW541" s="2379"/>
      <c r="AX541" s="2355"/>
      <c r="AY541" s="2355"/>
      <c r="AZ541" s="2355"/>
      <c r="BA541" s="2355"/>
      <c r="BB541" s="2355"/>
      <c r="BC541" s="2355"/>
      <c r="BD541" s="2355"/>
      <c r="BE541" s="546"/>
      <c r="BF541" s="1480"/>
      <c r="BG541" s="1480"/>
      <c r="BH541" s="1480"/>
      <c r="BI541" s="1480"/>
      <c r="BJ541" s="1480"/>
    </row>
    <row r="542" spans="1:62" s="629" customFormat="1" ht="65.25" customHeight="1" x14ac:dyDescent="0.2">
      <c r="A542" s="1514">
        <v>258</v>
      </c>
      <c r="B542" s="636" t="s">
        <v>4691</v>
      </c>
      <c r="C542" s="1055" t="s">
        <v>757</v>
      </c>
      <c r="D542" s="1055" t="s">
        <v>3991</v>
      </c>
      <c r="E542" s="1055" t="s">
        <v>584</v>
      </c>
      <c r="F542" s="1055" t="s">
        <v>4692</v>
      </c>
      <c r="G542" s="1064">
        <v>11335</v>
      </c>
      <c r="H542" s="1055" t="s">
        <v>4693</v>
      </c>
      <c r="I542" s="1055" t="s">
        <v>4694</v>
      </c>
      <c r="J542" s="1055" t="s">
        <v>4695</v>
      </c>
      <c r="K542" s="1137">
        <v>41816</v>
      </c>
      <c r="L542" s="1135">
        <v>183747.6</v>
      </c>
      <c r="M542" s="1145">
        <v>11351</v>
      </c>
      <c r="N542" s="1134">
        <v>41816</v>
      </c>
      <c r="O542" s="1134">
        <v>41938</v>
      </c>
      <c r="P542" s="1133">
        <v>1</v>
      </c>
      <c r="Q542" s="1055"/>
      <c r="R542" s="1055"/>
      <c r="S542" s="1055"/>
      <c r="T542" s="1133" t="s">
        <v>1438</v>
      </c>
      <c r="U542" s="1055"/>
      <c r="V542" s="1055"/>
      <c r="W542" s="1145"/>
      <c r="X542" s="1146"/>
      <c r="Y542" s="1055"/>
      <c r="Z542" s="1055"/>
      <c r="AA542" s="1138"/>
      <c r="AB542" s="1055"/>
      <c r="AC542" s="1139">
        <v>83567.45</v>
      </c>
      <c r="AD542" s="1139"/>
      <c r="AE542" s="1155">
        <f t="shared" si="17"/>
        <v>267315.05</v>
      </c>
      <c r="AF542" s="525">
        <v>0</v>
      </c>
      <c r="AG542" s="1139">
        <f>9715.32+9711.82+7992.77+51851.95+55033.66+42658.53</f>
        <v>176964.05000000002</v>
      </c>
      <c r="AH542" s="1139">
        <f t="shared" si="18"/>
        <v>176964.05000000002</v>
      </c>
      <c r="AI542" s="1138"/>
      <c r="AJ542" s="1064"/>
      <c r="AK542" s="1055"/>
      <c r="AL542" s="1133"/>
      <c r="AM542" s="1055"/>
      <c r="AN542" s="1055"/>
      <c r="AO542" s="1064"/>
      <c r="AP542" s="1137"/>
      <c r="AQ542" s="1064"/>
      <c r="AR542" s="1137"/>
      <c r="AS542" s="1055" t="s">
        <v>4630</v>
      </c>
      <c r="AT542" s="1133" t="s">
        <v>4631</v>
      </c>
      <c r="AU542" s="1134">
        <v>41816</v>
      </c>
      <c r="AV542" s="1134">
        <v>41935</v>
      </c>
      <c r="AW542" s="1138">
        <f>AH542/AE542</f>
        <v>0.66200556235049257</v>
      </c>
      <c r="AX542" s="1133"/>
      <c r="AY542" s="1134">
        <v>41816</v>
      </c>
      <c r="AZ542" s="1133" t="s">
        <v>1464</v>
      </c>
      <c r="BA542" s="1133" t="s">
        <v>1458</v>
      </c>
      <c r="BB542" s="1133"/>
      <c r="BC542" s="1133"/>
      <c r="BD542" s="1133"/>
      <c r="BE542" s="546"/>
      <c r="BF542" s="1480"/>
      <c r="BG542" s="1480"/>
      <c r="BH542" s="1480"/>
      <c r="BI542" s="1480"/>
      <c r="BJ542" s="1480"/>
    </row>
    <row r="543" spans="1:62" s="629" customFormat="1" ht="65.25" customHeight="1" x14ac:dyDescent="0.2">
      <c r="A543" s="1514">
        <v>259</v>
      </c>
      <c r="B543" s="636" t="s">
        <v>4696</v>
      </c>
      <c r="C543" s="1055" t="s">
        <v>823</v>
      </c>
      <c r="D543" s="1055" t="s">
        <v>3991</v>
      </c>
      <c r="E543" s="1055" t="s">
        <v>4697</v>
      </c>
      <c r="F543" s="1055" t="s">
        <v>4698</v>
      </c>
      <c r="G543" s="1064">
        <v>11398</v>
      </c>
      <c r="H543" s="1055" t="s">
        <v>4699</v>
      </c>
      <c r="I543" s="1055" t="s">
        <v>4700</v>
      </c>
      <c r="J543" s="1055" t="s">
        <v>4701</v>
      </c>
      <c r="K543" s="1137">
        <v>41905</v>
      </c>
      <c r="L543" s="1135">
        <v>495600</v>
      </c>
      <c r="M543" s="1145">
        <v>11399</v>
      </c>
      <c r="N543" s="1134">
        <v>41905</v>
      </c>
      <c r="O543" s="1134">
        <v>42004</v>
      </c>
      <c r="P543" s="1133">
        <v>1</v>
      </c>
      <c r="Q543" s="1055"/>
      <c r="R543" s="1055"/>
      <c r="S543" s="1055"/>
      <c r="T543" s="1133" t="s">
        <v>208</v>
      </c>
      <c r="U543" s="1055"/>
      <c r="V543" s="1055"/>
      <c r="W543" s="1145"/>
      <c r="X543" s="1146"/>
      <c r="Y543" s="1055"/>
      <c r="Z543" s="1055"/>
      <c r="AA543" s="1138"/>
      <c r="AB543" s="1055"/>
      <c r="AC543" s="1139"/>
      <c r="AD543" s="1139"/>
      <c r="AE543" s="525">
        <f t="shared" si="17"/>
        <v>495600</v>
      </c>
      <c r="AF543" s="525">
        <v>0</v>
      </c>
      <c r="AG543" s="525">
        <v>0</v>
      </c>
      <c r="AH543" s="1139">
        <f t="shared" si="18"/>
        <v>0</v>
      </c>
      <c r="AI543" s="1055"/>
      <c r="AJ543" s="1064"/>
      <c r="AK543" s="1055"/>
      <c r="AL543" s="1133"/>
      <c r="AM543" s="1055"/>
      <c r="AN543" s="1055"/>
      <c r="AO543" s="1064"/>
      <c r="AP543" s="1137"/>
      <c r="AQ543" s="1064"/>
      <c r="AR543" s="1137"/>
      <c r="AS543" s="1055"/>
      <c r="AT543" s="1133"/>
      <c r="AU543" s="1134"/>
      <c r="AV543" s="1134"/>
      <c r="AW543" s="1055"/>
      <c r="AX543" s="1133"/>
      <c r="AY543" s="1134"/>
      <c r="AZ543" s="1133"/>
      <c r="BA543" s="1133"/>
      <c r="BB543" s="1133"/>
      <c r="BC543" s="1133"/>
      <c r="BD543" s="1133"/>
      <c r="BE543" s="546"/>
      <c r="BF543" s="1480"/>
      <c r="BG543" s="1480"/>
      <c r="BH543" s="1480"/>
      <c r="BI543" s="1480"/>
      <c r="BJ543" s="1480"/>
    </row>
    <row r="544" spans="1:62" s="629" customFormat="1" ht="66" customHeight="1" x14ac:dyDescent="0.2">
      <c r="A544" s="2365">
        <v>260</v>
      </c>
      <c r="B544" s="2361" t="s">
        <v>4702</v>
      </c>
      <c r="C544" s="2023" t="s">
        <v>967</v>
      </c>
      <c r="D544" s="2023" t="s">
        <v>4703</v>
      </c>
      <c r="E544" s="2023" t="s">
        <v>584</v>
      </c>
      <c r="F544" s="2023" t="s">
        <v>4704</v>
      </c>
      <c r="G544" s="2006">
        <v>10986</v>
      </c>
      <c r="H544" s="2367" t="s">
        <v>4705</v>
      </c>
      <c r="I544" s="2023" t="s">
        <v>4706</v>
      </c>
      <c r="J544" s="2023" t="s">
        <v>4657</v>
      </c>
      <c r="K544" s="2347">
        <v>41435</v>
      </c>
      <c r="L544" s="2343">
        <v>1827431.92</v>
      </c>
      <c r="M544" s="2006">
        <v>11076</v>
      </c>
      <c r="N544" s="2347">
        <v>41435</v>
      </c>
      <c r="O544" s="2347">
        <v>41645</v>
      </c>
      <c r="P544" s="2367" t="s">
        <v>3905</v>
      </c>
      <c r="Q544" s="2023"/>
      <c r="R544" s="2023"/>
      <c r="S544" s="2023"/>
      <c r="T544" s="2023" t="s">
        <v>1438</v>
      </c>
      <c r="U544" s="1055"/>
      <c r="V544" s="1055"/>
      <c r="W544" s="1145"/>
      <c r="X544" s="1146"/>
      <c r="Y544" s="1055"/>
      <c r="Z544" s="1055"/>
      <c r="AA544" s="1138"/>
      <c r="AB544" s="1055"/>
      <c r="AC544" s="1139"/>
      <c r="AD544" s="1139"/>
      <c r="AE544" s="1155"/>
      <c r="AF544" s="1155">
        <f>120970.11+18928.11</f>
        <v>139898.22</v>
      </c>
      <c r="AG544" s="1150">
        <v>95111.96</v>
      </c>
      <c r="AH544" s="1139">
        <f t="shared" si="18"/>
        <v>235010.18</v>
      </c>
      <c r="AI544" s="1138"/>
      <c r="AJ544" s="1064"/>
      <c r="AK544" s="1055"/>
      <c r="AL544" s="1133"/>
      <c r="AM544" s="1055"/>
      <c r="AN544" s="1055"/>
      <c r="AO544" s="1064"/>
      <c r="AP544" s="1137"/>
      <c r="AQ544" s="1064"/>
      <c r="AR544" s="2347"/>
      <c r="AS544" s="2023" t="s">
        <v>4707</v>
      </c>
      <c r="AT544" s="2355" t="s">
        <v>4631</v>
      </c>
      <c r="AU544" s="42">
        <v>41435</v>
      </c>
      <c r="AV544" s="42">
        <v>41585</v>
      </c>
      <c r="AW544" s="2364">
        <f>(AH544+AH549+AH550)/AE550</f>
        <v>0.42292838704512076</v>
      </c>
      <c r="AX544" s="2355"/>
      <c r="AY544" s="2352">
        <v>41435</v>
      </c>
      <c r="AZ544" s="2355" t="s">
        <v>1464</v>
      </c>
      <c r="BA544" s="2355" t="s">
        <v>1458</v>
      </c>
      <c r="BB544" s="2355"/>
      <c r="BC544" s="2355"/>
      <c r="BD544" s="2355"/>
      <c r="BE544" s="1480"/>
      <c r="BF544" s="1480"/>
      <c r="BG544" s="1480"/>
      <c r="BH544" s="1480"/>
      <c r="BI544" s="1480"/>
      <c r="BJ544" s="1480"/>
    </row>
    <row r="545" spans="1:62" s="629" customFormat="1" ht="31.5" customHeight="1" x14ac:dyDescent="0.2">
      <c r="A545" s="2365"/>
      <c r="B545" s="2361"/>
      <c r="C545" s="2023"/>
      <c r="D545" s="2023"/>
      <c r="E545" s="2023"/>
      <c r="F545" s="2023"/>
      <c r="G545" s="2006"/>
      <c r="H545" s="2367"/>
      <c r="I545" s="2023"/>
      <c r="J545" s="2023"/>
      <c r="K545" s="2347"/>
      <c r="L545" s="2343"/>
      <c r="M545" s="2006"/>
      <c r="N545" s="2347"/>
      <c r="O545" s="2347"/>
      <c r="P545" s="2367"/>
      <c r="Q545" s="2023"/>
      <c r="R545" s="2023"/>
      <c r="S545" s="2023"/>
      <c r="T545" s="2023"/>
      <c r="U545" s="1146" t="s">
        <v>3972</v>
      </c>
      <c r="V545" s="1137">
        <v>41582</v>
      </c>
      <c r="W545" s="1064">
        <v>11180</v>
      </c>
      <c r="X545" s="1146" t="s">
        <v>4708</v>
      </c>
      <c r="Y545" s="1137">
        <v>41645</v>
      </c>
      <c r="Z545" s="1137">
        <v>41857</v>
      </c>
      <c r="AA545" s="1138"/>
      <c r="AB545" s="1055"/>
      <c r="AC545" s="1139"/>
      <c r="AD545" s="1139"/>
      <c r="AE545" s="1155"/>
      <c r="AF545" s="525">
        <v>0</v>
      </c>
      <c r="AG545" s="525">
        <v>0</v>
      </c>
      <c r="AH545" s="1139">
        <f t="shared" si="18"/>
        <v>0</v>
      </c>
      <c r="AI545" s="1138"/>
      <c r="AJ545" s="1064"/>
      <c r="AK545" s="1055"/>
      <c r="AL545" s="1133"/>
      <c r="AM545" s="1055"/>
      <c r="AN545" s="1055"/>
      <c r="AO545" s="1064"/>
      <c r="AP545" s="1137"/>
      <c r="AQ545" s="1064"/>
      <c r="AR545" s="2347"/>
      <c r="AS545" s="2023"/>
      <c r="AT545" s="2355"/>
      <c r="AU545" s="42">
        <v>41951</v>
      </c>
      <c r="AV545" s="42">
        <v>41736</v>
      </c>
      <c r="AW545" s="2378"/>
      <c r="AX545" s="2355"/>
      <c r="AY545" s="2355"/>
      <c r="AZ545" s="2355"/>
      <c r="BA545" s="2355"/>
      <c r="BB545" s="2355"/>
      <c r="BC545" s="2355"/>
      <c r="BD545" s="2355"/>
      <c r="BE545" s="1480"/>
      <c r="BF545" s="1480"/>
      <c r="BG545" s="1480"/>
      <c r="BH545" s="1480"/>
      <c r="BI545" s="1480"/>
      <c r="BJ545" s="1480"/>
    </row>
    <row r="546" spans="1:62" s="629" customFormat="1" ht="31.5" customHeight="1" x14ac:dyDescent="0.2">
      <c r="A546" s="2365"/>
      <c r="B546" s="2361"/>
      <c r="C546" s="2023"/>
      <c r="D546" s="2023"/>
      <c r="E546" s="2023"/>
      <c r="F546" s="2023"/>
      <c r="G546" s="2006"/>
      <c r="H546" s="2367"/>
      <c r="I546" s="2023"/>
      <c r="J546" s="2023"/>
      <c r="K546" s="2347"/>
      <c r="L546" s="2343"/>
      <c r="M546" s="2006"/>
      <c r="N546" s="2347"/>
      <c r="O546" s="2347"/>
      <c r="P546" s="2367"/>
      <c r="Q546" s="2023"/>
      <c r="R546" s="2023"/>
      <c r="S546" s="2023"/>
      <c r="T546" s="2023"/>
      <c r="U546" s="1146" t="s">
        <v>3928</v>
      </c>
      <c r="V546" s="1137">
        <v>41599</v>
      </c>
      <c r="W546" s="1064">
        <v>11367</v>
      </c>
      <c r="X546" s="1146" t="s">
        <v>4709</v>
      </c>
      <c r="Y546" s="1137"/>
      <c r="Z546" s="547"/>
      <c r="AA546" s="1138"/>
      <c r="AB546" s="1055"/>
      <c r="AC546" s="1139"/>
      <c r="AD546" s="1139"/>
      <c r="AE546" s="1155"/>
      <c r="AF546" s="525">
        <v>0</v>
      </c>
      <c r="AG546" s="525">
        <v>0</v>
      </c>
      <c r="AH546" s="1139">
        <f t="shared" si="18"/>
        <v>0</v>
      </c>
      <c r="AI546" s="1138"/>
      <c r="AJ546" s="1064"/>
      <c r="AK546" s="1055"/>
      <c r="AL546" s="1133"/>
      <c r="AM546" s="1055"/>
      <c r="AN546" s="1055"/>
      <c r="AO546" s="1064"/>
      <c r="AP546" s="1137"/>
      <c r="AQ546" s="1064"/>
      <c r="AR546" s="2347"/>
      <c r="AS546" s="2023"/>
      <c r="AT546" s="2355"/>
      <c r="AU546" s="40"/>
      <c r="AV546" s="40"/>
      <c r="AW546" s="2378"/>
      <c r="AX546" s="2355"/>
      <c r="AY546" s="2355"/>
      <c r="AZ546" s="2355"/>
      <c r="BA546" s="2355"/>
      <c r="BB546" s="2355"/>
      <c r="BC546" s="2355"/>
      <c r="BD546" s="2355"/>
      <c r="BE546" s="1480"/>
      <c r="BF546" s="1480"/>
      <c r="BG546" s="1480"/>
      <c r="BH546" s="1480"/>
      <c r="BI546" s="1480"/>
      <c r="BJ546" s="1480"/>
    </row>
    <row r="547" spans="1:62" s="629" customFormat="1" ht="31.5" customHeight="1" x14ac:dyDescent="0.2">
      <c r="A547" s="2365"/>
      <c r="B547" s="2361"/>
      <c r="C547" s="2023"/>
      <c r="D547" s="2023"/>
      <c r="E547" s="2023"/>
      <c r="F547" s="2023"/>
      <c r="G547" s="2006"/>
      <c r="H547" s="2367"/>
      <c r="I547" s="2023"/>
      <c r="J547" s="2023"/>
      <c r="K547" s="2347"/>
      <c r="L547" s="2343"/>
      <c r="M547" s="2006"/>
      <c r="N547" s="2347"/>
      <c r="O547" s="2347"/>
      <c r="P547" s="2367"/>
      <c r="Q547" s="2023"/>
      <c r="R547" s="2023"/>
      <c r="S547" s="2023"/>
      <c r="T547" s="2023"/>
      <c r="U547" s="1146" t="s">
        <v>4710</v>
      </c>
      <c r="V547" s="1137">
        <v>41625</v>
      </c>
      <c r="W547" s="1064">
        <v>11367</v>
      </c>
      <c r="X547" s="1146" t="s">
        <v>4709</v>
      </c>
      <c r="Y547" s="1137"/>
      <c r="Z547" s="1137"/>
      <c r="AA547" s="1138"/>
      <c r="AB547" s="1055"/>
      <c r="AC547" s="1139"/>
      <c r="AD547" s="1139"/>
      <c r="AE547" s="1155"/>
      <c r="AF547" s="525">
        <v>0</v>
      </c>
      <c r="AG547" s="525">
        <v>0</v>
      </c>
      <c r="AH547" s="1139">
        <f t="shared" si="18"/>
        <v>0</v>
      </c>
      <c r="AI547" s="1138"/>
      <c r="AJ547" s="1064"/>
      <c r="AK547" s="1055"/>
      <c r="AL547" s="1133"/>
      <c r="AM547" s="1055"/>
      <c r="AN547" s="1055"/>
      <c r="AO547" s="1064"/>
      <c r="AP547" s="1137"/>
      <c r="AQ547" s="1064"/>
      <c r="AR547" s="2347"/>
      <c r="AS547" s="2023"/>
      <c r="AT547" s="2355"/>
      <c r="AU547" s="40"/>
      <c r="AV547" s="40"/>
      <c r="AW547" s="2378"/>
      <c r="AX547" s="2355"/>
      <c r="AY547" s="2355"/>
      <c r="AZ547" s="2355"/>
      <c r="BA547" s="2355"/>
      <c r="BB547" s="2355"/>
      <c r="BC547" s="2355"/>
      <c r="BD547" s="2355"/>
      <c r="BE547" s="1480"/>
      <c r="BF547" s="1480"/>
      <c r="BG547" s="1480"/>
      <c r="BH547" s="1480"/>
      <c r="BI547" s="1480"/>
      <c r="BJ547" s="1480"/>
    </row>
    <row r="548" spans="1:62" s="629" customFormat="1" ht="31.5" customHeight="1" x14ac:dyDescent="0.2">
      <c r="A548" s="2365"/>
      <c r="B548" s="2361"/>
      <c r="C548" s="2023"/>
      <c r="D548" s="2023"/>
      <c r="E548" s="2023"/>
      <c r="F548" s="2023"/>
      <c r="G548" s="2006"/>
      <c r="H548" s="2367"/>
      <c r="I548" s="2023"/>
      <c r="J548" s="2023"/>
      <c r="K548" s="2347"/>
      <c r="L548" s="2343"/>
      <c r="M548" s="2006"/>
      <c r="N548" s="2347"/>
      <c r="O548" s="2347"/>
      <c r="P548" s="2367"/>
      <c r="Q548" s="2023"/>
      <c r="R548" s="2023"/>
      <c r="S548" s="2023"/>
      <c r="T548" s="2023"/>
      <c r="U548" s="1146" t="s">
        <v>3989</v>
      </c>
      <c r="V548" s="1137">
        <v>41682</v>
      </c>
      <c r="W548" s="1064">
        <v>11253</v>
      </c>
      <c r="X548" s="1146" t="s">
        <v>3929</v>
      </c>
      <c r="Y548" s="1137">
        <v>41682</v>
      </c>
      <c r="Z548" s="1137"/>
      <c r="AA548" s="1138">
        <f>AC548/L544</f>
        <v>2.0340484147830799E-2</v>
      </c>
      <c r="AB548" s="1055"/>
      <c r="AC548" s="1139">
        <v>37170.85</v>
      </c>
      <c r="AD548" s="1139"/>
      <c r="AE548" s="1155">
        <f>AC548+L544</f>
        <v>1864602.77</v>
      </c>
      <c r="AF548" s="525">
        <v>0</v>
      </c>
      <c r="AG548" s="525">
        <v>0</v>
      </c>
      <c r="AH548" s="1139">
        <f t="shared" si="18"/>
        <v>0</v>
      </c>
      <c r="AI548" s="1138"/>
      <c r="AJ548" s="1064"/>
      <c r="AK548" s="1055"/>
      <c r="AL548" s="1133"/>
      <c r="AM548" s="1055"/>
      <c r="AN548" s="1055"/>
      <c r="AO548" s="1064"/>
      <c r="AP548" s="1137"/>
      <c r="AQ548" s="1064"/>
      <c r="AR548" s="2347"/>
      <c r="AS548" s="2023"/>
      <c r="AT548" s="2355"/>
      <c r="AU548" s="40"/>
      <c r="AV548" s="40"/>
      <c r="AW548" s="2378"/>
      <c r="AX548" s="2355"/>
      <c r="AY548" s="2355"/>
      <c r="AZ548" s="2355"/>
      <c r="BA548" s="2355"/>
      <c r="BB548" s="2355"/>
      <c r="BC548" s="2355"/>
      <c r="BD548" s="2355"/>
      <c r="BE548" s="1480"/>
      <c r="BF548" s="1480"/>
      <c r="BG548" s="1480"/>
      <c r="BH548" s="1480"/>
      <c r="BI548" s="1480"/>
      <c r="BJ548" s="1480"/>
    </row>
    <row r="549" spans="1:62" s="629" customFormat="1" ht="31.5" customHeight="1" x14ac:dyDescent="0.2">
      <c r="A549" s="2365"/>
      <c r="B549" s="2361"/>
      <c r="C549" s="2023"/>
      <c r="D549" s="2023"/>
      <c r="E549" s="2023"/>
      <c r="F549" s="2023"/>
      <c r="G549" s="2006"/>
      <c r="H549" s="2367"/>
      <c r="I549" s="2023"/>
      <c r="J549" s="2023"/>
      <c r="K549" s="2347"/>
      <c r="L549" s="2343"/>
      <c r="M549" s="2006"/>
      <c r="N549" s="2347"/>
      <c r="O549" s="2347"/>
      <c r="P549" s="1146" t="s">
        <v>3961</v>
      </c>
      <c r="Q549" s="2023"/>
      <c r="R549" s="2023"/>
      <c r="S549" s="2023"/>
      <c r="T549" s="2023"/>
      <c r="U549" s="1146" t="s">
        <v>4711</v>
      </c>
      <c r="V549" s="1134">
        <v>41792</v>
      </c>
      <c r="W549" s="1145">
        <v>11441</v>
      </c>
      <c r="X549" s="1146" t="s">
        <v>4708</v>
      </c>
      <c r="Y549" s="1134">
        <v>41858</v>
      </c>
      <c r="Z549" s="1134">
        <v>42079</v>
      </c>
      <c r="AA549" s="1138"/>
      <c r="AB549" s="1055"/>
      <c r="AC549" s="1139"/>
      <c r="AD549" s="1139"/>
      <c r="AE549" s="1155"/>
      <c r="AF549" s="1155">
        <f>35681.45+70248.11</f>
        <v>105929.56</v>
      </c>
      <c r="AG549" s="1150">
        <f>57919.96+67546.46+92716.69+69357.91+78412.16</f>
        <v>365953.18000000005</v>
      </c>
      <c r="AH549" s="1139">
        <f t="shared" si="18"/>
        <v>471882.74000000005</v>
      </c>
      <c r="AI549" s="1138"/>
      <c r="AJ549" s="1064"/>
      <c r="AK549" s="1055"/>
      <c r="AL549" s="1133"/>
      <c r="AM549" s="1055"/>
      <c r="AN549" s="1055"/>
      <c r="AO549" s="1064"/>
      <c r="AP549" s="1137"/>
      <c r="AQ549" s="1064"/>
      <c r="AR549" s="2347"/>
      <c r="AS549" s="2023"/>
      <c r="AT549" s="2355"/>
      <c r="AU549" s="42">
        <v>41736</v>
      </c>
      <c r="AV549" s="42">
        <v>41751</v>
      </c>
      <c r="AW549" s="2378"/>
      <c r="AX549" s="2355"/>
      <c r="AY549" s="2355"/>
      <c r="AZ549" s="2355"/>
      <c r="BA549" s="2355"/>
      <c r="BB549" s="2355"/>
      <c r="BC549" s="2355"/>
      <c r="BD549" s="2355"/>
      <c r="BE549" s="1480"/>
      <c r="BF549" s="1480"/>
      <c r="BG549" s="1480"/>
      <c r="BH549" s="1480"/>
      <c r="BI549" s="1480"/>
      <c r="BJ549" s="1480"/>
    </row>
    <row r="550" spans="1:62" s="629" customFormat="1" ht="39.75" customHeight="1" x14ac:dyDescent="0.2">
      <c r="A550" s="2365"/>
      <c r="B550" s="2361"/>
      <c r="C550" s="2023"/>
      <c r="D550" s="2023"/>
      <c r="E550" s="2023"/>
      <c r="F550" s="2023"/>
      <c r="G550" s="2006"/>
      <c r="H550" s="2367"/>
      <c r="I550" s="2023"/>
      <c r="J550" s="2023"/>
      <c r="K550" s="2023"/>
      <c r="L550" s="2343"/>
      <c r="M550" s="2006"/>
      <c r="N550" s="2347"/>
      <c r="O550" s="2347"/>
      <c r="P550" s="1146" t="s">
        <v>4071</v>
      </c>
      <c r="Q550" s="2023"/>
      <c r="R550" s="2023"/>
      <c r="S550" s="2023"/>
      <c r="T550" s="2023"/>
      <c r="U550" s="1146" t="s">
        <v>4712</v>
      </c>
      <c r="V550" s="1137">
        <v>41842</v>
      </c>
      <c r="W550" s="1064">
        <v>11364</v>
      </c>
      <c r="X550" s="1146" t="s">
        <v>3929</v>
      </c>
      <c r="Y550" s="1137">
        <v>41842</v>
      </c>
      <c r="Z550" s="1137"/>
      <c r="AA550" s="1138">
        <f>AC550/L544</f>
        <v>0.1538141240304044</v>
      </c>
      <c r="AB550" s="1055"/>
      <c r="AC550" s="1139">
        <v>281084.84000000003</v>
      </c>
      <c r="AD550" s="1139"/>
      <c r="AE550" s="1155">
        <f>AE548+AC550</f>
        <v>2145687.61</v>
      </c>
      <c r="AF550" s="1155"/>
      <c r="AG550" s="1150">
        <f>159147.12+41432.16</f>
        <v>200579.28</v>
      </c>
      <c r="AH550" s="1139">
        <f t="shared" si="18"/>
        <v>200579.28</v>
      </c>
      <c r="AI550" s="1138"/>
      <c r="AJ550" s="1064"/>
      <c r="AK550" s="1055"/>
      <c r="AL550" s="1133"/>
      <c r="AM550" s="1055"/>
      <c r="AN550" s="1055"/>
      <c r="AO550" s="1064"/>
      <c r="AP550" s="1137"/>
      <c r="AQ550" s="1064"/>
      <c r="AR550" s="2347"/>
      <c r="AS550" s="2023"/>
      <c r="AT550" s="2355"/>
      <c r="AU550" s="40"/>
      <c r="AV550" s="40"/>
      <c r="AW550" s="2379"/>
      <c r="AX550" s="2355"/>
      <c r="AY550" s="2355"/>
      <c r="AZ550" s="2355"/>
      <c r="BA550" s="2355"/>
      <c r="BB550" s="2355"/>
      <c r="BC550" s="2355"/>
      <c r="BD550" s="2355"/>
      <c r="BE550" s="1480"/>
      <c r="BF550" s="1480"/>
      <c r="BG550" s="1480"/>
      <c r="BH550" s="1480"/>
      <c r="BI550" s="1480"/>
      <c r="BJ550" s="1480"/>
    </row>
    <row r="551" spans="1:62" s="629" customFormat="1" ht="36.75" customHeight="1" x14ac:dyDescent="0.2">
      <c r="A551" s="2365">
        <v>261</v>
      </c>
      <c r="B551" s="2361" t="s">
        <v>4702</v>
      </c>
      <c r="C551" s="2023" t="s">
        <v>967</v>
      </c>
      <c r="D551" s="2023" t="s">
        <v>4703</v>
      </c>
      <c r="E551" s="2023" t="s">
        <v>584</v>
      </c>
      <c r="F551" s="2023" t="s">
        <v>4713</v>
      </c>
      <c r="G551" s="2006">
        <v>10986</v>
      </c>
      <c r="H551" s="2367" t="s">
        <v>4714</v>
      </c>
      <c r="I551" s="2023" t="s">
        <v>4715</v>
      </c>
      <c r="J551" s="2023" t="s">
        <v>4716</v>
      </c>
      <c r="K551" s="2347">
        <v>41435</v>
      </c>
      <c r="L551" s="2343">
        <v>153920.95999999999</v>
      </c>
      <c r="M551" s="2006">
        <v>11076</v>
      </c>
      <c r="N551" s="2347">
        <v>41435</v>
      </c>
      <c r="O551" s="2347">
        <v>41524</v>
      </c>
      <c r="P551" s="2367" t="s">
        <v>3905</v>
      </c>
      <c r="Q551" s="2023"/>
      <c r="R551" s="2023"/>
      <c r="S551" s="2023"/>
      <c r="T551" s="2023" t="s">
        <v>1438</v>
      </c>
      <c r="U551" s="1146"/>
      <c r="V551" s="1055"/>
      <c r="W551" s="1145"/>
      <c r="X551" s="1146"/>
      <c r="Y551" s="1055"/>
      <c r="Z551" s="1055"/>
      <c r="AA551" s="1138"/>
      <c r="AB551" s="1055"/>
      <c r="AC551" s="1139"/>
      <c r="AD551" s="1139"/>
      <c r="AE551" s="1155"/>
      <c r="AF551" s="1155">
        <v>106522.55</v>
      </c>
      <c r="AG551" s="1139">
        <v>32375.99</v>
      </c>
      <c r="AH551" s="1139">
        <f t="shared" si="18"/>
        <v>138898.54</v>
      </c>
      <c r="AI551" s="1138"/>
      <c r="AJ551" s="1064"/>
      <c r="AK551" s="1055"/>
      <c r="AL551" s="1133"/>
      <c r="AM551" s="1055"/>
      <c r="AN551" s="1055"/>
      <c r="AO551" s="1064"/>
      <c r="AP551" s="1137"/>
      <c r="AQ551" s="1064"/>
      <c r="AR551" s="1137"/>
      <c r="AS551" s="2023" t="s">
        <v>4707</v>
      </c>
      <c r="AT551" s="2355" t="s">
        <v>4631</v>
      </c>
      <c r="AU551" s="42">
        <v>41435</v>
      </c>
      <c r="AV551" s="42">
        <v>41495</v>
      </c>
      <c r="AW551" s="2364">
        <f>(AH551:AH558)/AE558</f>
        <v>0.66941081397547841</v>
      </c>
      <c r="AX551" s="2355"/>
      <c r="AY551" s="2352">
        <v>41435</v>
      </c>
      <c r="AZ551" s="2355" t="s">
        <v>1464</v>
      </c>
      <c r="BA551" s="2355" t="s">
        <v>1458</v>
      </c>
      <c r="BB551" s="2355"/>
      <c r="BC551" s="2355"/>
      <c r="BD551" s="2355"/>
      <c r="BE551" s="1480"/>
      <c r="BF551" s="1480"/>
      <c r="BG551" s="1480"/>
      <c r="BH551" s="1480"/>
      <c r="BI551" s="1480"/>
      <c r="BJ551" s="1480"/>
    </row>
    <row r="552" spans="1:62" s="629" customFormat="1" ht="12.75" x14ac:dyDescent="0.2">
      <c r="A552" s="2365"/>
      <c r="B552" s="2361"/>
      <c r="C552" s="2023"/>
      <c r="D552" s="2023"/>
      <c r="E552" s="2023"/>
      <c r="F552" s="2023"/>
      <c r="G552" s="2006"/>
      <c r="H552" s="2367"/>
      <c r="I552" s="2023"/>
      <c r="J552" s="2023"/>
      <c r="K552" s="2347"/>
      <c r="L552" s="2343"/>
      <c r="M552" s="2006"/>
      <c r="N552" s="2347"/>
      <c r="O552" s="2347"/>
      <c r="P552" s="2367"/>
      <c r="Q552" s="2023"/>
      <c r="R552" s="2023"/>
      <c r="S552" s="2023"/>
      <c r="T552" s="2023"/>
      <c r="U552" s="1146" t="s">
        <v>3906</v>
      </c>
      <c r="V552" s="1137">
        <v>41487</v>
      </c>
      <c r="W552" s="1064">
        <v>11130</v>
      </c>
      <c r="X552" s="1146" t="s">
        <v>3933</v>
      </c>
      <c r="Y552" s="1137">
        <v>41525</v>
      </c>
      <c r="Z552" s="1137">
        <v>41615</v>
      </c>
      <c r="AA552" s="1138"/>
      <c r="AB552" s="1055"/>
      <c r="AC552" s="1139"/>
      <c r="AD552" s="1139"/>
      <c r="AE552" s="1155"/>
      <c r="AF552" s="525">
        <v>0</v>
      </c>
      <c r="AG552" s="525">
        <v>0</v>
      </c>
      <c r="AH552" s="1139">
        <f t="shared" si="18"/>
        <v>0</v>
      </c>
      <c r="AI552" s="1138"/>
      <c r="AJ552" s="1064"/>
      <c r="AK552" s="1055"/>
      <c r="AL552" s="1133"/>
      <c r="AM552" s="1055"/>
      <c r="AN552" s="1055"/>
      <c r="AO552" s="1064"/>
      <c r="AP552" s="1137"/>
      <c r="AQ552" s="1064"/>
      <c r="AR552" s="1137"/>
      <c r="AS552" s="2023"/>
      <c r="AT552" s="2355"/>
      <c r="AU552" s="42">
        <v>41495</v>
      </c>
      <c r="AV552" s="42">
        <v>41556</v>
      </c>
      <c r="AW552" s="2378"/>
      <c r="AX552" s="2355"/>
      <c r="AY552" s="2355"/>
      <c r="AZ552" s="2355"/>
      <c r="BA552" s="2355"/>
      <c r="BB552" s="2355"/>
      <c r="BC552" s="2355"/>
      <c r="BD552" s="2355"/>
      <c r="BE552" s="1480"/>
      <c r="BF552" s="1480"/>
      <c r="BG552" s="1480"/>
      <c r="BH552" s="1480"/>
      <c r="BI552" s="1480"/>
      <c r="BJ552" s="1480"/>
    </row>
    <row r="553" spans="1:62" s="629" customFormat="1" ht="12.75" x14ac:dyDescent="0.2">
      <c r="A553" s="2365"/>
      <c r="B553" s="2361"/>
      <c r="C553" s="2023"/>
      <c r="D553" s="2023"/>
      <c r="E553" s="2023"/>
      <c r="F553" s="2023"/>
      <c r="G553" s="2006"/>
      <c r="H553" s="2367"/>
      <c r="I553" s="2023"/>
      <c r="J553" s="2023"/>
      <c r="K553" s="2347"/>
      <c r="L553" s="2343"/>
      <c r="M553" s="2006"/>
      <c r="N553" s="2347"/>
      <c r="O553" s="2347"/>
      <c r="P553" s="2367"/>
      <c r="Q553" s="2023"/>
      <c r="R553" s="2023"/>
      <c r="S553" s="2023"/>
      <c r="T553" s="2023"/>
      <c r="U553" s="1146" t="s">
        <v>3891</v>
      </c>
      <c r="V553" s="1137">
        <v>41579</v>
      </c>
      <c r="W553" s="1064">
        <v>11231</v>
      </c>
      <c r="X553" s="1146" t="s">
        <v>3933</v>
      </c>
      <c r="Y553" s="1137">
        <v>41616</v>
      </c>
      <c r="Z553" s="1137">
        <v>41705</v>
      </c>
      <c r="AA553" s="1138"/>
      <c r="AB553" s="1055"/>
      <c r="AC553" s="1139"/>
      <c r="AD553" s="1139"/>
      <c r="AE553" s="1155"/>
      <c r="AF553" s="525">
        <v>0</v>
      </c>
      <c r="AG553" s="525">
        <v>0</v>
      </c>
      <c r="AH553" s="1139">
        <f t="shared" si="18"/>
        <v>0</v>
      </c>
      <c r="AI553" s="1055"/>
      <c r="AJ553" s="1064"/>
      <c r="AK553" s="1055"/>
      <c r="AL553" s="1133"/>
      <c r="AM553" s="1055"/>
      <c r="AN553" s="1055"/>
      <c r="AO553" s="1064"/>
      <c r="AP553" s="1137"/>
      <c r="AQ553" s="1064"/>
      <c r="AR553" s="1137"/>
      <c r="AS553" s="2023"/>
      <c r="AT553" s="2355"/>
      <c r="AU553" s="42">
        <v>41557</v>
      </c>
      <c r="AV553" s="42">
        <v>41617</v>
      </c>
      <c r="AW553" s="2378"/>
      <c r="AX553" s="2355"/>
      <c r="AY553" s="2355"/>
      <c r="AZ553" s="2355"/>
      <c r="BA553" s="2355"/>
      <c r="BB553" s="2355"/>
      <c r="BC553" s="2355"/>
      <c r="BD553" s="2355"/>
      <c r="BE553" s="1480"/>
      <c r="BF553" s="1480"/>
      <c r="BG553" s="1480"/>
      <c r="BH553" s="1480"/>
      <c r="BI553" s="1480"/>
      <c r="BJ553" s="1480"/>
    </row>
    <row r="554" spans="1:62" s="629" customFormat="1" ht="25.5" x14ac:dyDescent="0.2">
      <c r="A554" s="2365"/>
      <c r="B554" s="2361"/>
      <c r="C554" s="2023"/>
      <c r="D554" s="2023"/>
      <c r="E554" s="2023"/>
      <c r="F554" s="2023"/>
      <c r="G554" s="2006"/>
      <c r="H554" s="2367"/>
      <c r="I554" s="2023"/>
      <c r="J554" s="2023"/>
      <c r="K554" s="2347"/>
      <c r="L554" s="2343"/>
      <c r="M554" s="2006"/>
      <c r="N554" s="2347"/>
      <c r="O554" s="2347"/>
      <c r="P554" s="2367"/>
      <c r="Q554" s="2023"/>
      <c r="R554" s="2023"/>
      <c r="S554" s="2023"/>
      <c r="T554" s="2023"/>
      <c r="U554" s="1146" t="s">
        <v>3928</v>
      </c>
      <c r="V554" s="1137">
        <v>41599</v>
      </c>
      <c r="W554" s="1064">
        <v>11367</v>
      </c>
      <c r="X554" s="1146" t="s">
        <v>4709</v>
      </c>
      <c r="Y554" s="1137"/>
      <c r="Z554" s="1137"/>
      <c r="AA554" s="1138"/>
      <c r="AB554" s="1055"/>
      <c r="AC554" s="1139"/>
      <c r="AD554" s="1139"/>
      <c r="AE554" s="1155"/>
      <c r="AF554" s="525">
        <v>0</v>
      </c>
      <c r="AG554" s="525">
        <v>0</v>
      </c>
      <c r="AH554" s="1139">
        <f t="shared" si="18"/>
        <v>0</v>
      </c>
      <c r="AI554" s="1055"/>
      <c r="AJ554" s="1064"/>
      <c r="AK554" s="1055"/>
      <c r="AL554" s="1133"/>
      <c r="AM554" s="1055"/>
      <c r="AN554" s="1055"/>
      <c r="AO554" s="1064"/>
      <c r="AP554" s="1137"/>
      <c r="AQ554" s="1064"/>
      <c r="AR554" s="1137"/>
      <c r="AS554" s="2023"/>
      <c r="AT554" s="2355"/>
      <c r="AU554" s="40"/>
      <c r="AV554" s="40"/>
      <c r="AW554" s="2378"/>
      <c r="AX554" s="2355"/>
      <c r="AY554" s="2355"/>
      <c r="AZ554" s="2355"/>
      <c r="BA554" s="2355"/>
      <c r="BB554" s="1133"/>
      <c r="BC554" s="1133"/>
      <c r="BD554" s="1133"/>
      <c r="BE554" s="1480"/>
      <c r="BF554" s="1480"/>
      <c r="BG554" s="1480"/>
      <c r="BH554" s="1480"/>
      <c r="BI554" s="1480"/>
      <c r="BJ554" s="1480"/>
    </row>
    <row r="555" spans="1:62" s="629" customFormat="1" ht="25.5" x14ac:dyDescent="0.2">
      <c r="A555" s="2365"/>
      <c r="B555" s="2361"/>
      <c r="C555" s="2023"/>
      <c r="D555" s="2023"/>
      <c r="E555" s="2023"/>
      <c r="F555" s="2023"/>
      <c r="G555" s="2006"/>
      <c r="H555" s="2367"/>
      <c r="I555" s="2023"/>
      <c r="J555" s="2023"/>
      <c r="K555" s="2347"/>
      <c r="L555" s="2343"/>
      <c r="M555" s="2006"/>
      <c r="N555" s="2347"/>
      <c r="O555" s="2347"/>
      <c r="P555" s="2367"/>
      <c r="Q555" s="2023"/>
      <c r="R555" s="2023"/>
      <c r="S555" s="2023"/>
      <c r="T555" s="2023"/>
      <c r="U555" s="1146" t="s">
        <v>4710</v>
      </c>
      <c r="V555" s="1137">
        <v>41625</v>
      </c>
      <c r="W555" s="1064">
        <v>11367</v>
      </c>
      <c r="X555" s="1146" t="s">
        <v>4709</v>
      </c>
      <c r="Y555" s="1137"/>
      <c r="Z555" s="1137"/>
      <c r="AA555" s="1138"/>
      <c r="AB555" s="1055"/>
      <c r="AC555" s="1139"/>
      <c r="AD555" s="1139"/>
      <c r="AE555" s="1155"/>
      <c r="AF555" s="525">
        <v>0</v>
      </c>
      <c r="AG555" s="525">
        <v>0</v>
      </c>
      <c r="AH555" s="1139">
        <f t="shared" si="18"/>
        <v>0</v>
      </c>
      <c r="AI555" s="1055"/>
      <c r="AJ555" s="1064"/>
      <c r="AK555" s="1055"/>
      <c r="AL555" s="1133"/>
      <c r="AM555" s="1055"/>
      <c r="AN555" s="1055"/>
      <c r="AO555" s="1064"/>
      <c r="AP555" s="1137"/>
      <c r="AQ555" s="1064"/>
      <c r="AR555" s="1137"/>
      <c r="AS555" s="2023"/>
      <c r="AT555" s="2355"/>
      <c r="AU555" s="40"/>
      <c r="AV555" s="40"/>
      <c r="AW555" s="2378"/>
      <c r="AX555" s="2355"/>
      <c r="AY555" s="2355"/>
      <c r="AZ555" s="2355"/>
      <c r="BA555" s="2355"/>
      <c r="BB555" s="1133"/>
      <c r="BC555" s="1133"/>
      <c r="BD555" s="1133"/>
      <c r="BE555" s="1480"/>
      <c r="BF555" s="1480"/>
      <c r="BG555" s="1480"/>
      <c r="BH555" s="1480"/>
      <c r="BI555" s="1480"/>
      <c r="BJ555" s="1480"/>
    </row>
    <row r="556" spans="1:62" s="629" customFormat="1" ht="12.75" x14ac:dyDescent="0.2">
      <c r="A556" s="2365"/>
      <c r="B556" s="2361"/>
      <c r="C556" s="2023"/>
      <c r="D556" s="2023"/>
      <c r="E556" s="2023"/>
      <c r="F556" s="2023"/>
      <c r="G556" s="2006"/>
      <c r="H556" s="2367"/>
      <c r="I556" s="2023"/>
      <c r="J556" s="2023"/>
      <c r="K556" s="2347"/>
      <c r="L556" s="2343"/>
      <c r="M556" s="2006"/>
      <c r="N556" s="2347"/>
      <c r="O556" s="2347"/>
      <c r="P556" s="2367"/>
      <c r="Q556" s="2023"/>
      <c r="R556" s="2023"/>
      <c r="S556" s="2023"/>
      <c r="T556" s="2023"/>
      <c r="U556" s="1146" t="s">
        <v>3908</v>
      </c>
      <c r="V556" s="1137">
        <v>41674</v>
      </c>
      <c r="W556" s="1064">
        <v>11283</v>
      </c>
      <c r="X556" s="1146" t="s">
        <v>3933</v>
      </c>
      <c r="Y556" s="1137">
        <v>41706</v>
      </c>
      <c r="Z556" s="1137">
        <v>41797</v>
      </c>
      <c r="AA556" s="1138"/>
      <c r="AB556" s="1055"/>
      <c r="AC556" s="1139"/>
      <c r="AD556" s="1139"/>
      <c r="AE556" s="1155"/>
      <c r="AF556" s="525">
        <v>0</v>
      </c>
      <c r="AG556" s="525">
        <v>0</v>
      </c>
      <c r="AH556" s="1139">
        <f t="shared" si="18"/>
        <v>0</v>
      </c>
      <c r="AI556" s="1055"/>
      <c r="AJ556" s="1064"/>
      <c r="AK556" s="1055"/>
      <c r="AL556" s="1133"/>
      <c r="AM556" s="1055"/>
      <c r="AN556" s="1055"/>
      <c r="AO556" s="1064"/>
      <c r="AP556" s="1137"/>
      <c r="AQ556" s="1064"/>
      <c r="AR556" s="1137"/>
      <c r="AS556" s="2023"/>
      <c r="AT556" s="2355"/>
      <c r="AU556" s="42">
        <v>41618</v>
      </c>
      <c r="AV556" s="42">
        <v>41678</v>
      </c>
      <c r="AW556" s="2378"/>
      <c r="AX556" s="2355"/>
      <c r="AY556" s="2355"/>
      <c r="AZ556" s="2355"/>
      <c r="BA556" s="2355"/>
      <c r="BB556" s="1133"/>
      <c r="BC556" s="1133"/>
      <c r="BD556" s="2355"/>
      <c r="BE556" s="1480"/>
      <c r="BF556" s="1480"/>
      <c r="BG556" s="1480"/>
      <c r="BH556" s="1480"/>
      <c r="BI556" s="1480"/>
      <c r="BJ556" s="1480"/>
    </row>
    <row r="557" spans="1:62" s="629" customFormat="1" ht="12.75" x14ac:dyDescent="0.2">
      <c r="A557" s="2365"/>
      <c r="B557" s="2361"/>
      <c r="C557" s="2023"/>
      <c r="D557" s="2023"/>
      <c r="E557" s="2023"/>
      <c r="F557" s="2023"/>
      <c r="G557" s="2006"/>
      <c r="H557" s="2367"/>
      <c r="I557" s="2023"/>
      <c r="J557" s="2023"/>
      <c r="K557" s="2347"/>
      <c r="L557" s="2343"/>
      <c r="M557" s="2006"/>
      <c r="N557" s="2347"/>
      <c r="O557" s="2347"/>
      <c r="P557" s="2367"/>
      <c r="Q557" s="2023"/>
      <c r="R557" s="2023"/>
      <c r="S557" s="2023"/>
      <c r="T557" s="2023"/>
      <c r="U557" s="1146" t="s">
        <v>3893</v>
      </c>
      <c r="V557" s="1137">
        <v>41729</v>
      </c>
      <c r="W557" s="1064">
        <v>11282</v>
      </c>
      <c r="X557" s="1146" t="s">
        <v>4717</v>
      </c>
      <c r="Y557" s="1137"/>
      <c r="Z557" s="1137"/>
      <c r="AA557" s="1138">
        <f>AC557/L551</f>
        <v>0.22766658939757137</v>
      </c>
      <c r="AB557" s="1055"/>
      <c r="AC557" s="1139">
        <v>35042.660000000003</v>
      </c>
      <c r="AD557" s="1139"/>
      <c r="AE557" s="1155">
        <f>AC557+L551</f>
        <v>188963.62</v>
      </c>
      <c r="AF557" s="525">
        <v>0</v>
      </c>
      <c r="AG557" s="525">
        <v>0</v>
      </c>
      <c r="AH557" s="1139">
        <f t="shared" si="18"/>
        <v>0</v>
      </c>
      <c r="AI557" s="1055"/>
      <c r="AJ557" s="1064"/>
      <c r="AK557" s="1055"/>
      <c r="AL557" s="1133"/>
      <c r="AM557" s="1055"/>
      <c r="AN557" s="1055"/>
      <c r="AO557" s="1064"/>
      <c r="AP557" s="1137"/>
      <c r="AQ557" s="1064"/>
      <c r="AR557" s="1137"/>
      <c r="AS557" s="2023"/>
      <c r="AT557" s="2355"/>
      <c r="AU557" s="40"/>
      <c r="AV557" s="40"/>
      <c r="AW557" s="2378"/>
      <c r="AX557" s="2355"/>
      <c r="AY557" s="2355"/>
      <c r="AZ557" s="2355"/>
      <c r="BA557" s="2355"/>
      <c r="BB557" s="1133"/>
      <c r="BC557" s="1133"/>
      <c r="BD557" s="2355"/>
      <c r="BE557" s="1480"/>
      <c r="BF557" s="1480"/>
      <c r="BG557" s="1480"/>
      <c r="BH557" s="1480"/>
      <c r="BI557" s="1480"/>
      <c r="BJ557" s="1480"/>
    </row>
    <row r="558" spans="1:62" s="629" customFormat="1" ht="25.5" x14ac:dyDescent="0.2">
      <c r="A558" s="2365"/>
      <c r="B558" s="2361"/>
      <c r="C558" s="2023"/>
      <c r="D558" s="2023"/>
      <c r="E558" s="2023"/>
      <c r="F558" s="2023"/>
      <c r="G558" s="2006"/>
      <c r="H558" s="2367"/>
      <c r="I558" s="2023"/>
      <c r="J558" s="2023"/>
      <c r="K558" s="2347"/>
      <c r="L558" s="2343"/>
      <c r="M558" s="2006"/>
      <c r="N558" s="2347"/>
      <c r="O558" s="2347"/>
      <c r="P558" s="2367"/>
      <c r="Q558" s="2023"/>
      <c r="R558" s="2023"/>
      <c r="S558" s="2023"/>
      <c r="T558" s="2023"/>
      <c r="U558" s="1146" t="s">
        <v>4712</v>
      </c>
      <c r="V558" s="1137">
        <v>41736</v>
      </c>
      <c r="W558" s="1064">
        <v>11283</v>
      </c>
      <c r="X558" s="1146" t="s">
        <v>3929</v>
      </c>
      <c r="Y558" s="1137"/>
      <c r="Z558" s="1137"/>
      <c r="AA558" s="1138">
        <f>AC558/AE557</f>
        <v>9.8061732729294665E-2</v>
      </c>
      <c r="AB558" s="1055"/>
      <c r="AC558" s="1139">
        <v>18530.099999999999</v>
      </c>
      <c r="AD558" s="1139"/>
      <c r="AE558" s="1155">
        <f>AE557+AC558</f>
        <v>207493.72</v>
      </c>
      <c r="AF558" s="525">
        <v>0</v>
      </c>
      <c r="AG558" s="525">
        <v>0</v>
      </c>
      <c r="AH558" s="1139">
        <f t="shared" si="18"/>
        <v>0</v>
      </c>
      <c r="AI558" s="1055"/>
      <c r="AJ558" s="1064"/>
      <c r="AK558" s="1055"/>
      <c r="AL558" s="1133"/>
      <c r="AM558" s="1055"/>
      <c r="AN558" s="1055"/>
      <c r="AO558" s="1064"/>
      <c r="AP558" s="1137"/>
      <c r="AQ558" s="1064"/>
      <c r="AR558" s="1137"/>
      <c r="AS558" s="2023"/>
      <c r="AT558" s="2355"/>
      <c r="AU558" s="40"/>
      <c r="AV558" s="40"/>
      <c r="AW558" s="2379"/>
      <c r="AX558" s="2355"/>
      <c r="AY558" s="2355"/>
      <c r="AZ558" s="2355"/>
      <c r="BA558" s="2355"/>
      <c r="BB558" s="1133"/>
      <c r="BC558" s="1133"/>
      <c r="BD558" s="2355"/>
      <c r="BE558" s="1480"/>
      <c r="BF558" s="1480"/>
      <c r="BG558" s="1480"/>
      <c r="BH558" s="1480"/>
      <c r="BI558" s="1480"/>
      <c r="BJ558" s="1480"/>
    </row>
    <row r="559" spans="1:62" s="629" customFormat="1" ht="33.75" customHeight="1" x14ac:dyDescent="0.2">
      <c r="A559" s="2365">
        <v>262</v>
      </c>
      <c r="B559" s="2361" t="s">
        <v>4718</v>
      </c>
      <c r="C559" s="2023" t="s">
        <v>975</v>
      </c>
      <c r="D559" s="2023" t="s">
        <v>4703</v>
      </c>
      <c r="E559" s="2023" t="s">
        <v>584</v>
      </c>
      <c r="F559" s="2023" t="s">
        <v>4719</v>
      </c>
      <c r="G559" s="2006">
        <v>11085</v>
      </c>
      <c r="H559" s="2367" t="s">
        <v>4720</v>
      </c>
      <c r="I559" s="2023" t="s">
        <v>4706</v>
      </c>
      <c r="J559" s="2023" t="s">
        <v>4657</v>
      </c>
      <c r="K559" s="2347">
        <v>41445</v>
      </c>
      <c r="L559" s="2343">
        <v>1789294.26</v>
      </c>
      <c r="M559" s="2006">
        <v>11076</v>
      </c>
      <c r="N559" s="2347">
        <v>41445</v>
      </c>
      <c r="O559" s="2347">
        <v>41655</v>
      </c>
      <c r="P559" s="1146" t="s">
        <v>4721</v>
      </c>
      <c r="Q559" s="2023"/>
      <c r="R559" s="2023"/>
      <c r="S559" s="2023"/>
      <c r="T559" s="2023" t="s">
        <v>1438</v>
      </c>
      <c r="U559" s="1055"/>
      <c r="V559" s="1055"/>
      <c r="W559" s="1145"/>
      <c r="X559" s="1146"/>
      <c r="Y559" s="1055"/>
      <c r="Z559" s="1055"/>
      <c r="AA559" s="1138"/>
      <c r="AB559" s="1055"/>
      <c r="AC559" s="1139"/>
      <c r="AD559" s="1139"/>
      <c r="AE559" s="1155"/>
      <c r="AF559" s="1155">
        <f>122521.74</f>
        <v>122521.74</v>
      </c>
      <c r="AG559" s="1139">
        <f>51368.62+37883.35</f>
        <v>89251.97</v>
      </c>
      <c r="AH559" s="1139">
        <f t="shared" si="18"/>
        <v>211773.71000000002</v>
      </c>
      <c r="AI559" s="1138"/>
      <c r="AJ559" s="1064"/>
      <c r="AK559" s="1055"/>
      <c r="AL559" s="1133"/>
      <c r="AM559" s="1055"/>
      <c r="AN559" s="1055"/>
      <c r="AO559" s="1064"/>
      <c r="AP559" s="1137"/>
      <c r="AQ559" s="1064"/>
      <c r="AR559" s="1137"/>
      <c r="AS559" s="2023" t="s">
        <v>4707</v>
      </c>
      <c r="AT559" s="2355" t="s">
        <v>4631</v>
      </c>
      <c r="AU559" s="42">
        <v>41445</v>
      </c>
      <c r="AV559" s="42">
        <v>41595</v>
      </c>
      <c r="AW559" s="2364">
        <f>(AH559:AH563)/AE563</f>
        <v>0.10187295512939334</v>
      </c>
      <c r="AX559" s="2355"/>
      <c r="AY559" s="2352">
        <v>41445</v>
      </c>
      <c r="AZ559" s="2355" t="s">
        <v>1464</v>
      </c>
      <c r="BA559" s="2355" t="s">
        <v>1458</v>
      </c>
      <c r="BB559" s="2355"/>
      <c r="BC559" s="2355"/>
      <c r="BD559" s="2355"/>
      <c r="BE559" s="1480"/>
      <c r="BF559" s="1480"/>
      <c r="BG559" s="1480"/>
      <c r="BH559" s="1480"/>
      <c r="BI559" s="1480"/>
      <c r="BJ559" s="1480"/>
    </row>
    <row r="560" spans="1:62" s="629" customFormat="1" ht="22.5" customHeight="1" x14ac:dyDescent="0.2">
      <c r="A560" s="2365"/>
      <c r="B560" s="2361"/>
      <c r="C560" s="2023"/>
      <c r="D560" s="2023"/>
      <c r="E560" s="2023"/>
      <c r="F560" s="2023"/>
      <c r="G560" s="2006"/>
      <c r="H560" s="2367"/>
      <c r="I560" s="2023"/>
      <c r="J560" s="2023"/>
      <c r="K560" s="2023"/>
      <c r="L560" s="2343"/>
      <c r="M560" s="2006"/>
      <c r="N560" s="2347"/>
      <c r="O560" s="2347"/>
      <c r="P560" s="1146" t="s">
        <v>3905</v>
      </c>
      <c r="Q560" s="2023"/>
      <c r="R560" s="2023"/>
      <c r="S560" s="2023"/>
      <c r="T560" s="2023"/>
      <c r="U560" s="1146" t="s">
        <v>3906</v>
      </c>
      <c r="V560" s="1137">
        <v>41584</v>
      </c>
      <c r="W560" s="1064">
        <v>11180</v>
      </c>
      <c r="X560" s="1146" t="s">
        <v>4722</v>
      </c>
      <c r="Y560" s="1137">
        <v>41656</v>
      </c>
      <c r="Z560" s="1137">
        <v>41806</v>
      </c>
      <c r="AA560" s="1138"/>
      <c r="AB560" s="1055"/>
      <c r="AC560" s="1139"/>
      <c r="AD560" s="1139"/>
      <c r="AE560" s="1155"/>
      <c r="AF560" s="1155">
        <f>201547.5</f>
        <v>201547.5</v>
      </c>
      <c r="AG560" s="525">
        <v>0</v>
      </c>
      <c r="AH560" s="1139">
        <f t="shared" si="18"/>
        <v>201547.5</v>
      </c>
      <c r="AI560" s="1138"/>
      <c r="AJ560" s="1064"/>
      <c r="AK560" s="1055"/>
      <c r="AL560" s="1133"/>
      <c r="AM560" s="1055"/>
      <c r="AN560" s="1055"/>
      <c r="AO560" s="1064"/>
      <c r="AP560" s="1137"/>
      <c r="AQ560" s="1064"/>
      <c r="AR560" s="1137"/>
      <c r="AS560" s="2023"/>
      <c r="AT560" s="2355"/>
      <c r="AU560" s="42">
        <v>41596</v>
      </c>
      <c r="AV560" s="42">
        <v>41746</v>
      </c>
      <c r="AW560" s="2378"/>
      <c r="AX560" s="2355"/>
      <c r="AY560" s="2355"/>
      <c r="AZ560" s="2355"/>
      <c r="BA560" s="2355"/>
      <c r="BB560" s="2355"/>
      <c r="BC560" s="2355"/>
      <c r="BD560" s="2355"/>
      <c r="BE560" s="1480"/>
      <c r="BF560" s="1480"/>
      <c r="BG560" s="1480"/>
      <c r="BH560" s="1480"/>
      <c r="BI560" s="1480"/>
      <c r="BJ560" s="1480"/>
    </row>
    <row r="561" spans="1:62" s="629" customFormat="1" ht="22.5" customHeight="1" x14ac:dyDescent="0.2">
      <c r="A561" s="2365"/>
      <c r="B561" s="2361"/>
      <c r="C561" s="2023"/>
      <c r="D561" s="2023"/>
      <c r="E561" s="2023"/>
      <c r="F561" s="2023"/>
      <c r="G561" s="2006"/>
      <c r="H561" s="2367"/>
      <c r="I561" s="2023"/>
      <c r="J561" s="2023"/>
      <c r="K561" s="2023"/>
      <c r="L561" s="2343"/>
      <c r="M561" s="2006"/>
      <c r="N561" s="2347"/>
      <c r="O561" s="2347"/>
      <c r="P561" s="1146" t="s">
        <v>3905</v>
      </c>
      <c r="Q561" s="2023"/>
      <c r="R561" s="2023"/>
      <c r="S561" s="2023"/>
      <c r="T561" s="2023"/>
      <c r="U561" s="1146" t="s">
        <v>3943</v>
      </c>
      <c r="V561" s="1137">
        <v>41599</v>
      </c>
      <c r="W561" s="1064">
        <v>11367</v>
      </c>
      <c r="X561" s="1146" t="s">
        <v>4709</v>
      </c>
      <c r="Y561" s="1137"/>
      <c r="Z561" s="1137"/>
      <c r="AA561" s="1138"/>
      <c r="AB561" s="1055"/>
      <c r="AC561" s="1139"/>
      <c r="AD561" s="1139"/>
      <c r="AE561" s="1155"/>
      <c r="AF561" s="525">
        <v>0</v>
      </c>
      <c r="AG561" s="525">
        <v>0</v>
      </c>
      <c r="AH561" s="1139">
        <f t="shared" si="18"/>
        <v>0</v>
      </c>
      <c r="AI561" s="1138"/>
      <c r="AJ561" s="1064"/>
      <c r="AK561" s="1055"/>
      <c r="AL561" s="1133"/>
      <c r="AM561" s="1055"/>
      <c r="AN561" s="1055"/>
      <c r="AO561" s="1064"/>
      <c r="AP561" s="1137"/>
      <c r="AQ561" s="1064"/>
      <c r="AR561" s="1137"/>
      <c r="AS561" s="2023"/>
      <c r="AT561" s="2355"/>
      <c r="AU561" s="40"/>
      <c r="AV561" s="40"/>
      <c r="AW561" s="2378"/>
      <c r="AX561" s="2355"/>
      <c r="AY561" s="2355"/>
      <c r="AZ561" s="2355"/>
      <c r="BA561" s="2355"/>
      <c r="BB561" s="2355"/>
      <c r="BC561" s="2355"/>
      <c r="BD561" s="2355"/>
      <c r="BE561" s="1480"/>
      <c r="BF561" s="1480"/>
      <c r="BG561" s="1480"/>
      <c r="BH561" s="1480"/>
      <c r="BI561" s="1480"/>
      <c r="BJ561" s="1480"/>
    </row>
    <row r="562" spans="1:62" s="629" customFormat="1" ht="22.5" customHeight="1" x14ac:dyDescent="0.2">
      <c r="A562" s="2365"/>
      <c r="B562" s="2361"/>
      <c r="C562" s="2023"/>
      <c r="D562" s="2023"/>
      <c r="E562" s="2023"/>
      <c r="F562" s="2023"/>
      <c r="G562" s="2006"/>
      <c r="H562" s="2367"/>
      <c r="I562" s="2023"/>
      <c r="J562" s="2023"/>
      <c r="K562" s="2023"/>
      <c r="L562" s="2343"/>
      <c r="M562" s="2006"/>
      <c r="N562" s="2347"/>
      <c r="O562" s="2347"/>
      <c r="P562" s="1146"/>
      <c r="Q562" s="2023"/>
      <c r="R562" s="2023"/>
      <c r="S562" s="2023"/>
      <c r="T562" s="2023"/>
      <c r="U562" s="1146" t="s">
        <v>4723</v>
      </c>
      <c r="V562" s="1137">
        <v>41625</v>
      </c>
      <c r="W562" s="1064">
        <v>11367</v>
      </c>
      <c r="X562" s="1146" t="s">
        <v>4709</v>
      </c>
      <c r="Y562" s="1137"/>
      <c r="Z562" s="1137"/>
      <c r="AA562" s="1138"/>
      <c r="AB562" s="1055"/>
      <c r="AC562" s="1139"/>
      <c r="AD562" s="1139"/>
      <c r="AE562" s="1155"/>
      <c r="AF562" s="525">
        <v>0</v>
      </c>
      <c r="AG562" s="525">
        <v>0</v>
      </c>
      <c r="AH562" s="1139">
        <f t="shared" si="18"/>
        <v>0</v>
      </c>
      <c r="AI562" s="1138"/>
      <c r="AJ562" s="1064"/>
      <c r="AK562" s="1055"/>
      <c r="AL562" s="1133"/>
      <c r="AM562" s="1055"/>
      <c r="AN562" s="1055"/>
      <c r="AO562" s="1064"/>
      <c r="AP562" s="1137"/>
      <c r="AQ562" s="1064"/>
      <c r="AR562" s="1137"/>
      <c r="AS562" s="2023"/>
      <c r="AT562" s="2355"/>
      <c r="AU562" s="40"/>
      <c r="AV562" s="40"/>
      <c r="AW562" s="2378"/>
      <c r="AX562" s="2355"/>
      <c r="AY562" s="2355"/>
      <c r="AZ562" s="2355"/>
      <c r="BA562" s="2355"/>
      <c r="BB562" s="2355"/>
      <c r="BC562" s="2355"/>
      <c r="BD562" s="2355"/>
      <c r="BE562" s="1480"/>
      <c r="BF562" s="1480"/>
      <c r="BG562" s="1480"/>
      <c r="BH562" s="1480"/>
      <c r="BI562" s="1480"/>
      <c r="BJ562" s="1480"/>
    </row>
    <row r="563" spans="1:62" s="629" customFormat="1" ht="22.5" customHeight="1" x14ac:dyDescent="0.2">
      <c r="A563" s="2365"/>
      <c r="B563" s="2361"/>
      <c r="C563" s="2023"/>
      <c r="D563" s="2023"/>
      <c r="E563" s="2023"/>
      <c r="F563" s="2023"/>
      <c r="G563" s="2006"/>
      <c r="H563" s="2367"/>
      <c r="I563" s="2023"/>
      <c r="J563" s="2023"/>
      <c r="K563" s="2023"/>
      <c r="L563" s="2343"/>
      <c r="M563" s="2006"/>
      <c r="N563" s="2347"/>
      <c r="O563" s="2347"/>
      <c r="P563" s="1146" t="s">
        <v>4071</v>
      </c>
      <c r="Q563" s="2023"/>
      <c r="R563" s="2023"/>
      <c r="S563" s="2023"/>
      <c r="T563" s="2023"/>
      <c r="U563" s="1146" t="s">
        <v>4724</v>
      </c>
      <c r="V563" s="1137">
        <v>41843</v>
      </c>
      <c r="W563" s="1064">
        <v>11364</v>
      </c>
      <c r="X563" s="1146" t="s">
        <v>4725</v>
      </c>
      <c r="Y563" s="1137"/>
      <c r="Z563" s="1137"/>
      <c r="AA563" s="1138">
        <f>AC563/L559</f>
        <v>0.1617999992913407</v>
      </c>
      <c r="AB563" s="1055"/>
      <c r="AC563" s="1139">
        <v>289507.81</v>
      </c>
      <c r="AD563" s="1139"/>
      <c r="AE563" s="1155">
        <f>AC563+L559</f>
        <v>2078802.07</v>
      </c>
      <c r="AF563" s="525">
        <v>0</v>
      </c>
      <c r="AG563" s="1139">
        <f>170232.43+128231.74+67913.23+80694.6+175290.65</f>
        <v>622362.65</v>
      </c>
      <c r="AH563" s="1139">
        <f t="shared" si="18"/>
        <v>622362.65</v>
      </c>
      <c r="AI563" s="1138"/>
      <c r="AJ563" s="1064"/>
      <c r="AK563" s="1055"/>
      <c r="AL563" s="1133"/>
      <c r="AM563" s="1055"/>
      <c r="AN563" s="1055"/>
      <c r="AO563" s="1064"/>
      <c r="AP563" s="1137"/>
      <c r="AQ563" s="1064"/>
      <c r="AR563" s="1137"/>
      <c r="AS563" s="2023"/>
      <c r="AT563" s="2355"/>
      <c r="AU563" s="40"/>
      <c r="AV563" s="40"/>
      <c r="AW563" s="2379"/>
      <c r="AX563" s="2355"/>
      <c r="AY563" s="2355"/>
      <c r="AZ563" s="2355"/>
      <c r="BA563" s="2355"/>
      <c r="BB563" s="2355"/>
      <c r="BC563" s="2355"/>
      <c r="BD563" s="2355"/>
      <c r="BE563" s="1480"/>
      <c r="BF563" s="1480"/>
      <c r="BG563" s="1480"/>
      <c r="BH563" s="1480"/>
      <c r="BI563" s="1480"/>
      <c r="BJ563" s="1480"/>
    </row>
    <row r="564" spans="1:62" s="629" customFormat="1" ht="32.25" customHeight="1" x14ac:dyDescent="0.2">
      <c r="A564" s="2365">
        <v>263</v>
      </c>
      <c r="B564" s="2366" t="s">
        <v>1631</v>
      </c>
      <c r="C564" s="2023" t="s">
        <v>993</v>
      </c>
      <c r="D564" s="2023" t="s">
        <v>4703</v>
      </c>
      <c r="E564" s="2023" t="s">
        <v>584</v>
      </c>
      <c r="F564" s="2023" t="s">
        <v>4726</v>
      </c>
      <c r="G564" s="2006">
        <v>10988</v>
      </c>
      <c r="H564" s="2367" t="s">
        <v>4727</v>
      </c>
      <c r="I564" s="2023" t="s">
        <v>3156</v>
      </c>
      <c r="J564" s="2023" t="s">
        <v>4657</v>
      </c>
      <c r="K564" s="2347">
        <v>41445</v>
      </c>
      <c r="L564" s="2343">
        <v>1929071.85</v>
      </c>
      <c r="M564" s="2006">
        <v>11078</v>
      </c>
      <c r="N564" s="2347">
        <v>41445</v>
      </c>
      <c r="O564" s="2347">
        <v>41655</v>
      </c>
      <c r="P564" s="2367" t="s">
        <v>3905</v>
      </c>
      <c r="Q564" s="2023"/>
      <c r="R564" s="2023"/>
      <c r="S564" s="2023"/>
      <c r="T564" s="2023" t="s">
        <v>1438</v>
      </c>
      <c r="U564" s="1146"/>
      <c r="V564" s="1055"/>
      <c r="W564" s="1133"/>
      <c r="X564" s="1146"/>
      <c r="Y564" s="1055"/>
      <c r="Z564" s="1055"/>
      <c r="AA564" s="1138"/>
      <c r="AB564" s="1055"/>
      <c r="AC564" s="1150"/>
      <c r="AD564" s="1139"/>
      <c r="AE564" s="1155"/>
      <c r="AF564" s="1155">
        <f>163523.89+2455.35+41085.4+26594.27+19577.48</f>
        <v>253236.39</v>
      </c>
      <c r="AG564" s="1139">
        <f>29984.03+47221.89+30708.49+221734.89+23276.79</f>
        <v>352926.09</v>
      </c>
      <c r="AH564" s="1139">
        <f t="shared" si="18"/>
        <v>606162.48</v>
      </c>
      <c r="AI564" s="1138"/>
      <c r="AJ564" s="1064"/>
      <c r="AK564" s="1055"/>
      <c r="AL564" s="1133"/>
      <c r="AM564" s="1055"/>
      <c r="AN564" s="1055"/>
      <c r="AO564" s="1064"/>
      <c r="AP564" s="1137"/>
      <c r="AQ564" s="1064"/>
      <c r="AR564" s="1137"/>
      <c r="AS564" s="2028" t="s">
        <v>4707</v>
      </c>
      <c r="AT564" s="2356" t="s">
        <v>4631</v>
      </c>
      <c r="AU564" s="42">
        <v>41445</v>
      </c>
      <c r="AV564" s="42">
        <v>41595</v>
      </c>
      <c r="AW564" s="2364">
        <f>(AH564:AH572)/AE571</f>
        <v>0.24339196392455667</v>
      </c>
      <c r="AX564" s="2356"/>
      <c r="AY564" s="2353">
        <v>41445</v>
      </c>
      <c r="AZ564" s="2356" t="s">
        <v>1464</v>
      </c>
      <c r="BA564" s="2356" t="s">
        <v>1458</v>
      </c>
      <c r="BB564" s="2355"/>
      <c r="BC564" s="2355"/>
      <c r="BD564" s="2355"/>
      <c r="BE564" s="1480"/>
      <c r="BF564" s="1480"/>
      <c r="BG564" s="1480"/>
      <c r="BH564" s="1480"/>
      <c r="BI564" s="1480"/>
      <c r="BJ564" s="1480"/>
    </row>
    <row r="565" spans="1:62" s="629" customFormat="1" ht="27" customHeight="1" x14ac:dyDescent="0.2">
      <c r="A565" s="2365"/>
      <c r="B565" s="2366"/>
      <c r="C565" s="2023"/>
      <c r="D565" s="2023"/>
      <c r="E565" s="2023"/>
      <c r="F565" s="2023"/>
      <c r="G565" s="2006"/>
      <c r="H565" s="2367"/>
      <c r="I565" s="2023"/>
      <c r="J565" s="2023"/>
      <c r="K565" s="2347"/>
      <c r="L565" s="2343"/>
      <c r="M565" s="2006"/>
      <c r="N565" s="2347"/>
      <c r="O565" s="2347"/>
      <c r="P565" s="2367"/>
      <c r="Q565" s="2023"/>
      <c r="R565" s="2023"/>
      <c r="S565" s="2023"/>
      <c r="T565" s="2023"/>
      <c r="U565" s="1146" t="s">
        <v>3906</v>
      </c>
      <c r="V565" s="1137">
        <v>41584</v>
      </c>
      <c r="W565" s="1064">
        <v>11180</v>
      </c>
      <c r="X565" s="1146" t="s">
        <v>4728</v>
      </c>
      <c r="Y565" s="1137">
        <v>41655</v>
      </c>
      <c r="Z565" s="1137">
        <v>41806</v>
      </c>
      <c r="AA565" s="1137"/>
      <c r="AB565" s="1055"/>
      <c r="AC565" s="1139"/>
      <c r="AD565" s="1139"/>
      <c r="AE565" s="1155"/>
      <c r="AF565" s="525">
        <v>0</v>
      </c>
      <c r="AG565" s="525">
        <v>0</v>
      </c>
      <c r="AH565" s="1139">
        <f t="shared" si="18"/>
        <v>0</v>
      </c>
      <c r="AI565" s="1138"/>
      <c r="AJ565" s="1064"/>
      <c r="AK565" s="1055"/>
      <c r="AL565" s="1133"/>
      <c r="AM565" s="1055"/>
      <c r="AN565" s="1055"/>
      <c r="AO565" s="1064"/>
      <c r="AP565" s="1137"/>
      <c r="AQ565" s="1064"/>
      <c r="AR565" s="1137"/>
      <c r="AS565" s="2029"/>
      <c r="AT565" s="2376"/>
      <c r="AU565" s="42">
        <v>41596</v>
      </c>
      <c r="AV565" s="42">
        <v>41746</v>
      </c>
      <c r="AW565" s="2378"/>
      <c r="AX565" s="2376"/>
      <c r="AY565" s="2380"/>
      <c r="AZ565" s="2376"/>
      <c r="BA565" s="2376"/>
      <c r="BB565" s="2355"/>
      <c r="BC565" s="2355"/>
      <c r="BD565" s="2355"/>
      <c r="BE565" s="1480"/>
      <c r="BF565" s="1480"/>
      <c r="BG565" s="1480"/>
      <c r="BH565" s="1480"/>
      <c r="BI565" s="1480"/>
      <c r="BJ565" s="1480"/>
    </row>
    <row r="566" spans="1:62" s="629" customFormat="1" ht="26.25" customHeight="1" x14ac:dyDescent="0.2">
      <c r="A566" s="2365"/>
      <c r="B566" s="2366"/>
      <c r="C566" s="2023"/>
      <c r="D566" s="2023"/>
      <c r="E566" s="2023"/>
      <c r="F566" s="2023"/>
      <c r="G566" s="2006"/>
      <c r="H566" s="2367"/>
      <c r="I566" s="2023"/>
      <c r="J566" s="2023"/>
      <c r="K566" s="2347"/>
      <c r="L566" s="2343"/>
      <c r="M566" s="2006"/>
      <c r="N566" s="2347"/>
      <c r="O566" s="2347"/>
      <c r="P566" s="1146" t="s">
        <v>4729</v>
      </c>
      <c r="Q566" s="2023"/>
      <c r="R566" s="2023"/>
      <c r="S566" s="2023"/>
      <c r="T566" s="2023"/>
      <c r="U566" s="1146" t="s">
        <v>3928</v>
      </c>
      <c r="V566" s="1137">
        <v>41599</v>
      </c>
      <c r="W566" s="1064">
        <v>11367</v>
      </c>
      <c r="X566" s="1146" t="s">
        <v>4730</v>
      </c>
      <c r="Y566" s="1137"/>
      <c r="Z566" s="1137"/>
      <c r="AA566" s="1055"/>
      <c r="AB566" s="1055"/>
      <c r="AC566" s="1139"/>
      <c r="AD566" s="1139"/>
      <c r="AE566" s="1155"/>
      <c r="AF566" s="525">
        <v>0</v>
      </c>
      <c r="AG566" s="525">
        <v>0</v>
      </c>
      <c r="AH566" s="1139">
        <f t="shared" si="18"/>
        <v>0</v>
      </c>
      <c r="AI566" s="1138"/>
      <c r="AJ566" s="1064"/>
      <c r="AK566" s="1055"/>
      <c r="AL566" s="1133"/>
      <c r="AM566" s="1055"/>
      <c r="AN566" s="1055"/>
      <c r="AO566" s="1064"/>
      <c r="AP566" s="1137"/>
      <c r="AQ566" s="1064"/>
      <c r="AR566" s="1137"/>
      <c r="AS566" s="2029"/>
      <c r="AT566" s="2376"/>
      <c r="AU566" s="40"/>
      <c r="AV566" s="40"/>
      <c r="AW566" s="2378"/>
      <c r="AX566" s="2376"/>
      <c r="AY566" s="2380"/>
      <c r="AZ566" s="2376"/>
      <c r="BA566" s="2376"/>
      <c r="BB566" s="2355"/>
      <c r="BC566" s="2355"/>
      <c r="BD566" s="2355"/>
      <c r="BE566" s="1480"/>
      <c r="BF566" s="1480"/>
      <c r="BG566" s="1480"/>
      <c r="BH566" s="1480"/>
      <c r="BI566" s="1480"/>
      <c r="BJ566" s="1480"/>
    </row>
    <row r="567" spans="1:62" s="629" customFormat="1" ht="26.25" customHeight="1" x14ac:dyDescent="0.2">
      <c r="A567" s="2365"/>
      <c r="B567" s="2366"/>
      <c r="C567" s="2023"/>
      <c r="D567" s="2023"/>
      <c r="E567" s="2023"/>
      <c r="F567" s="2023"/>
      <c r="G567" s="2006"/>
      <c r="H567" s="2367"/>
      <c r="I567" s="2023"/>
      <c r="J567" s="2023"/>
      <c r="K567" s="2347"/>
      <c r="L567" s="2343"/>
      <c r="M567" s="2006"/>
      <c r="N567" s="2347"/>
      <c r="O567" s="2347"/>
      <c r="P567" s="1146" t="s">
        <v>3961</v>
      </c>
      <c r="Q567" s="2023"/>
      <c r="R567" s="2023"/>
      <c r="S567" s="2023"/>
      <c r="T567" s="2023"/>
      <c r="U567" s="1146" t="s">
        <v>4710</v>
      </c>
      <c r="V567" s="1137">
        <v>41625</v>
      </c>
      <c r="W567" s="1064">
        <v>11367</v>
      </c>
      <c r="X567" s="1146" t="s">
        <v>4730</v>
      </c>
      <c r="Y567" s="1137"/>
      <c r="Z567" s="1137"/>
      <c r="AA567" s="1055"/>
      <c r="AB567" s="1055"/>
      <c r="AC567" s="1139"/>
      <c r="AD567" s="1139"/>
      <c r="AE567" s="1155"/>
      <c r="AF567" s="1155">
        <v>194469.49</v>
      </c>
      <c r="AG567" s="525">
        <v>0</v>
      </c>
      <c r="AH567" s="1139">
        <f t="shared" si="18"/>
        <v>194469.49</v>
      </c>
      <c r="AI567" s="1138"/>
      <c r="AJ567" s="1064"/>
      <c r="AK567" s="1055"/>
      <c r="AL567" s="1133"/>
      <c r="AM567" s="1055"/>
      <c r="AN567" s="1055"/>
      <c r="AO567" s="1064"/>
      <c r="AP567" s="1137"/>
      <c r="AQ567" s="1064"/>
      <c r="AR567" s="1137"/>
      <c r="AS567" s="2029"/>
      <c r="AT567" s="2376"/>
      <c r="AU567" s="40"/>
      <c r="AV567" s="40"/>
      <c r="AW567" s="2378"/>
      <c r="AX567" s="2376"/>
      <c r="AY567" s="2380"/>
      <c r="AZ567" s="2376"/>
      <c r="BA567" s="2376"/>
      <c r="BB567" s="2355"/>
      <c r="BC567" s="2355"/>
      <c r="BD567" s="2355"/>
      <c r="BE567" s="1480"/>
      <c r="BF567" s="1480"/>
      <c r="BG567" s="1480"/>
      <c r="BH567" s="1480"/>
      <c r="BI567" s="1480"/>
      <c r="BJ567" s="1480"/>
    </row>
    <row r="568" spans="1:62" s="629" customFormat="1" ht="12.75" x14ac:dyDescent="0.2">
      <c r="A568" s="2365"/>
      <c r="B568" s="2366"/>
      <c r="C568" s="2023"/>
      <c r="D568" s="2023"/>
      <c r="E568" s="2023"/>
      <c r="F568" s="2023"/>
      <c r="G568" s="2006"/>
      <c r="H568" s="2367"/>
      <c r="I568" s="2023"/>
      <c r="J568" s="2023"/>
      <c r="K568" s="2347"/>
      <c r="L568" s="2343"/>
      <c r="M568" s="2006"/>
      <c r="N568" s="2347"/>
      <c r="O568" s="2347"/>
      <c r="P568" s="1146" t="s">
        <v>4071</v>
      </c>
      <c r="Q568" s="2023"/>
      <c r="R568" s="2023"/>
      <c r="S568" s="2023"/>
      <c r="T568" s="2023"/>
      <c r="U568" s="1146" t="s">
        <v>3891</v>
      </c>
      <c r="V568" s="1137">
        <v>41631</v>
      </c>
      <c r="W568" s="1064">
        <v>11209</v>
      </c>
      <c r="X568" s="1146" t="s">
        <v>3922</v>
      </c>
      <c r="Y568" s="1137"/>
      <c r="Z568" s="1137"/>
      <c r="AA568" s="1138">
        <f>AC568/L564</f>
        <v>2.2339572266320717E-2</v>
      </c>
      <c r="AB568" s="1055"/>
      <c r="AC568" s="1139">
        <v>43094.64</v>
      </c>
      <c r="AD568" s="1139"/>
      <c r="AE568" s="2368">
        <f>AC568+L564</f>
        <v>1972166.49</v>
      </c>
      <c r="AF568" s="525">
        <v>0</v>
      </c>
      <c r="AG568" s="1150">
        <f>24666.34+80022.63+54732.61+120395.83+39428.33</f>
        <v>319245.74000000005</v>
      </c>
      <c r="AH568" s="1139">
        <f t="shared" si="18"/>
        <v>319245.74000000005</v>
      </c>
      <c r="AI568" s="1138"/>
      <c r="AJ568" s="1064"/>
      <c r="AK568" s="1055"/>
      <c r="AL568" s="1133"/>
      <c r="AM568" s="1055"/>
      <c r="AN568" s="1055"/>
      <c r="AO568" s="1064"/>
      <c r="AP568" s="1137"/>
      <c r="AQ568" s="1064"/>
      <c r="AR568" s="1137"/>
      <c r="AS568" s="2029"/>
      <c r="AT568" s="2376"/>
      <c r="AU568" s="40"/>
      <c r="AV568" s="40"/>
      <c r="AW568" s="2378"/>
      <c r="AX568" s="2376"/>
      <c r="AY568" s="2380"/>
      <c r="AZ568" s="2376"/>
      <c r="BA568" s="2376"/>
      <c r="BB568" s="2355"/>
      <c r="BC568" s="2355"/>
      <c r="BD568" s="2355"/>
      <c r="BE568" s="1480"/>
      <c r="BF568" s="1480"/>
      <c r="BG568" s="1480"/>
      <c r="BH568" s="1480"/>
      <c r="BI568" s="1480"/>
      <c r="BJ568" s="1480"/>
    </row>
    <row r="569" spans="1:62" s="629" customFormat="1" ht="12.75" x14ac:dyDescent="0.2">
      <c r="A569" s="2365"/>
      <c r="B569" s="2366"/>
      <c r="C569" s="2023"/>
      <c r="D569" s="2023"/>
      <c r="E569" s="2023"/>
      <c r="F569" s="2023"/>
      <c r="G569" s="2006"/>
      <c r="H569" s="2367"/>
      <c r="I569" s="2023"/>
      <c r="J569" s="2023"/>
      <c r="K569" s="2347"/>
      <c r="L569" s="2343"/>
      <c r="M569" s="2006"/>
      <c r="N569" s="2347"/>
      <c r="O569" s="2347"/>
      <c r="P569" s="1146"/>
      <c r="Q569" s="2023"/>
      <c r="R569" s="2023"/>
      <c r="S569" s="2023"/>
      <c r="T569" s="2023"/>
      <c r="U569" s="1146" t="s">
        <v>3892</v>
      </c>
      <c r="V569" s="1137">
        <v>41743</v>
      </c>
      <c r="W569" s="1064">
        <v>11500</v>
      </c>
      <c r="X569" s="1146" t="s">
        <v>4731</v>
      </c>
      <c r="Y569" s="1137">
        <v>41806</v>
      </c>
      <c r="Z569" s="1137">
        <v>42016</v>
      </c>
      <c r="AA569" s="1055"/>
      <c r="AB569" s="1055"/>
      <c r="AC569" s="1139"/>
      <c r="AD569" s="1139"/>
      <c r="AE569" s="2368"/>
      <c r="AF569" s="525">
        <v>0</v>
      </c>
      <c r="AG569" s="525">
        <v>0</v>
      </c>
      <c r="AH569" s="1139">
        <f t="shared" si="18"/>
        <v>0</v>
      </c>
      <c r="AI569" s="1138"/>
      <c r="AJ569" s="1064"/>
      <c r="AK569" s="1055"/>
      <c r="AL569" s="1133"/>
      <c r="AM569" s="1055"/>
      <c r="AN569" s="1055"/>
      <c r="AO569" s="1064"/>
      <c r="AP569" s="1137"/>
      <c r="AQ569" s="1064"/>
      <c r="AR569" s="1137"/>
      <c r="AS569" s="2029"/>
      <c r="AT569" s="2376"/>
      <c r="AU569" s="1134">
        <v>41747</v>
      </c>
      <c r="AV569" s="1134">
        <v>41895</v>
      </c>
      <c r="AW569" s="2378"/>
      <c r="AX569" s="2376"/>
      <c r="AY569" s="2380"/>
      <c r="AZ569" s="2376"/>
      <c r="BA569" s="2376"/>
      <c r="BB569" s="1133"/>
      <c r="BC569" s="1133"/>
      <c r="BD569" s="1133"/>
      <c r="BE569" s="1480"/>
      <c r="BF569" s="1480"/>
      <c r="BG569" s="1480"/>
      <c r="BH569" s="1480"/>
      <c r="BI569" s="1480"/>
      <c r="BJ569" s="1480"/>
    </row>
    <row r="570" spans="1:62" s="629" customFormat="1" ht="12.75" x14ac:dyDescent="0.2">
      <c r="A570" s="2365"/>
      <c r="B570" s="2366"/>
      <c r="C570" s="2023"/>
      <c r="D570" s="2023"/>
      <c r="E570" s="2023"/>
      <c r="F570" s="2023"/>
      <c r="G570" s="2006"/>
      <c r="H570" s="2367"/>
      <c r="I570" s="2023"/>
      <c r="J570" s="2023"/>
      <c r="K570" s="2347"/>
      <c r="L570" s="2343"/>
      <c r="M570" s="2006"/>
      <c r="N570" s="2347"/>
      <c r="O570" s="2347"/>
      <c r="P570" s="1146"/>
      <c r="Q570" s="2023"/>
      <c r="R570" s="2023"/>
      <c r="S570" s="2023"/>
      <c r="T570" s="2023"/>
      <c r="U570" s="1146" t="s">
        <v>3893</v>
      </c>
      <c r="V570" s="1137">
        <v>41800</v>
      </c>
      <c r="W570" s="1064">
        <v>11500</v>
      </c>
      <c r="X570" s="1146" t="s">
        <v>3922</v>
      </c>
      <c r="Y570" s="1137"/>
      <c r="Z570" s="1137"/>
      <c r="AA570" s="1138">
        <f>AC570/L564</f>
        <v>0.11494382129934663</v>
      </c>
      <c r="AB570" s="1055"/>
      <c r="AC570" s="1139">
        <v>221734.89</v>
      </c>
      <c r="AD570" s="1139"/>
      <c r="AE570" s="1155">
        <f>AE568+AC570</f>
        <v>2193901.38</v>
      </c>
      <c r="AF570" s="525">
        <v>0</v>
      </c>
      <c r="AG570" s="525">
        <v>0</v>
      </c>
      <c r="AH570" s="1139">
        <f t="shared" si="18"/>
        <v>0</v>
      </c>
      <c r="AI570" s="1138"/>
      <c r="AJ570" s="1064"/>
      <c r="AK570" s="1055"/>
      <c r="AL570" s="1133"/>
      <c r="AM570" s="1055"/>
      <c r="AN570" s="1055"/>
      <c r="AO570" s="1064"/>
      <c r="AP570" s="1137"/>
      <c r="AQ570" s="1064"/>
      <c r="AR570" s="1137"/>
      <c r="AS570" s="2029"/>
      <c r="AT570" s="2376"/>
      <c r="AU570" s="1133"/>
      <c r="AV570" s="1133"/>
      <c r="AW570" s="2378"/>
      <c r="AX570" s="2376"/>
      <c r="AY570" s="2380"/>
      <c r="AZ570" s="2376"/>
      <c r="BA570" s="2376"/>
      <c r="BB570" s="1133"/>
      <c r="BC570" s="1133"/>
      <c r="BD570" s="1133"/>
      <c r="BE570" s="1480"/>
      <c r="BF570" s="1480"/>
      <c r="BG570" s="1480"/>
      <c r="BH570" s="1480"/>
      <c r="BI570" s="1480"/>
      <c r="BJ570" s="1480"/>
    </row>
    <row r="571" spans="1:62" s="629" customFormat="1" ht="25.5" x14ac:dyDescent="0.2">
      <c r="A571" s="2365"/>
      <c r="B571" s="2366"/>
      <c r="C571" s="2023"/>
      <c r="D571" s="2023"/>
      <c r="E571" s="2023"/>
      <c r="F571" s="2023"/>
      <c r="G571" s="2006"/>
      <c r="H571" s="2367"/>
      <c r="I571" s="2023"/>
      <c r="J571" s="2023"/>
      <c r="K571" s="2347"/>
      <c r="L571" s="2343"/>
      <c r="M571" s="2006"/>
      <c r="N571" s="2347"/>
      <c r="O571" s="2347"/>
      <c r="P571" s="1146"/>
      <c r="Q571" s="2023"/>
      <c r="R571" s="2023"/>
      <c r="S571" s="2023"/>
      <c r="T571" s="2023"/>
      <c r="U571" s="1146" t="s">
        <v>4712</v>
      </c>
      <c r="V571" s="1137">
        <v>41843</v>
      </c>
      <c r="W571" s="1064">
        <v>11364</v>
      </c>
      <c r="X571" s="1146" t="s">
        <v>4732</v>
      </c>
      <c r="Y571" s="1137"/>
      <c r="Z571" s="1137"/>
      <c r="AA571" s="1138">
        <f>AC571/L564</f>
        <v>0.15374089358050608</v>
      </c>
      <c r="AB571" s="1055"/>
      <c r="AC571" s="1139">
        <v>296577.23</v>
      </c>
      <c r="AD571" s="1139"/>
      <c r="AE571" s="2368">
        <f>AE570+AC571</f>
        <v>2490478.61</v>
      </c>
      <c r="AF571" s="525">
        <v>0</v>
      </c>
      <c r="AG571" s="525">
        <v>0</v>
      </c>
      <c r="AH571" s="1139">
        <f t="shared" si="18"/>
        <v>0</v>
      </c>
      <c r="AI571" s="1138"/>
      <c r="AJ571" s="1064"/>
      <c r="AK571" s="1055"/>
      <c r="AL571" s="1133"/>
      <c r="AM571" s="1055"/>
      <c r="AN571" s="1055"/>
      <c r="AO571" s="1064"/>
      <c r="AP571" s="1137"/>
      <c r="AQ571" s="1064"/>
      <c r="AR571" s="1137"/>
      <c r="AS571" s="2029"/>
      <c r="AT571" s="2376"/>
      <c r="AU571" s="1133"/>
      <c r="AV571" s="1133"/>
      <c r="AW571" s="2378"/>
      <c r="AX571" s="2376"/>
      <c r="AY571" s="2380"/>
      <c r="AZ571" s="2376"/>
      <c r="BA571" s="2376"/>
      <c r="BB571" s="1133"/>
      <c r="BC571" s="1133"/>
      <c r="BD571" s="1133"/>
      <c r="BE571" s="1480"/>
      <c r="BF571" s="1480"/>
      <c r="BG571" s="1480"/>
      <c r="BH571" s="1480"/>
      <c r="BI571" s="1480"/>
      <c r="BJ571" s="1480"/>
    </row>
    <row r="572" spans="1:62" s="629" customFormat="1" ht="12.75" x14ac:dyDescent="0.2">
      <c r="A572" s="2365"/>
      <c r="B572" s="2366"/>
      <c r="C572" s="2023"/>
      <c r="D572" s="2023"/>
      <c r="E572" s="2023"/>
      <c r="F572" s="2023"/>
      <c r="G572" s="2006"/>
      <c r="H572" s="2367"/>
      <c r="I572" s="2023"/>
      <c r="J572" s="2023"/>
      <c r="K572" s="2347"/>
      <c r="L572" s="2343"/>
      <c r="M572" s="2006"/>
      <c r="N572" s="2347"/>
      <c r="O572" s="2347"/>
      <c r="P572" s="1146"/>
      <c r="Q572" s="2023"/>
      <c r="R572" s="2023"/>
      <c r="S572" s="2023"/>
      <c r="T572" s="2023"/>
      <c r="U572" s="1146" t="s">
        <v>3909</v>
      </c>
      <c r="V572" s="1137">
        <v>41892</v>
      </c>
      <c r="W572" s="1064">
        <v>11429</v>
      </c>
      <c r="X572" s="1146" t="s">
        <v>4733</v>
      </c>
      <c r="Y572" s="1137">
        <v>41896</v>
      </c>
      <c r="Z572" s="1137">
        <v>42046</v>
      </c>
      <c r="AA572" s="1138"/>
      <c r="AB572" s="1055"/>
      <c r="AC572" s="1139"/>
      <c r="AD572" s="1139"/>
      <c r="AE572" s="2368"/>
      <c r="AF572" s="1155">
        <v>56654.38</v>
      </c>
      <c r="AG572" s="525">
        <v>0</v>
      </c>
      <c r="AH572" s="1139">
        <f t="shared" si="18"/>
        <v>56654.38</v>
      </c>
      <c r="AI572" s="1138"/>
      <c r="AJ572" s="1064"/>
      <c r="AK572" s="1055"/>
      <c r="AL572" s="1133"/>
      <c r="AM572" s="1055"/>
      <c r="AN572" s="1055"/>
      <c r="AO572" s="1064"/>
      <c r="AP572" s="1137"/>
      <c r="AQ572" s="1064"/>
      <c r="AR572" s="1137"/>
      <c r="AS572" s="2030"/>
      <c r="AT572" s="2377"/>
      <c r="AU572" s="1134">
        <v>41896</v>
      </c>
      <c r="AV572" s="1134">
        <v>42046</v>
      </c>
      <c r="AW572" s="2379"/>
      <c r="AX572" s="2377"/>
      <c r="AY572" s="2381"/>
      <c r="AZ572" s="2377"/>
      <c r="BA572" s="2377"/>
      <c r="BB572" s="1133"/>
      <c r="BC572" s="1133"/>
      <c r="BD572" s="1133"/>
      <c r="BE572" s="1480"/>
      <c r="BF572" s="1480"/>
      <c r="BG572" s="1480"/>
      <c r="BH572" s="1480"/>
      <c r="BI572" s="1480"/>
      <c r="BJ572" s="1480"/>
    </row>
    <row r="573" spans="1:62" s="1574" customFormat="1" ht="37.5" customHeight="1" x14ac:dyDescent="0.2">
      <c r="A573" s="2365">
        <v>264</v>
      </c>
      <c r="B573" s="2366" t="s">
        <v>4734</v>
      </c>
      <c r="C573" s="2023" t="s">
        <v>1003</v>
      </c>
      <c r="D573" s="2023" t="s">
        <v>1884</v>
      </c>
      <c r="E573" s="2023" t="s">
        <v>3991</v>
      </c>
      <c r="F573" s="2023" t="s">
        <v>4735</v>
      </c>
      <c r="G573" s="2006">
        <v>11083</v>
      </c>
      <c r="H573" s="2367" t="s">
        <v>4736</v>
      </c>
      <c r="I573" s="2023" t="s">
        <v>4737</v>
      </c>
      <c r="J573" s="2023" t="s">
        <v>4738</v>
      </c>
      <c r="K573" s="2347">
        <v>41456</v>
      </c>
      <c r="L573" s="2343">
        <v>1815458.21</v>
      </c>
      <c r="M573" s="2006">
        <v>11083</v>
      </c>
      <c r="N573" s="2347">
        <v>41456</v>
      </c>
      <c r="O573" s="2347">
        <v>41301</v>
      </c>
      <c r="P573" s="2367" t="s">
        <v>3905</v>
      </c>
      <c r="Q573" s="2023"/>
      <c r="R573" s="2023"/>
      <c r="S573" s="2023"/>
      <c r="T573" s="2023" t="s">
        <v>1438</v>
      </c>
      <c r="U573" s="1146"/>
      <c r="V573" s="1137"/>
      <c r="W573" s="1064"/>
      <c r="X573" s="1146"/>
      <c r="Y573" s="1137"/>
      <c r="Z573" s="1137"/>
      <c r="AA573" s="1055"/>
      <c r="AB573" s="1055"/>
      <c r="AC573" s="1139"/>
      <c r="AD573" s="1139"/>
      <c r="AE573" s="2345">
        <f>L573-AD573+AC573</f>
        <v>1815458.21</v>
      </c>
      <c r="AF573" s="1155">
        <v>56654.38</v>
      </c>
      <c r="AG573" s="1139">
        <v>6833.91</v>
      </c>
      <c r="AH573" s="1139">
        <f t="shared" si="18"/>
        <v>63488.289999999994</v>
      </c>
      <c r="AI573" s="1138"/>
      <c r="AJ573" s="1064"/>
      <c r="AK573" s="1055"/>
      <c r="AL573" s="1133"/>
      <c r="AM573" s="1055"/>
      <c r="AN573" s="1055"/>
      <c r="AO573" s="1064"/>
      <c r="AP573" s="1137"/>
      <c r="AQ573" s="1064"/>
      <c r="AR573" s="1137"/>
      <c r="AS573" s="2028" t="s">
        <v>4707</v>
      </c>
      <c r="AT573" s="2356" t="s">
        <v>4631</v>
      </c>
      <c r="AU573" s="2352">
        <v>41456</v>
      </c>
      <c r="AV573" s="2352">
        <v>41606</v>
      </c>
      <c r="AW573" s="2364">
        <f>(AH573:AH575)/AE573</f>
        <v>3.4970945434210789E-2</v>
      </c>
      <c r="AX573" s="2355"/>
      <c r="AY573" s="2352"/>
      <c r="AZ573" s="2355"/>
      <c r="BA573" s="2355"/>
      <c r="BB573" s="2355"/>
      <c r="BC573" s="2355"/>
      <c r="BD573" s="2023"/>
    </row>
    <row r="574" spans="1:62" s="1574" customFormat="1" ht="30" customHeight="1" x14ac:dyDescent="0.2">
      <c r="A574" s="2365"/>
      <c r="B574" s="2366"/>
      <c r="C574" s="2023"/>
      <c r="D574" s="2023"/>
      <c r="E574" s="2023"/>
      <c r="F574" s="2023"/>
      <c r="G574" s="2006"/>
      <c r="H574" s="2367"/>
      <c r="I574" s="2023"/>
      <c r="J574" s="2023"/>
      <c r="K574" s="2347"/>
      <c r="L574" s="2343"/>
      <c r="M574" s="2006"/>
      <c r="N574" s="2347"/>
      <c r="O574" s="2347"/>
      <c r="P574" s="2367"/>
      <c r="Q574" s="2023"/>
      <c r="R574" s="2023"/>
      <c r="S574" s="2023"/>
      <c r="T574" s="2023"/>
      <c r="U574" s="1146"/>
      <c r="V574" s="1137"/>
      <c r="W574" s="1064"/>
      <c r="X574" s="1146"/>
      <c r="Y574" s="1137"/>
      <c r="Z574" s="1137"/>
      <c r="AA574" s="1055"/>
      <c r="AB574" s="1055"/>
      <c r="AC574" s="1139"/>
      <c r="AD574" s="1139"/>
      <c r="AE574" s="2346"/>
      <c r="AF574" s="525">
        <v>0</v>
      </c>
      <c r="AG574" s="525">
        <v>0</v>
      </c>
      <c r="AH574" s="1139">
        <f t="shared" si="18"/>
        <v>0</v>
      </c>
      <c r="AI574" s="1055"/>
      <c r="AJ574" s="1064"/>
      <c r="AK574" s="1055"/>
      <c r="AL574" s="1133"/>
      <c r="AM574" s="1055"/>
      <c r="AN574" s="1055"/>
      <c r="AO574" s="1064"/>
      <c r="AP574" s="1137"/>
      <c r="AQ574" s="1064"/>
      <c r="AR574" s="1137"/>
      <c r="AS574" s="2029"/>
      <c r="AT574" s="2376"/>
      <c r="AU574" s="2355"/>
      <c r="AV574" s="2355"/>
      <c r="AW574" s="2378"/>
      <c r="AX574" s="2355"/>
      <c r="AY574" s="2355"/>
      <c r="AZ574" s="2355"/>
      <c r="BA574" s="2355"/>
      <c r="BB574" s="2355"/>
      <c r="BC574" s="2355"/>
      <c r="BD574" s="2023"/>
    </row>
    <row r="575" spans="1:62" s="1574" customFormat="1" ht="30" customHeight="1" x14ac:dyDescent="0.2">
      <c r="A575" s="2365"/>
      <c r="B575" s="2366"/>
      <c r="C575" s="2023"/>
      <c r="D575" s="2023"/>
      <c r="E575" s="2023"/>
      <c r="F575" s="2023"/>
      <c r="G575" s="2006"/>
      <c r="H575" s="2367"/>
      <c r="I575" s="2023"/>
      <c r="J575" s="2023"/>
      <c r="K575" s="2347"/>
      <c r="L575" s="2343"/>
      <c r="M575" s="2006"/>
      <c r="N575" s="2347"/>
      <c r="O575" s="2347"/>
      <c r="P575" s="1146" t="s">
        <v>3961</v>
      </c>
      <c r="Q575" s="2023"/>
      <c r="R575" s="2023"/>
      <c r="S575" s="2023"/>
      <c r="T575" s="2023"/>
      <c r="U575" s="1146" t="s">
        <v>3906</v>
      </c>
      <c r="V575" s="1137">
        <v>41598</v>
      </c>
      <c r="W575" s="1064">
        <v>11189</v>
      </c>
      <c r="X575" s="1146" t="s">
        <v>4739</v>
      </c>
      <c r="Y575" s="1137">
        <v>41668</v>
      </c>
      <c r="Z575" s="1137">
        <v>41878</v>
      </c>
      <c r="AA575" s="1055"/>
      <c r="AB575" s="1055"/>
      <c r="AC575" s="1139"/>
      <c r="AD575" s="1139"/>
      <c r="AE575" s="2371"/>
      <c r="AF575" s="1155">
        <v>32882.21</v>
      </c>
      <c r="AG575" s="1139">
        <v>22102.66</v>
      </c>
      <c r="AH575" s="1139">
        <f t="shared" si="18"/>
        <v>54984.869999999995</v>
      </c>
      <c r="AI575" s="1055"/>
      <c r="AJ575" s="1064"/>
      <c r="AK575" s="1055"/>
      <c r="AL575" s="1133"/>
      <c r="AM575" s="1055"/>
      <c r="AN575" s="1055"/>
      <c r="AO575" s="1064"/>
      <c r="AP575" s="1137"/>
      <c r="AQ575" s="1064"/>
      <c r="AR575" s="1137"/>
      <c r="AS575" s="2030"/>
      <c r="AT575" s="2377"/>
      <c r="AU575" s="1134">
        <v>41607</v>
      </c>
      <c r="AV575" s="1134">
        <v>41757</v>
      </c>
      <c r="AW575" s="2379"/>
      <c r="AX575" s="1133"/>
      <c r="AY575" s="1133"/>
      <c r="AZ575" s="1133"/>
      <c r="BA575" s="1133"/>
      <c r="BB575" s="1133"/>
      <c r="BC575" s="1133"/>
      <c r="BD575" s="1055"/>
    </row>
    <row r="576" spans="1:62" s="629" customFormat="1" ht="27" customHeight="1" x14ac:dyDescent="0.2">
      <c r="A576" s="2365">
        <v>265</v>
      </c>
      <c r="B576" s="2366" t="s">
        <v>4740</v>
      </c>
      <c r="C576" s="2023"/>
      <c r="D576" s="2023" t="s">
        <v>4703</v>
      </c>
      <c r="E576" s="2023" t="s">
        <v>584</v>
      </c>
      <c r="F576" s="2023" t="s">
        <v>4741</v>
      </c>
      <c r="G576" s="2006">
        <v>11056</v>
      </c>
      <c r="H576" s="2367" t="s">
        <v>4742</v>
      </c>
      <c r="I576" s="2023" t="s">
        <v>4743</v>
      </c>
      <c r="J576" s="2023" t="s">
        <v>4744</v>
      </c>
      <c r="K576" s="2347">
        <v>41460</v>
      </c>
      <c r="L576" s="2343">
        <v>1717263.53</v>
      </c>
      <c r="M576" s="2006">
        <v>11085</v>
      </c>
      <c r="N576" s="2347">
        <v>41460</v>
      </c>
      <c r="O576" s="2347">
        <v>41670</v>
      </c>
      <c r="P576" s="1146"/>
      <c r="Q576" s="2023"/>
      <c r="R576" s="2023"/>
      <c r="S576" s="2023"/>
      <c r="T576" s="2023" t="s">
        <v>1438</v>
      </c>
      <c r="U576" s="1055"/>
      <c r="V576" s="1055"/>
      <c r="W576" s="1145"/>
      <c r="X576" s="1146"/>
      <c r="Y576" s="1055"/>
      <c r="Z576" s="1055"/>
      <c r="AA576" s="1138"/>
      <c r="AB576" s="1055"/>
      <c r="AC576" s="1139"/>
      <c r="AD576" s="1139"/>
      <c r="AE576" s="1155"/>
      <c r="AF576" s="1155">
        <v>409628.71</v>
      </c>
      <c r="AG576" s="525">
        <v>0</v>
      </c>
      <c r="AH576" s="1139">
        <f t="shared" si="18"/>
        <v>409628.71</v>
      </c>
      <c r="AI576" s="1138"/>
      <c r="AJ576" s="1064"/>
      <c r="AK576" s="1055"/>
      <c r="AL576" s="1133"/>
      <c r="AM576" s="1055"/>
      <c r="AN576" s="1055"/>
      <c r="AO576" s="1064"/>
      <c r="AP576" s="1137"/>
      <c r="AQ576" s="1064"/>
      <c r="AR576" s="1137"/>
      <c r="AS576" s="2023" t="s">
        <v>4707</v>
      </c>
      <c r="AT576" s="2355" t="s">
        <v>4631</v>
      </c>
      <c r="AU576" s="42">
        <v>41460</v>
      </c>
      <c r="AV576" s="42">
        <v>41610</v>
      </c>
      <c r="AW576" s="2364">
        <f>(AH576:AH582)/AE581</f>
        <v>0.20639898111350916</v>
      </c>
      <c r="AX576" s="2355"/>
      <c r="AY576" s="2352">
        <v>41460</v>
      </c>
      <c r="AZ576" s="2355" t="s">
        <v>1464</v>
      </c>
      <c r="BA576" s="2355" t="s">
        <v>1458</v>
      </c>
      <c r="BB576" s="2355"/>
      <c r="BC576" s="2355"/>
      <c r="BD576" s="2355"/>
      <c r="BE576" s="1480"/>
      <c r="BF576" s="1480"/>
      <c r="BG576" s="1480"/>
      <c r="BH576" s="1480"/>
      <c r="BI576" s="1480"/>
      <c r="BJ576" s="1480"/>
    </row>
    <row r="577" spans="1:62" s="629" customFormat="1" ht="26.25" customHeight="1" x14ac:dyDescent="0.2">
      <c r="A577" s="2365"/>
      <c r="B577" s="2366"/>
      <c r="C577" s="2023"/>
      <c r="D577" s="2023"/>
      <c r="E577" s="2023"/>
      <c r="F577" s="2023"/>
      <c r="G577" s="2006"/>
      <c r="H577" s="2367"/>
      <c r="I577" s="2023"/>
      <c r="J577" s="2023"/>
      <c r="K577" s="2347"/>
      <c r="L577" s="2343"/>
      <c r="M577" s="2006"/>
      <c r="N577" s="2347"/>
      <c r="O577" s="2347"/>
      <c r="P577" s="1146" t="s">
        <v>4721</v>
      </c>
      <c r="Q577" s="2023"/>
      <c r="R577" s="2023"/>
      <c r="S577" s="2023"/>
      <c r="T577" s="2023"/>
      <c r="U577" s="1146" t="s">
        <v>3906</v>
      </c>
      <c r="V577" s="1137">
        <v>41604</v>
      </c>
      <c r="W577" s="1064">
        <v>11189</v>
      </c>
      <c r="X577" s="1146" t="s">
        <v>4708</v>
      </c>
      <c r="Y577" s="1137">
        <v>41640</v>
      </c>
      <c r="Z577" s="1137">
        <v>41882</v>
      </c>
      <c r="AA577" s="1138"/>
      <c r="AB577" s="1055"/>
      <c r="AC577" s="1139"/>
      <c r="AD577" s="1139"/>
      <c r="AE577" s="1155"/>
      <c r="AF577" s="1155">
        <v>148161.79999999999</v>
      </c>
      <c r="AG577" s="1139">
        <v>288901.53000000003</v>
      </c>
      <c r="AH577" s="1139">
        <f t="shared" si="18"/>
        <v>437063.33</v>
      </c>
      <c r="AI577" s="1138"/>
      <c r="AJ577" s="1064"/>
      <c r="AK577" s="1055"/>
      <c r="AL577" s="1133"/>
      <c r="AM577" s="1055"/>
      <c r="AN577" s="1055"/>
      <c r="AO577" s="1064"/>
      <c r="AP577" s="1137"/>
      <c r="AQ577" s="1064"/>
      <c r="AR577" s="1137"/>
      <c r="AS577" s="2023"/>
      <c r="AT577" s="2355"/>
      <c r="AU577" s="42">
        <v>41611</v>
      </c>
      <c r="AV577" s="42">
        <v>41761</v>
      </c>
      <c r="AW577" s="2378"/>
      <c r="AX577" s="2355"/>
      <c r="AY577" s="2355"/>
      <c r="AZ577" s="2355"/>
      <c r="BA577" s="2355"/>
      <c r="BB577" s="2355"/>
      <c r="BC577" s="2355"/>
      <c r="BD577" s="2355"/>
      <c r="BE577" s="1480"/>
      <c r="BF577" s="1480"/>
      <c r="BG577" s="1480"/>
      <c r="BH577" s="1480"/>
      <c r="BI577" s="1480"/>
      <c r="BJ577" s="1480"/>
    </row>
    <row r="578" spans="1:62" s="629" customFormat="1" ht="26.25" customHeight="1" x14ac:dyDescent="0.2">
      <c r="A578" s="2365"/>
      <c r="B578" s="2366"/>
      <c r="C578" s="2023"/>
      <c r="D578" s="2023"/>
      <c r="E578" s="2023"/>
      <c r="F578" s="2023"/>
      <c r="G578" s="2006"/>
      <c r="H578" s="2367"/>
      <c r="I578" s="2023"/>
      <c r="J578" s="2023"/>
      <c r="K578" s="2347"/>
      <c r="L578" s="2343"/>
      <c r="M578" s="2006"/>
      <c r="N578" s="2347"/>
      <c r="O578" s="2347"/>
      <c r="P578" s="1146" t="s">
        <v>3905</v>
      </c>
      <c r="Q578" s="2023"/>
      <c r="R578" s="2023"/>
      <c r="S578" s="2023"/>
      <c r="T578" s="2023"/>
      <c r="U578" s="1146" t="s">
        <v>3928</v>
      </c>
      <c r="V578" s="1137">
        <v>41599</v>
      </c>
      <c r="W578" s="1064">
        <v>11367</v>
      </c>
      <c r="X578" s="1146" t="s">
        <v>4730</v>
      </c>
      <c r="Y578" s="1137"/>
      <c r="Z578" s="1137"/>
      <c r="AA578" s="1138"/>
      <c r="AB578" s="1055"/>
      <c r="AC578" s="1139"/>
      <c r="AD578" s="1139"/>
      <c r="AE578" s="1155"/>
      <c r="AF578" s="525">
        <v>0</v>
      </c>
      <c r="AG578" s="525">
        <v>0</v>
      </c>
      <c r="AH578" s="1139">
        <f t="shared" si="18"/>
        <v>0</v>
      </c>
      <c r="AI578" s="1138"/>
      <c r="AJ578" s="1064"/>
      <c r="AK578" s="1055"/>
      <c r="AL578" s="1133"/>
      <c r="AM578" s="1055"/>
      <c r="AN578" s="1055"/>
      <c r="AO578" s="1064"/>
      <c r="AP578" s="1137"/>
      <c r="AQ578" s="1064"/>
      <c r="AR578" s="1137"/>
      <c r="AS578" s="2023"/>
      <c r="AT578" s="2355"/>
      <c r="AU578" s="40"/>
      <c r="AV578" s="40"/>
      <c r="AW578" s="2378"/>
      <c r="AX578" s="2355"/>
      <c r="AY578" s="2355"/>
      <c r="AZ578" s="2355"/>
      <c r="BA578" s="2355"/>
      <c r="BB578" s="2355"/>
      <c r="BC578" s="2355"/>
      <c r="BD578" s="2355"/>
      <c r="BE578" s="1480"/>
      <c r="BF578" s="1480"/>
      <c r="BG578" s="1480"/>
      <c r="BH578" s="1480"/>
      <c r="BI578" s="1480"/>
      <c r="BJ578" s="1480"/>
    </row>
    <row r="579" spans="1:62" s="629" customFormat="1" ht="26.25" customHeight="1" x14ac:dyDescent="0.2">
      <c r="A579" s="2365"/>
      <c r="B579" s="2366"/>
      <c r="C579" s="2023"/>
      <c r="D579" s="2023"/>
      <c r="E579" s="2023"/>
      <c r="F579" s="2023"/>
      <c r="G579" s="2006"/>
      <c r="H579" s="2367"/>
      <c r="I579" s="2023"/>
      <c r="J579" s="2023"/>
      <c r="K579" s="2347"/>
      <c r="L579" s="2343"/>
      <c r="M579" s="2006"/>
      <c r="N579" s="2347"/>
      <c r="O579" s="2347"/>
      <c r="P579" s="2367" t="s">
        <v>4745</v>
      </c>
      <c r="Q579" s="2023"/>
      <c r="R579" s="2023"/>
      <c r="S579" s="2023"/>
      <c r="T579" s="2023"/>
      <c r="U579" s="1146" t="s">
        <v>4723</v>
      </c>
      <c r="V579" s="1137">
        <v>41625</v>
      </c>
      <c r="W579" s="1064">
        <v>11367</v>
      </c>
      <c r="X579" s="1146" t="s">
        <v>4730</v>
      </c>
      <c r="Y579" s="1137"/>
      <c r="Z579" s="1137"/>
      <c r="AA579" s="542"/>
      <c r="AB579" s="1055"/>
      <c r="AC579" s="1139"/>
      <c r="AD579" s="1139"/>
      <c r="AE579" s="1155"/>
      <c r="AF579" s="525">
        <v>0</v>
      </c>
      <c r="AG579" s="525">
        <v>0</v>
      </c>
      <c r="AH579" s="1139">
        <f t="shared" si="18"/>
        <v>0</v>
      </c>
      <c r="AI579" s="1138"/>
      <c r="AJ579" s="1064"/>
      <c r="AK579" s="1055"/>
      <c r="AL579" s="1133"/>
      <c r="AM579" s="1055"/>
      <c r="AN579" s="1055"/>
      <c r="AO579" s="1064"/>
      <c r="AP579" s="1137"/>
      <c r="AQ579" s="1064"/>
      <c r="AR579" s="1137"/>
      <c r="AS579" s="2023"/>
      <c r="AT579" s="2355"/>
      <c r="AU579" s="40"/>
      <c r="AV579" s="40"/>
      <c r="AW579" s="2378"/>
      <c r="AX579" s="2355"/>
      <c r="AY579" s="2355"/>
      <c r="AZ579" s="2355"/>
      <c r="BA579" s="2355"/>
      <c r="BB579" s="2355"/>
      <c r="BC579" s="2355"/>
      <c r="BD579" s="2355"/>
      <c r="BE579" s="1480"/>
      <c r="BF579" s="1480"/>
      <c r="BG579" s="1480"/>
      <c r="BH579" s="1480"/>
      <c r="BI579" s="1480"/>
      <c r="BJ579" s="1480"/>
    </row>
    <row r="580" spans="1:62" s="629" customFormat="1" ht="26.25" customHeight="1" x14ac:dyDescent="0.2">
      <c r="A580" s="2365"/>
      <c r="B580" s="2366"/>
      <c r="C580" s="2023"/>
      <c r="D580" s="2023"/>
      <c r="E580" s="2023"/>
      <c r="F580" s="2023"/>
      <c r="G580" s="2006"/>
      <c r="H580" s="2367"/>
      <c r="I580" s="2023"/>
      <c r="J580" s="2023"/>
      <c r="K580" s="2347"/>
      <c r="L580" s="2343"/>
      <c r="M580" s="2006"/>
      <c r="N580" s="2347"/>
      <c r="O580" s="2347"/>
      <c r="P580" s="2367"/>
      <c r="Q580" s="2023"/>
      <c r="R580" s="2023"/>
      <c r="S580" s="2023"/>
      <c r="T580" s="2023"/>
      <c r="U580" s="1146" t="s">
        <v>3891</v>
      </c>
      <c r="V580" s="1137">
        <v>41758</v>
      </c>
      <c r="W580" s="1064">
        <v>11333</v>
      </c>
      <c r="X580" s="1146" t="s">
        <v>4708</v>
      </c>
      <c r="Y580" s="1137">
        <v>41883</v>
      </c>
      <c r="Z580" s="1137">
        <v>42092</v>
      </c>
      <c r="AA580" s="1138"/>
      <c r="AB580" s="1055"/>
      <c r="AC580" s="1139"/>
      <c r="AD580" s="1139"/>
      <c r="AE580" s="1155"/>
      <c r="AF580" s="525">
        <v>0</v>
      </c>
      <c r="AG580" s="525">
        <v>0</v>
      </c>
      <c r="AH580" s="1139">
        <f t="shared" si="18"/>
        <v>0</v>
      </c>
      <c r="AI580" s="1138"/>
      <c r="AJ580" s="1064"/>
      <c r="AK580" s="1055"/>
      <c r="AL580" s="1133"/>
      <c r="AM580" s="1055"/>
      <c r="AN580" s="1055"/>
      <c r="AO580" s="1064"/>
      <c r="AP580" s="1137"/>
      <c r="AQ580" s="1064"/>
      <c r="AR580" s="1137"/>
      <c r="AS580" s="2023"/>
      <c r="AT580" s="2355"/>
      <c r="AU580" s="42">
        <v>41762</v>
      </c>
      <c r="AV580" s="42">
        <v>41912</v>
      </c>
      <c r="AW580" s="2378"/>
      <c r="AX580" s="2355"/>
      <c r="AY580" s="2355"/>
      <c r="AZ580" s="2355"/>
      <c r="BA580" s="2355"/>
      <c r="BB580" s="2355"/>
      <c r="BC580" s="2355"/>
      <c r="BD580" s="2355"/>
      <c r="BE580" s="1480"/>
      <c r="BF580" s="1480"/>
      <c r="BG580" s="1480"/>
      <c r="BH580" s="1480"/>
      <c r="BI580" s="1480"/>
      <c r="BJ580" s="1480"/>
    </row>
    <row r="581" spans="1:62" s="629" customFormat="1" ht="26.25" customHeight="1" x14ac:dyDescent="0.2">
      <c r="A581" s="2365"/>
      <c r="B581" s="2366"/>
      <c r="C581" s="2023"/>
      <c r="D581" s="2023"/>
      <c r="E581" s="2023"/>
      <c r="F581" s="2023"/>
      <c r="G581" s="2006"/>
      <c r="H581" s="2367"/>
      <c r="I581" s="2023"/>
      <c r="J581" s="2023"/>
      <c r="K581" s="2347"/>
      <c r="L581" s="2343"/>
      <c r="M581" s="2006"/>
      <c r="N581" s="2347"/>
      <c r="O581" s="2347"/>
      <c r="P581" s="1146" t="s">
        <v>3905</v>
      </c>
      <c r="Q581" s="2023"/>
      <c r="R581" s="2023"/>
      <c r="S581" s="2023"/>
      <c r="T581" s="2023"/>
      <c r="U581" s="1146" t="s">
        <v>4712</v>
      </c>
      <c r="V581" s="1134">
        <v>41792</v>
      </c>
      <c r="W581" s="1145">
        <v>11346</v>
      </c>
      <c r="X581" s="1146" t="s">
        <v>3929</v>
      </c>
      <c r="Y581" s="1137">
        <v>41792</v>
      </c>
      <c r="Z581" s="1137">
        <v>42092</v>
      </c>
      <c r="AA581" s="1138">
        <f>AC581/L576</f>
        <v>0.15570207212168535</v>
      </c>
      <c r="AB581" s="1055"/>
      <c r="AC581" s="1139">
        <v>267381.49</v>
      </c>
      <c r="AD581" s="1139"/>
      <c r="AE581" s="1155">
        <f>AC581+L576</f>
        <v>1984645.02</v>
      </c>
      <c r="AF581" s="1155">
        <v>261466.91</v>
      </c>
      <c r="AG581" s="1150">
        <f>269684.81+30421.55</f>
        <v>300106.36</v>
      </c>
      <c r="AH581" s="1139">
        <f t="shared" si="18"/>
        <v>561573.27</v>
      </c>
      <c r="AI581" s="1138"/>
      <c r="AJ581" s="1064"/>
      <c r="AK581" s="1055"/>
      <c r="AL581" s="1133"/>
      <c r="AM581" s="1055"/>
      <c r="AN581" s="1055"/>
      <c r="AO581" s="1064"/>
      <c r="AP581" s="1137"/>
      <c r="AQ581" s="1064"/>
      <c r="AR581" s="1137"/>
      <c r="AS581" s="2023"/>
      <c r="AT581" s="2355"/>
      <c r="AU581" s="40"/>
      <c r="AV581" s="40"/>
      <c r="AW581" s="2378"/>
      <c r="AX581" s="2355"/>
      <c r="AY581" s="2355"/>
      <c r="AZ581" s="2355"/>
      <c r="BA581" s="2355"/>
      <c r="BB581" s="2355"/>
      <c r="BC581" s="2355"/>
      <c r="BD581" s="2355"/>
      <c r="BE581" s="1480"/>
      <c r="BF581" s="1480"/>
      <c r="BG581" s="1480"/>
      <c r="BH581" s="1480"/>
      <c r="BI581" s="1480"/>
      <c r="BJ581" s="1480"/>
    </row>
    <row r="582" spans="1:62" s="629" customFormat="1" ht="26.25" customHeight="1" x14ac:dyDescent="0.2">
      <c r="A582" s="2365"/>
      <c r="B582" s="2366"/>
      <c r="C582" s="2023"/>
      <c r="D582" s="2023"/>
      <c r="E582" s="2023"/>
      <c r="F582" s="2023"/>
      <c r="G582" s="2006"/>
      <c r="H582" s="2367"/>
      <c r="I582" s="2023"/>
      <c r="J582" s="2023"/>
      <c r="K582" s="2347"/>
      <c r="L582" s="2343"/>
      <c r="M582" s="2006"/>
      <c r="N582" s="2347"/>
      <c r="O582" s="2347"/>
      <c r="P582" s="1146"/>
      <c r="Q582" s="1055"/>
      <c r="R582" s="1055"/>
      <c r="S582" s="1055"/>
      <c r="T582" s="1055"/>
      <c r="U582" s="1146" t="s">
        <v>3908</v>
      </c>
      <c r="V582" s="1134">
        <v>41934</v>
      </c>
      <c r="W582" s="1145">
        <v>11425</v>
      </c>
      <c r="X582" s="1146" t="s">
        <v>4746</v>
      </c>
      <c r="Y582" s="1137">
        <v>41915</v>
      </c>
      <c r="Z582" s="1137">
        <v>42064</v>
      </c>
      <c r="AA582" s="1138"/>
      <c r="AB582" s="1055"/>
      <c r="AC582" s="1139"/>
      <c r="AD582" s="1139"/>
      <c r="AE582" s="1155"/>
      <c r="AF582" s="525">
        <v>0</v>
      </c>
      <c r="AG582" s="525">
        <v>0</v>
      </c>
      <c r="AH582" s="1139">
        <f t="shared" si="18"/>
        <v>0</v>
      </c>
      <c r="AI582" s="1138"/>
      <c r="AJ582" s="1064"/>
      <c r="AK582" s="1055"/>
      <c r="AL582" s="1133"/>
      <c r="AM582" s="1055"/>
      <c r="AN582" s="1055"/>
      <c r="AO582" s="1064"/>
      <c r="AP582" s="1137"/>
      <c r="AQ582" s="1064"/>
      <c r="AR582" s="1137"/>
      <c r="AS582" s="1055"/>
      <c r="AT582" s="1133"/>
      <c r="AU582" s="1134">
        <v>41915</v>
      </c>
      <c r="AV582" s="1134">
        <v>42064</v>
      </c>
      <c r="AW582" s="2379"/>
      <c r="AX582" s="1133"/>
      <c r="AY582" s="1133"/>
      <c r="AZ582" s="1133"/>
      <c r="BA582" s="1133"/>
      <c r="BB582" s="1133"/>
      <c r="BC582" s="1133"/>
      <c r="BD582" s="1133"/>
      <c r="BE582" s="1480"/>
      <c r="BF582" s="1480"/>
      <c r="BG582" s="1480"/>
      <c r="BH582" s="1480"/>
      <c r="BI582" s="1480"/>
      <c r="BJ582" s="1480"/>
    </row>
    <row r="583" spans="1:62" s="629" customFormat="1" ht="32.25" customHeight="1" x14ac:dyDescent="0.2">
      <c r="A583" s="2365">
        <v>266</v>
      </c>
      <c r="B583" s="2366" t="s">
        <v>4747</v>
      </c>
      <c r="C583" s="2023" t="s">
        <v>2727</v>
      </c>
      <c r="D583" s="2023" t="s">
        <v>4703</v>
      </c>
      <c r="E583" s="2023" t="s">
        <v>584</v>
      </c>
      <c r="F583" s="2023" t="s">
        <v>4748</v>
      </c>
      <c r="G583" s="2006">
        <v>10988</v>
      </c>
      <c r="H583" s="2367" t="s">
        <v>4749</v>
      </c>
      <c r="I583" s="2023" t="s">
        <v>4743</v>
      </c>
      <c r="J583" s="2023" t="s">
        <v>4744</v>
      </c>
      <c r="K583" s="2347">
        <v>41464</v>
      </c>
      <c r="L583" s="2343">
        <v>1776451.21</v>
      </c>
      <c r="M583" s="2006">
        <v>11088</v>
      </c>
      <c r="N583" s="2347">
        <v>41464</v>
      </c>
      <c r="O583" s="2347">
        <v>41674</v>
      </c>
      <c r="P583" s="1146" t="s">
        <v>3905</v>
      </c>
      <c r="Q583" s="1055"/>
      <c r="R583" s="1055"/>
      <c r="S583" s="1055"/>
      <c r="T583" s="2023" t="s">
        <v>1438</v>
      </c>
      <c r="U583" s="1146" t="s">
        <v>3906</v>
      </c>
      <c r="V583" s="1137">
        <v>41604</v>
      </c>
      <c r="W583" s="1145">
        <v>11189</v>
      </c>
      <c r="X583" s="1146" t="s">
        <v>4750</v>
      </c>
      <c r="Y583" s="1137">
        <v>41675</v>
      </c>
      <c r="Z583" s="1137">
        <v>41886</v>
      </c>
      <c r="AA583" s="1138"/>
      <c r="AB583" s="1055"/>
      <c r="AC583" s="1139"/>
      <c r="AD583" s="1139"/>
      <c r="AE583" s="1155"/>
      <c r="AF583" s="1155">
        <v>229017.29</v>
      </c>
      <c r="AG583" s="1139">
        <f>34325.11+10540.43+94058.05</f>
        <v>138923.59</v>
      </c>
      <c r="AH583" s="1139">
        <f t="shared" si="18"/>
        <v>367940.88</v>
      </c>
      <c r="AI583" s="1138"/>
      <c r="AJ583" s="1064"/>
      <c r="AK583" s="1055"/>
      <c r="AL583" s="1133"/>
      <c r="AM583" s="1055"/>
      <c r="AN583" s="1055"/>
      <c r="AO583" s="1064"/>
      <c r="AP583" s="1137"/>
      <c r="AQ583" s="1064"/>
      <c r="AR583" s="1137"/>
      <c r="AS583" s="2023" t="s">
        <v>4707</v>
      </c>
      <c r="AT583" s="2355" t="s">
        <v>4631</v>
      </c>
      <c r="AU583" s="42">
        <v>41464</v>
      </c>
      <c r="AV583" s="42">
        <v>41614</v>
      </c>
      <c r="AW583" s="2364">
        <f>(AH583:AH586)/AE586</f>
        <v>0.18006322556065613</v>
      </c>
      <c r="AX583" s="2355"/>
      <c r="AY583" s="2352">
        <v>41464</v>
      </c>
      <c r="AZ583" s="2355" t="s">
        <v>1464</v>
      </c>
      <c r="BA583" s="2355" t="s">
        <v>1458</v>
      </c>
      <c r="BB583" s="2355"/>
      <c r="BC583" s="2355"/>
      <c r="BD583" s="2355"/>
      <c r="BE583" s="1480"/>
      <c r="BF583" s="1480"/>
      <c r="BG583" s="1480"/>
      <c r="BH583" s="1480"/>
      <c r="BI583" s="1480"/>
      <c r="BJ583" s="1480"/>
    </row>
    <row r="584" spans="1:62" s="629" customFormat="1" ht="32.25" customHeight="1" x14ac:dyDescent="0.2">
      <c r="A584" s="2365"/>
      <c r="B584" s="2366"/>
      <c r="C584" s="2023"/>
      <c r="D584" s="2023"/>
      <c r="E584" s="2023"/>
      <c r="F584" s="2023"/>
      <c r="G584" s="2006"/>
      <c r="H584" s="2367"/>
      <c r="I584" s="2023"/>
      <c r="J584" s="2023"/>
      <c r="K584" s="2347"/>
      <c r="L584" s="2343"/>
      <c r="M584" s="2006"/>
      <c r="N584" s="2347"/>
      <c r="O584" s="2347"/>
      <c r="P584" s="1146" t="s">
        <v>3961</v>
      </c>
      <c r="Q584" s="1055"/>
      <c r="R584" s="1055"/>
      <c r="S584" s="1055"/>
      <c r="T584" s="2023"/>
      <c r="U584" s="1146" t="s">
        <v>3928</v>
      </c>
      <c r="V584" s="1137">
        <v>41599</v>
      </c>
      <c r="W584" s="1145">
        <v>11367</v>
      </c>
      <c r="X584" s="1146" t="s">
        <v>4730</v>
      </c>
      <c r="Y584" s="1055"/>
      <c r="Z584" s="1055"/>
      <c r="AA584" s="1138"/>
      <c r="AB584" s="1055"/>
      <c r="AC584" s="1139"/>
      <c r="AD584" s="1139"/>
      <c r="AE584" s="1155"/>
      <c r="AF584" s="1155">
        <v>246348.26</v>
      </c>
      <c r="AG584" s="525">
        <v>0</v>
      </c>
      <c r="AH584" s="1139">
        <f t="shared" si="18"/>
        <v>246348.26</v>
      </c>
      <c r="AI584" s="1138"/>
      <c r="AJ584" s="1064"/>
      <c r="AK584" s="1055"/>
      <c r="AL584" s="1133"/>
      <c r="AM584" s="1055"/>
      <c r="AN584" s="1055"/>
      <c r="AO584" s="1064"/>
      <c r="AP584" s="1137"/>
      <c r="AQ584" s="1064"/>
      <c r="AR584" s="1137"/>
      <c r="AS584" s="2023"/>
      <c r="AT584" s="2355"/>
      <c r="AU584" s="42"/>
      <c r="AV584" s="42"/>
      <c r="AW584" s="2378"/>
      <c r="AX584" s="2355"/>
      <c r="AY584" s="2352"/>
      <c r="AZ584" s="2355"/>
      <c r="BA584" s="2355"/>
      <c r="BB584" s="2355"/>
      <c r="BC584" s="2355"/>
      <c r="BD584" s="2355"/>
      <c r="BE584" s="1480"/>
      <c r="BF584" s="1480"/>
      <c r="BG584" s="1480"/>
      <c r="BH584" s="1480"/>
      <c r="BI584" s="1480"/>
      <c r="BJ584" s="1480"/>
    </row>
    <row r="585" spans="1:62" s="629" customFormat="1" ht="32.25" customHeight="1" x14ac:dyDescent="0.2">
      <c r="A585" s="2365"/>
      <c r="B585" s="2366"/>
      <c r="C585" s="2023"/>
      <c r="D585" s="2023"/>
      <c r="E585" s="2023"/>
      <c r="F585" s="2023"/>
      <c r="G585" s="2006"/>
      <c r="H585" s="2367"/>
      <c r="I585" s="2023"/>
      <c r="J585" s="2023"/>
      <c r="K585" s="2347"/>
      <c r="L585" s="2343"/>
      <c r="M585" s="2006"/>
      <c r="N585" s="2347"/>
      <c r="O585" s="2347"/>
      <c r="P585" s="1146" t="s">
        <v>4751</v>
      </c>
      <c r="Q585" s="1055"/>
      <c r="R585" s="1055"/>
      <c r="S585" s="1055"/>
      <c r="T585" s="2023"/>
      <c r="U585" s="1146" t="s">
        <v>3891</v>
      </c>
      <c r="V585" s="1137">
        <v>41764</v>
      </c>
      <c r="W585" s="1145">
        <v>11327</v>
      </c>
      <c r="X585" s="1146" t="s">
        <v>4750</v>
      </c>
      <c r="Y585" s="1137">
        <v>41887</v>
      </c>
      <c r="Z585" s="1137">
        <v>42098</v>
      </c>
      <c r="AA585" s="1138"/>
      <c r="AB585" s="1055"/>
      <c r="AC585" s="1139"/>
      <c r="AD585" s="1139"/>
      <c r="AE585" s="1155"/>
      <c r="AF585" s="525">
        <v>0</v>
      </c>
      <c r="AG585" s="525">
        <v>0</v>
      </c>
      <c r="AH585" s="1139">
        <f t="shared" si="18"/>
        <v>0</v>
      </c>
      <c r="AI585" s="1138"/>
      <c r="AJ585" s="1064"/>
      <c r="AK585" s="1055"/>
      <c r="AL585" s="1133"/>
      <c r="AM585" s="1055"/>
      <c r="AN585" s="1055"/>
      <c r="AO585" s="1064"/>
      <c r="AP585" s="1137"/>
      <c r="AQ585" s="1064"/>
      <c r="AR585" s="1137"/>
      <c r="AS585" s="2023"/>
      <c r="AT585" s="2355"/>
      <c r="AU585" s="42">
        <v>41615</v>
      </c>
      <c r="AV585" s="42">
        <v>41765</v>
      </c>
      <c r="AW585" s="2378"/>
      <c r="AX585" s="2355"/>
      <c r="AY585" s="2352"/>
      <c r="AZ585" s="2355"/>
      <c r="BA585" s="2355"/>
      <c r="BB585" s="2355"/>
      <c r="BC585" s="2355"/>
      <c r="BD585" s="2355"/>
      <c r="BE585" s="1480"/>
      <c r="BF585" s="1480"/>
      <c r="BG585" s="1480"/>
      <c r="BH585" s="1480"/>
      <c r="BI585" s="1480"/>
      <c r="BJ585" s="1480"/>
    </row>
    <row r="586" spans="1:62" s="629" customFormat="1" ht="28.5" customHeight="1" x14ac:dyDescent="0.2">
      <c r="A586" s="2365"/>
      <c r="B586" s="2366"/>
      <c r="C586" s="2023"/>
      <c r="D586" s="2023"/>
      <c r="E586" s="2023"/>
      <c r="F586" s="2023"/>
      <c r="G586" s="2006"/>
      <c r="H586" s="2367"/>
      <c r="I586" s="2023"/>
      <c r="J586" s="2023"/>
      <c r="K586" s="2023"/>
      <c r="L586" s="2343"/>
      <c r="M586" s="2006"/>
      <c r="N586" s="2347"/>
      <c r="O586" s="2347"/>
      <c r="P586" s="1146" t="s">
        <v>3905</v>
      </c>
      <c r="Q586" s="1055"/>
      <c r="R586" s="1055"/>
      <c r="S586" s="1055"/>
      <c r="T586" s="2023"/>
      <c r="U586" s="1146" t="s">
        <v>4712</v>
      </c>
      <c r="V586" s="1137">
        <v>41792</v>
      </c>
      <c r="W586" s="1145">
        <v>11345</v>
      </c>
      <c r="X586" s="1146" t="s">
        <v>3929</v>
      </c>
      <c r="Y586" s="1137">
        <v>41792</v>
      </c>
      <c r="Z586" s="1137">
        <v>42098</v>
      </c>
      <c r="AA586" s="1138">
        <f>AC586/L583</f>
        <v>0.1502698405097205</v>
      </c>
      <c r="AB586" s="1055"/>
      <c r="AC586" s="1139">
        <v>266947.03999999998</v>
      </c>
      <c r="AD586" s="1139"/>
      <c r="AE586" s="1155">
        <f>AC586+L583</f>
        <v>2043398.25</v>
      </c>
      <c r="AF586" s="525">
        <v>0</v>
      </c>
      <c r="AG586" s="1139">
        <v>221843.17</v>
      </c>
      <c r="AH586" s="1139">
        <f t="shared" si="18"/>
        <v>221843.17</v>
      </c>
      <c r="AI586" s="1055"/>
      <c r="AJ586" s="1064"/>
      <c r="AK586" s="1055"/>
      <c r="AL586" s="1133"/>
      <c r="AM586" s="1055"/>
      <c r="AN586" s="1055"/>
      <c r="AO586" s="1064"/>
      <c r="AP586" s="1137"/>
      <c r="AQ586" s="1064"/>
      <c r="AR586" s="1137"/>
      <c r="AS586" s="2023"/>
      <c r="AT586" s="2355"/>
      <c r="AU586" s="42">
        <v>41766</v>
      </c>
      <c r="AV586" s="42">
        <v>41916</v>
      </c>
      <c r="AW586" s="2379"/>
      <c r="AX586" s="2355"/>
      <c r="AY586" s="2355"/>
      <c r="AZ586" s="2355"/>
      <c r="BA586" s="2355"/>
      <c r="BB586" s="2355"/>
      <c r="BC586" s="2355"/>
      <c r="BD586" s="2355"/>
      <c r="BE586" s="1480"/>
      <c r="BF586" s="1480"/>
      <c r="BG586" s="1480"/>
      <c r="BH586" s="1480"/>
      <c r="BI586" s="1480"/>
      <c r="BJ586" s="1480"/>
    </row>
    <row r="587" spans="1:62" s="629" customFormat="1" ht="66" customHeight="1" x14ac:dyDescent="0.2">
      <c r="A587" s="2365">
        <v>267</v>
      </c>
      <c r="B587" s="2366" t="s">
        <v>2259</v>
      </c>
      <c r="C587" s="2023" t="s">
        <v>1046</v>
      </c>
      <c r="D587" s="2023" t="s">
        <v>4703</v>
      </c>
      <c r="E587" s="2023" t="s">
        <v>584</v>
      </c>
      <c r="F587" s="2023" t="s">
        <v>4752</v>
      </c>
      <c r="G587" s="2006">
        <v>11086</v>
      </c>
      <c r="H587" s="2367" t="s">
        <v>3973</v>
      </c>
      <c r="I587" s="2023" t="s">
        <v>4753</v>
      </c>
      <c r="J587" s="2023" t="s">
        <v>1319</v>
      </c>
      <c r="K587" s="2347">
        <v>41464</v>
      </c>
      <c r="L587" s="2343">
        <v>1824558.03</v>
      </c>
      <c r="M587" s="2006">
        <v>11088</v>
      </c>
      <c r="N587" s="2347">
        <v>41464</v>
      </c>
      <c r="O587" s="2347">
        <f>N587+210</f>
        <v>41674</v>
      </c>
      <c r="P587" s="2367" t="s">
        <v>3905</v>
      </c>
      <c r="Q587" s="2023"/>
      <c r="R587" s="2023"/>
      <c r="S587" s="2023"/>
      <c r="T587" s="2023" t="s">
        <v>1438</v>
      </c>
      <c r="U587" s="1146"/>
      <c r="V587" s="1055"/>
      <c r="W587" s="1145"/>
      <c r="X587" s="1146"/>
      <c r="Y587" s="1055"/>
      <c r="Z587" s="1055"/>
      <c r="AA587" s="1138"/>
      <c r="AB587" s="1055"/>
      <c r="AC587" s="1139"/>
      <c r="AD587" s="1139"/>
      <c r="AE587" s="1155"/>
      <c r="AF587" s="1155">
        <f>115883.92+29901.45+60459.22</f>
        <v>206244.59</v>
      </c>
      <c r="AG587" s="1150">
        <f>13458.58+62858.82+31130.93+60282.66+57384.19+115604.16+32846.04</f>
        <v>373565.37999999995</v>
      </c>
      <c r="AH587" s="1139">
        <f t="shared" si="18"/>
        <v>579809.97</v>
      </c>
      <c r="AI587" s="1138"/>
      <c r="AJ587" s="1064"/>
      <c r="AK587" s="1055"/>
      <c r="AL587" s="1133"/>
      <c r="AM587" s="1055"/>
      <c r="AN587" s="1055"/>
      <c r="AO587" s="1064"/>
      <c r="AP587" s="1137"/>
      <c r="AQ587" s="1064"/>
      <c r="AR587" s="1137"/>
      <c r="AS587" s="2023" t="s">
        <v>4707</v>
      </c>
      <c r="AT587" s="2355" t="s">
        <v>4631</v>
      </c>
      <c r="AU587" s="42">
        <v>41464</v>
      </c>
      <c r="AV587" s="42">
        <v>41614</v>
      </c>
      <c r="AW587" s="2364">
        <f>(AH587:AH593)/AE593</f>
        <v>0.26133434390490851</v>
      </c>
      <c r="AX587" s="2355"/>
      <c r="AY587" s="2352">
        <v>41464</v>
      </c>
      <c r="AZ587" s="2355" t="s">
        <v>1464</v>
      </c>
      <c r="BA587" s="2355" t="s">
        <v>1458</v>
      </c>
      <c r="BB587" s="2355"/>
      <c r="BC587" s="2355"/>
      <c r="BD587" s="2355"/>
      <c r="BE587" s="1480"/>
      <c r="BF587" s="1480"/>
      <c r="BG587" s="1480"/>
      <c r="BH587" s="1480"/>
      <c r="BI587" s="1480"/>
      <c r="BJ587" s="1480"/>
    </row>
    <row r="588" spans="1:62" s="629" customFormat="1" ht="12.75" x14ac:dyDescent="0.2">
      <c r="A588" s="2365"/>
      <c r="B588" s="2366"/>
      <c r="C588" s="2023"/>
      <c r="D588" s="2023"/>
      <c r="E588" s="2023"/>
      <c r="F588" s="2023"/>
      <c r="G588" s="2006"/>
      <c r="H588" s="2367"/>
      <c r="I588" s="2023"/>
      <c r="J588" s="2023"/>
      <c r="K588" s="2347"/>
      <c r="L588" s="2343"/>
      <c r="M588" s="2006"/>
      <c r="N588" s="2347"/>
      <c r="O588" s="2347"/>
      <c r="P588" s="2367"/>
      <c r="Q588" s="2023"/>
      <c r="R588" s="2023"/>
      <c r="S588" s="2023"/>
      <c r="T588" s="2023"/>
      <c r="U588" s="1146" t="s">
        <v>3906</v>
      </c>
      <c r="V588" s="1137">
        <v>41598</v>
      </c>
      <c r="W588" s="1064">
        <v>11189</v>
      </c>
      <c r="X588" s="1146" t="s">
        <v>4754</v>
      </c>
      <c r="Y588" s="1137">
        <v>41675</v>
      </c>
      <c r="Z588" s="1137">
        <v>41886</v>
      </c>
      <c r="AA588" s="1138"/>
      <c r="AB588" s="1055"/>
      <c r="AC588" s="1139"/>
      <c r="AD588" s="1139"/>
      <c r="AE588" s="1155"/>
      <c r="AF588" s="525">
        <v>0</v>
      </c>
      <c r="AG588" s="525">
        <v>0</v>
      </c>
      <c r="AH588" s="1139">
        <f t="shared" si="18"/>
        <v>0</v>
      </c>
      <c r="AI588" s="1138"/>
      <c r="AJ588" s="1064"/>
      <c r="AK588" s="1055"/>
      <c r="AL588" s="1133"/>
      <c r="AM588" s="1055"/>
      <c r="AN588" s="1055"/>
      <c r="AO588" s="1064"/>
      <c r="AP588" s="1137"/>
      <c r="AQ588" s="1064"/>
      <c r="AR588" s="1137"/>
      <c r="AS588" s="2023"/>
      <c r="AT588" s="2355"/>
      <c r="AU588" s="42">
        <v>41615</v>
      </c>
      <c r="AV588" s="42">
        <v>41765</v>
      </c>
      <c r="AW588" s="2378"/>
      <c r="AX588" s="2355"/>
      <c r="AY588" s="2352"/>
      <c r="AZ588" s="2355"/>
      <c r="BA588" s="2355"/>
      <c r="BB588" s="2355"/>
      <c r="BC588" s="2355"/>
      <c r="BD588" s="2355"/>
      <c r="BE588" s="1480"/>
      <c r="BF588" s="1480"/>
      <c r="BG588" s="1480"/>
      <c r="BH588" s="1480"/>
      <c r="BI588" s="1480"/>
      <c r="BJ588" s="1480"/>
    </row>
    <row r="589" spans="1:62" s="629" customFormat="1" ht="25.5" x14ac:dyDescent="0.2">
      <c r="A589" s="2365"/>
      <c r="B589" s="2366"/>
      <c r="C589" s="2023"/>
      <c r="D589" s="2023"/>
      <c r="E589" s="2023"/>
      <c r="F589" s="2023"/>
      <c r="G589" s="2006"/>
      <c r="H589" s="2367"/>
      <c r="I589" s="2023"/>
      <c r="J589" s="2023"/>
      <c r="K589" s="2347"/>
      <c r="L589" s="2343"/>
      <c r="M589" s="2006"/>
      <c r="N589" s="2347"/>
      <c r="O589" s="2347"/>
      <c r="P589" s="2367"/>
      <c r="Q589" s="2023"/>
      <c r="R589" s="2023"/>
      <c r="S589" s="2023"/>
      <c r="T589" s="2023"/>
      <c r="U589" s="1146" t="s">
        <v>3928</v>
      </c>
      <c r="V589" s="1137">
        <v>41599</v>
      </c>
      <c r="W589" s="1064">
        <v>11367</v>
      </c>
      <c r="X589" s="1146" t="s">
        <v>4709</v>
      </c>
      <c r="Y589" s="1137"/>
      <c r="Z589" s="1137"/>
      <c r="AA589" s="1138"/>
      <c r="AB589" s="1055"/>
      <c r="AC589" s="1139"/>
      <c r="AD589" s="1139"/>
      <c r="AE589" s="1155"/>
      <c r="AF589" s="525">
        <v>0</v>
      </c>
      <c r="AG589" s="525">
        <v>0</v>
      </c>
      <c r="AH589" s="1139">
        <f t="shared" si="18"/>
        <v>0</v>
      </c>
      <c r="AI589" s="1138"/>
      <c r="AJ589" s="1064"/>
      <c r="AK589" s="1055"/>
      <c r="AL589" s="1133"/>
      <c r="AM589" s="1055"/>
      <c r="AN589" s="1055"/>
      <c r="AO589" s="1064"/>
      <c r="AP589" s="1137"/>
      <c r="AQ589" s="1064"/>
      <c r="AR589" s="1137"/>
      <c r="AS589" s="2023"/>
      <c r="AT589" s="2355"/>
      <c r="AU589" s="42"/>
      <c r="AV589" s="42"/>
      <c r="AW589" s="2378"/>
      <c r="AX589" s="2355"/>
      <c r="AY589" s="2352"/>
      <c r="AZ589" s="2355"/>
      <c r="BA589" s="2355"/>
      <c r="BB589" s="2355"/>
      <c r="BC589" s="2355"/>
      <c r="BD589" s="2355"/>
      <c r="BE589" s="1480"/>
      <c r="BF589" s="1480"/>
      <c r="BG589" s="1480"/>
      <c r="BH589" s="1480"/>
      <c r="BI589" s="1480"/>
      <c r="BJ589" s="1480"/>
    </row>
    <row r="590" spans="1:62" s="629" customFormat="1" ht="25.5" x14ac:dyDescent="0.2">
      <c r="A590" s="2365"/>
      <c r="B590" s="2366"/>
      <c r="C590" s="2023"/>
      <c r="D590" s="2023"/>
      <c r="E590" s="2023"/>
      <c r="F590" s="2023"/>
      <c r="G590" s="2006"/>
      <c r="H590" s="2367"/>
      <c r="I590" s="2023"/>
      <c r="J590" s="2023"/>
      <c r="K590" s="2347"/>
      <c r="L590" s="2343"/>
      <c r="M590" s="2006"/>
      <c r="N590" s="2347"/>
      <c r="O590" s="2347"/>
      <c r="P590" s="2367"/>
      <c r="Q590" s="2023"/>
      <c r="R590" s="2023"/>
      <c r="S590" s="2023"/>
      <c r="T590" s="2023"/>
      <c r="U590" s="1146" t="s">
        <v>4710</v>
      </c>
      <c r="V590" s="1137">
        <v>41625</v>
      </c>
      <c r="W590" s="1064">
        <v>11367</v>
      </c>
      <c r="X590" s="1146" t="s">
        <v>4709</v>
      </c>
      <c r="Y590" s="1137"/>
      <c r="Z590" s="1137"/>
      <c r="AA590" s="1138"/>
      <c r="AB590" s="1055"/>
      <c r="AC590" s="1139"/>
      <c r="AD590" s="1139"/>
      <c r="AE590" s="1155"/>
      <c r="AF590" s="525">
        <v>0</v>
      </c>
      <c r="AG590" s="525">
        <v>0</v>
      </c>
      <c r="AH590" s="1139">
        <f t="shared" si="18"/>
        <v>0</v>
      </c>
      <c r="AI590" s="1138"/>
      <c r="AJ590" s="1064"/>
      <c r="AK590" s="1055"/>
      <c r="AL590" s="1133"/>
      <c r="AM590" s="1055"/>
      <c r="AN590" s="1055"/>
      <c r="AO590" s="1064"/>
      <c r="AP590" s="1137"/>
      <c r="AQ590" s="1064"/>
      <c r="AR590" s="1137"/>
      <c r="AS590" s="2023"/>
      <c r="AT590" s="2355"/>
      <c r="AU590" s="42"/>
      <c r="AV590" s="42"/>
      <c r="AW590" s="2378"/>
      <c r="AX590" s="2355"/>
      <c r="AY590" s="2352"/>
      <c r="AZ590" s="2355"/>
      <c r="BA590" s="2355"/>
      <c r="BB590" s="2355"/>
      <c r="BC590" s="2355"/>
      <c r="BD590" s="2355"/>
      <c r="BE590" s="1480"/>
      <c r="BF590" s="1480"/>
      <c r="BG590" s="1480"/>
      <c r="BH590" s="1480"/>
      <c r="BI590" s="1480"/>
      <c r="BJ590" s="1480"/>
    </row>
    <row r="591" spans="1:62" s="629" customFormat="1" ht="12.75" x14ac:dyDescent="0.2">
      <c r="A591" s="2365"/>
      <c r="B591" s="2366"/>
      <c r="C591" s="2023"/>
      <c r="D591" s="2023"/>
      <c r="E591" s="2023"/>
      <c r="F591" s="2023"/>
      <c r="G591" s="2006"/>
      <c r="H591" s="2367"/>
      <c r="I591" s="2023"/>
      <c r="J591" s="2023"/>
      <c r="K591" s="2347"/>
      <c r="L591" s="2343"/>
      <c r="M591" s="2006"/>
      <c r="N591" s="2347"/>
      <c r="O591" s="2347"/>
      <c r="P591" s="2367"/>
      <c r="Q591" s="2023"/>
      <c r="R591" s="2023"/>
      <c r="S591" s="2023"/>
      <c r="T591" s="2023"/>
      <c r="U591" s="1146" t="s">
        <v>3891</v>
      </c>
      <c r="V591" s="1137">
        <v>41757</v>
      </c>
      <c r="W591" s="1064">
        <v>11325</v>
      </c>
      <c r="X591" s="1146" t="s">
        <v>4754</v>
      </c>
      <c r="Y591" s="1137">
        <f>Z591-210</f>
        <v>41886</v>
      </c>
      <c r="Z591" s="1137">
        <v>42096</v>
      </c>
      <c r="AA591" s="1138"/>
      <c r="AB591" s="1055"/>
      <c r="AC591" s="1139"/>
      <c r="AD591" s="1139"/>
      <c r="AE591" s="1155"/>
      <c r="AF591" s="525">
        <v>0</v>
      </c>
      <c r="AG591" s="525">
        <v>0</v>
      </c>
      <c r="AH591" s="1139">
        <f t="shared" si="18"/>
        <v>0</v>
      </c>
      <c r="AI591" s="1138"/>
      <c r="AJ591" s="1064"/>
      <c r="AK591" s="1055"/>
      <c r="AL591" s="1133"/>
      <c r="AM591" s="1055"/>
      <c r="AN591" s="1055"/>
      <c r="AO591" s="1064"/>
      <c r="AP591" s="1137"/>
      <c r="AQ591" s="1064"/>
      <c r="AR591" s="1137"/>
      <c r="AS591" s="2023"/>
      <c r="AT591" s="2355"/>
      <c r="AU591" s="42">
        <v>41766</v>
      </c>
      <c r="AV591" s="42">
        <v>41916</v>
      </c>
      <c r="AW591" s="2378"/>
      <c r="AX591" s="2355"/>
      <c r="AY591" s="2352"/>
      <c r="AZ591" s="2355"/>
      <c r="BA591" s="2355"/>
      <c r="BB591" s="2355"/>
      <c r="BC591" s="2355"/>
      <c r="BD591" s="2355"/>
      <c r="BE591" s="1480"/>
      <c r="BF591" s="1480"/>
      <c r="BG591" s="1480"/>
      <c r="BH591" s="1480"/>
      <c r="BI591" s="1480"/>
      <c r="BJ591" s="1480"/>
    </row>
    <row r="592" spans="1:62" s="629" customFormat="1" ht="25.5" x14ac:dyDescent="0.2">
      <c r="A592" s="2365"/>
      <c r="B592" s="2366"/>
      <c r="C592" s="2023"/>
      <c r="D592" s="2023"/>
      <c r="E592" s="2023"/>
      <c r="F592" s="2023"/>
      <c r="G592" s="2006"/>
      <c r="H592" s="2367"/>
      <c r="I592" s="2023"/>
      <c r="J592" s="2023"/>
      <c r="K592" s="2347"/>
      <c r="L592" s="2343"/>
      <c r="M592" s="2006"/>
      <c r="N592" s="2347"/>
      <c r="O592" s="2347"/>
      <c r="P592" s="1146" t="s">
        <v>3961</v>
      </c>
      <c r="Q592" s="2023"/>
      <c r="R592" s="2023"/>
      <c r="S592" s="2023"/>
      <c r="T592" s="2023"/>
      <c r="U592" s="1146" t="s">
        <v>4712</v>
      </c>
      <c r="V592" s="1137">
        <v>41792</v>
      </c>
      <c r="W592" s="1064">
        <v>11321</v>
      </c>
      <c r="X592" s="1146" t="s">
        <v>4755</v>
      </c>
      <c r="Y592" s="1137">
        <f>Z592-210</f>
        <v>41886</v>
      </c>
      <c r="Z592" s="1137">
        <v>42096</v>
      </c>
      <c r="AA592" s="1138">
        <f>AC592/L587</f>
        <v>9.7822117502067069E-2</v>
      </c>
      <c r="AB592" s="1055"/>
      <c r="AC592" s="1139">
        <v>178482.13</v>
      </c>
      <c r="AD592" s="1139"/>
      <c r="AE592" s="1155">
        <f>L587+AC592</f>
        <v>2003040.1600000001</v>
      </c>
      <c r="AF592" s="1155">
        <f>146052.99+96112.19+214103.73</f>
        <v>456268.91000000003</v>
      </c>
      <c r="AG592" s="1150">
        <f>59758.89+74063.56+145666.21+82167.32</f>
        <v>361655.98000000004</v>
      </c>
      <c r="AH592" s="1139">
        <f t="shared" si="18"/>
        <v>817924.89000000013</v>
      </c>
      <c r="AI592" s="1138"/>
      <c r="AJ592" s="1064"/>
      <c r="AK592" s="1055"/>
      <c r="AL592" s="1133"/>
      <c r="AM592" s="1055"/>
      <c r="AN592" s="1055"/>
      <c r="AO592" s="1064"/>
      <c r="AP592" s="1137"/>
      <c r="AQ592" s="1064"/>
      <c r="AR592" s="1137"/>
      <c r="AS592" s="2023"/>
      <c r="AT592" s="2355"/>
      <c r="AU592" s="42"/>
      <c r="AV592" s="42"/>
      <c r="AW592" s="2378"/>
      <c r="AX592" s="2355"/>
      <c r="AY592" s="2352"/>
      <c r="AZ592" s="2355"/>
      <c r="BA592" s="2355"/>
      <c r="BB592" s="2355"/>
      <c r="BC592" s="2355"/>
      <c r="BD592" s="2355"/>
      <c r="BE592" s="1480"/>
      <c r="BF592" s="1480"/>
      <c r="BG592" s="1480"/>
      <c r="BH592" s="1480"/>
      <c r="BI592" s="1480"/>
      <c r="BJ592" s="1480"/>
    </row>
    <row r="593" spans="1:62" s="629" customFormat="1" ht="12.75" x14ac:dyDescent="0.2">
      <c r="A593" s="2365"/>
      <c r="B593" s="2366"/>
      <c r="C593" s="2023"/>
      <c r="D593" s="2023"/>
      <c r="E593" s="2023"/>
      <c r="F593" s="2023"/>
      <c r="G593" s="2006"/>
      <c r="H593" s="2367"/>
      <c r="I593" s="2023"/>
      <c r="J593" s="2023"/>
      <c r="K593" s="2347"/>
      <c r="L593" s="2343"/>
      <c r="M593" s="2006"/>
      <c r="N593" s="2347"/>
      <c r="O593" s="2347"/>
      <c r="P593" s="1146" t="s">
        <v>4071</v>
      </c>
      <c r="Q593" s="2023"/>
      <c r="R593" s="2023"/>
      <c r="S593" s="2023"/>
      <c r="T593" s="2023"/>
      <c r="U593" s="1146" t="s">
        <v>3908</v>
      </c>
      <c r="V593" s="1137">
        <v>41845</v>
      </c>
      <c r="W593" s="1145">
        <v>11364</v>
      </c>
      <c r="X593" s="1146" t="s">
        <v>3922</v>
      </c>
      <c r="Y593" s="1137">
        <f>Z593-210</f>
        <v>41886</v>
      </c>
      <c r="Z593" s="1137">
        <v>42096</v>
      </c>
      <c r="AA593" s="1138">
        <f>AC593/L587</f>
        <v>0.11817210330109368</v>
      </c>
      <c r="AB593" s="1055"/>
      <c r="AC593" s="1139">
        <v>215611.86</v>
      </c>
      <c r="AD593" s="1139"/>
      <c r="AE593" s="1155">
        <f>AE592+AC593</f>
        <v>2218652.02</v>
      </c>
      <c r="AF593" s="1155"/>
      <c r="AG593" s="1150">
        <f>17930.63+93278.99+102614.97+107175.38</f>
        <v>320999.97000000003</v>
      </c>
      <c r="AH593" s="1139">
        <f t="shared" si="18"/>
        <v>320999.97000000003</v>
      </c>
      <c r="AI593" s="1138"/>
      <c r="AJ593" s="1064"/>
      <c r="AK593" s="1055"/>
      <c r="AL593" s="1133"/>
      <c r="AM593" s="1055"/>
      <c r="AN593" s="1055"/>
      <c r="AO593" s="1064"/>
      <c r="AP593" s="1137"/>
      <c r="AQ593" s="1064"/>
      <c r="AR593" s="1137"/>
      <c r="AS593" s="2023"/>
      <c r="AT593" s="2355"/>
      <c r="AU593" s="42"/>
      <c r="AV593" s="42"/>
      <c r="AW593" s="2379"/>
      <c r="AX593" s="2355"/>
      <c r="AY593" s="2352"/>
      <c r="AZ593" s="2355"/>
      <c r="BA593" s="2355"/>
      <c r="BB593" s="2355"/>
      <c r="BC593" s="2355"/>
      <c r="BD593" s="2355"/>
      <c r="BE593" s="1480"/>
      <c r="BF593" s="1480"/>
      <c r="BG593" s="1480"/>
      <c r="BH593" s="1480"/>
      <c r="BI593" s="1480"/>
      <c r="BJ593" s="1480"/>
    </row>
    <row r="594" spans="1:62" s="629" customFormat="1" ht="29.25" customHeight="1" x14ac:dyDescent="0.2">
      <c r="A594" s="2365">
        <v>268</v>
      </c>
      <c r="B594" s="2366" t="s">
        <v>727</v>
      </c>
      <c r="C594" s="2386" t="s">
        <v>1019</v>
      </c>
      <c r="D594" s="2023" t="s">
        <v>4703</v>
      </c>
      <c r="E594" s="2023" t="s">
        <v>584</v>
      </c>
      <c r="F594" s="2023" t="s">
        <v>4756</v>
      </c>
      <c r="G594" s="2006">
        <v>10988</v>
      </c>
      <c r="H594" s="2367" t="s">
        <v>4757</v>
      </c>
      <c r="I594" s="2023" t="s">
        <v>4758</v>
      </c>
      <c r="J594" s="2023" t="s">
        <v>4759</v>
      </c>
      <c r="K594" s="2347">
        <v>41467</v>
      </c>
      <c r="L594" s="2343">
        <v>1763829.37</v>
      </c>
      <c r="M594" s="2006">
        <v>11092</v>
      </c>
      <c r="N594" s="2347">
        <v>41467</v>
      </c>
      <c r="O594" s="2347">
        <v>41677</v>
      </c>
      <c r="P594" s="2367" t="s">
        <v>3905</v>
      </c>
      <c r="Q594" s="2023"/>
      <c r="R594" s="2023"/>
      <c r="S594" s="2023"/>
      <c r="T594" s="2023" t="s">
        <v>1438</v>
      </c>
      <c r="U594" s="1146"/>
      <c r="V594" s="1055"/>
      <c r="W594" s="1145"/>
      <c r="X594" s="1146"/>
      <c r="Y594" s="1055"/>
      <c r="Z594" s="1055"/>
      <c r="AA594" s="1138"/>
      <c r="AB594" s="1055"/>
      <c r="AC594" s="1139">
        <v>610849.80000000005</v>
      </c>
      <c r="AD594" s="1139"/>
      <c r="AE594" s="1155">
        <f>L594-AD594+AC594</f>
        <v>2374679.17</v>
      </c>
      <c r="AF594" s="1155">
        <f>81598.36+35453.81</f>
        <v>117052.17</v>
      </c>
      <c r="AG594" s="1150">
        <f>48016.35+63000+38861.6+28028.32+17087.06+160106.68+23613.26</f>
        <v>378713.27</v>
      </c>
      <c r="AH594" s="1139">
        <f t="shared" si="18"/>
        <v>495765.44</v>
      </c>
      <c r="AI594" s="1138"/>
      <c r="AJ594" s="1064"/>
      <c r="AK594" s="1055"/>
      <c r="AL594" s="1133"/>
      <c r="AM594" s="1055"/>
      <c r="AN594" s="1055"/>
      <c r="AO594" s="1064"/>
      <c r="AP594" s="1137"/>
      <c r="AQ594" s="1064"/>
      <c r="AR594" s="1137"/>
      <c r="AS594" s="2023" t="s">
        <v>4707</v>
      </c>
      <c r="AT594" s="2355" t="s">
        <v>4631</v>
      </c>
      <c r="AU594" s="42">
        <v>41467</v>
      </c>
      <c r="AV594" s="42">
        <v>41620</v>
      </c>
      <c r="AW594" s="2364">
        <f>(AH594:AH603)/AE603</f>
        <v>0.20877154533679596</v>
      </c>
      <c r="AX594" s="2355"/>
      <c r="AY594" s="2352">
        <v>41467</v>
      </c>
      <c r="AZ594" s="2355" t="s">
        <v>1464</v>
      </c>
      <c r="BA594" s="2355" t="s">
        <v>1458</v>
      </c>
      <c r="BB594" s="2355"/>
      <c r="BC594" s="2355"/>
      <c r="BD594" s="2355"/>
      <c r="BE594" s="1480"/>
      <c r="BF594" s="1480"/>
      <c r="BG594" s="1480"/>
      <c r="BH594" s="1480"/>
      <c r="BI594" s="1480"/>
      <c r="BJ594" s="1480"/>
    </row>
    <row r="595" spans="1:62" s="629" customFormat="1" ht="27.75" customHeight="1" x14ac:dyDescent="0.2">
      <c r="A595" s="2365"/>
      <c r="B595" s="2366"/>
      <c r="C595" s="2387"/>
      <c r="D595" s="2023"/>
      <c r="E595" s="2023"/>
      <c r="F595" s="2023"/>
      <c r="G595" s="2006"/>
      <c r="H595" s="2367"/>
      <c r="I595" s="2023"/>
      <c r="J595" s="2023"/>
      <c r="K595" s="2023"/>
      <c r="L595" s="2343"/>
      <c r="M595" s="2006"/>
      <c r="N595" s="2347"/>
      <c r="O595" s="2347"/>
      <c r="P595" s="2367"/>
      <c r="Q595" s="2023"/>
      <c r="R595" s="2023"/>
      <c r="S595" s="2023"/>
      <c r="T595" s="2023"/>
      <c r="U595" s="1146" t="s">
        <v>3906</v>
      </c>
      <c r="V595" s="1137">
        <v>41611</v>
      </c>
      <c r="W595" s="1064">
        <v>11197</v>
      </c>
      <c r="X595" s="1146" t="s">
        <v>4708</v>
      </c>
      <c r="Y595" s="1137">
        <v>41677</v>
      </c>
      <c r="Z595" s="1137">
        <v>41889</v>
      </c>
      <c r="AA595" s="1137"/>
      <c r="AB595" s="1055"/>
      <c r="AC595" s="1139"/>
      <c r="AD595" s="1139"/>
      <c r="AE595" s="1155"/>
      <c r="AF595" s="525">
        <v>0</v>
      </c>
      <c r="AG595" s="525">
        <v>0</v>
      </c>
      <c r="AH595" s="1139">
        <f t="shared" si="18"/>
        <v>0</v>
      </c>
      <c r="AI595" s="1138"/>
      <c r="AJ595" s="1064"/>
      <c r="AK595" s="1055"/>
      <c r="AL595" s="1133"/>
      <c r="AM595" s="1055"/>
      <c r="AN595" s="1055"/>
      <c r="AO595" s="1064"/>
      <c r="AP595" s="1137"/>
      <c r="AQ595" s="1064"/>
      <c r="AR595" s="1137"/>
      <c r="AS595" s="2023"/>
      <c r="AT595" s="2355"/>
      <c r="AU595" s="42">
        <v>41621</v>
      </c>
      <c r="AV595" s="42">
        <v>41772</v>
      </c>
      <c r="AW595" s="2378"/>
      <c r="AX595" s="2355"/>
      <c r="AY595" s="2355"/>
      <c r="AZ595" s="2355"/>
      <c r="BA595" s="2355"/>
      <c r="BB595" s="2355"/>
      <c r="BC595" s="2355"/>
      <c r="BD595" s="2355"/>
      <c r="BE595" s="1480"/>
      <c r="BF595" s="1480"/>
      <c r="BG595" s="1480"/>
      <c r="BH595" s="1480"/>
      <c r="BI595" s="1480"/>
      <c r="BJ595" s="1480"/>
    </row>
    <row r="596" spans="1:62" s="629" customFormat="1" ht="26.25" customHeight="1" x14ac:dyDescent="0.2">
      <c r="A596" s="2365"/>
      <c r="B596" s="2366"/>
      <c r="C596" s="2387"/>
      <c r="D596" s="2023"/>
      <c r="E596" s="2023"/>
      <c r="F596" s="2023"/>
      <c r="G596" s="2006"/>
      <c r="H596" s="2367"/>
      <c r="I596" s="2023"/>
      <c r="J596" s="2023"/>
      <c r="K596" s="2023"/>
      <c r="L596" s="2343"/>
      <c r="M596" s="2006"/>
      <c r="N596" s="2347"/>
      <c r="O596" s="2347"/>
      <c r="P596" s="2367"/>
      <c r="Q596" s="2023"/>
      <c r="R596" s="2023"/>
      <c r="S596" s="2023"/>
      <c r="T596" s="2023"/>
      <c r="U596" s="1146" t="s">
        <v>3989</v>
      </c>
      <c r="V596" s="1137">
        <v>41631</v>
      </c>
      <c r="W596" s="1064">
        <v>11209</v>
      </c>
      <c r="X596" s="1146" t="s">
        <v>3922</v>
      </c>
      <c r="Y596" s="1137">
        <v>41631</v>
      </c>
      <c r="Z596" s="1137">
        <v>41889</v>
      </c>
      <c r="AA596" s="1138">
        <f>AC596/L594</f>
        <v>7.5291959788604729E-2</v>
      </c>
      <c r="AB596" s="1055"/>
      <c r="AC596" s="1139">
        <v>132802.17000000001</v>
      </c>
      <c r="AD596" s="1139"/>
      <c r="AE596" s="1155">
        <f>AC596+L594</f>
        <v>1896631.54</v>
      </c>
      <c r="AF596" s="1155">
        <f>160191.72+108725</f>
        <v>268916.71999999997</v>
      </c>
      <c r="AG596" s="525">
        <v>0</v>
      </c>
      <c r="AH596" s="1139">
        <f t="shared" si="18"/>
        <v>268916.71999999997</v>
      </c>
      <c r="AI596" s="1055"/>
      <c r="AJ596" s="1064"/>
      <c r="AK596" s="1055"/>
      <c r="AL596" s="1133"/>
      <c r="AM596" s="1055"/>
      <c r="AN596" s="1055"/>
      <c r="AO596" s="1064"/>
      <c r="AP596" s="1137"/>
      <c r="AQ596" s="1064"/>
      <c r="AR596" s="1137"/>
      <c r="AS596" s="2023"/>
      <c r="AT596" s="2355"/>
      <c r="AU596" s="40"/>
      <c r="AV596" s="40"/>
      <c r="AW596" s="2378"/>
      <c r="AX596" s="2355"/>
      <c r="AY596" s="2355"/>
      <c r="AZ596" s="2355"/>
      <c r="BA596" s="2355"/>
      <c r="BB596" s="2355"/>
      <c r="BC596" s="2355"/>
      <c r="BD596" s="2355"/>
      <c r="BE596" s="1480"/>
      <c r="BF596" s="1480"/>
      <c r="BG596" s="1480"/>
      <c r="BH596" s="1480"/>
      <c r="BI596" s="1480"/>
      <c r="BJ596" s="1480"/>
    </row>
    <row r="597" spans="1:62" s="629" customFormat="1" ht="26.25" customHeight="1" x14ac:dyDescent="0.2">
      <c r="A597" s="2365"/>
      <c r="B597" s="2366"/>
      <c r="C597" s="2387"/>
      <c r="D597" s="2023"/>
      <c r="E597" s="2023"/>
      <c r="F597" s="2023"/>
      <c r="G597" s="2006"/>
      <c r="H597" s="2367"/>
      <c r="I597" s="2023"/>
      <c r="J597" s="2023"/>
      <c r="K597" s="2023"/>
      <c r="L597" s="2343"/>
      <c r="M597" s="2006"/>
      <c r="N597" s="2347"/>
      <c r="O597" s="2347"/>
      <c r="P597" s="2367"/>
      <c r="Q597" s="2023"/>
      <c r="R597" s="2023"/>
      <c r="S597" s="2023"/>
      <c r="T597" s="2023"/>
      <c r="U597" s="1146" t="s">
        <v>3928</v>
      </c>
      <c r="V597" s="1137">
        <v>41599</v>
      </c>
      <c r="W597" s="1064">
        <v>11367</v>
      </c>
      <c r="X597" s="1146" t="s">
        <v>4730</v>
      </c>
      <c r="Y597" s="1137"/>
      <c r="Z597" s="1137"/>
      <c r="AA597" s="1138"/>
      <c r="AB597" s="1055"/>
      <c r="AC597" s="1139"/>
      <c r="AD597" s="1139"/>
      <c r="AE597" s="1155"/>
      <c r="AF597" s="525">
        <v>0</v>
      </c>
      <c r="AG597" s="525">
        <v>0</v>
      </c>
      <c r="AH597" s="1139">
        <f t="shared" si="18"/>
        <v>0</v>
      </c>
      <c r="AI597" s="1055"/>
      <c r="AJ597" s="1064"/>
      <c r="AK597" s="1055"/>
      <c r="AL597" s="1133"/>
      <c r="AM597" s="1055"/>
      <c r="AN597" s="1055"/>
      <c r="AO597" s="1064"/>
      <c r="AP597" s="1137"/>
      <c r="AQ597" s="1064"/>
      <c r="AR597" s="1137"/>
      <c r="AS597" s="2023"/>
      <c r="AT597" s="2355"/>
      <c r="AU597" s="40"/>
      <c r="AV597" s="40"/>
      <c r="AW597" s="2378"/>
      <c r="AX597" s="2355"/>
      <c r="AY597" s="2355"/>
      <c r="AZ597" s="2355"/>
      <c r="BA597" s="2355"/>
      <c r="BB597" s="2355"/>
      <c r="BC597" s="2355"/>
      <c r="BD597" s="2355"/>
      <c r="BE597" s="1480"/>
      <c r="BF597" s="1480"/>
      <c r="BG597" s="1480"/>
      <c r="BH597" s="1480"/>
      <c r="BI597" s="1480"/>
      <c r="BJ597" s="1480"/>
    </row>
    <row r="598" spans="1:62" s="629" customFormat="1" ht="26.25" customHeight="1" x14ac:dyDescent="0.2">
      <c r="A598" s="2365"/>
      <c r="B598" s="2366"/>
      <c r="C598" s="2387"/>
      <c r="D598" s="2023"/>
      <c r="E598" s="2023"/>
      <c r="F598" s="2023"/>
      <c r="G598" s="2006"/>
      <c r="H598" s="2367"/>
      <c r="I598" s="2023"/>
      <c r="J598" s="2023"/>
      <c r="K598" s="2023"/>
      <c r="L598" s="2343"/>
      <c r="M598" s="2006"/>
      <c r="N598" s="2347"/>
      <c r="O598" s="2347"/>
      <c r="P598" s="2367"/>
      <c r="Q598" s="2023"/>
      <c r="R598" s="2023"/>
      <c r="S598" s="2023"/>
      <c r="T598" s="2023"/>
      <c r="U598" s="1146" t="s">
        <v>4710</v>
      </c>
      <c r="V598" s="1137">
        <v>41625</v>
      </c>
      <c r="W598" s="1064">
        <v>11367</v>
      </c>
      <c r="X598" s="1146" t="s">
        <v>4730</v>
      </c>
      <c r="Y598" s="1137"/>
      <c r="Z598" s="1137"/>
      <c r="AA598" s="1138"/>
      <c r="AB598" s="1055"/>
      <c r="AC598" s="1139"/>
      <c r="AD598" s="1139"/>
      <c r="AE598" s="1155"/>
      <c r="AF598" s="525">
        <v>0</v>
      </c>
      <c r="AG598" s="525">
        <v>0</v>
      </c>
      <c r="AH598" s="1139">
        <f t="shared" si="18"/>
        <v>0</v>
      </c>
      <c r="AI598" s="1055"/>
      <c r="AJ598" s="1064"/>
      <c r="AK598" s="1055"/>
      <c r="AL598" s="1133"/>
      <c r="AM598" s="1055"/>
      <c r="AN598" s="1055"/>
      <c r="AO598" s="1064"/>
      <c r="AP598" s="1137"/>
      <c r="AQ598" s="1064"/>
      <c r="AR598" s="1137"/>
      <c r="AS598" s="2023"/>
      <c r="AT598" s="2355"/>
      <c r="AU598" s="40"/>
      <c r="AV598" s="40"/>
      <c r="AW598" s="2378"/>
      <c r="AX598" s="2355"/>
      <c r="AY598" s="2355"/>
      <c r="AZ598" s="2355"/>
      <c r="BA598" s="2355"/>
      <c r="BB598" s="2355"/>
      <c r="BC598" s="2355"/>
      <c r="BD598" s="2355"/>
      <c r="BE598" s="1480"/>
      <c r="BF598" s="1480"/>
      <c r="BG598" s="1480"/>
      <c r="BH598" s="1480"/>
      <c r="BI598" s="1480"/>
      <c r="BJ598" s="1480"/>
    </row>
    <row r="599" spans="1:62" s="629" customFormat="1" ht="26.25" customHeight="1" x14ac:dyDescent="0.2">
      <c r="A599" s="2365"/>
      <c r="B599" s="2366"/>
      <c r="C599" s="2387"/>
      <c r="D599" s="2023"/>
      <c r="E599" s="2023"/>
      <c r="F599" s="2023"/>
      <c r="G599" s="2006"/>
      <c r="H599" s="2367"/>
      <c r="I599" s="2023"/>
      <c r="J599" s="2023"/>
      <c r="K599" s="2023"/>
      <c r="L599" s="2343"/>
      <c r="M599" s="2006"/>
      <c r="N599" s="2347"/>
      <c r="O599" s="2347"/>
      <c r="P599" s="2367"/>
      <c r="Q599" s="2023"/>
      <c r="R599" s="2023"/>
      <c r="S599" s="2023"/>
      <c r="T599" s="2023"/>
      <c r="U599" s="1146" t="s">
        <v>4712</v>
      </c>
      <c r="V599" s="1137">
        <v>41638</v>
      </c>
      <c r="W599" s="1064">
        <v>11367</v>
      </c>
      <c r="X599" s="1146" t="s">
        <v>4730</v>
      </c>
      <c r="Y599" s="1137"/>
      <c r="Z599" s="1137"/>
      <c r="AA599" s="1138"/>
      <c r="AB599" s="1055"/>
      <c r="AC599" s="1139"/>
      <c r="AD599" s="1139"/>
      <c r="AE599" s="1155"/>
      <c r="AF599" s="525">
        <v>0</v>
      </c>
      <c r="AG599" s="525">
        <v>0</v>
      </c>
      <c r="AH599" s="1139">
        <f t="shared" si="18"/>
        <v>0</v>
      </c>
      <c r="AI599" s="1055"/>
      <c r="AJ599" s="1064"/>
      <c r="AK599" s="1055"/>
      <c r="AL599" s="1133"/>
      <c r="AM599" s="1055"/>
      <c r="AN599" s="1055"/>
      <c r="AO599" s="1064"/>
      <c r="AP599" s="1137"/>
      <c r="AQ599" s="1064"/>
      <c r="AR599" s="1137"/>
      <c r="AS599" s="2023"/>
      <c r="AT599" s="2355"/>
      <c r="AU599" s="40"/>
      <c r="AV599" s="40"/>
      <c r="AW599" s="2378"/>
      <c r="AX599" s="2355"/>
      <c r="AY599" s="2355"/>
      <c r="AZ599" s="2355"/>
      <c r="BA599" s="2355"/>
      <c r="BB599" s="2355"/>
      <c r="BC599" s="2355"/>
      <c r="BD599" s="2355"/>
      <c r="BE599" s="1480"/>
      <c r="BF599" s="1480"/>
      <c r="BG599" s="1480"/>
      <c r="BH599" s="1480"/>
      <c r="BI599" s="1480"/>
      <c r="BJ599" s="1480"/>
    </row>
    <row r="600" spans="1:62" s="629" customFormat="1" ht="25.5" customHeight="1" x14ac:dyDescent="0.2">
      <c r="A600" s="2365"/>
      <c r="B600" s="2366"/>
      <c r="C600" s="2387"/>
      <c r="D600" s="2023"/>
      <c r="E600" s="2023"/>
      <c r="F600" s="2023"/>
      <c r="G600" s="2006"/>
      <c r="H600" s="2367"/>
      <c r="I600" s="2023"/>
      <c r="J600" s="2023"/>
      <c r="K600" s="2023"/>
      <c r="L600" s="2343"/>
      <c r="M600" s="2006"/>
      <c r="N600" s="2347"/>
      <c r="O600" s="2347"/>
      <c r="P600" s="2367"/>
      <c r="Q600" s="2023"/>
      <c r="R600" s="2023"/>
      <c r="S600" s="2023"/>
      <c r="T600" s="2023"/>
      <c r="U600" s="1146" t="s">
        <v>3908</v>
      </c>
      <c r="V600" s="1137">
        <v>41843</v>
      </c>
      <c r="W600" s="1064">
        <v>11426</v>
      </c>
      <c r="X600" s="1146" t="s">
        <v>3922</v>
      </c>
      <c r="Y600" s="1137">
        <v>41843</v>
      </c>
      <c r="Z600" s="1137">
        <v>41889</v>
      </c>
      <c r="AA600" s="1138">
        <f>AC600/AE596</f>
        <v>0.10158010975605732</v>
      </c>
      <c r="AB600" s="1055"/>
      <c r="AC600" s="1139">
        <v>192660.04</v>
      </c>
      <c r="AD600" s="1139"/>
      <c r="AE600" s="1155">
        <f>AE596+AC600</f>
        <v>2089291.58</v>
      </c>
      <c r="AF600" s="525">
        <v>0</v>
      </c>
      <c r="AG600" s="1150">
        <v>69802.17</v>
      </c>
      <c r="AH600" s="1139">
        <f t="shared" si="18"/>
        <v>69802.17</v>
      </c>
      <c r="AI600" s="1055"/>
      <c r="AJ600" s="1064"/>
      <c r="AK600" s="1055"/>
      <c r="AL600" s="1133"/>
      <c r="AM600" s="1055"/>
      <c r="AN600" s="1055"/>
      <c r="AO600" s="1064"/>
      <c r="AP600" s="1137"/>
      <c r="AQ600" s="1064"/>
      <c r="AR600" s="1137"/>
      <c r="AS600" s="2023"/>
      <c r="AT600" s="2355"/>
      <c r="AU600" s="40"/>
      <c r="AV600" s="40"/>
      <c r="AW600" s="2378"/>
      <c r="AX600" s="2355"/>
      <c r="AY600" s="2355"/>
      <c r="AZ600" s="2355"/>
      <c r="BA600" s="2355"/>
      <c r="BB600" s="2355"/>
      <c r="BC600" s="2355"/>
      <c r="BD600" s="2355"/>
      <c r="BE600" s="1480"/>
      <c r="BF600" s="1480"/>
      <c r="BG600" s="1480"/>
      <c r="BH600" s="1480"/>
      <c r="BI600" s="1480"/>
      <c r="BJ600" s="1480"/>
    </row>
    <row r="601" spans="1:62" s="629" customFormat="1" ht="25.5" customHeight="1" x14ac:dyDescent="0.2">
      <c r="A601" s="2365"/>
      <c r="B601" s="2366"/>
      <c r="C601" s="2387"/>
      <c r="D601" s="2023"/>
      <c r="E601" s="2023"/>
      <c r="F601" s="2023"/>
      <c r="G601" s="2006"/>
      <c r="H601" s="2367"/>
      <c r="I601" s="2023"/>
      <c r="J601" s="2023"/>
      <c r="K601" s="2023"/>
      <c r="L601" s="2343"/>
      <c r="M601" s="2006"/>
      <c r="N601" s="2347"/>
      <c r="O601" s="2347"/>
      <c r="P601" s="1146"/>
      <c r="Q601" s="2023"/>
      <c r="R601" s="2023"/>
      <c r="S601" s="2023"/>
      <c r="T601" s="2023"/>
      <c r="U601" s="1146" t="s">
        <v>3893</v>
      </c>
      <c r="V601" s="1137">
        <v>41887</v>
      </c>
      <c r="W601" s="1064">
        <v>11430</v>
      </c>
      <c r="X601" s="1146" t="s">
        <v>4760</v>
      </c>
      <c r="Y601" s="1137">
        <v>41890</v>
      </c>
      <c r="Z601" s="1137">
        <v>42098</v>
      </c>
      <c r="AA601" s="1138"/>
      <c r="AB601" s="1055"/>
      <c r="AC601" s="1139"/>
      <c r="AD601" s="1139"/>
      <c r="AE601" s="1155"/>
      <c r="AF601" s="525">
        <v>0</v>
      </c>
      <c r="AG601" s="525">
        <v>0</v>
      </c>
      <c r="AH601" s="1139">
        <f t="shared" si="18"/>
        <v>0</v>
      </c>
      <c r="AI601" s="1055"/>
      <c r="AJ601" s="1064"/>
      <c r="AK601" s="1055"/>
      <c r="AL601" s="1133"/>
      <c r="AM601" s="1055"/>
      <c r="AN601" s="1055"/>
      <c r="AO601" s="1064"/>
      <c r="AP601" s="1137"/>
      <c r="AQ601" s="1064"/>
      <c r="AR601" s="1137"/>
      <c r="AS601" s="2023"/>
      <c r="AT601" s="2355"/>
      <c r="AU601" s="42">
        <v>41773</v>
      </c>
      <c r="AV601" s="42">
        <v>41921</v>
      </c>
      <c r="AW601" s="2378"/>
      <c r="AX601" s="2355"/>
      <c r="AY601" s="2355"/>
      <c r="AZ601" s="2355"/>
      <c r="BA601" s="2355"/>
      <c r="BB601" s="2355"/>
      <c r="BC601" s="2355"/>
      <c r="BD601" s="2355"/>
      <c r="BE601" s="1480"/>
      <c r="BF601" s="1480"/>
      <c r="BG601" s="1480"/>
      <c r="BH601" s="1480"/>
      <c r="BI601" s="1480"/>
      <c r="BJ601" s="1480"/>
    </row>
    <row r="602" spans="1:62" s="629" customFormat="1" ht="25.5" customHeight="1" x14ac:dyDescent="0.2">
      <c r="A602" s="2365"/>
      <c r="B602" s="2366"/>
      <c r="C602" s="2387"/>
      <c r="D602" s="2023"/>
      <c r="E602" s="2023"/>
      <c r="F602" s="2023"/>
      <c r="G602" s="2006"/>
      <c r="H602" s="2367"/>
      <c r="I602" s="2023"/>
      <c r="J602" s="2023"/>
      <c r="K602" s="2023"/>
      <c r="L602" s="2343"/>
      <c r="M602" s="2006"/>
      <c r="N602" s="2347"/>
      <c r="O602" s="2347"/>
      <c r="P602" s="1146" t="s">
        <v>4071</v>
      </c>
      <c r="Q602" s="2023"/>
      <c r="R602" s="2023"/>
      <c r="S602" s="2023"/>
      <c r="T602" s="2023"/>
      <c r="U602" s="1146" t="s">
        <v>3909</v>
      </c>
      <c r="V602" s="1137">
        <v>41921</v>
      </c>
      <c r="W602" s="1064">
        <v>11431</v>
      </c>
      <c r="X602" s="1146" t="s">
        <v>4761</v>
      </c>
      <c r="Y602" s="1137">
        <f>Z602-150</f>
        <v>41922</v>
      </c>
      <c r="Z602" s="1137">
        <v>42072</v>
      </c>
      <c r="AA602" s="1138"/>
      <c r="AB602" s="1055"/>
      <c r="AC602" s="1139"/>
      <c r="AD602" s="1139"/>
      <c r="AE602" s="1155"/>
      <c r="AF602" s="525">
        <v>0</v>
      </c>
      <c r="AG602" s="1150">
        <f>137862.29+125483.65+84062.37+1599.86+83702.5+38302.42+124255.63+37849.87</f>
        <v>633118.59</v>
      </c>
      <c r="AH602" s="1139">
        <f t="shared" si="18"/>
        <v>633118.59</v>
      </c>
      <c r="AI602" s="1055"/>
      <c r="AJ602" s="1064"/>
      <c r="AK602" s="1055"/>
      <c r="AL602" s="1133"/>
      <c r="AM602" s="1055"/>
      <c r="AN602" s="1055"/>
      <c r="AO602" s="1064"/>
      <c r="AP602" s="1137"/>
      <c r="AQ602" s="1064"/>
      <c r="AR602" s="1137"/>
      <c r="AS602" s="2023"/>
      <c r="AT602" s="2355"/>
      <c r="AU602" s="42">
        <v>41923</v>
      </c>
      <c r="AV602" s="42">
        <v>42072</v>
      </c>
      <c r="AW602" s="2378"/>
      <c r="AX602" s="2355"/>
      <c r="AY602" s="2355"/>
      <c r="AZ602" s="2355"/>
      <c r="BA602" s="2355"/>
      <c r="BB602" s="2355"/>
      <c r="BC602" s="2355"/>
      <c r="BD602" s="2355"/>
      <c r="BE602" s="1480"/>
      <c r="BF602" s="1480"/>
      <c r="BG602" s="1480"/>
      <c r="BH602" s="1480"/>
      <c r="BI602" s="1480"/>
      <c r="BJ602" s="1480"/>
    </row>
    <row r="603" spans="1:62" s="629" customFormat="1" ht="25.5" x14ac:dyDescent="0.2">
      <c r="A603" s="2365"/>
      <c r="B603" s="2366"/>
      <c r="C603" s="2387"/>
      <c r="D603" s="2023"/>
      <c r="E603" s="2023"/>
      <c r="F603" s="2023"/>
      <c r="G603" s="2006"/>
      <c r="H603" s="2367"/>
      <c r="I603" s="2023"/>
      <c r="J603" s="2023"/>
      <c r="K603" s="2023"/>
      <c r="L603" s="2343"/>
      <c r="M603" s="2006"/>
      <c r="N603" s="2347"/>
      <c r="O603" s="2347"/>
      <c r="P603" s="1146"/>
      <c r="Q603" s="2023"/>
      <c r="R603" s="2023"/>
      <c r="S603" s="2023"/>
      <c r="T603" s="2023"/>
      <c r="U603" s="1146" t="s">
        <v>4762</v>
      </c>
      <c r="V603" s="1137">
        <v>41843</v>
      </c>
      <c r="W603" s="1064">
        <v>11364</v>
      </c>
      <c r="X603" s="1146" t="s">
        <v>3929</v>
      </c>
      <c r="Y603" s="1137"/>
      <c r="Z603" s="1137"/>
      <c r="AA603" s="1138">
        <f>AC603/AE600</f>
        <v>0.13659538607818447</v>
      </c>
      <c r="AB603" s="1055"/>
      <c r="AC603" s="1139">
        <v>285387.59000000003</v>
      </c>
      <c r="AD603" s="1139"/>
      <c r="AE603" s="1155">
        <f>AE600+AC603</f>
        <v>2374679.17</v>
      </c>
      <c r="AF603" s="525">
        <v>0</v>
      </c>
      <c r="AG603" s="525">
        <v>0</v>
      </c>
      <c r="AH603" s="1139">
        <f t="shared" ref="AH603:AH666" si="19">AF603+AG603</f>
        <v>0</v>
      </c>
      <c r="AI603" s="1055"/>
      <c r="AJ603" s="1064"/>
      <c r="AK603" s="1055"/>
      <c r="AL603" s="1133"/>
      <c r="AM603" s="1055"/>
      <c r="AN603" s="1055"/>
      <c r="AO603" s="1064"/>
      <c r="AP603" s="1137"/>
      <c r="AQ603" s="1064"/>
      <c r="AR603" s="1137"/>
      <c r="AS603" s="2023"/>
      <c r="AT603" s="2355"/>
      <c r="AU603" s="40"/>
      <c r="AV603" s="40"/>
      <c r="AW603" s="2379"/>
      <c r="AX603" s="2355"/>
      <c r="AY603" s="2355"/>
      <c r="AZ603" s="2355"/>
      <c r="BA603" s="2355"/>
      <c r="BB603" s="2355"/>
      <c r="BC603" s="2355"/>
      <c r="BD603" s="2355"/>
      <c r="BE603" s="1480"/>
      <c r="BF603" s="1480"/>
      <c r="BG603" s="1480"/>
      <c r="BH603" s="1480"/>
      <c r="BI603" s="1480"/>
      <c r="BJ603" s="1480"/>
    </row>
    <row r="604" spans="1:62" s="629" customFormat="1" ht="66" customHeight="1" x14ac:dyDescent="0.2">
      <c r="A604" s="2365">
        <v>269</v>
      </c>
      <c r="B604" s="2361" t="s">
        <v>257</v>
      </c>
      <c r="C604" s="2023" t="s">
        <v>986</v>
      </c>
      <c r="D604" s="2023" t="s">
        <v>4763</v>
      </c>
      <c r="E604" s="2023" t="s">
        <v>584</v>
      </c>
      <c r="F604" s="2023" t="s">
        <v>4764</v>
      </c>
      <c r="G604" s="2006">
        <v>11087</v>
      </c>
      <c r="H604" s="2367" t="s">
        <v>4765</v>
      </c>
      <c r="I604" s="2023" t="s">
        <v>4758</v>
      </c>
      <c r="J604" s="2023" t="s">
        <v>4766</v>
      </c>
      <c r="K604" s="2347">
        <v>41467</v>
      </c>
      <c r="L604" s="2343">
        <v>1818268.3</v>
      </c>
      <c r="M604" s="2006">
        <v>11092</v>
      </c>
      <c r="N604" s="2347">
        <v>41467</v>
      </c>
      <c r="O604" s="2347">
        <v>41677</v>
      </c>
      <c r="P604" s="2367" t="s">
        <v>3905</v>
      </c>
      <c r="Q604" s="2023"/>
      <c r="R604" s="2023"/>
      <c r="S604" s="2023"/>
      <c r="T604" s="2023" t="s">
        <v>1438</v>
      </c>
      <c r="U604" s="1146"/>
      <c r="V604" s="1055"/>
      <c r="W604" s="1145"/>
      <c r="X604" s="1146"/>
      <c r="Y604" s="1055"/>
      <c r="Z604" s="1055"/>
      <c r="AA604" s="1138"/>
      <c r="AB604" s="1055"/>
      <c r="AC604" s="1150"/>
      <c r="AD604" s="1139"/>
      <c r="AE604" s="1155"/>
      <c r="AF604" s="1155">
        <v>92696.61</v>
      </c>
      <c r="AG604" s="1139">
        <v>232749.51</v>
      </c>
      <c r="AH604" s="1139">
        <f t="shared" si="19"/>
        <v>325446.12</v>
      </c>
      <c r="AI604" s="549"/>
      <c r="AJ604" s="2006"/>
      <c r="AK604" s="2023"/>
      <c r="AL604" s="2355"/>
      <c r="AM604" s="2023"/>
      <c r="AN604" s="2023"/>
      <c r="AO604" s="1064"/>
      <c r="AP604" s="1137"/>
      <c r="AQ604" s="1064"/>
      <c r="AR604" s="1137"/>
      <c r="AS604" s="2023" t="s">
        <v>4707</v>
      </c>
      <c r="AT604" s="2355" t="s">
        <v>4631</v>
      </c>
      <c r="AU604" s="42">
        <v>41467</v>
      </c>
      <c r="AV604" s="42">
        <v>41617</v>
      </c>
      <c r="AW604" s="2364">
        <f>(AH604:AH612)/AE612</f>
        <v>0.13328780511107508</v>
      </c>
      <c r="AX604" s="2355"/>
      <c r="AY604" s="2352">
        <v>41471</v>
      </c>
      <c r="AZ604" s="2355" t="s">
        <v>1464</v>
      </c>
      <c r="BA604" s="2355" t="s">
        <v>1458</v>
      </c>
      <c r="BB604" s="2355"/>
      <c r="BC604" s="2355"/>
      <c r="BD604" s="2355"/>
      <c r="BE604" s="1480"/>
      <c r="BF604" s="1480"/>
      <c r="BG604" s="1480"/>
      <c r="BH604" s="1480"/>
      <c r="BI604" s="1480"/>
      <c r="BJ604" s="1480"/>
    </row>
    <row r="605" spans="1:62" s="629" customFormat="1" ht="28.5" customHeight="1" x14ac:dyDescent="0.2">
      <c r="A605" s="2365"/>
      <c r="B605" s="2361"/>
      <c r="C605" s="2023"/>
      <c r="D605" s="2023"/>
      <c r="E605" s="2023"/>
      <c r="F605" s="2023"/>
      <c r="G605" s="2006"/>
      <c r="H605" s="2367"/>
      <c r="I605" s="2023"/>
      <c r="J605" s="2023"/>
      <c r="K605" s="2347"/>
      <c r="L605" s="2343"/>
      <c r="M605" s="2006"/>
      <c r="N605" s="2347"/>
      <c r="O605" s="2347"/>
      <c r="P605" s="2367"/>
      <c r="Q605" s="2023"/>
      <c r="R605" s="2023"/>
      <c r="S605" s="2023"/>
      <c r="T605" s="2023"/>
      <c r="U605" s="1146" t="s">
        <v>3906</v>
      </c>
      <c r="V605" s="1137">
        <v>41589</v>
      </c>
      <c r="W605" s="1064">
        <v>11189</v>
      </c>
      <c r="X605" s="1146" t="s">
        <v>4708</v>
      </c>
      <c r="Y605" s="1137">
        <v>41678</v>
      </c>
      <c r="Z605" s="1137">
        <v>41889</v>
      </c>
      <c r="AA605" s="1138"/>
      <c r="AB605" s="1055"/>
      <c r="AC605" s="1139"/>
      <c r="AD605" s="1139"/>
      <c r="AE605" s="1155"/>
      <c r="AF605" s="525">
        <v>0</v>
      </c>
      <c r="AG605" s="525">
        <v>0</v>
      </c>
      <c r="AH605" s="1139">
        <f t="shared" si="19"/>
        <v>0</v>
      </c>
      <c r="AI605" s="499"/>
      <c r="AJ605" s="2006"/>
      <c r="AK605" s="2023"/>
      <c r="AL605" s="2355"/>
      <c r="AM605" s="2023"/>
      <c r="AN605" s="2023"/>
      <c r="AO605" s="1064"/>
      <c r="AP605" s="1137"/>
      <c r="AQ605" s="1064"/>
      <c r="AR605" s="1137"/>
      <c r="AS605" s="2023"/>
      <c r="AT605" s="2355"/>
      <c r="AU605" s="42">
        <v>41621</v>
      </c>
      <c r="AV605" s="42">
        <v>41772</v>
      </c>
      <c r="AW605" s="2378"/>
      <c r="AX605" s="2355"/>
      <c r="AY605" s="2355"/>
      <c r="AZ605" s="2355"/>
      <c r="BA605" s="2355"/>
      <c r="BB605" s="2355"/>
      <c r="BC605" s="2355"/>
      <c r="BD605" s="2355"/>
      <c r="BE605" s="1480"/>
      <c r="BF605" s="1480"/>
      <c r="BG605" s="1480"/>
      <c r="BH605" s="1480"/>
      <c r="BI605" s="1480"/>
      <c r="BJ605" s="1480"/>
    </row>
    <row r="606" spans="1:62" s="629" customFormat="1" ht="31.5" customHeight="1" x14ac:dyDescent="0.2">
      <c r="A606" s="2365"/>
      <c r="B606" s="2361"/>
      <c r="C606" s="2023"/>
      <c r="D606" s="2023"/>
      <c r="E606" s="2023"/>
      <c r="F606" s="2023"/>
      <c r="G606" s="2006"/>
      <c r="H606" s="2367"/>
      <c r="I606" s="2023"/>
      <c r="J606" s="2023"/>
      <c r="K606" s="2347"/>
      <c r="L606" s="2343"/>
      <c r="M606" s="2006"/>
      <c r="N606" s="2347"/>
      <c r="O606" s="2347"/>
      <c r="P606" s="2367"/>
      <c r="Q606" s="2023"/>
      <c r="R606" s="2023"/>
      <c r="S606" s="2023"/>
      <c r="T606" s="2023"/>
      <c r="U606" s="1146" t="s">
        <v>3891</v>
      </c>
      <c r="V606" s="1137">
        <v>41653</v>
      </c>
      <c r="W606" s="1064">
        <v>11224</v>
      </c>
      <c r="X606" s="1146" t="s">
        <v>3922</v>
      </c>
      <c r="Y606" s="1137">
        <v>41653</v>
      </c>
      <c r="Z606" s="1137">
        <v>41889</v>
      </c>
      <c r="AA606" s="1138">
        <f>AC606/L604</f>
        <v>2.249128470204315E-2</v>
      </c>
      <c r="AB606" s="1055"/>
      <c r="AC606" s="1139">
        <v>40895.19</v>
      </c>
      <c r="AD606" s="1139"/>
      <c r="AE606" s="1155">
        <f>AC606+L604</f>
        <v>1859163.49</v>
      </c>
      <c r="AF606" s="525">
        <v>0</v>
      </c>
      <c r="AG606" s="525">
        <v>0</v>
      </c>
      <c r="AH606" s="1139">
        <f t="shared" si="19"/>
        <v>0</v>
      </c>
      <c r="AI606" s="500"/>
      <c r="AJ606" s="2006"/>
      <c r="AK606" s="2023"/>
      <c r="AL606" s="2355"/>
      <c r="AM606" s="2023"/>
      <c r="AN606" s="2023"/>
      <c r="AO606" s="1064"/>
      <c r="AP606" s="1137"/>
      <c r="AQ606" s="1064"/>
      <c r="AR606" s="1137"/>
      <c r="AS606" s="2023"/>
      <c r="AT606" s="2355"/>
      <c r="AU606" s="40"/>
      <c r="AV606" s="40"/>
      <c r="AW606" s="2378"/>
      <c r="AX606" s="2355"/>
      <c r="AY606" s="2355"/>
      <c r="AZ606" s="2355"/>
      <c r="BA606" s="2355"/>
      <c r="BB606" s="2355"/>
      <c r="BC606" s="2355"/>
      <c r="BD606" s="2355"/>
      <c r="BE606" s="1480"/>
      <c r="BF606" s="1480"/>
      <c r="BG606" s="1480"/>
      <c r="BH606" s="1480"/>
      <c r="BI606" s="1480"/>
      <c r="BJ606" s="1480"/>
    </row>
    <row r="607" spans="1:62" s="629" customFormat="1" ht="31.5" customHeight="1" x14ac:dyDescent="0.2">
      <c r="A607" s="2365"/>
      <c r="B607" s="2361"/>
      <c r="C607" s="2023"/>
      <c r="D607" s="2023"/>
      <c r="E607" s="2023"/>
      <c r="F607" s="2023"/>
      <c r="G607" s="2006"/>
      <c r="H607" s="2367"/>
      <c r="I607" s="2023"/>
      <c r="J607" s="2023"/>
      <c r="K607" s="2347"/>
      <c r="L607" s="2343"/>
      <c r="M607" s="2006"/>
      <c r="N607" s="2347"/>
      <c r="O607" s="2347"/>
      <c r="P607" s="1146"/>
      <c r="Q607" s="2023"/>
      <c r="R607" s="2023"/>
      <c r="S607" s="2023"/>
      <c r="T607" s="2023"/>
      <c r="U607" s="1146" t="s">
        <v>3928</v>
      </c>
      <c r="V607" s="1137">
        <v>41599</v>
      </c>
      <c r="W607" s="1064">
        <v>11367</v>
      </c>
      <c r="X607" s="1146" t="s">
        <v>4730</v>
      </c>
      <c r="Y607" s="1137"/>
      <c r="Z607" s="1137"/>
      <c r="AA607" s="1138"/>
      <c r="AB607" s="1055"/>
      <c r="AC607" s="1139"/>
      <c r="AD607" s="1139"/>
      <c r="AE607" s="1155"/>
      <c r="AF607" s="525">
        <v>0</v>
      </c>
      <c r="AG607" s="525">
        <v>0</v>
      </c>
      <c r="AH607" s="1139">
        <f t="shared" si="19"/>
        <v>0</v>
      </c>
      <c r="AI607" s="1055"/>
      <c r="AJ607" s="1064"/>
      <c r="AK607" s="1055"/>
      <c r="AL607" s="1133"/>
      <c r="AM607" s="1055"/>
      <c r="AN607" s="1055"/>
      <c r="AO607" s="1064"/>
      <c r="AP607" s="1137"/>
      <c r="AQ607" s="1064"/>
      <c r="AR607" s="1137"/>
      <c r="AS607" s="2023"/>
      <c r="AT607" s="2355"/>
      <c r="AU607" s="40"/>
      <c r="AV607" s="40"/>
      <c r="AW607" s="2378"/>
      <c r="AX607" s="2355"/>
      <c r="AY607" s="2355"/>
      <c r="AZ607" s="2355"/>
      <c r="BA607" s="2355"/>
      <c r="BB607" s="2355"/>
      <c r="BC607" s="2355"/>
      <c r="BD607" s="2355"/>
      <c r="BE607" s="1480"/>
      <c r="BF607" s="1480"/>
      <c r="BG607" s="1480"/>
      <c r="BH607" s="1480"/>
      <c r="BI607" s="1480"/>
      <c r="BJ607" s="1480"/>
    </row>
    <row r="608" spans="1:62" s="629" customFormat="1" ht="31.5" customHeight="1" x14ac:dyDescent="0.2">
      <c r="A608" s="2365"/>
      <c r="B608" s="2361"/>
      <c r="C608" s="2023"/>
      <c r="D608" s="2023"/>
      <c r="E608" s="2023"/>
      <c r="F608" s="2023"/>
      <c r="G608" s="2006"/>
      <c r="H608" s="2367"/>
      <c r="I608" s="2023"/>
      <c r="J608" s="2023"/>
      <c r="K608" s="2347"/>
      <c r="L608" s="2343"/>
      <c r="M608" s="2006"/>
      <c r="N608" s="2347"/>
      <c r="O608" s="2347"/>
      <c r="P608" s="1146"/>
      <c r="Q608" s="2023"/>
      <c r="R608" s="2023"/>
      <c r="S608" s="2023"/>
      <c r="T608" s="2023"/>
      <c r="U608" s="1146" t="s">
        <v>4710</v>
      </c>
      <c r="V608" s="1137">
        <v>41625</v>
      </c>
      <c r="W608" s="1064">
        <v>11367</v>
      </c>
      <c r="X608" s="1146" t="s">
        <v>4730</v>
      </c>
      <c r="Y608" s="1137"/>
      <c r="Z608" s="1137"/>
      <c r="AA608" s="1138"/>
      <c r="AB608" s="1055"/>
      <c r="AC608" s="1139"/>
      <c r="AD608" s="1139"/>
      <c r="AE608" s="1155"/>
      <c r="AF608" s="525">
        <v>0</v>
      </c>
      <c r="AG608" s="525">
        <v>0</v>
      </c>
      <c r="AH608" s="1139">
        <f t="shared" si="19"/>
        <v>0</v>
      </c>
      <c r="AI608" s="1055"/>
      <c r="AJ608" s="1064"/>
      <c r="AK608" s="1055"/>
      <c r="AL608" s="1133"/>
      <c r="AM608" s="1055"/>
      <c r="AN608" s="1055"/>
      <c r="AO608" s="1064"/>
      <c r="AP608" s="1137"/>
      <c r="AQ608" s="1064"/>
      <c r="AR608" s="1137"/>
      <c r="AS608" s="2023"/>
      <c r="AT608" s="2355"/>
      <c r="AU608" s="40"/>
      <c r="AV608" s="40"/>
      <c r="AW608" s="2378"/>
      <c r="AX608" s="2355"/>
      <c r="AY608" s="2355"/>
      <c r="AZ608" s="2355"/>
      <c r="BA608" s="2355"/>
      <c r="BB608" s="2355"/>
      <c r="BC608" s="2355"/>
      <c r="BD608" s="2355"/>
      <c r="BE608" s="1480"/>
      <c r="BF608" s="1480"/>
      <c r="BG608" s="1480"/>
      <c r="BH608" s="1480"/>
      <c r="BI608" s="1480"/>
      <c r="BJ608" s="1480"/>
    </row>
    <row r="609" spans="1:62" s="629" customFormat="1" ht="31.5" customHeight="1" x14ac:dyDescent="0.2">
      <c r="A609" s="2365"/>
      <c r="B609" s="2361"/>
      <c r="C609" s="2023"/>
      <c r="D609" s="2023"/>
      <c r="E609" s="2023"/>
      <c r="F609" s="2023"/>
      <c r="G609" s="2006"/>
      <c r="H609" s="2367"/>
      <c r="I609" s="2023"/>
      <c r="J609" s="2023"/>
      <c r="K609" s="2347"/>
      <c r="L609" s="2343"/>
      <c r="M609" s="2006"/>
      <c r="N609" s="2347"/>
      <c r="O609" s="2347"/>
      <c r="P609" s="1146"/>
      <c r="Q609" s="2023"/>
      <c r="R609" s="2023"/>
      <c r="S609" s="2023"/>
      <c r="T609" s="2023"/>
      <c r="U609" s="1146" t="s">
        <v>4712</v>
      </c>
      <c r="V609" s="1137">
        <v>41625</v>
      </c>
      <c r="W609" s="1064">
        <v>11367</v>
      </c>
      <c r="X609" s="1146" t="s">
        <v>4730</v>
      </c>
      <c r="Y609" s="1137"/>
      <c r="Z609" s="1137"/>
      <c r="AA609" s="1138"/>
      <c r="AB609" s="1055"/>
      <c r="AC609" s="1139"/>
      <c r="AD609" s="1139"/>
      <c r="AE609" s="1155"/>
      <c r="AF609" s="525">
        <v>0</v>
      </c>
      <c r="AG609" s="525">
        <v>0</v>
      </c>
      <c r="AH609" s="1139">
        <f t="shared" si="19"/>
        <v>0</v>
      </c>
      <c r="AI609" s="1055"/>
      <c r="AJ609" s="1064"/>
      <c r="AK609" s="1055"/>
      <c r="AL609" s="1133"/>
      <c r="AM609" s="1055"/>
      <c r="AN609" s="1055"/>
      <c r="AO609" s="1064"/>
      <c r="AP609" s="1137"/>
      <c r="AQ609" s="1064"/>
      <c r="AR609" s="1137"/>
      <c r="AS609" s="2023"/>
      <c r="AT609" s="2355"/>
      <c r="AU609" s="40"/>
      <c r="AV609" s="40"/>
      <c r="AW609" s="2378"/>
      <c r="AX609" s="2355"/>
      <c r="AY609" s="2355"/>
      <c r="AZ609" s="2355"/>
      <c r="BA609" s="2355"/>
      <c r="BB609" s="2355"/>
      <c r="BC609" s="2355"/>
      <c r="BD609" s="2355"/>
      <c r="BE609" s="1480"/>
      <c r="BF609" s="1480"/>
      <c r="BG609" s="1480"/>
      <c r="BH609" s="1480"/>
      <c r="BI609" s="1480"/>
      <c r="BJ609" s="1480"/>
    </row>
    <row r="610" spans="1:62" s="629" customFormat="1" ht="12.75" x14ac:dyDescent="0.2">
      <c r="A610" s="2365"/>
      <c r="B610" s="2361"/>
      <c r="C610" s="2023"/>
      <c r="D610" s="2023"/>
      <c r="E610" s="2023"/>
      <c r="F610" s="2023"/>
      <c r="G610" s="2006"/>
      <c r="H610" s="2367"/>
      <c r="I610" s="2023"/>
      <c r="J610" s="2023"/>
      <c r="K610" s="2347"/>
      <c r="L610" s="2343"/>
      <c r="M610" s="2006"/>
      <c r="N610" s="2347"/>
      <c r="O610" s="2347"/>
      <c r="P610" s="2367" t="s">
        <v>4767</v>
      </c>
      <c r="Q610" s="2023"/>
      <c r="R610" s="2023"/>
      <c r="S610" s="2023"/>
      <c r="T610" s="2023"/>
      <c r="U610" s="1146" t="s">
        <v>3908</v>
      </c>
      <c r="V610" s="1137">
        <v>41800</v>
      </c>
      <c r="W610" s="1064">
        <v>11332</v>
      </c>
      <c r="X610" s="1146" t="s">
        <v>3922</v>
      </c>
      <c r="Y610" s="1137">
        <v>41800</v>
      </c>
      <c r="Z610" s="1137">
        <v>41889</v>
      </c>
      <c r="AA610" s="1138">
        <f>AC610/AE606</f>
        <v>0.15969011418140533</v>
      </c>
      <c r="AB610" s="1055"/>
      <c r="AC610" s="1139">
        <v>296890.03000000003</v>
      </c>
      <c r="AD610" s="1139"/>
      <c r="AE610" s="1155">
        <f>AC610+AE606</f>
        <v>2156053.52</v>
      </c>
      <c r="AF610" s="1155">
        <v>107739.83</v>
      </c>
      <c r="AG610" s="525">
        <v>0</v>
      </c>
      <c r="AH610" s="1139">
        <f t="shared" si="19"/>
        <v>107739.83</v>
      </c>
      <c r="AI610" s="2023"/>
      <c r="AJ610" s="2006"/>
      <c r="AK610" s="2023"/>
      <c r="AL610" s="2355"/>
      <c r="AM610" s="2023"/>
      <c r="AN610" s="2023"/>
      <c r="AO610" s="1064"/>
      <c r="AP610" s="1137"/>
      <c r="AQ610" s="1064"/>
      <c r="AR610" s="1137"/>
      <c r="AS610" s="2023"/>
      <c r="AT610" s="2355"/>
      <c r="AU610" s="40"/>
      <c r="AV610" s="40"/>
      <c r="AW610" s="2378"/>
      <c r="AX610" s="2355"/>
      <c r="AY610" s="2355"/>
      <c r="AZ610" s="2355"/>
      <c r="BA610" s="2355"/>
      <c r="BB610" s="2355"/>
      <c r="BC610" s="2355"/>
      <c r="BD610" s="2355"/>
      <c r="BE610" s="1480"/>
      <c r="BF610" s="1480"/>
      <c r="BG610" s="1480"/>
      <c r="BH610" s="1480"/>
      <c r="BI610" s="1480"/>
      <c r="BJ610" s="1480"/>
    </row>
    <row r="611" spans="1:62" s="629" customFormat="1" ht="12.75" x14ac:dyDescent="0.2">
      <c r="A611" s="2365"/>
      <c r="B611" s="2361"/>
      <c r="C611" s="2023"/>
      <c r="D611" s="2023"/>
      <c r="E611" s="2023"/>
      <c r="F611" s="2023"/>
      <c r="G611" s="2006"/>
      <c r="H611" s="2367"/>
      <c r="I611" s="2023"/>
      <c r="J611" s="2023"/>
      <c r="K611" s="2347"/>
      <c r="L611" s="2343"/>
      <c r="M611" s="2006"/>
      <c r="N611" s="2347"/>
      <c r="O611" s="2347"/>
      <c r="P611" s="2367"/>
      <c r="Q611" s="2023"/>
      <c r="R611" s="2023"/>
      <c r="S611" s="2023"/>
      <c r="T611" s="2023"/>
      <c r="U611" s="1146" t="s">
        <v>3893</v>
      </c>
      <c r="V611" s="1137">
        <v>41822</v>
      </c>
      <c r="W611" s="1064">
        <v>11364</v>
      </c>
      <c r="X611" s="1146" t="s">
        <v>4768</v>
      </c>
      <c r="Y611" s="1137">
        <v>41889</v>
      </c>
      <c r="Z611" s="1137">
        <v>42099</v>
      </c>
      <c r="AA611" s="1138"/>
      <c r="AB611" s="1055"/>
      <c r="AC611" s="1139"/>
      <c r="AD611" s="1139"/>
      <c r="AE611" s="1155"/>
      <c r="AF611" s="525">
        <v>0</v>
      </c>
      <c r="AG611" s="525">
        <v>0</v>
      </c>
      <c r="AH611" s="1139">
        <f t="shared" si="19"/>
        <v>0</v>
      </c>
      <c r="AI611" s="2023"/>
      <c r="AJ611" s="2006"/>
      <c r="AK611" s="2023"/>
      <c r="AL611" s="2355"/>
      <c r="AM611" s="2023"/>
      <c r="AN611" s="2023"/>
      <c r="AO611" s="1064"/>
      <c r="AP611" s="1137"/>
      <c r="AQ611" s="1064"/>
      <c r="AR611" s="1137"/>
      <c r="AS611" s="2023"/>
      <c r="AT611" s="2355"/>
      <c r="AU611" s="42">
        <v>41773</v>
      </c>
      <c r="AV611" s="42">
        <v>41923</v>
      </c>
      <c r="AW611" s="2378"/>
      <c r="AX611" s="2355"/>
      <c r="AY611" s="2355"/>
      <c r="AZ611" s="2355"/>
      <c r="BA611" s="2355"/>
      <c r="BB611" s="2355"/>
      <c r="BC611" s="2355"/>
      <c r="BD611" s="2355"/>
      <c r="BE611" s="1480"/>
      <c r="BF611" s="1480"/>
      <c r="BG611" s="1480"/>
      <c r="BH611" s="1480"/>
      <c r="BI611" s="1480"/>
      <c r="BJ611" s="1480"/>
    </row>
    <row r="612" spans="1:62" s="629" customFormat="1" ht="25.5" x14ac:dyDescent="0.2">
      <c r="A612" s="2365"/>
      <c r="B612" s="2361"/>
      <c r="C612" s="2023"/>
      <c r="D612" s="2023"/>
      <c r="E612" s="2023"/>
      <c r="F612" s="2023"/>
      <c r="G612" s="2006"/>
      <c r="H612" s="2367"/>
      <c r="I612" s="2023"/>
      <c r="J612" s="2023"/>
      <c r="K612" s="2347"/>
      <c r="L612" s="2343"/>
      <c r="M612" s="2006"/>
      <c r="N612" s="2347"/>
      <c r="O612" s="2347"/>
      <c r="P612" s="1146" t="s">
        <v>4071</v>
      </c>
      <c r="Q612" s="2023"/>
      <c r="R612" s="2023"/>
      <c r="S612" s="2023"/>
      <c r="T612" s="2023"/>
      <c r="U612" s="1146" t="s">
        <v>4762</v>
      </c>
      <c r="V612" s="1137">
        <v>41843</v>
      </c>
      <c r="W612" s="1064">
        <v>11364</v>
      </c>
      <c r="X612" s="1146" t="s">
        <v>4732</v>
      </c>
      <c r="Y612" s="1137">
        <v>41843</v>
      </c>
      <c r="Z612" s="1137">
        <v>41889</v>
      </c>
      <c r="AA612" s="1138">
        <f>AC612/AE610</f>
        <v>0.13247635893565388</v>
      </c>
      <c r="AB612" s="1055"/>
      <c r="AC612" s="1139">
        <v>285626.12</v>
      </c>
      <c r="AD612" s="1139"/>
      <c r="AE612" s="1155">
        <f>AC612+AE610</f>
        <v>2441679.64</v>
      </c>
      <c r="AF612" s="525">
        <v>0</v>
      </c>
      <c r="AG612" s="1150">
        <f>70593.21+77668.2+54838.57+29649.53+56144.66</f>
        <v>288894.17000000004</v>
      </c>
      <c r="AH612" s="1139">
        <f t="shared" si="19"/>
        <v>288894.17000000004</v>
      </c>
      <c r="AI612" s="1055"/>
      <c r="AJ612" s="1064"/>
      <c r="AK612" s="1055"/>
      <c r="AL612" s="1133"/>
      <c r="AM612" s="1055"/>
      <c r="AN612" s="1055"/>
      <c r="AO612" s="1064"/>
      <c r="AP612" s="1137"/>
      <c r="AQ612" s="1064"/>
      <c r="AR612" s="1137"/>
      <c r="AS612" s="2023"/>
      <c r="AT612" s="2355"/>
      <c r="AU612" s="40"/>
      <c r="AV612" s="40"/>
      <c r="AW612" s="2379"/>
      <c r="AX612" s="2355"/>
      <c r="AY612" s="2355"/>
      <c r="AZ612" s="2355"/>
      <c r="BA612" s="2355"/>
      <c r="BB612" s="2355"/>
      <c r="BC612" s="2355"/>
      <c r="BD612" s="2355"/>
      <c r="BE612" s="1480"/>
      <c r="BF612" s="1480"/>
      <c r="BG612" s="1480"/>
      <c r="BH612" s="1480"/>
      <c r="BI612" s="1480"/>
      <c r="BJ612" s="1480"/>
    </row>
    <row r="613" spans="1:62" s="629" customFormat="1" ht="30.75" customHeight="1" x14ac:dyDescent="0.2">
      <c r="A613" s="2365">
        <v>270</v>
      </c>
      <c r="B613" s="2361" t="s">
        <v>4769</v>
      </c>
      <c r="C613" s="2023" t="s">
        <v>1006</v>
      </c>
      <c r="D613" s="2023" t="s">
        <v>4703</v>
      </c>
      <c r="E613" s="2023" t="s">
        <v>584</v>
      </c>
      <c r="F613" s="2023" t="s">
        <v>4770</v>
      </c>
      <c r="G613" s="2006">
        <v>11086</v>
      </c>
      <c r="H613" s="2367" t="s">
        <v>4771</v>
      </c>
      <c r="I613" s="2141" t="s">
        <v>4772</v>
      </c>
      <c r="J613" s="2023" t="s">
        <v>4773</v>
      </c>
      <c r="K613" s="2347">
        <v>41493</v>
      </c>
      <c r="L613" s="2343">
        <v>1830778.8799999999</v>
      </c>
      <c r="M613" s="2006">
        <v>11113</v>
      </c>
      <c r="N613" s="2347">
        <v>41493</v>
      </c>
      <c r="O613" s="2347">
        <v>41704</v>
      </c>
      <c r="P613" s="1146" t="s">
        <v>4721</v>
      </c>
      <c r="Q613" s="1055"/>
      <c r="R613" s="1055"/>
      <c r="S613" s="1055"/>
      <c r="T613" s="2023" t="s">
        <v>1438</v>
      </c>
      <c r="U613" s="1146"/>
      <c r="V613" s="1055"/>
      <c r="W613" s="1145"/>
      <c r="X613" s="1146"/>
      <c r="Y613" s="1055"/>
      <c r="Z613" s="1055"/>
      <c r="AA613" s="1138"/>
      <c r="AB613" s="1055"/>
      <c r="AC613" s="1139"/>
      <c r="AD613" s="1139"/>
      <c r="AE613" s="1155"/>
      <c r="AF613" s="1155">
        <v>105540.49</v>
      </c>
      <c r="AG613" s="1139">
        <v>460776.99</v>
      </c>
      <c r="AH613" s="1139">
        <f t="shared" si="19"/>
        <v>566317.48</v>
      </c>
      <c r="AI613" s="1138"/>
      <c r="AJ613" s="1064"/>
      <c r="AK613" s="1055"/>
      <c r="AL613" s="1133"/>
      <c r="AM613" s="1055"/>
      <c r="AN613" s="1055"/>
      <c r="AO613" s="1064"/>
      <c r="AP613" s="1137"/>
      <c r="AQ613" s="1064"/>
      <c r="AR613" s="1137"/>
      <c r="AS613" s="1055" t="s">
        <v>4707</v>
      </c>
      <c r="AT613" s="1133" t="s">
        <v>4631</v>
      </c>
      <c r="AU613" s="1134">
        <v>41494</v>
      </c>
      <c r="AV613" s="1134">
        <v>41644</v>
      </c>
      <c r="AW613" s="2364">
        <f>(AH613:AH619)/AE617</f>
        <v>0.26625189133854277</v>
      </c>
      <c r="AX613" s="2355"/>
      <c r="AY613" s="2352">
        <v>41494</v>
      </c>
      <c r="AZ613" s="2356" t="s">
        <v>1464</v>
      </c>
      <c r="BA613" s="2356" t="s">
        <v>1458</v>
      </c>
      <c r="BB613" s="2355"/>
      <c r="BC613" s="2355"/>
      <c r="BD613" s="2355"/>
      <c r="BE613" s="1480"/>
      <c r="BF613" s="1480"/>
      <c r="BG613" s="1480"/>
      <c r="BH613" s="1480"/>
      <c r="BI613" s="1480"/>
      <c r="BJ613" s="1480"/>
    </row>
    <row r="614" spans="1:62" s="629" customFormat="1" ht="30.75" customHeight="1" x14ac:dyDescent="0.2">
      <c r="A614" s="2365"/>
      <c r="B614" s="2361"/>
      <c r="C614" s="2023"/>
      <c r="D614" s="2023"/>
      <c r="E614" s="2023"/>
      <c r="F614" s="2023"/>
      <c r="G614" s="2006"/>
      <c r="H614" s="2367"/>
      <c r="I614" s="2141"/>
      <c r="J614" s="2023"/>
      <c r="K614" s="2347"/>
      <c r="L614" s="2343"/>
      <c r="M614" s="2006"/>
      <c r="N614" s="2347"/>
      <c r="O614" s="2347"/>
      <c r="P614" s="1146"/>
      <c r="Q614" s="1055"/>
      <c r="R614" s="1055"/>
      <c r="S614" s="1055"/>
      <c r="T614" s="2023"/>
      <c r="U614" s="1146" t="s">
        <v>3928</v>
      </c>
      <c r="V614" s="1137">
        <v>41599</v>
      </c>
      <c r="W614" s="1145">
        <v>11367</v>
      </c>
      <c r="X614" s="1146" t="s">
        <v>4709</v>
      </c>
      <c r="Y614" s="1055"/>
      <c r="Z614" s="1055"/>
      <c r="AA614" s="1138"/>
      <c r="AB614" s="1055"/>
      <c r="AC614" s="1139"/>
      <c r="AD614" s="1139"/>
      <c r="AE614" s="1155"/>
      <c r="AF614" s="525">
        <v>0</v>
      </c>
      <c r="AG614" s="525">
        <v>0</v>
      </c>
      <c r="AH614" s="1139">
        <f t="shared" si="19"/>
        <v>0</v>
      </c>
      <c r="AI614" s="1138"/>
      <c r="AJ614" s="1064"/>
      <c r="AK614" s="1055"/>
      <c r="AL614" s="1133"/>
      <c r="AM614" s="1055"/>
      <c r="AN614" s="1055"/>
      <c r="AO614" s="1064"/>
      <c r="AP614" s="1137"/>
      <c r="AQ614" s="1064"/>
      <c r="AR614" s="1137"/>
      <c r="AS614" s="1055"/>
      <c r="AT614" s="1133"/>
      <c r="AU614" s="1137"/>
      <c r="AV614" s="1137"/>
      <c r="AW614" s="2378"/>
      <c r="AX614" s="2355"/>
      <c r="AY614" s="2352"/>
      <c r="AZ614" s="2376"/>
      <c r="BA614" s="2376"/>
      <c r="BB614" s="2355"/>
      <c r="BC614" s="2355"/>
      <c r="BD614" s="2355"/>
      <c r="BE614" s="1480"/>
      <c r="BF614" s="1480"/>
      <c r="BG614" s="1480"/>
      <c r="BH614" s="1480"/>
      <c r="BI614" s="1480"/>
      <c r="BJ614" s="1480"/>
    </row>
    <row r="615" spans="1:62" s="629" customFormat="1" ht="30.75" customHeight="1" x14ac:dyDescent="0.2">
      <c r="A615" s="2365"/>
      <c r="B615" s="2361"/>
      <c r="C615" s="2023"/>
      <c r="D615" s="2023"/>
      <c r="E615" s="2023"/>
      <c r="F615" s="2023"/>
      <c r="G615" s="2006"/>
      <c r="H615" s="2367"/>
      <c r="I615" s="2141"/>
      <c r="J615" s="2023"/>
      <c r="K615" s="2347"/>
      <c r="L615" s="2343"/>
      <c r="M615" s="2006"/>
      <c r="N615" s="2347"/>
      <c r="O615" s="2347"/>
      <c r="P615" s="1146"/>
      <c r="Q615" s="1055"/>
      <c r="R615" s="1055"/>
      <c r="S615" s="1055"/>
      <c r="T615" s="2023"/>
      <c r="U615" s="1146" t="s">
        <v>4710</v>
      </c>
      <c r="V615" s="1137">
        <v>41625</v>
      </c>
      <c r="W615" s="1145">
        <v>11367</v>
      </c>
      <c r="X615" s="1146" t="s">
        <v>4709</v>
      </c>
      <c r="Y615" s="1055"/>
      <c r="Z615" s="1055"/>
      <c r="AA615" s="1138"/>
      <c r="AB615" s="1055"/>
      <c r="AC615" s="1139"/>
      <c r="AD615" s="1139"/>
      <c r="AE615" s="1155"/>
      <c r="AF615" s="525">
        <v>0</v>
      </c>
      <c r="AG615" s="525">
        <v>0</v>
      </c>
      <c r="AH615" s="1139">
        <f t="shared" si="19"/>
        <v>0</v>
      </c>
      <c r="AI615" s="1138"/>
      <c r="AJ615" s="1064"/>
      <c r="AK615" s="1055"/>
      <c r="AL615" s="1133"/>
      <c r="AM615" s="1055"/>
      <c r="AN615" s="1055"/>
      <c r="AO615" s="1064"/>
      <c r="AP615" s="1137"/>
      <c r="AQ615" s="1064"/>
      <c r="AR615" s="1137"/>
      <c r="AS615" s="1055"/>
      <c r="AT615" s="1133"/>
      <c r="AU615" s="1137"/>
      <c r="AV615" s="1137"/>
      <c r="AW615" s="2378"/>
      <c r="AX615" s="2355"/>
      <c r="AY615" s="2352"/>
      <c r="AZ615" s="2376"/>
      <c r="BA615" s="2376"/>
      <c r="BB615" s="2355"/>
      <c r="BC615" s="2355"/>
      <c r="BD615" s="2355"/>
      <c r="BE615" s="1480"/>
      <c r="BF615" s="1480"/>
      <c r="BG615" s="1480"/>
      <c r="BH615" s="1480"/>
      <c r="BI615" s="1480"/>
      <c r="BJ615" s="1480"/>
    </row>
    <row r="616" spans="1:62" s="629" customFormat="1" ht="21" customHeight="1" x14ac:dyDescent="0.2">
      <c r="A616" s="2365"/>
      <c r="B616" s="2361"/>
      <c r="C616" s="2023"/>
      <c r="D616" s="2023"/>
      <c r="E616" s="2023"/>
      <c r="F616" s="2023"/>
      <c r="G616" s="2006"/>
      <c r="H616" s="2367"/>
      <c r="I616" s="2141"/>
      <c r="J616" s="2023"/>
      <c r="K616" s="2347"/>
      <c r="L616" s="2343"/>
      <c r="M616" s="2006"/>
      <c r="N616" s="2347"/>
      <c r="O616" s="2347"/>
      <c r="P616" s="1146" t="s">
        <v>3961</v>
      </c>
      <c r="Q616" s="1055"/>
      <c r="R616" s="1055"/>
      <c r="S616" s="1055"/>
      <c r="T616" s="2023"/>
      <c r="U616" s="1146" t="s">
        <v>3906</v>
      </c>
      <c r="V616" s="1137">
        <v>41641</v>
      </c>
      <c r="W616" s="1064">
        <v>11225</v>
      </c>
      <c r="X616" s="1146" t="s">
        <v>4722</v>
      </c>
      <c r="Y616" s="1137">
        <v>41704</v>
      </c>
      <c r="Z616" s="1137">
        <v>41857</v>
      </c>
      <c r="AA616" s="1138"/>
      <c r="AB616" s="1055"/>
      <c r="AC616" s="1139"/>
      <c r="AD616" s="1139"/>
      <c r="AE616" s="1155"/>
      <c r="AF616" s="1155">
        <v>227991.09</v>
      </c>
      <c r="AG616" s="525">
        <v>0</v>
      </c>
      <c r="AH616" s="1139">
        <f t="shared" si="19"/>
        <v>227991.09</v>
      </c>
      <c r="AI616" s="1138"/>
      <c r="AJ616" s="1064"/>
      <c r="AK616" s="1055"/>
      <c r="AL616" s="1133"/>
      <c r="AM616" s="1055"/>
      <c r="AN616" s="1055"/>
      <c r="AO616" s="1064"/>
      <c r="AP616" s="1137"/>
      <c r="AQ616" s="1064"/>
      <c r="AR616" s="1137"/>
      <c r="AS616" s="1055"/>
      <c r="AT616" s="1133"/>
      <c r="AU616" s="1137">
        <v>41645</v>
      </c>
      <c r="AV616" s="1137">
        <v>41734</v>
      </c>
      <c r="AW616" s="2378"/>
      <c r="AX616" s="2355"/>
      <c r="AY616" s="2355"/>
      <c r="AZ616" s="2376"/>
      <c r="BA616" s="2376"/>
      <c r="BB616" s="2355"/>
      <c r="BC616" s="2355"/>
      <c r="BD616" s="2355"/>
      <c r="BE616" s="1480"/>
      <c r="BF616" s="1480"/>
      <c r="BG616" s="1480"/>
      <c r="BH616" s="1480"/>
      <c r="BI616" s="1480"/>
      <c r="BJ616" s="1480"/>
    </row>
    <row r="617" spans="1:62" s="629" customFormat="1" ht="31.5" customHeight="1" x14ac:dyDescent="0.2">
      <c r="A617" s="2365"/>
      <c r="B617" s="2361"/>
      <c r="C617" s="2023"/>
      <c r="D617" s="2023"/>
      <c r="E617" s="2023"/>
      <c r="F617" s="2023"/>
      <c r="G617" s="2006"/>
      <c r="H617" s="2367"/>
      <c r="I617" s="2141"/>
      <c r="J617" s="2023"/>
      <c r="K617" s="2347"/>
      <c r="L617" s="2343"/>
      <c r="M617" s="2006"/>
      <c r="N617" s="2347"/>
      <c r="O617" s="2347"/>
      <c r="P617" s="1146"/>
      <c r="Q617" s="1055"/>
      <c r="R617" s="1055"/>
      <c r="S617" s="1055"/>
      <c r="T617" s="2023"/>
      <c r="U617" s="1146" t="s">
        <v>4712</v>
      </c>
      <c r="V617" s="1137">
        <v>41792</v>
      </c>
      <c r="W617" s="1064">
        <v>11347</v>
      </c>
      <c r="X617" s="1146" t="s">
        <v>3929</v>
      </c>
      <c r="Y617" s="1137"/>
      <c r="Z617" s="1137"/>
      <c r="AA617" s="1138">
        <f>AC617/L613</f>
        <v>0.16179999847933577</v>
      </c>
      <c r="AB617" s="1055"/>
      <c r="AC617" s="1139">
        <v>296220.02</v>
      </c>
      <c r="AD617" s="1139"/>
      <c r="AE617" s="1155">
        <f>AC617+L613</f>
        <v>2126998.9</v>
      </c>
      <c r="AF617" s="525">
        <v>0</v>
      </c>
      <c r="AG617" s="525">
        <v>0</v>
      </c>
      <c r="AH617" s="1139">
        <f t="shared" si="19"/>
        <v>0</v>
      </c>
      <c r="AI617" s="1138"/>
      <c r="AJ617" s="1064"/>
      <c r="AK617" s="1055"/>
      <c r="AL617" s="1133"/>
      <c r="AM617" s="1055"/>
      <c r="AN617" s="1055"/>
      <c r="AO617" s="1064"/>
      <c r="AP617" s="1137"/>
      <c r="AQ617" s="1064"/>
      <c r="AR617" s="1137"/>
      <c r="AS617" s="1055"/>
      <c r="AT617" s="1133"/>
      <c r="AU617" s="1137"/>
      <c r="AV617" s="1137"/>
      <c r="AW617" s="2378"/>
      <c r="AX617" s="2355"/>
      <c r="AY617" s="2355"/>
      <c r="AZ617" s="2376"/>
      <c r="BA617" s="2376"/>
      <c r="BB617" s="2355"/>
      <c r="BC617" s="2355"/>
      <c r="BD617" s="2355"/>
      <c r="BE617" s="1480"/>
      <c r="BF617" s="1480"/>
      <c r="BG617" s="1480"/>
      <c r="BH617" s="1480"/>
      <c r="BI617" s="1480"/>
      <c r="BJ617" s="1480"/>
    </row>
    <row r="618" spans="1:62" s="629" customFormat="1" ht="34.5" customHeight="1" x14ac:dyDescent="0.2">
      <c r="A618" s="2365"/>
      <c r="B618" s="2361"/>
      <c r="C618" s="2023"/>
      <c r="D618" s="2023"/>
      <c r="E618" s="2023"/>
      <c r="F618" s="2023"/>
      <c r="G618" s="2006"/>
      <c r="H618" s="2367"/>
      <c r="I618" s="2141"/>
      <c r="J618" s="2023"/>
      <c r="K618" s="2347"/>
      <c r="L618" s="2343"/>
      <c r="M618" s="2006"/>
      <c r="N618" s="2347"/>
      <c r="O618" s="2347"/>
      <c r="P618" s="2367" t="s">
        <v>4071</v>
      </c>
      <c r="Q618" s="1055"/>
      <c r="R618" s="1055"/>
      <c r="S618" s="1055"/>
      <c r="T618" s="2023"/>
      <c r="U618" s="1146" t="s">
        <v>3891</v>
      </c>
      <c r="V618" s="1137">
        <v>41812</v>
      </c>
      <c r="W618" s="1064">
        <v>11426</v>
      </c>
      <c r="X618" s="1146" t="s">
        <v>4760</v>
      </c>
      <c r="Y618" s="1137">
        <v>41875</v>
      </c>
      <c r="Z618" s="1137">
        <v>42085</v>
      </c>
      <c r="AA618" s="1138"/>
      <c r="AB618" s="1055"/>
      <c r="AC618" s="1139"/>
      <c r="AD618" s="1139"/>
      <c r="AE618" s="1155"/>
      <c r="AF618" s="525">
        <v>0</v>
      </c>
      <c r="AG618" s="1150">
        <v>879252.58</v>
      </c>
      <c r="AH618" s="1139">
        <f t="shared" si="19"/>
        <v>879252.58</v>
      </c>
      <c r="AI618" s="2363"/>
      <c r="AJ618" s="2006"/>
      <c r="AK618" s="2023"/>
      <c r="AL618" s="2355"/>
      <c r="AM618" s="2023"/>
      <c r="AN618" s="2023"/>
      <c r="AO618" s="1064"/>
      <c r="AP618" s="1137"/>
      <c r="AQ618" s="1064"/>
      <c r="AR618" s="1137"/>
      <c r="AS618" s="1055"/>
      <c r="AT618" s="1133"/>
      <c r="AU618" s="1137">
        <v>41735</v>
      </c>
      <c r="AV618" s="1137">
        <v>41885</v>
      </c>
      <c r="AW618" s="2378"/>
      <c r="AX618" s="2355"/>
      <c r="AY618" s="2355"/>
      <c r="AZ618" s="2376"/>
      <c r="BA618" s="2376"/>
      <c r="BB618" s="2355"/>
      <c r="BC618" s="2355"/>
      <c r="BD618" s="2355"/>
      <c r="BE618" s="1480"/>
      <c r="BF618" s="1480"/>
      <c r="BG618" s="1480"/>
      <c r="BH618" s="1480"/>
      <c r="BI618" s="1480"/>
      <c r="BJ618" s="1480"/>
    </row>
    <row r="619" spans="1:62" s="629" customFormat="1" ht="35.25" customHeight="1" x14ac:dyDescent="0.2">
      <c r="A619" s="2365"/>
      <c r="B619" s="2361"/>
      <c r="C619" s="2023"/>
      <c r="D619" s="2023"/>
      <c r="E619" s="2023"/>
      <c r="F619" s="2023"/>
      <c r="G619" s="2006"/>
      <c r="H619" s="2367"/>
      <c r="I619" s="2141"/>
      <c r="J619" s="2023"/>
      <c r="K619" s="2023"/>
      <c r="L619" s="2343"/>
      <c r="M619" s="2006"/>
      <c r="N619" s="2347"/>
      <c r="O619" s="2347"/>
      <c r="P619" s="2367"/>
      <c r="Q619" s="1055"/>
      <c r="R619" s="1055"/>
      <c r="S619" s="1055"/>
      <c r="T619" s="2023"/>
      <c r="U619" s="1146" t="s">
        <v>3908</v>
      </c>
      <c r="V619" s="1134">
        <v>41953</v>
      </c>
      <c r="W619" s="1145">
        <v>11443</v>
      </c>
      <c r="X619" s="1133" t="s">
        <v>4746</v>
      </c>
      <c r="Y619" s="1134">
        <f>Z619-150</f>
        <v>41954</v>
      </c>
      <c r="Z619" s="1134">
        <v>42104</v>
      </c>
      <c r="AA619" s="1138"/>
      <c r="AB619" s="1055"/>
      <c r="AC619" s="1139"/>
      <c r="AD619" s="1139"/>
      <c r="AE619" s="1155"/>
      <c r="AF619" s="525">
        <v>0</v>
      </c>
      <c r="AG619" s="525">
        <v>0</v>
      </c>
      <c r="AH619" s="1139">
        <f t="shared" si="19"/>
        <v>0</v>
      </c>
      <c r="AI619" s="2363"/>
      <c r="AJ619" s="2006"/>
      <c r="AK619" s="2023"/>
      <c r="AL619" s="2355"/>
      <c r="AM619" s="2023"/>
      <c r="AN619" s="2023"/>
      <c r="AO619" s="1064"/>
      <c r="AP619" s="1137"/>
      <c r="AQ619" s="1064"/>
      <c r="AR619" s="1137"/>
      <c r="AS619" s="1055"/>
      <c r="AT619" s="1133"/>
      <c r="AU619" s="1137">
        <v>41954</v>
      </c>
      <c r="AV619" s="1137">
        <v>42104</v>
      </c>
      <c r="AW619" s="2379"/>
      <c r="AX619" s="2355"/>
      <c r="AY619" s="2355"/>
      <c r="AZ619" s="2377"/>
      <c r="BA619" s="2377"/>
      <c r="BB619" s="2355"/>
      <c r="BC619" s="2355"/>
      <c r="BD619" s="2355"/>
      <c r="BE619" s="1480"/>
      <c r="BF619" s="1480"/>
      <c r="BG619" s="1480"/>
      <c r="BH619" s="1480"/>
      <c r="BI619" s="1480"/>
      <c r="BJ619" s="1480"/>
    </row>
    <row r="620" spans="1:62" s="629" customFormat="1" ht="62.25" customHeight="1" x14ac:dyDescent="0.2">
      <c r="A620" s="2365">
        <v>271</v>
      </c>
      <c r="B620" s="2361" t="s">
        <v>1631</v>
      </c>
      <c r="C620" s="2023" t="s">
        <v>993</v>
      </c>
      <c r="D620" s="2023" t="s">
        <v>4703</v>
      </c>
      <c r="E620" s="2023" t="s">
        <v>584</v>
      </c>
      <c r="F620" s="2023" t="s">
        <v>4774</v>
      </c>
      <c r="G620" s="2385">
        <v>10988</v>
      </c>
      <c r="H620" s="2367" t="s">
        <v>4775</v>
      </c>
      <c r="I620" s="2023" t="s">
        <v>4715</v>
      </c>
      <c r="J620" s="2023" t="s">
        <v>4716</v>
      </c>
      <c r="K620" s="2347">
        <v>41514</v>
      </c>
      <c r="L620" s="2384">
        <v>134153.07999999999</v>
      </c>
      <c r="M620" s="2373">
        <v>11129</v>
      </c>
      <c r="N620" s="2352">
        <v>41514</v>
      </c>
      <c r="O620" s="2352">
        <v>41604</v>
      </c>
      <c r="P620" s="2354" t="s">
        <v>3905</v>
      </c>
      <c r="Q620" s="2023"/>
      <c r="R620" s="2023"/>
      <c r="S620" s="2023"/>
      <c r="T620" s="2355" t="s">
        <v>1438</v>
      </c>
      <c r="U620" s="1146"/>
      <c r="V620" s="1055"/>
      <c r="W620" s="1145"/>
      <c r="X620" s="1133"/>
      <c r="Y620" s="1055"/>
      <c r="Z620" s="1055"/>
      <c r="AA620" s="1138"/>
      <c r="AB620" s="1055"/>
      <c r="AC620" s="1139">
        <v>21705.97</v>
      </c>
      <c r="AD620" s="1139"/>
      <c r="AE620" s="1155">
        <f>L620-AD620+AC620</f>
        <v>155859.04999999999</v>
      </c>
      <c r="AF620" s="550">
        <v>79988.86</v>
      </c>
      <c r="AG620" s="1139">
        <v>30426.63</v>
      </c>
      <c r="AH620" s="1139">
        <f t="shared" si="19"/>
        <v>110415.49</v>
      </c>
      <c r="AI620" s="549"/>
      <c r="AJ620" s="2006"/>
      <c r="AK620" s="2023"/>
      <c r="AL620" s="2355"/>
      <c r="AM620" s="2023"/>
      <c r="AN620" s="2023"/>
      <c r="AO620" s="1064"/>
      <c r="AP620" s="1137"/>
      <c r="AQ620" s="1064"/>
      <c r="AR620" s="1137"/>
      <c r="AS620" s="2023" t="s">
        <v>4707</v>
      </c>
      <c r="AT620" s="2355" t="s">
        <v>4631</v>
      </c>
      <c r="AU620" s="42"/>
      <c r="AV620" s="42"/>
      <c r="AW620" s="2364">
        <f>(AH620:AH624)/AE620</f>
        <v>0.70843168875981222</v>
      </c>
      <c r="AX620" s="2355"/>
      <c r="AY620" s="2352">
        <v>41514</v>
      </c>
      <c r="AZ620" s="2355" t="s">
        <v>1464</v>
      </c>
      <c r="BA620" s="2355" t="s">
        <v>1458</v>
      </c>
      <c r="BB620" s="2355"/>
      <c r="BC620" s="2355"/>
      <c r="BD620" s="2355"/>
      <c r="BE620" s="1480"/>
      <c r="BF620" s="1480"/>
      <c r="BG620" s="1480"/>
      <c r="BH620" s="1480"/>
      <c r="BI620" s="1480"/>
      <c r="BJ620" s="1480"/>
    </row>
    <row r="621" spans="1:62" s="629" customFormat="1" ht="38.25" customHeight="1" x14ac:dyDescent="0.2">
      <c r="A621" s="2365"/>
      <c r="B621" s="2361"/>
      <c r="C621" s="2023"/>
      <c r="D621" s="2023"/>
      <c r="E621" s="2023"/>
      <c r="F621" s="2023"/>
      <c r="G621" s="2385"/>
      <c r="H621" s="2367"/>
      <c r="I621" s="2023"/>
      <c r="J621" s="2023"/>
      <c r="K621" s="2023"/>
      <c r="L621" s="2384"/>
      <c r="M621" s="2373"/>
      <c r="N621" s="2352"/>
      <c r="O621" s="2352"/>
      <c r="P621" s="2354"/>
      <c r="Q621" s="2023"/>
      <c r="R621" s="2023"/>
      <c r="S621" s="2023"/>
      <c r="T621" s="2355"/>
      <c r="U621" s="1146" t="s">
        <v>3906</v>
      </c>
      <c r="V621" s="1055"/>
      <c r="W621" s="1145">
        <v>11189</v>
      </c>
      <c r="X621" s="1146" t="s">
        <v>3955</v>
      </c>
      <c r="Y621" s="1134">
        <v>41604</v>
      </c>
      <c r="Z621" s="1134">
        <v>41665</v>
      </c>
      <c r="AA621" s="1138"/>
      <c r="AB621" s="1055"/>
      <c r="AC621" s="1139"/>
      <c r="AD621" s="1139"/>
      <c r="AE621" s="1155"/>
      <c r="AF621" s="525">
        <v>0</v>
      </c>
      <c r="AG621" s="525">
        <v>0</v>
      </c>
      <c r="AH621" s="1139">
        <f t="shared" si="19"/>
        <v>0</v>
      </c>
      <c r="AI621" s="551"/>
      <c r="AJ621" s="2006"/>
      <c r="AK621" s="2023"/>
      <c r="AL621" s="2355"/>
      <c r="AM621" s="2023"/>
      <c r="AN621" s="2023"/>
      <c r="AO621" s="1064"/>
      <c r="AP621" s="1137"/>
      <c r="AQ621" s="1064"/>
      <c r="AR621" s="1137"/>
      <c r="AS621" s="2023"/>
      <c r="AT621" s="2355"/>
      <c r="AU621" s="42"/>
      <c r="AV621" s="42"/>
      <c r="AW621" s="2378"/>
      <c r="AX621" s="2355"/>
      <c r="AY621" s="2355"/>
      <c r="AZ621" s="2355"/>
      <c r="BA621" s="2355"/>
      <c r="BB621" s="2355"/>
      <c r="BC621" s="2355"/>
      <c r="BD621" s="2355"/>
      <c r="BE621" s="1480"/>
      <c r="BF621" s="1480"/>
      <c r="BG621" s="1480"/>
      <c r="BH621" s="1480"/>
      <c r="BI621" s="1480"/>
      <c r="BJ621" s="1480"/>
    </row>
    <row r="622" spans="1:62" s="629" customFormat="1" ht="12.75" x14ac:dyDescent="0.2">
      <c r="A622" s="2365"/>
      <c r="B622" s="2361"/>
      <c r="C622" s="2023"/>
      <c r="D622" s="2023"/>
      <c r="E622" s="2023"/>
      <c r="F622" s="2023"/>
      <c r="G622" s="2385"/>
      <c r="H622" s="2367"/>
      <c r="I622" s="2023"/>
      <c r="J622" s="2023"/>
      <c r="K622" s="2023"/>
      <c r="L622" s="2384"/>
      <c r="M622" s="2373"/>
      <c r="N622" s="2352"/>
      <c r="O622" s="2352"/>
      <c r="P622" s="2354"/>
      <c r="Q622" s="2023"/>
      <c r="R622" s="2023"/>
      <c r="S622" s="2023"/>
      <c r="T622" s="2355"/>
      <c r="U622" s="1146" t="s">
        <v>3891</v>
      </c>
      <c r="V622" s="1137">
        <v>41631</v>
      </c>
      <c r="W622" s="1145">
        <v>11231</v>
      </c>
      <c r="X622" s="1146" t="s">
        <v>3955</v>
      </c>
      <c r="Y622" s="1134">
        <v>41665</v>
      </c>
      <c r="Z622" s="1134">
        <v>41721</v>
      </c>
      <c r="AA622" s="1138"/>
      <c r="AB622" s="1055"/>
      <c r="AC622" s="1139"/>
      <c r="AD622" s="1139"/>
      <c r="AE622" s="1155"/>
      <c r="AF622" s="525">
        <v>0</v>
      </c>
      <c r="AG622" s="525">
        <v>0</v>
      </c>
      <c r="AH622" s="1139">
        <f t="shared" si="19"/>
        <v>0</v>
      </c>
      <c r="AI622" s="551"/>
      <c r="AJ622" s="2006"/>
      <c r="AK622" s="2023"/>
      <c r="AL622" s="2355"/>
      <c r="AM622" s="2023"/>
      <c r="AN622" s="2023"/>
      <c r="AO622" s="1064"/>
      <c r="AP622" s="1137"/>
      <c r="AQ622" s="1064"/>
      <c r="AR622" s="1137"/>
      <c r="AS622" s="2023"/>
      <c r="AT622" s="2355"/>
      <c r="AU622" s="42"/>
      <c r="AV622" s="42"/>
      <c r="AW622" s="2378"/>
      <c r="AX622" s="2355"/>
      <c r="AY622" s="2355"/>
      <c r="AZ622" s="2355"/>
      <c r="BA622" s="2355"/>
      <c r="BB622" s="2355"/>
      <c r="BC622" s="2355"/>
      <c r="BD622" s="2355"/>
      <c r="BE622" s="1480"/>
      <c r="BF622" s="1480"/>
      <c r="BG622" s="1480"/>
      <c r="BH622" s="1480"/>
      <c r="BI622" s="1480"/>
      <c r="BJ622" s="1480"/>
    </row>
    <row r="623" spans="1:62" s="629" customFormat="1" ht="12.75" x14ac:dyDescent="0.2">
      <c r="A623" s="2365"/>
      <c r="B623" s="2361"/>
      <c r="C623" s="2023"/>
      <c r="D623" s="2023"/>
      <c r="E623" s="2023"/>
      <c r="F623" s="2023"/>
      <c r="G623" s="2385"/>
      <c r="H623" s="2367"/>
      <c r="I623" s="2023"/>
      <c r="J623" s="2023"/>
      <c r="K623" s="2023"/>
      <c r="L623" s="2384"/>
      <c r="M623" s="2373"/>
      <c r="N623" s="2352"/>
      <c r="O623" s="2352"/>
      <c r="P623" s="2354"/>
      <c r="Q623" s="2023"/>
      <c r="R623" s="2023"/>
      <c r="S623" s="2023"/>
      <c r="T623" s="2355"/>
      <c r="U623" s="1146" t="s">
        <v>3893</v>
      </c>
      <c r="V623" s="1137">
        <v>41743</v>
      </c>
      <c r="W623" s="1145"/>
      <c r="X623" s="1146"/>
      <c r="Y623" s="1134">
        <v>41816</v>
      </c>
      <c r="Z623" s="1134">
        <v>41906</v>
      </c>
      <c r="AA623" s="1138"/>
      <c r="AB623" s="1055"/>
      <c r="AC623" s="1139"/>
      <c r="AD623" s="1139"/>
      <c r="AE623" s="1155"/>
      <c r="AF623" s="525">
        <v>0</v>
      </c>
      <c r="AG623" s="525">
        <v>0</v>
      </c>
      <c r="AH623" s="1139">
        <f t="shared" si="19"/>
        <v>0</v>
      </c>
      <c r="AI623" s="551"/>
      <c r="AJ623" s="2006"/>
      <c r="AK623" s="2023"/>
      <c r="AL623" s="2355"/>
      <c r="AM623" s="2023"/>
      <c r="AN623" s="2023"/>
      <c r="AO623" s="1064"/>
      <c r="AP623" s="1137"/>
      <c r="AQ623" s="1064"/>
      <c r="AR623" s="1137"/>
      <c r="AS623" s="2023"/>
      <c r="AT623" s="2355"/>
      <c r="AU623" s="40"/>
      <c r="AV623" s="40"/>
      <c r="AW623" s="2378"/>
      <c r="AX623" s="2355"/>
      <c r="AY623" s="2355"/>
      <c r="AZ623" s="2355"/>
      <c r="BA623" s="2355"/>
      <c r="BB623" s="2355"/>
      <c r="BC623" s="2355"/>
      <c r="BD623" s="2355"/>
      <c r="BE623" s="1480"/>
      <c r="BF623" s="1480"/>
      <c r="BG623" s="1480"/>
      <c r="BH623" s="1480"/>
      <c r="BI623" s="1480"/>
      <c r="BJ623" s="1480"/>
    </row>
    <row r="624" spans="1:62" s="629" customFormat="1" ht="25.5" x14ac:dyDescent="0.2">
      <c r="A624" s="2365"/>
      <c r="B624" s="2361"/>
      <c r="C624" s="2023"/>
      <c r="D624" s="2023"/>
      <c r="E624" s="2023"/>
      <c r="F624" s="2023"/>
      <c r="G624" s="2385"/>
      <c r="H624" s="2367"/>
      <c r="I624" s="2023"/>
      <c r="J624" s="2023"/>
      <c r="K624" s="2023"/>
      <c r="L624" s="2384"/>
      <c r="M624" s="2373"/>
      <c r="N624" s="2352"/>
      <c r="O624" s="2352"/>
      <c r="P624" s="2354"/>
      <c r="Q624" s="2023"/>
      <c r="R624" s="2023"/>
      <c r="S624" s="2023"/>
      <c r="T624" s="2355"/>
      <c r="U624" s="1146" t="s">
        <v>4776</v>
      </c>
      <c r="V624" s="1137">
        <v>41792</v>
      </c>
      <c r="W624" s="1145">
        <v>11321</v>
      </c>
      <c r="X624" s="1146" t="s">
        <v>4777</v>
      </c>
      <c r="Y624" s="1134"/>
      <c r="Z624" s="1134"/>
      <c r="AA624" s="1138"/>
      <c r="AB624" s="1055"/>
      <c r="AC624" s="1139"/>
      <c r="AD624" s="1139"/>
      <c r="AE624" s="1155"/>
      <c r="AF624" s="525">
        <v>0</v>
      </c>
      <c r="AG624" s="525">
        <v>0</v>
      </c>
      <c r="AH624" s="1139">
        <f t="shared" si="19"/>
        <v>0</v>
      </c>
      <c r="AI624" s="552"/>
      <c r="AJ624" s="2006"/>
      <c r="AK624" s="2023"/>
      <c r="AL624" s="2355"/>
      <c r="AM624" s="2023"/>
      <c r="AN624" s="2023"/>
      <c r="AO624" s="1064"/>
      <c r="AP624" s="1137"/>
      <c r="AQ624" s="1064"/>
      <c r="AR624" s="1137"/>
      <c r="AS624" s="2023"/>
      <c r="AT624" s="2355"/>
      <c r="AU624" s="40"/>
      <c r="AV624" s="40"/>
      <c r="AW624" s="2379"/>
      <c r="AX624" s="2355"/>
      <c r="AY624" s="2355"/>
      <c r="AZ624" s="2355"/>
      <c r="BA624" s="2355"/>
      <c r="BB624" s="2355"/>
      <c r="BC624" s="2355"/>
      <c r="BD624" s="2355"/>
      <c r="BE624" s="1480"/>
      <c r="BF624" s="1480"/>
      <c r="BG624" s="1480"/>
      <c r="BH624" s="1480"/>
      <c r="BI624" s="1480"/>
      <c r="BJ624" s="1480"/>
    </row>
    <row r="625" spans="1:62" s="629" customFormat="1" ht="36.75" customHeight="1" x14ac:dyDescent="0.2">
      <c r="A625" s="2365">
        <v>272</v>
      </c>
      <c r="B625" s="2361" t="s">
        <v>2259</v>
      </c>
      <c r="C625" s="2023" t="s">
        <v>1046</v>
      </c>
      <c r="D625" s="2023" t="s">
        <v>4703</v>
      </c>
      <c r="E625" s="2023" t="s">
        <v>584</v>
      </c>
      <c r="F625" s="2023" t="s">
        <v>4778</v>
      </c>
      <c r="G625" s="2006">
        <v>11086</v>
      </c>
      <c r="H625" s="2367" t="s">
        <v>4779</v>
      </c>
      <c r="I625" s="2023" t="s">
        <v>4715</v>
      </c>
      <c r="J625" s="2023" t="s">
        <v>4716</v>
      </c>
      <c r="K625" s="2347">
        <v>41514</v>
      </c>
      <c r="L625" s="2343">
        <v>114902.39999999999</v>
      </c>
      <c r="M625" s="2006">
        <v>11169</v>
      </c>
      <c r="N625" s="2347">
        <v>41514</v>
      </c>
      <c r="O625" s="2347">
        <v>41604</v>
      </c>
      <c r="P625" s="2367" t="s">
        <v>3905</v>
      </c>
      <c r="Q625" s="2023"/>
      <c r="R625" s="2023"/>
      <c r="S625" s="2023"/>
      <c r="T625" s="2023" t="s">
        <v>1438</v>
      </c>
      <c r="U625" s="1146"/>
      <c r="V625" s="1055"/>
      <c r="W625" s="1145"/>
      <c r="X625" s="1146"/>
      <c r="Y625" s="1055"/>
      <c r="Z625" s="1055"/>
      <c r="AA625" s="1138"/>
      <c r="AB625" s="1055"/>
      <c r="AC625" s="1139"/>
      <c r="AD625" s="1139"/>
      <c r="AE625" s="1155"/>
      <c r="AF625" s="1155">
        <v>52122.02</v>
      </c>
      <c r="AG625" s="1139">
        <v>8433.34</v>
      </c>
      <c r="AH625" s="1139">
        <f t="shared" si="19"/>
        <v>60555.360000000001</v>
      </c>
      <c r="AI625" s="549"/>
      <c r="AJ625" s="2006"/>
      <c r="AK625" s="2023"/>
      <c r="AL625" s="1133"/>
      <c r="AM625" s="1055"/>
      <c r="AN625" s="1055"/>
      <c r="AO625" s="1064"/>
      <c r="AP625" s="1137"/>
      <c r="AQ625" s="1064"/>
      <c r="AR625" s="1137"/>
      <c r="AS625" s="2023" t="s">
        <v>4707</v>
      </c>
      <c r="AT625" s="2355" t="s">
        <v>4631</v>
      </c>
      <c r="AU625" s="1137">
        <v>41514</v>
      </c>
      <c r="AV625" s="1137">
        <v>41604</v>
      </c>
      <c r="AW625" s="2364">
        <f>(AH625:AH630)/AE630</f>
        <v>0.45361991484086772</v>
      </c>
      <c r="AX625" s="2355"/>
      <c r="AY625" s="2352">
        <v>41514</v>
      </c>
      <c r="AZ625" s="2355" t="s">
        <v>1464</v>
      </c>
      <c r="BA625" s="2355" t="s">
        <v>1458</v>
      </c>
      <c r="BB625" s="2355"/>
      <c r="BC625" s="2355"/>
      <c r="BD625" s="2355"/>
      <c r="BE625" s="1480"/>
      <c r="BF625" s="1480"/>
      <c r="BG625" s="1480"/>
      <c r="BH625" s="1480"/>
      <c r="BI625" s="1480"/>
      <c r="BJ625" s="1480"/>
    </row>
    <row r="626" spans="1:62" s="629" customFormat="1" ht="12.75" x14ac:dyDescent="0.2">
      <c r="A626" s="2365"/>
      <c r="B626" s="2361"/>
      <c r="C626" s="2023"/>
      <c r="D626" s="2023"/>
      <c r="E626" s="2023"/>
      <c r="F626" s="2023"/>
      <c r="G626" s="2006"/>
      <c r="H626" s="2367"/>
      <c r="I626" s="2023"/>
      <c r="J626" s="2023"/>
      <c r="K626" s="2347"/>
      <c r="L626" s="2343"/>
      <c r="M626" s="2006"/>
      <c r="N626" s="2347"/>
      <c r="O626" s="2347"/>
      <c r="P626" s="2367"/>
      <c r="Q626" s="2023"/>
      <c r="R626" s="2023"/>
      <c r="S626" s="2023"/>
      <c r="T626" s="2023"/>
      <c r="U626" s="1146" t="s">
        <v>3906</v>
      </c>
      <c r="V626" s="1137">
        <v>41572</v>
      </c>
      <c r="W626" s="1064">
        <v>11180</v>
      </c>
      <c r="X626" s="1146" t="s">
        <v>3947</v>
      </c>
      <c r="Y626" s="1137">
        <v>41604</v>
      </c>
      <c r="Z626" s="1137">
        <v>41665</v>
      </c>
      <c r="AA626" s="1138"/>
      <c r="AB626" s="1055"/>
      <c r="AC626" s="1139"/>
      <c r="AD626" s="1139"/>
      <c r="AE626" s="1155"/>
      <c r="AF626" s="525">
        <v>0</v>
      </c>
      <c r="AG626" s="525">
        <v>0</v>
      </c>
      <c r="AH626" s="1139">
        <f t="shared" si="19"/>
        <v>0</v>
      </c>
      <c r="AI626" s="551"/>
      <c r="AJ626" s="2006"/>
      <c r="AK626" s="2023"/>
      <c r="AL626" s="1133"/>
      <c r="AM626" s="1055"/>
      <c r="AN626" s="1055"/>
      <c r="AO626" s="1064"/>
      <c r="AP626" s="1137"/>
      <c r="AQ626" s="1137"/>
      <c r="AR626" s="1137"/>
      <c r="AS626" s="2023"/>
      <c r="AT626" s="2355"/>
      <c r="AU626" s="1137">
        <v>41604</v>
      </c>
      <c r="AV626" s="1137">
        <v>41665</v>
      </c>
      <c r="AW626" s="2378"/>
      <c r="AX626" s="2355"/>
      <c r="AY626" s="2355"/>
      <c r="AZ626" s="2355"/>
      <c r="BA626" s="2355"/>
      <c r="BB626" s="2355"/>
      <c r="BC626" s="2355"/>
      <c r="BD626" s="2355"/>
      <c r="BE626" s="1480"/>
      <c r="BF626" s="1480"/>
      <c r="BG626" s="1480"/>
      <c r="BH626" s="1480"/>
      <c r="BI626" s="1480"/>
      <c r="BJ626" s="1480"/>
    </row>
    <row r="627" spans="1:62" s="629" customFormat="1" ht="12.75" x14ac:dyDescent="0.2">
      <c r="A627" s="2365"/>
      <c r="B627" s="2361"/>
      <c r="C627" s="2023"/>
      <c r="D627" s="2023"/>
      <c r="E627" s="2023"/>
      <c r="F627" s="2023"/>
      <c r="G627" s="2006"/>
      <c r="H627" s="2367"/>
      <c r="I627" s="2023"/>
      <c r="J627" s="2023"/>
      <c r="K627" s="2347"/>
      <c r="L627" s="2343"/>
      <c r="M627" s="2006"/>
      <c r="N627" s="2347"/>
      <c r="O627" s="2347"/>
      <c r="P627" s="2367"/>
      <c r="Q627" s="2023"/>
      <c r="R627" s="2023"/>
      <c r="S627" s="2023"/>
      <c r="T627" s="2023"/>
      <c r="U627" s="1146" t="s">
        <v>3891</v>
      </c>
      <c r="V627" s="1137">
        <v>41996</v>
      </c>
      <c r="W627" s="1064">
        <v>11231</v>
      </c>
      <c r="X627" s="1146" t="s">
        <v>3947</v>
      </c>
      <c r="Y627" s="1137">
        <v>41665</v>
      </c>
      <c r="Z627" s="1137">
        <v>41724</v>
      </c>
      <c r="AA627" s="1138"/>
      <c r="AB627" s="1055"/>
      <c r="AC627" s="1139"/>
      <c r="AD627" s="1139"/>
      <c r="AE627" s="1155"/>
      <c r="AF627" s="525">
        <v>0</v>
      </c>
      <c r="AG627" s="525">
        <v>0</v>
      </c>
      <c r="AH627" s="1139">
        <f t="shared" si="19"/>
        <v>0</v>
      </c>
      <c r="AI627" s="551"/>
      <c r="AJ627" s="2006"/>
      <c r="AK627" s="2023"/>
      <c r="AL627" s="1133"/>
      <c r="AM627" s="1055"/>
      <c r="AN627" s="1055"/>
      <c r="AO627" s="1064"/>
      <c r="AP627" s="1137"/>
      <c r="AQ627" s="1137"/>
      <c r="AR627" s="1137"/>
      <c r="AS627" s="2023"/>
      <c r="AT627" s="2355"/>
      <c r="AU627" s="1137">
        <v>41665</v>
      </c>
      <c r="AV627" s="1137">
        <v>41724</v>
      </c>
      <c r="AW627" s="2378"/>
      <c r="AX627" s="2355"/>
      <c r="AY627" s="2355"/>
      <c r="AZ627" s="2355"/>
      <c r="BA627" s="2355"/>
      <c r="BB627" s="2355"/>
      <c r="BC627" s="2355"/>
      <c r="BD627" s="2355"/>
      <c r="BE627" s="1480"/>
      <c r="BF627" s="1480"/>
      <c r="BG627" s="1480"/>
      <c r="BH627" s="1480"/>
      <c r="BI627" s="1480"/>
      <c r="BJ627" s="1480"/>
    </row>
    <row r="628" spans="1:62" s="629" customFormat="1" ht="12.75" x14ac:dyDescent="0.2">
      <c r="A628" s="2365"/>
      <c r="B628" s="2361"/>
      <c r="C628" s="2023"/>
      <c r="D628" s="2023"/>
      <c r="E628" s="2023"/>
      <c r="F628" s="2023"/>
      <c r="G628" s="2006"/>
      <c r="H628" s="2367"/>
      <c r="I628" s="2023"/>
      <c r="J628" s="2023"/>
      <c r="K628" s="2347"/>
      <c r="L628" s="2343"/>
      <c r="M628" s="2006"/>
      <c r="N628" s="2347"/>
      <c r="O628" s="2347"/>
      <c r="P628" s="2367"/>
      <c r="Q628" s="2023"/>
      <c r="R628" s="2023"/>
      <c r="S628" s="2023"/>
      <c r="T628" s="2023"/>
      <c r="U628" s="1146" t="s">
        <v>3908</v>
      </c>
      <c r="V628" s="1137">
        <v>41690</v>
      </c>
      <c r="W628" s="1064">
        <v>11283</v>
      </c>
      <c r="X628" s="1146" t="s">
        <v>3947</v>
      </c>
      <c r="Y628" s="1137">
        <v>41724</v>
      </c>
      <c r="Z628" s="1137">
        <v>41785</v>
      </c>
      <c r="AA628" s="1138"/>
      <c r="AB628" s="1055"/>
      <c r="AC628" s="1139"/>
      <c r="AD628" s="1139"/>
      <c r="AE628" s="1155"/>
      <c r="AF628" s="525">
        <v>0</v>
      </c>
      <c r="AG628" s="525">
        <v>0</v>
      </c>
      <c r="AH628" s="1139">
        <f t="shared" si="19"/>
        <v>0</v>
      </c>
      <c r="AI628" s="551"/>
      <c r="AJ628" s="2006"/>
      <c r="AK628" s="2023"/>
      <c r="AL628" s="1133"/>
      <c r="AM628" s="1055"/>
      <c r="AN628" s="1055"/>
      <c r="AO628" s="1064"/>
      <c r="AP628" s="1137"/>
      <c r="AQ628" s="1137"/>
      <c r="AR628" s="1137"/>
      <c r="AS628" s="2023"/>
      <c r="AT628" s="2355"/>
      <c r="AU628" s="1137">
        <v>41724</v>
      </c>
      <c r="AV628" s="1137">
        <v>41785</v>
      </c>
      <c r="AW628" s="2378"/>
      <c r="AX628" s="2355"/>
      <c r="AY628" s="2355"/>
      <c r="AZ628" s="2355"/>
      <c r="BA628" s="2355"/>
      <c r="BB628" s="2355"/>
      <c r="BC628" s="2355"/>
      <c r="BD628" s="2355"/>
      <c r="BE628" s="1480"/>
      <c r="BF628" s="1480"/>
      <c r="BG628" s="1480"/>
      <c r="BH628" s="1480"/>
      <c r="BI628" s="1480"/>
      <c r="BJ628" s="1480"/>
    </row>
    <row r="629" spans="1:62" s="629" customFormat="1" ht="25.5" x14ac:dyDescent="0.2">
      <c r="A629" s="2365"/>
      <c r="B629" s="2361"/>
      <c r="C629" s="2023"/>
      <c r="D629" s="2023"/>
      <c r="E629" s="2023"/>
      <c r="F629" s="2023"/>
      <c r="G629" s="2006"/>
      <c r="H629" s="2367"/>
      <c r="I629" s="2023"/>
      <c r="J629" s="2023"/>
      <c r="K629" s="2347"/>
      <c r="L629" s="2343"/>
      <c r="M629" s="2006"/>
      <c r="N629" s="2347"/>
      <c r="O629" s="2347"/>
      <c r="P629" s="2367"/>
      <c r="Q629" s="2023"/>
      <c r="R629" s="2023"/>
      <c r="S629" s="2023"/>
      <c r="T629" s="2023"/>
      <c r="U629" s="1146" t="s">
        <v>4780</v>
      </c>
      <c r="V629" s="1137">
        <v>41625</v>
      </c>
      <c r="W629" s="1064">
        <v>11367</v>
      </c>
      <c r="X629" s="1146" t="s">
        <v>4730</v>
      </c>
      <c r="Y629" s="1137"/>
      <c r="Z629" s="1137"/>
      <c r="AA629" s="1138"/>
      <c r="AB629" s="1055"/>
      <c r="AC629" s="1139"/>
      <c r="AD629" s="1139"/>
      <c r="AE629" s="1155"/>
      <c r="AF629" s="525">
        <v>0</v>
      </c>
      <c r="AG629" s="525">
        <v>0</v>
      </c>
      <c r="AH629" s="1139">
        <f t="shared" si="19"/>
        <v>0</v>
      </c>
      <c r="AI629" s="551"/>
      <c r="AJ629" s="2006"/>
      <c r="AK629" s="2023"/>
      <c r="AL629" s="1133"/>
      <c r="AM629" s="1055"/>
      <c r="AN629" s="1055"/>
      <c r="AO629" s="1064"/>
      <c r="AP629" s="1137"/>
      <c r="AQ629" s="1064"/>
      <c r="AR629" s="1137"/>
      <c r="AS629" s="2023"/>
      <c r="AT629" s="2355"/>
      <c r="AU629" s="40"/>
      <c r="AV629" s="40"/>
      <c r="AW629" s="2378"/>
      <c r="AX629" s="2355"/>
      <c r="AY629" s="2355"/>
      <c r="AZ629" s="2355"/>
      <c r="BA629" s="2355"/>
      <c r="BB629" s="2355"/>
      <c r="BC629" s="2355"/>
      <c r="BD629" s="2355"/>
      <c r="BE629" s="1480"/>
      <c r="BF629" s="1480"/>
      <c r="BG629" s="1480"/>
      <c r="BH629" s="1480"/>
      <c r="BI629" s="1480"/>
      <c r="BJ629" s="1480"/>
    </row>
    <row r="630" spans="1:62" s="629" customFormat="1" ht="25.5" x14ac:dyDescent="0.2">
      <c r="A630" s="2365"/>
      <c r="B630" s="2361"/>
      <c r="C630" s="2023"/>
      <c r="D630" s="2023"/>
      <c r="E630" s="2023"/>
      <c r="F630" s="2023"/>
      <c r="G630" s="2006"/>
      <c r="H630" s="2367"/>
      <c r="I630" s="2023"/>
      <c r="J630" s="2023"/>
      <c r="K630" s="2347"/>
      <c r="L630" s="2343"/>
      <c r="M630" s="2006"/>
      <c r="N630" s="2347"/>
      <c r="O630" s="2347"/>
      <c r="P630" s="2367"/>
      <c r="Q630" s="2023"/>
      <c r="R630" s="2023"/>
      <c r="S630" s="2023"/>
      <c r="T630" s="2023"/>
      <c r="U630" s="1146" t="s">
        <v>4781</v>
      </c>
      <c r="V630" s="1137">
        <v>41792</v>
      </c>
      <c r="W630" s="1064">
        <v>11347</v>
      </c>
      <c r="X630" s="1146" t="s">
        <v>3922</v>
      </c>
      <c r="Y630" s="1137"/>
      <c r="Z630" s="1137"/>
      <c r="AA630" s="1138">
        <f>AC630/L625</f>
        <v>0.16180001462110452</v>
      </c>
      <c r="AB630" s="1055"/>
      <c r="AC630" s="1139">
        <v>18591.21</v>
      </c>
      <c r="AD630" s="1139"/>
      <c r="AE630" s="1155">
        <f>AC630+L625</f>
        <v>133493.60999999999</v>
      </c>
      <c r="AF630" s="525">
        <v>0</v>
      </c>
      <c r="AG630" s="525">
        <v>0</v>
      </c>
      <c r="AH630" s="1139">
        <f t="shared" si="19"/>
        <v>0</v>
      </c>
      <c r="AI630" s="552"/>
      <c r="AJ630" s="2006"/>
      <c r="AK630" s="2023"/>
      <c r="AL630" s="1133"/>
      <c r="AM630" s="1055"/>
      <c r="AN630" s="1055"/>
      <c r="AO630" s="1064"/>
      <c r="AP630" s="1137"/>
      <c r="AQ630" s="1064"/>
      <c r="AR630" s="1137"/>
      <c r="AS630" s="2023"/>
      <c r="AT630" s="2355"/>
      <c r="AU630" s="40"/>
      <c r="AV630" s="40"/>
      <c r="AW630" s="2379"/>
      <c r="AX630" s="2355"/>
      <c r="AY630" s="2355"/>
      <c r="AZ630" s="2355"/>
      <c r="BA630" s="2355"/>
      <c r="BB630" s="2355"/>
      <c r="BC630" s="2355"/>
      <c r="BD630" s="2355"/>
      <c r="BE630" s="1480"/>
      <c r="BF630" s="1480"/>
      <c r="BG630" s="1480"/>
      <c r="BH630" s="1480"/>
      <c r="BI630" s="1480"/>
      <c r="BJ630" s="1480"/>
    </row>
    <row r="631" spans="1:62" s="629" customFormat="1" ht="42" customHeight="1" x14ac:dyDescent="0.2">
      <c r="A631" s="2365">
        <v>273</v>
      </c>
      <c r="B631" s="2361" t="s">
        <v>4747</v>
      </c>
      <c r="C631" s="2023" t="s">
        <v>2727</v>
      </c>
      <c r="D631" s="2023" t="s">
        <v>4703</v>
      </c>
      <c r="E631" s="2023" t="s">
        <v>584</v>
      </c>
      <c r="F631" s="2023" t="s">
        <v>4782</v>
      </c>
      <c r="G631" s="2006">
        <v>10988</v>
      </c>
      <c r="H631" s="2367" t="s">
        <v>4783</v>
      </c>
      <c r="I631" s="2141" t="s">
        <v>4715</v>
      </c>
      <c r="J631" s="2023" t="s">
        <v>4716</v>
      </c>
      <c r="K631" s="2347">
        <v>41572</v>
      </c>
      <c r="L631" s="2343">
        <v>143729</v>
      </c>
      <c r="M631" s="2006">
        <v>11172</v>
      </c>
      <c r="N631" s="2347">
        <v>41572</v>
      </c>
      <c r="O631" s="2347">
        <v>41662</v>
      </c>
      <c r="P631" s="2367" t="s">
        <v>3905</v>
      </c>
      <c r="Q631" s="2023"/>
      <c r="R631" s="2023"/>
      <c r="S631" s="2023"/>
      <c r="T631" s="2023" t="s">
        <v>1438</v>
      </c>
      <c r="U631" s="1146"/>
      <c r="V631" s="1055"/>
      <c r="W631" s="1145"/>
      <c r="X631" s="1146"/>
      <c r="Y631" s="1055"/>
      <c r="Z631" s="1055"/>
      <c r="AA631" s="1138"/>
      <c r="AB631" s="1055"/>
      <c r="AC631" s="1139"/>
      <c r="AD631" s="1139"/>
      <c r="AE631" s="2345">
        <f>L631-AD631+AC631</f>
        <v>143729</v>
      </c>
      <c r="AF631" s="1155">
        <v>0</v>
      </c>
      <c r="AG631" s="1139">
        <v>0</v>
      </c>
      <c r="AH631" s="1139">
        <f t="shared" si="19"/>
        <v>0</v>
      </c>
      <c r="AI631" s="549"/>
      <c r="AJ631" s="2006"/>
      <c r="AK631" s="2023"/>
      <c r="AL631" s="1133"/>
      <c r="AM631" s="1055"/>
      <c r="AN631" s="1055"/>
      <c r="AO631" s="1064"/>
      <c r="AP631" s="1137"/>
      <c r="AQ631" s="1064"/>
      <c r="AR631" s="1137"/>
      <c r="AS631" s="2023" t="s">
        <v>4707</v>
      </c>
      <c r="AT631" s="2355" t="s">
        <v>4631</v>
      </c>
      <c r="AU631" s="42">
        <v>41572</v>
      </c>
      <c r="AV631" s="42">
        <v>41632</v>
      </c>
      <c r="AW631" s="2364">
        <f>(AH631:AH633)/AE631</f>
        <v>0</v>
      </c>
      <c r="AX631" s="2355"/>
      <c r="AY631" s="2352">
        <v>41572</v>
      </c>
      <c r="AZ631" s="2355" t="s">
        <v>1464</v>
      </c>
      <c r="BA631" s="2355" t="s">
        <v>1458</v>
      </c>
      <c r="BB631" s="2355"/>
      <c r="BC631" s="2355"/>
      <c r="BD631" s="2355"/>
      <c r="BE631" s="1480"/>
      <c r="BF631" s="1480"/>
      <c r="BG631" s="1480"/>
      <c r="BH631" s="1480"/>
      <c r="BI631" s="1480"/>
      <c r="BJ631" s="1480"/>
    </row>
    <row r="632" spans="1:62" s="629" customFormat="1" ht="24.75" customHeight="1" x14ac:dyDescent="0.2">
      <c r="A632" s="2365"/>
      <c r="B632" s="2361"/>
      <c r="C632" s="2023"/>
      <c r="D632" s="2023"/>
      <c r="E632" s="2023"/>
      <c r="F632" s="2023"/>
      <c r="G632" s="2006"/>
      <c r="H632" s="2367"/>
      <c r="I632" s="2141"/>
      <c r="J632" s="2023"/>
      <c r="K632" s="2023"/>
      <c r="L632" s="2343"/>
      <c r="M632" s="2006"/>
      <c r="N632" s="2347"/>
      <c r="O632" s="2347"/>
      <c r="P632" s="2367"/>
      <c r="Q632" s="2023"/>
      <c r="R632" s="2023"/>
      <c r="S632" s="2023"/>
      <c r="T632" s="2023"/>
      <c r="U632" s="1146" t="s">
        <v>3906</v>
      </c>
      <c r="V632" s="1137">
        <v>41647</v>
      </c>
      <c r="W632" s="1064">
        <v>11231</v>
      </c>
      <c r="X632" s="1146" t="s">
        <v>3955</v>
      </c>
      <c r="Y632" s="1137">
        <v>41662</v>
      </c>
      <c r="Z632" s="1137">
        <v>41752</v>
      </c>
      <c r="AA632" s="1138"/>
      <c r="AB632" s="1055"/>
      <c r="AC632" s="1139"/>
      <c r="AD632" s="1139"/>
      <c r="AE632" s="2346"/>
      <c r="AF632" s="525">
        <v>0</v>
      </c>
      <c r="AG632" s="525">
        <v>0</v>
      </c>
      <c r="AH632" s="1139">
        <f t="shared" si="19"/>
        <v>0</v>
      </c>
      <c r="AI632" s="551"/>
      <c r="AJ632" s="2006"/>
      <c r="AK632" s="2023"/>
      <c r="AL632" s="1133"/>
      <c r="AM632" s="1055"/>
      <c r="AN632" s="1055"/>
      <c r="AO632" s="1064"/>
      <c r="AP632" s="1137"/>
      <c r="AQ632" s="1064"/>
      <c r="AR632" s="1137"/>
      <c r="AS632" s="2023"/>
      <c r="AT632" s="2355"/>
      <c r="AU632" s="42">
        <v>41633</v>
      </c>
      <c r="AV632" s="42">
        <v>41693</v>
      </c>
      <c r="AW632" s="2378"/>
      <c r="AX632" s="2355"/>
      <c r="AY632" s="2355"/>
      <c r="AZ632" s="2355"/>
      <c r="BA632" s="2355"/>
      <c r="BB632" s="2355"/>
      <c r="BC632" s="2355"/>
      <c r="BD632" s="2355"/>
      <c r="BE632" s="1480"/>
      <c r="BF632" s="1480"/>
      <c r="BG632" s="1480"/>
      <c r="BH632" s="1480"/>
      <c r="BI632" s="1480"/>
      <c r="BJ632" s="1480"/>
    </row>
    <row r="633" spans="1:62" s="629" customFormat="1" ht="29.25" customHeight="1" x14ac:dyDescent="0.2">
      <c r="A633" s="2365"/>
      <c r="B633" s="2361"/>
      <c r="C633" s="2023"/>
      <c r="D633" s="2023"/>
      <c r="E633" s="2023"/>
      <c r="F633" s="2023"/>
      <c r="G633" s="2006"/>
      <c r="H633" s="2367"/>
      <c r="I633" s="2141"/>
      <c r="J633" s="2023"/>
      <c r="K633" s="2023"/>
      <c r="L633" s="2343"/>
      <c r="M633" s="2006"/>
      <c r="N633" s="2347"/>
      <c r="O633" s="2347"/>
      <c r="P633" s="2367"/>
      <c r="Q633" s="2023"/>
      <c r="R633" s="2023"/>
      <c r="S633" s="2023"/>
      <c r="T633" s="2023"/>
      <c r="U633" s="1146" t="s">
        <v>3891</v>
      </c>
      <c r="V633" s="1137">
        <v>41743</v>
      </c>
      <c r="W633" s="1064">
        <v>11320</v>
      </c>
      <c r="X633" s="1146" t="s">
        <v>3955</v>
      </c>
      <c r="Y633" s="1137">
        <v>41771</v>
      </c>
      <c r="Z633" s="1137">
        <v>41831</v>
      </c>
      <c r="AA633" s="1138"/>
      <c r="AB633" s="1055"/>
      <c r="AC633" s="1139"/>
      <c r="AD633" s="1139"/>
      <c r="AE633" s="2371"/>
      <c r="AF633" s="525">
        <v>0</v>
      </c>
      <c r="AG633" s="525">
        <v>0</v>
      </c>
      <c r="AH633" s="1139">
        <f t="shared" si="19"/>
        <v>0</v>
      </c>
      <c r="AI633" s="552"/>
      <c r="AJ633" s="2006"/>
      <c r="AK633" s="2023"/>
      <c r="AL633" s="1133"/>
      <c r="AM633" s="1055"/>
      <c r="AN633" s="1055"/>
      <c r="AO633" s="1064"/>
      <c r="AP633" s="1137"/>
      <c r="AQ633" s="1064"/>
      <c r="AR633" s="1137"/>
      <c r="AS633" s="2023"/>
      <c r="AT633" s="2355"/>
      <c r="AU633" s="42">
        <v>41694</v>
      </c>
      <c r="AV633" s="42">
        <v>41843</v>
      </c>
      <c r="AW633" s="2379"/>
      <c r="AX633" s="2355"/>
      <c r="AY633" s="2355"/>
      <c r="AZ633" s="2355"/>
      <c r="BA633" s="2355"/>
      <c r="BB633" s="2355"/>
      <c r="BC633" s="2355"/>
      <c r="BD633" s="2355"/>
      <c r="BE633" s="1480"/>
      <c r="BF633" s="1480"/>
      <c r="BG633" s="1480"/>
      <c r="BH633" s="1480"/>
      <c r="BI633" s="1480"/>
      <c r="BJ633" s="1480"/>
    </row>
    <row r="634" spans="1:62" s="629" customFormat="1" ht="83.25" customHeight="1" x14ac:dyDescent="0.2">
      <c r="A634" s="2365">
        <v>274</v>
      </c>
      <c r="B634" s="2361" t="s">
        <v>727</v>
      </c>
      <c r="C634" s="2023" t="s">
        <v>1019</v>
      </c>
      <c r="D634" s="2023" t="s">
        <v>4703</v>
      </c>
      <c r="E634" s="2023" t="s">
        <v>584</v>
      </c>
      <c r="F634" s="2023" t="s">
        <v>4784</v>
      </c>
      <c r="G634" s="2006">
        <v>11056</v>
      </c>
      <c r="H634" s="2367" t="s">
        <v>4785</v>
      </c>
      <c r="I634" s="2141" t="s">
        <v>4715</v>
      </c>
      <c r="J634" s="2023" t="s">
        <v>4716</v>
      </c>
      <c r="K634" s="2347">
        <v>41572</v>
      </c>
      <c r="L634" s="2343">
        <v>151289.26999999999</v>
      </c>
      <c r="M634" s="2006">
        <v>11172</v>
      </c>
      <c r="N634" s="2347">
        <v>41572</v>
      </c>
      <c r="O634" s="2347">
        <v>41662</v>
      </c>
      <c r="P634" s="2367" t="s">
        <v>3905</v>
      </c>
      <c r="Q634" s="2023"/>
      <c r="R634" s="2023"/>
      <c r="S634" s="2023"/>
      <c r="T634" s="2023" t="s">
        <v>1438</v>
      </c>
      <c r="U634" s="1146"/>
      <c r="V634" s="1055"/>
      <c r="W634" s="1145"/>
      <c r="X634" s="1146"/>
      <c r="Y634" s="1055"/>
      <c r="Z634" s="1055"/>
      <c r="AA634" s="1138"/>
      <c r="AB634" s="1055"/>
      <c r="AC634" s="1139"/>
      <c r="AD634" s="1139"/>
      <c r="AE634" s="2345">
        <f>L634-AD634+AC634</f>
        <v>151289.26999999999</v>
      </c>
      <c r="AF634" s="1155">
        <v>0</v>
      </c>
      <c r="AG634" s="1139">
        <v>0</v>
      </c>
      <c r="AH634" s="1139">
        <f t="shared" si="19"/>
        <v>0</v>
      </c>
      <c r="AI634" s="549"/>
      <c r="AJ634" s="2006"/>
      <c r="AK634" s="2023"/>
      <c r="AL634" s="1133"/>
      <c r="AM634" s="1055"/>
      <c r="AN634" s="1055"/>
      <c r="AO634" s="1064"/>
      <c r="AP634" s="1137"/>
      <c r="AQ634" s="1064"/>
      <c r="AR634" s="1137"/>
      <c r="AS634" s="2023" t="s">
        <v>4707</v>
      </c>
      <c r="AT634" s="2355" t="s">
        <v>4631</v>
      </c>
      <c r="AU634" s="42">
        <v>41572</v>
      </c>
      <c r="AV634" s="42">
        <v>41632</v>
      </c>
      <c r="AW634" s="2364">
        <f>(AH634:AH635)/AE634</f>
        <v>0</v>
      </c>
      <c r="AX634" s="2355"/>
      <c r="AY634" s="2352">
        <v>41572</v>
      </c>
      <c r="AZ634" s="2355" t="s">
        <v>1464</v>
      </c>
      <c r="BA634" s="2355" t="s">
        <v>1458</v>
      </c>
      <c r="BB634" s="2355"/>
      <c r="BC634" s="2355"/>
      <c r="BD634" s="2355"/>
      <c r="BE634" s="1480"/>
      <c r="BF634" s="1480"/>
      <c r="BG634" s="1480"/>
      <c r="BH634" s="1480"/>
      <c r="BI634" s="1480"/>
      <c r="BJ634" s="1480"/>
    </row>
    <row r="635" spans="1:62" s="629" customFormat="1" ht="39" customHeight="1" x14ac:dyDescent="0.2">
      <c r="A635" s="2365"/>
      <c r="B635" s="2361"/>
      <c r="C635" s="2023"/>
      <c r="D635" s="2023"/>
      <c r="E635" s="2023"/>
      <c r="F635" s="2023"/>
      <c r="G635" s="2006"/>
      <c r="H635" s="2367"/>
      <c r="I635" s="2141"/>
      <c r="J635" s="2023"/>
      <c r="K635" s="2023"/>
      <c r="L635" s="2343"/>
      <c r="M635" s="2006"/>
      <c r="N635" s="2347"/>
      <c r="O635" s="2347"/>
      <c r="P635" s="2367"/>
      <c r="Q635" s="2023"/>
      <c r="R635" s="2023"/>
      <c r="S635" s="2023"/>
      <c r="T635" s="2023"/>
      <c r="U635" s="1146" t="s">
        <v>3906</v>
      </c>
      <c r="V635" s="1137">
        <v>41647</v>
      </c>
      <c r="W635" s="1064">
        <v>11231</v>
      </c>
      <c r="X635" s="1146" t="s">
        <v>3933</v>
      </c>
      <c r="Y635" s="1137">
        <v>41662</v>
      </c>
      <c r="Z635" s="1137">
        <v>41752</v>
      </c>
      <c r="AA635" s="1138"/>
      <c r="AB635" s="1055"/>
      <c r="AC635" s="1139"/>
      <c r="AD635" s="1139"/>
      <c r="AE635" s="2371"/>
      <c r="AF635" s="525">
        <v>0</v>
      </c>
      <c r="AG635" s="525">
        <v>0</v>
      </c>
      <c r="AH635" s="1139">
        <f t="shared" si="19"/>
        <v>0</v>
      </c>
      <c r="AI635" s="552"/>
      <c r="AJ635" s="2006"/>
      <c r="AK635" s="2023"/>
      <c r="AL635" s="1133"/>
      <c r="AM635" s="1055"/>
      <c r="AN635" s="1055"/>
      <c r="AO635" s="1064"/>
      <c r="AP635" s="1137"/>
      <c r="AQ635" s="1064"/>
      <c r="AR635" s="1137"/>
      <c r="AS635" s="2023"/>
      <c r="AT635" s="2355"/>
      <c r="AU635" s="1137">
        <v>41633</v>
      </c>
      <c r="AV635" s="1137">
        <v>41693</v>
      </c>
      <c r="AW635" s="2379"/>
      <c r="AX635" s="2355"/>
      <c r="AY635" s="2355"/>
      <c r="AZ635" s="2355"/>
      <c r="BA635" s="2355"/>
      <c r="BB635" s="2355"/>
      <c r="BC635" s="2355"/>
      <c r="BD635" s="2355"/>
      <c r="BE635" s="1480"/>
      <c r="BF635" s="1480"/>
      <c r="BG635" s="1480"/>
      <c r="BH635" s="1480"/>
      <c r="BI635" s="1480"/>
      <c r="BJ635" s="1480"/>
    </row>
    <row r="636" spans="1:62" s="629" customFormat="1" ht="75.75" customHeight="1" x14ac:dyDescent="0.2">
      <c r="A636" s="2365">
        <v>275</v>
      </c>
      <c r="B636" s="2361" t="s">
        <v>4740</v>
      </c>
      <c r="C636" s="2023" t="s">
        <v>1031</v>
      </c>
      <c r="D636" s="2023" t="s">
        <v>4703</v>
      </c>
      <c r="E636" s="2023" t="s">
        <v>584</v>
      </c>
      <c r="F636" s="2023" t="s">
        <v>4786</v>
      </c>
      <c r="G636" s="2006">
        <v>10988</v>
      </c>
      <c r="H636" s="2367" t="s">
        <v>4787</v>
      </c>
      <c r="I636" s="2141" t="s">
        <v>4715</v>
      </c>
      <c r="J636" s="2023" t="s">
        <v>4716</v>
      </c>
      <c r="K636" s="2347">
        <v>41572</v>
      </c>
      <c r="L636" s="2343">
        <v>122037.3</v>
      </c>
      <c r="M636" s="2006">
        <v>11172</v>
      </c>
      <c r="N636" s="2347">
        <v>41572</v>
      </c>
      <c r="O636" s="2347">
        <v>41662</v>
      </c>
      <c r="P636" s="2367" t="s">
        <v>3905</v>
      </c>
      <c r="Q636" s="2023"/>
      <c r="R636" s="2023"/>
      <c r="S636" s="2023"/>
      <c r="T636" s="2023" t="s">
        <v>1438</v>
      </c>
      <c r="U636" s="1146"/>
      <c r="V636" s="1055"/>
      <c r="W636" s="1145"/>
      <c r="X636" s="1146"/>
      <c r="Y636" s="1055"/>
      <c r="Z636" s="1055"/>
      <c r="AA636" s="1138"/>
      <c r="AB636" s="1055"/>
      <c r="AC636" s="1139"/>
      <c r="AD636" s="1139"/>
      <c r="AE636" s="1155">
        <f>L636-AD636+AC636</f>
        <v>122037.3</v>
      </c>
      <c r="AF636" s="1155">
        <v>0</v>
      </c>
      <c r="AG636" s="1139">
        <v>0</v>
      </c>
      <c r="AH636" s="1139">
        <f t="shared" si="19"/>
        <v>0</v>
      </c>
      <c r="AI636" s="1138"/>
      <c r="AJ636" s="1064"/>
      <c r="AK636" s="1055"/>
      <c r="AL636" s="1133"/>
      <c r="AM636" s="1055"/>
      <c r="AN636" s="1055"/>
      <c r="AO636" s="1064"/>
      <c r="AP636" s="1137"/>
      <c r="AQ636" s="1064"/>
      <c r="AR636" s="1137"/>
      <c r="AS636" s="2023" t="s">
        <v>4707</v>
      </c>
      <c r="AT636" s="2355" t="s">
        <v>4631</v>
      </c>
      <c r="AU636" s="42">
        <v>41572</v>
      </c>
      <c r="AV636" s="42">
        <v>41632</v>
      </c>
      <c r="AW636" s="2364">
        <f>(AH636:AH638)/AE636</f>
        <v>0</v>
      </c>
      <c r="AX636" s="2355"/>
      <c r="AY636" s="2352">
        <v>41572</v>
      </c>
      <c r="AZ636" s="2355" t="s">
        <v>1464</v>
      </c>
      <c r="BA636" s="2355" t="s">
        <v>1458</v>
      </c>
      <c r="BB636" s="2355"/>
      <c r="BC636" s="2355"/>
      <c r="BD636" s="2355"/>
      <c r="BE636" s="1480"/>
      <c r="BF636" s="1480"/>
      <c r="BG636" s="1480"/>
      <c r="BH636" s="1480"/>
      <c r="BI636" s="1480"/>
      <c r="BJ636" s="1480"/>
    </row>
    <row r="637" spans="1:62" s="629" customFormat="1" ht="42.75" customHeight="1" x14ac:dyDescent="0.2">
      <c r="A637" s="2365"/>
      <c r="B637" s="2361"/>
      <c r="C637" s="2023"/>
      <c r="D637" s="2023"/>
      <c r="E637" s="2023"/>
      <c r="F637" s="2023"/>
      <c r="G637" s="2006"/>
      <c r="H637" s="2367"/>
      <c r="I637" s="2141"/>
      <c r="J637" s="2023"/>
      <c r="K637" s="2023"/>
      <c r="L637" s="2343"/>
      <c r="M637" s="2006"/>
      <c r="N637" s="2347"/>
      <c r="O637" s="2347"/>
      <c r="P637" s="2367"/>
      <c r="Q637" s="2023"/>
      <c r="R637" s="2023"/>
      <c r="S637" s="2023"/>
      <c r="T637" s="2023"/>
      <c r="U637" s="1146" t="s">
        <v>3906</v>
      </c>
      <c r="V637" s="1055"/>
      <c r="W637" s="1145"/>
      <c r="X637" s="1146" t="s">
        <v>3955</v>
      </c>
      <c r="Y637" s="1137">
        <v>41662</v>
      </c>
      <c r="Z637" s="1137">
        <v>41752</v>
      </c>
      <c r="AA637" s="1138"/>
      <c r="AB637" s="1055"/>
      <c r="AC637" s="1139"/>
      <c r="AD637" s="1139"/>
      <c r="AE637" s="1155"/>
      <c r="AF637" s="525">
        <v>0</v>
      </c>
      <c r="AG637" s="525">
        <v>0</v>
      </c>
      <c r="AH637" s="1139">
        <f t="shared" si="19"/>
        <v>0</v>
      </c>
      <c r="AI637" s="1138"/>
      <c r="AJ637" s="1064"/>
      <c r="AK637" s="1055"/>
      <c r="AL637" s="1133"/>
      <c r="AM637" s="1055"/>
      <c r="AN637" s="1055"/>
      <c r="AO637" s="1064"/>
      <c r="AP637" s="1137"/>
      <c r="AQ637" s="1064"/>
      <c r="AR637" s="1137"/>
      <c r="AS637" s="2023"/>
      <c r="AT637" s="2355"/>
      <c r="AU637" s="42">
        <v>41633</v>
      </c>
      <c r="AV637" s="42">
        <v>41693</v>
      </c>
      <c r="AW637" s="2378"/>
      <c r="AX637" s="2355"/>
      <c r="AY637" s="2355"/>
      <c r="AZ637" s="2355"/>
      <c r="BA637" s="2355"/>
      <c r="BB637" s="2355"/>
      <c r="BC637" s="2355"/>
      <c r="BD637" s="2355"/>
      <c r="BE637" s="1480"/>
      <c r="BF637" s="1480"/>
      <c r="BG637" s="1480"/>
      <c r="BH637" s="1480"/>
      <c r="BI637" s="1480"/>
      <c r="BJ637" s="1480"/>
    </row>
    <row r="638" spans="1:62" s="629" customFormat="1" ht="39" customHeight="1" x14ac:dyDescent="0.2">
      <c r="A638" s="2365"/>
      <c r="B638" s="2361"/>
      <c r="C638" s="2023"/>
      <c r="D638" s="2023"/>
      <c r="E638" s="2023"/>
      <c r="F638" s="2023"/>
      <c r="G638" s="2006"/>
      <c r="H638" s="2367"/>
      <c r="I638" s="2141"/>
      <c r="J638" s="2023"/>
      <c r="K638" s="2023"/>
      <c r="L638" s="2343"/>
      <c r="M638" s="2006"/>
      <c r="N638" s="2347"/>
      <c r="O638" s="2347"/>
      <c r="P638" s="2367"/>
      <c r="Q638" s="2023"/>
      <c r="R638" s="2023"/>
      <c r="S638" s="2023"/>
      <c r="T638" s="2023"/>
      <c r="U638" s="1146" t="s">
        <v>3891</v>
      </c>
      <c r="V638" s="1137">
        <v>41743</v>
      </c>
      <c r="W638" s="1145"/>
      <c r="X638" s="1146" t="s">
        <v>3955</v>
      </c>
      <c r="Y638" s="1137">
        <v>41752</v>
      </c>
      <c r="Z638" s="1137">
        <v>41842</v>
      </c>
      <c r="AA638" s="1138"/>
      <c r="AB638" s="1055"/>
      <c r="AC638" s="1139"/>
      <c r="AD638" s="1139"/>
      <c r="AE638" s="1155"/>
      <c r="AF638" s="525">
        <v>0</v>
      </c>
      <c r="AG638" s="525">
        <v>0</v>
      </c>
      <c r="AH638" s="1139">
        <f t="shared" si="19"/>
        <v>0</v>
      </c>
      <c r="AI638" s="1138"/>
      <c r="AJ638" s="1064"/>
      <c r="AK638" s="1055"/>
      <c r="AL638" s="1133"/>
      <c r="AM638" s="1055"/>
      <c r="AN638" s="1055"/>
      <c r="AO638" s="1064"/>
      <c r="AP638" s="1137"/>
      <c r="AQ638" s="1064"/>
      <c r="AR638" s="1137"/>
      <c r="AS638" s="2023"/>
      <c r="AT638" s="2355"/>
      <c r="AU638" s="42">
        <v>41694</v>
      </c>
      <c r="AV638" s="42">
        <v>41843</v>
      </c>
      <c r="AW638" s="2379"/>
      <c r="AX638" s="2355"/>
      <c r="AY638" s="2355"/>
      <c r="AZ638" s="2355"/>
      <c r="BA638" s="2355"/>
      <c r="BB638" s="2355"/>
      <c r="BC638" s="2355"/>
      <c r="BD638" s="2355"/>
      <c r="BE638" s="1480"/>
      <c r="BF638" s="1480"/>
      <c r="BG638" s="1480"/>
      <c r="BH638" s="1480"/>
      <c r="BI638" s="1480"/>
      <c r="BJ638" s="1480"/>
    </row>
    <row r="639" spans="1:62" s="629" customFormat="1" ht="69.75" customHeight="1" x14ac:dyDescent="0.2">
      <c r="A639" s="2365">
        <v>276</v>
      </c>
      <c r="B639" s="2361" t="s">
        <v>4734</v>
      </c>
      <c r="C639" s="2023" t="s">
        <v>1003</v>
      </c>
      <c r="D639" s="2023" t="s">
        <v>4703</v>
      </c>
      <c r="E639" s="2023" t="s">
        <v>584</v>
      </c>
      <c r="F639" s="2023" t="s">
        <v>4788</v>
      </c>
      <c r="G639" s="2006">
        <v>11078</v>
      </c>
      <c r="H639" s="2367" t="s">
        <v>4789</v>
      </c>
      <c r="I639" s="2023" t="s">
        <v>4715</v>
      </c>
      <c r="J639" s="2023" t="s">
        <v>4716</v>
      </c>
      <c r="K639" s="2347">
        <v>41572</v>
      </c>
      <c r="L639" s="2343">
        <v>96076.43</v>
      </c>
      <c r="M639" s="2006">
        <v>11172</v>
      </c>
      <c r="N639" s="2347">
        <v>41572</v>
      </c>
      <c r="O639" s="2347">
        <v>41662</v>
      </c>
      <c r="P639" s="2367" t="s">
        <v>3905</v>
      </c>
      <c r="Q639" s="2023"/>
      <c r="R639" s="2023"/>
      <c r="S639" s="2023"/>
      <c r="T639" s="2023" t="s">
        <v>1438</v>
      </c>
      <c r="U639" s="1146"/>
      <c r="V639" s="1055"/>
      <c r="W639" s="1145"/>
      <c r="X639" s="1146"/>
      <c r="Y639" s="1055"/>
      <c r="Z639" s="1055"/>
      <c r="AA639" s="1138"/>
      <c r="AB639" s="1055"/>
      <c r="AC639" s="1139"/>
      <c r="AD639" s="1139"/>
      <c r="AE639" s="1155">
        <f>L639-AD639+AC639</f>
        <v>96076.43</v>
      </c>
      <c r="AF639" s="1155">
        <v>0</v>
      </c>
      <c r="AG639" s="525">
        <v>0</v>
      </c>
      <c r="AH639" s="1139">
        <f t="shared" si="19"/>
        <v>0</v>
      </c>
      <c r="AI639" s="1139"/>
      <c r="AJ639" s="1064"/>
      <c r="AK639" s="1055"/>
      <c r="AL639" s="1133"/>
      <c r="AM639" s="1055"/>
      <c r="AN639" s="1055"/>
      <c r="AO639" s="1064"/>
      <c r="AP639" s="1137"/>
      <c r="AQ639" s="1064"/>
      <c r="AR639" s="1137"/>
      <c r="AS639" s="2023" t="s">
        <v>4707</v>
      </c>
      <c r="AT639" s="2355" t="s">
        <v>4631</v>
      </c>
      <c r="AU639" s="42">
        <v>41572</v>
      </c>
      <c r="AV639" s="42">
        <v>41632</v>
      </c>
      <c r="AW639" s="2344">
        <f>(AH639:AH641)/AE639</f>
        <v>0</v>
      </c>
      <c r="AX639" s="2355"/>
      <c r="AY639" s="2352">
        <v>41572</v>
      </c>
      <c r="AZ639" s="2355" t="s">
        <v>1464</v>
      </c>
      <c r="BA639" s="2355" t="s">
        <v>1458</v>
      </c>
      <c r="BB639" s="2355"/>
      <c r="BC639" s="2355"/>
      <c r="BD639" s="2355"/>
      <c r="BE639" s="1480"/>
      <c r="BF639" s="1480"/>
      <c r="BG639" s="1480"/>
      <c r="BH639" s="1480"/>
      <c r="BI639" s="1480"/>
      <c r="BJ639" s="1480"/>
    </row>
    <row r="640" spans="1:62" s="629" customFormat="1" ht="29.25" customHeight="1" x14ac:dyDescent="0.2">
      <c r="A640" s="2365"/>
      <c r="B640" s="2361"/>
      <c r="C640" s="2023"/>
      <c r="D640" s="2023"/>
      <c r="E640" s="2023"/>
      <c r="F640" s="2023"/>
      <c r="G640" s="2006"/>
      <c r="H640" s="2367"/>
      <c r="I640" s="2023"/>
      <c r="J640" s="2023"/>
      <c r="K640" s="2023"/>
      <c r="L640" s="2343"/>
      <c r="M640" s="2006"/>
      <c r="N640" s="2347"/>
      <c r="O640" s="2347"/>
      <c r="P640" s="2367"/>
      <c r="Q640" s="2023"/>
      <c r="R640" s="2023"/>
      <c r="S640" s="2023"/>
      <c r="T640" s="2023"/>
      <c r="U640" s="1146" t="s">
        <v>3906</v>
      </c>
      <c r="V640" s="1055"/>
      <c r="W640" s="1145"/>
      <c r="X640" s="1146" t="s">
        <v>3955</v>
      </c>
      <c r="Y640" s="1137">
        <v>41662</v>
      </c>
      <c r="Z640" s="1137">
        <v>41752</v>
      </c>
      <c r="AA640" s="1138"/>
      <c r="AB640" s="1055"/>
      <c r="AC640" s="1139"/>
      <c r="AD640" s="1139"/>
      <c r="AE640" s="1155"/>
      <c r="AF640" s="525">
        <v>0</v>
      </c>
      <c r="AG640" s="525">
        <v>0</v>
      </c>
      <c r="AH640" s="1139">
        <f t="shared" si="19"/>
        <v>0</v>
      </c>
      <c r="AI640" s="1138"/>
      <c r="AJ640" s="1064"/>
      <c r="AK640" s="1055"/>
      <c r="AL640" s="1133"/>
      <c r="AM640" s="1055"/>
      <c r="AN640" s="1055"/>
      <c r="AO640" s="1064"/>
      <c r="AP640" s="1137"/>
      <c r="AQ640" s="1064"/>
      <c r="AR640" s="1137"/>
      <c r="AS640" s="2023"/>
      <c r="AT640" s="2355"/>
      <c r="AU640" s="42">
        <v>41633</v>
      </c>
      <c r="AV640" s="42">
        <v>41693</v>
      </c>
      <c r="AW640" s="2382"/>
      <c r="AX640" s="2355"/>
      <c r="AY640" s="2355"/>
      <c r="AZ640" s="2355"/>
      <c r="BA640" s="2355"/>
      <c r="BB640" s="2355"/>
      <c r="BC640" s="2355"/>
      <c r="BD640" s="2355"/>
      <c r="BE640" s="1480"/>
      <c r="BF640" s="1480"/>
      <c r="BG640" s="1480"/>
      <c r="BH640" s="1480"/>
      <c r="BI640" s="1480"/>
      <c r="BJ640" s="1480"/>
    </row>
    <row r="641" spans="1:62" s="629" customFormat="1" ht="29.25" customHeight="1" x14ac:dyDescent="0.2">
      <c r="A641" s="2365"/>
      <c r="B641" s="2361"/>
      <c r="C641" s="2023"/>
      <c r="D641" s="2023"/>
      <c r="E641" s="2023"/>
      <c r="F641" s="2023"/>
      <c r="G641" s="2006"/>
      <c r="H641" s="2367"/>
      <c r="I641" s="2023"/>
      <c r="J641" s="2023"/>
      <c r="K641" s="2023"/>
      <c r="L641" s="2343"/>
      <c r="M641" s="2006"/>
      <c r="N641" s="2347"/>
      <c r="O641" s="2347"/>
      <c r="P641" s="2367"/>
      <c r="Q641" s="2023"/>
      <c r="R641" s="2023"/>
      <c r="S641" s="2023"/>
      <c r="T641" s="2023"/>
      <c r="U641" s="1146" t="s">
        <v>3891</v>
      </c>
      <c r="V641" s="1137">
        <v>41743</v>
      </c>
      <c r="W641" s="1145">
        <v>11483</v>
      </c>
      <c r="X641" s="1146" t="s">
        <v>3955</v>
      </c>
      <c r="Y641" s="1137">
        <v>41740</v>
      </c>
      <c r="Z641" s="1137">
        <v>41830</v>
      </c>
      <c r="AA641" s="1138"/>
      <c r="AB641" s="1055"/>
      <c r="AC641" s="1139"/>
      <c r="AD641" s="1139"/>
      <c r="AE641" s="1155"/>
      <c r="AF641" s="525">
        <v>0</v>
      </c>
      <c r="AG641" s="525">
        <v>0</v>
      </c>
      <c r="AH641" s="1139">
        <f t="shared" si="19"/>
        <v>0</v>
      </c>
      <c r="AI641" s="1138"/>
      <c r="AJ641" s="1064"/>
      <c r="AK641" s="1055"/>
      <c r="AL641" s="1133"/>
      <c r="AM641" s="1055"/>
      <c r="AN641" s="1055"/>
      <c r="AO641" s="1064"/>
      <c r="AP641" s="1137"/>
      <c r="AQ641" s="1064"/>
      <c r="AR641" s="1137"/>
      <c r="AS641" s="2023"/>
      <c r="AT641" s="2355"/>
      <c r="AU641" s="42">
        <v>41694</v>
      </c>
      <c r="AV641" s="42">
        <v>41843</v>
      </c>
      <c r="AW641" s="2383"/>
      <c r="AX641" s="2355"/>
      <c r="AY641" s="2355"/>
      <c r="AZ641" s="2355"/>
      <c r="BA641" s="2355"/>
      <c r="BB641" s="2355"/>
      <c r="BC641" s="2355"/>
      <c r="BD641" s="2355"/>
      <c r="BE641" s="1480"/>
      <c r="BF641" s="1480"/>
      <c r="BG641" s="1480"/>
      <c r="BH641" s="1480"/>
      <c r="BI641" s="1480"/>
      <c r="BJ641" s="1480"/>
    </row>
    <row r="642" spans="1:62" s="629" customFormat="1" ht="53.25" customHeight="1" x14ac:dyDescent="0.2">
      <c r="A642" s="2365">
        <v>277</v>
      </c>
      <c r="B642" s="2361" t="s">
        <v>4790</v>
      </c>
      <c r="C642" s="2023" t="s">
        <v>975</v>
      </c>
      <c r="D642" s="2023" t="s">
        <v>4703</v>
      </c>
      <c r="E642" s="2023" t="s">
        <v>584</v>
      </c>
      <c r="F642" s="2023" t="s">
        <v>4791</v>
      </c>
      <c r="G642" s="2006">
        <v>10988</v>
      </c>
      <c r="H642" s="2367" t="s">
        <v>4792</v>
      </c>
      <c r="I642" s="2023" t="s">
        <v>4715</v>
      </c>
      <c r="J642" s="2023" t="s">
        <v>4716</v>
      </c>
      <c r="K642" s="2347">
        <v>41572</v>
      </c>
      <c r="L642" s="2343">
        <v>120467.06</v>
      </c>
      <c r="M642" s="2006">
        <v>11172</v>
      </c>
      <c r="N642" s="2347">
        <v>41572</v>
      </c>
      <c r="O642" s="2347">
        <v>41662</v>
      </c>
      <c r="P642" s="2367" t="s">
        <v>3905</v>
      </c>
      <c r="Q642" s="2023"/>
      <c r="R642" s="2023"/>
      <c r="S642" s="2023"/>
      <c r="T642" s="2023" t="s">
        <v>1438</v>
      </c>
      <c r="U642" s="1146"/>
      <c r="V642" s="1055"/>
      <c r="W642" s="1145"/>
      <c r="X642" s="1146"/>
      <c r="Y642" s="1055"/>
      <c r="Z642" s="1055"/>
      <c r="AA642" s="1138"/>
      <c r="AB642" s="1055"/>
      <c r="AC642" s="1139"/>
      <c r="AD642" s="1139"/>
      <c r="AE642" s="1155"/>
      <c r="AF642" s="1155">
        <v>0</v>
      </c>
      <c r="AG642" s="1139">
        <f>91199.2+8911.68</f>
        <v>100110.88</v>
      </c>
      <c r="AH642" s="1139">
        <f t="shared" si="19"/>
        <v>100110.88</v>
      </c>
      <c r="AI642" s="1138"/>
      <c r="AJ642" s="1064"/>
      <c r="AK642" s="1055"/>
      <c r="AL642" s="1133"/>
      <c r="AM642" s="1055"/>
      <c r="AN642" s="1055"/>
      <c r="AO642" s="1064"/>
      <c r="AP642" s="1137"/>
      <c r="AQ642" s="1064"/>
      <c r="AR642" s="1137"/>
      <c r="AS642" s="2023" t="s">
        <v>4707</v>
      </c>
      <c r="AT642" s="2355" t="s">
        <v>4631</v>
      </c>
      <c r="AU642" s="42">
        <v>41572</v>
      </c>
      <c r="AV642" s="42">
        <v>41632</v>
      </c>
      <c r="AW642" s="2364">
        <f>(AH642:AH646)/AE646</f>
        <v>0.71528908220950715</v>
      </c>
      <c r="AX642" s="2355"/>
      <c r="AY642" s="2352">
        <v>41572</v>
      </c>
      <c r="AZ642" s="2355" t="s">
        <v>1464</v>
      </c>
      <c r="BA642" s="2355" t="s">
        <v>1458</v>
      </c>
      <c r="BB642" s="2355"/>
      <c r="BC642" s="2355"/>
      <c r="BD642" s="2355"/>
      <c r="BE642" s="1480"/>
      <c r="BF642" s="1480"/>
      <c r="BG642" s="1480"/>
      <c r="BH642" s="1480"/>
      <c r="BI642" s="1480"/>
      <c r="BJ642" s="1480"/>
    </row>
    <row r="643" spans="1:62" s="629" customFormat="1" ht="28.5" customHeight="1" x14ac:dyDescent="0.2">
      <c r="A643" s="2365"/>
      <c r="B643" s="2361"/>
      <c r="C643" s="2023"/>
      <c r="D643" s="2023"/>
      <c r="E643" s="2023"/>
      <c r="F643" s="2023"/>
      <c r="G643" s="2006"/>
      <c r="H643" s="2367"/>
      <c r="I643" s="2023"/>
      <c r="J643" s="2023"/>
      <c r="K643" s="2347"/>
      <c r="L643" s="2343"/>
      <c r="M643" s="2006"/>
      <c r="N643" s="2347"/>
      <c r="O643" s="2347"/>
      <c r="P643" s="2367"/>
      <c r="Q643" s="2023"/>
      <c r="R643" s="2023"/>
      <c r="S643" s="2023"/>
      <c r="T643" s="2023"/>
      <c r="U643" s="1146" t="s">
        <v>3906</v>
      </c>
      <c r="V643" s="1137">
        <v>41647</v>
      </c>
      <c r="W643" s="1145">
        <v>11254</v>
      </c>
      <c r="X643" s="1146" t="s">
        <v>3933</v>
      </c>
      <c r="Y643" s="1137">
        <v>41663</v>
      </c>
      <c r="Z643" s="1137">
        <v>41752</v>
      </c>
      <c r="AA643" s="1138"/>
      <c r="AB643" s="1055"/>
      <c r="AC643" s="1139"/>
      <c r="AD643" s="1139"/>
      <c r="AE643" s="1155"/>
      <c r="AF643" s="525">
        <v>0</v>
      </c>
      <c r="AG643" s="525">
        <v>0</v>
      </c>
      <c r="AH643" s="1139">
        <f t="shared" si="19"/>
        <v>0</v>
      </c>
      <c r="AI643" s="1138"/>
      <c r="AJ643" s="1064"/>
      <c r="AK643" s="1055"/>
      <c r="AL643" s="1133"/>
      <c r="AM643" s="1055"/>
      <c r="AN643" s="1055"/>
      <c r="AO643" s="1064"/>
      <c r="AP643" s="1137"/>
      <c r="AQ643" s="1064"/>
      <c r="AR643" s="1137"/>
      <c r="AS643" s="2023"/>
      <c r="AT643" s="2355"/>
      <c r="AU643" s="42">
        <v>41633</v>
      </c>
      <c r="AV643" s="42">
        <v>41693</v>
      </c>
      <c r="AW643" s="2378"/>
      <c r="AX643" s="2355"/>
      <c r="AY643" s="2355"/>
      <c r="AZ643" s="2355"/>
      <c r="BA643" s="2355"/>
      <c r="BB643" s="2355"/>
      <c r="BC643" s="2355"/>
      <c r="BD643" s="2355"/>
      <c r="BE643" s="1480"/>
      <c r="BF643" s="1480"/>
      <c r="BG643" s="1480"/>
      <c r="BH643" s="1480"/>
      <c r="BI643" s="1480"/>
      <c r="BJ643" s="1480"/>
    </row>
    <row r="644" spans="1:62" s="629" customFormat="1" ht="28.5" customHeight="1" x14ac:dyDescent="0.2">
      <c r="A644" s="2365"/>
      <c r="B644" s="2361"/>
      <c r="C644" s="2023"/>
      <c r="D644" s="2023"/>
      <c r="E644" s="2023"/>
      <c r="F644" s="2023"/>
      <c r="G644" s="2006"/>
      <c r="H644" s="2367"/>
      <c r="I644" s="2023"/>
      <c r="J644" s="2023"/>
      <c r="K644" s="2347"/>
      <c r="L644" s="2343"/>
      <c r="M644" s="2006"/>
      <c r="N644" s="2347"/>
      <c r="O644" s="2347"/>
      <c r="P644" s="2367"/>
      <c r="Q644" s="2023"/>
      <c r="R644" s="2023"/>
      <c r="S644" s="2023"/>
      <c r="T644" s="2023"/>
      <c r="U644" s="1146" t="s">
        <v>4793</v>
      </c>
      <c r="V644" s="1137">
        <v>41599</v>
      </c>
      <c r="W644" s="1145">
        <v>11367</v>
      </c>
      <c r="X644" s="1146" t="s">
        <v>4730</v>
      </c>
      <c r="Y644" s="1137"/>
      <c r="Z644" s="1137"/>
      <c r="AA644" s="1138"/>
      <c r="AB644" s="1055"/>
      <c r="AC644" s="1139"/>
      <c r="AD644" s="1139"/>
      <c r="AE644" s="1155"/>
      <c r="AF644" s="525">
        <v>0</v>
      </c>
      <c r="AG644" s="525">
        <v>0</v>
      </c>
      <c r="AH644" s="1139">
        <f t="shared" si="19"/>
        <v>0</v>
      </c>
      <c r="AI644" s="1138"/>
      <c r="AJ644" s="1064"/>
      <c r="AK644" s="1055"/>
      <c r="AL644" s="1133"/>
      <c r="AM644" s="1055"/>
      <c r="AN644" s="1055"/>
      <c r="AO644" s="1064"/>
      <c r="AP644" s="1137"/>
      <c r="AQ644" s="1064"/>
      <c r="AR644" s="1137"/>
      <c r="AS644" s="2023"/>
      <c r="AT644" s="2355"/>
      <c r="AU644" s="40"/>
      <c r="AV644" s="40"/>
      <c r="AW644" s="2378"/>
      <c r="AX644" s="2355"/>
      <c r="AY644" s="2355"/>
      <c r="AZ644" s="2355"/>
      <c r="BA644" s="2355"/>
      <c r="BB644" s="2355"/>
      <c r="BC644" s="2355"/>
      <c r="BD644" s="2355"/>
      <c r="BE644" s="1480"/>
      <c r="BF644" s="1480"/>
      <c r="BG644" s="1480"/>
      <c r="BH644" s="1480"/>
      <c r="BI644" s="1480"/>
      <c r="BJ644" s="1480"/>
    </row>
    <row r="645" spans="1:62" s="629" customFormat="1" ht="28.5" customHeight="1" x14ac:dyDescent="0.2">
      <c r="A645" s="2365"/>
      <c r="B645" s="2361"/>
      <c r="C645" s="2023"/>
      <c r="D645" s="2023"/>
      <c r="E645" s="2023"/>
      <c r="F645" s="2023"/>
      <c r="G645" s="2006"/>
      <c r="H645" s="2367"/>
      <c r="I645" s="2023"/>
      <c r="J645" s="2023"/>
      <c r="K645" s="2347"/>
      <c r="L645" s="2343"/>
      <c r="M645" s="2006"/>
      <c r="N645" s="2347"/>
      <c r="O645" s="2347"/>
      <c r="P645" s="2367"/>
      <c r="Q645" s="2023"/>
      <c r="R645" s="2023"/>
      <c r="S645" s="2023"/>
      <c r="T645" s="2023"/>
      <c r="U645" s="1146" t="s">
        <v>4794</v>
      </c>
      <c r="V645" s="1137">
        <v>41625</v>
      </c>
      <c r="W645" s="1145">
        <v>11367</v>
      </c>
      <c r="X645" s="1146" t="s">
        <v>4730</v>
      </c>
      <c r="Y645" s="1137"/>
      <c r="Z645" s="1137"/>
      <c r="AA645" s="1138"/>
      <c r="AB645" s="1055"/>
      <c r="AC645" s="1139"/>
      <c r="AD645" s="1139"/>
      <c r="AE645" s="1155"/>
      <c r="AF645" s="525">
        <v>0</v>
      </c>
      <c r="AG645" s="525">
        <v>0</v>
      </c>
      <c r="AH645" s="1139">
        <f t="shared" si="19"/>
        <v>0</v>
      </c>
      <c r="AI645" s="1138"/>
      <c r="AJ645" s="1064"/>
      <c r="AK645" s="1055"/>
      <c r="AL645" s="1133"/>
      <c r="AM645" s="1055"/>
      <c r="AN645" s="1055"/>
      <c r="AO645" s="1064"/>
      <c r="AP645" s="1137"/>
      <c r="AQ645" s="1064"/>
      <c r="AR645" s="1137"/>
      <c r="AS645" s="2023"/>
      <c r="AT645" s="2355"/>
      <c r="AU645" s="40"/>
      <c r="AV645" s="40"/>
      <c r="AW645" s="2378"/>
      <c r="AX645" s="2355"/>
      <c r="AY645" s="2355"/>
      <c r="AZ645" s="2355"/>
      <c r="BA645" s="2355"/>
      <c r="BB645" s="2355"/>
      <c r="BC645" s="2355"/>
      <c r="BD645" s="2355"/>
      <c r="BE645" s="1480"/>
      <c r="BF645" s="1480"/>
      <c r="BG645" s="1480"/>
      <c r="BH645" s="1480"/>
      <c r="BI645" s="1480"/>
      <c r="BJ645" s="1480"/>
    </row>
    <row r="646" spans="1:62" s="629" customFormat="1" ht="47.25" customHeight="1" x14ac:dyDescent="0.2">
      <c r="A646" s="2365"/>
      <c r="B646" s="2361"/>
      <c r="C646" s="2023"/>
      <c r="D646" s="2023"/>
      <c r="E646" s="2023"/>
      <c r="F646" s="2023"/>
      <c r="G646" s="2006"/>
      <c r="H646" s="2367"/>
      <c r="I646" s="2023"/>
      <c r="J646" s="2023"/>
      <c r="K646" s="2347"/>
      <c r="L646" s="2343"/>
      <c r="M646" s="2006"/>
      <c r="N646" s="2347"/>
      <c r="O646" s="2347"/>
      <c r="P646" s="2367"/>
      <c r="Q646" s="2023"/>
      <c r="R646" s="2023"/>
      <c r="S646" s="2023"/>
      <c r="T646" s="2023"/>
      <c r="U646" s="1146" t="s">
        <v>4795</v>
      </c>
      <c r="V646" s="1137">
        <v>41792</v>
      </c>
      <c r="W646" s="1145">
        <v>11321</v>
      </c>
      <c r="X646" s="1146" t="s">
        <v>3929</v>
      </c>
      <c r="Y646" s="1137"/>
      <c r="Z646" s="1137"/>
      <c r="AA646" s="1138">
        <f>AC646/L642</f>
        <v>0.16179999744328449</v>
      </c>
      <c r="AB646" s="1055"/>
      <c r="AC646" s="1139">
        <v>19491.57</v>
      </c>
      <c r="AD646" s="1139"/>
      <c r="AE646" s="1155">
        <f>AC646+L642</f>
        <v>139958.63</v>
      </c>
      <c r="AF646" s="525">
        <v>0</v>
      </c>
      <c r="AG646" s="525">
        <v>0</v>
      </c>
      <c r="AH646" s="1139">
        <f t="shared" si="19"/>
        <v>0</v>
      </c>
      <c r="AI646" s="1138"/>
      <c r="AJ646" s="1064"/>
      <c r="AK646" s="1055"/>
      <c r="AL646" s="1133"/>
      <c r="AM646" s="1055"/>
      <c r="AN646" s="1055"/>
      <c r="AO646" s="1064"/>
      <c r="AP646" s="1137"/>
      <c r="AQ646" s="1064"/>
      <c r="AR646" s="1137"/>
      <c r="AS646" s="2023"/>
      <c r="AT646" s="2355"/>
      <c r="AU646" s="40"/>
      <c r="AV646" s="40"/>
      <c r="AW646" s="2379"/>
      <c r="AX646" s="2355"/>
      <c r="AY646" s="2355"/>
      <c r="AZ646" s="2355"/>
      <c r="BA646" s="2355"/>
      <c r="BB646" s="2355"/>
      <c r="BC646" s="2355"/>
      <c r="BD646" s="2355"/>
      <c r="BE646" s="1480"/>
      <c r="BF646" s="1480"/>
      <c r="BG646" s="1480"/>
      <c r="BH646" s="1480"/>
      <c r="BI646" s="1480"/>
      <c r="BJ646" s="1480"/>
    </row>
    <row r="647" spans="1:62" s="629" customFormat="1" ht="39" customHeight="1" x14ac:dyDescent="0.2">
      <c r="A647" s="2365">
        <v>278</v>
      </c>
      <c r="B647" s="2361" t="s">
        <v>257</v>
      </c>
      <c r="C647" s="2023" t="s">
        <v>986</v>
      </c>
      <c r="D647" s="2023" t="s">
        <v>4703</v>
      </c>
      <c r="E647" s="2023" t="s">
        <v>584</v>
      </c>
      <c r="F647" s="2023" t="s">
        <v>4796</v>
      </c>
      <c r="G647" s="2006">
        <v>11087</v>
      </c>
      <c r="H647" s="2367" t="s">
        <v>4797</v>
      </c>
      <c r="I647" s="2141" t="s">
        <v>4715</v>
      </c>
      <c r="J647" s="2023" t="s">
        <v>4716</v>
      </c>
      <c r="K647" s="2347">
        <v>41577</v>
      </c>
      <c r="L647" s="2343">
        <v>113367.33</v>
      </c>
      <c r="M647" s="2006">
        <v>11172</v>
      </c>
      <c r="N647" s="2347">
        <v>41577</v>
      </c>
      <c r="O647" s="2347">
        <v>41667</v>
      </c>
      <c r="P647" s="2367" t="s">
        <v>4729</v>
      </c>
      <c r="Q647" s="2023"/>
      <c r="R647" s="2023"/>
      <c r="S647" s="2023"/>
      <c r="T647" s="2023" t="s">
        <v>1438</v>
      </c>
      <c r="U647" s="1146" t="s">
        <v>4793</v>
      </c>
      <c r="V647" s="1137">
        <v>41599</v>
      </c>
      <c r="W647" s="1145"/>
      <c r="X647" s="1146" t="s">
        <v>4730</v>
      </c>
      <c r="Y647" s="1055"/>
      <c r="Z647" s="1055"/>
      <c r="AA647" s="1138"/>
      <c r="AB647" s="1055"/>
      <c r="AC647" s="1139"/>
      <c r="AD647" s="1139"/>
      <c r="AE647" s="1155">
        <f>L647-AD647+AC647</f>
        <v>113367.33</v>
      </c>
      <c r="AF647" s="525">
        <v>0</v>
      </c>
      <c r="AG647" s="525">
        <v>0</v>
      </c>
      <c r="AH647" s="1139">
        <f t="shared" si="19"/>
        <v>0</v>
      </c>
      <c r="AI647" s="1138"/>
      <c r="AJ647" s="1064"/>
      <c r="AK647" s="1055"/>
      <c r="AL647" s="1133"/>
      <c r="AM647" s="1055"/>
      <c r="AN647" s="1055"/>
      <c r="AO647" s="1064"/>
      <c r="AP647" s="1137"/>
      <c r="AQ647" s="1064"/>
      <c r="AR647" s="1137"/>
      <c r="AS647" s="2023" t="s">
        <v>4707</v>
      </c>
      <c r="AT647" s="2355" t="s">
        <v>4631</v>
      </c>
      <c r="AU647" s="42">
        <v>41577</v>
      </c>
      <c r="AV647" s="42">
        <v>41637</v>
      </c>
      <c r="AW647" s="2364">
        <f>(AH647:AH648)/AE647</f>
        <v>0</v>
      </c>
      <c r="AX647" s="2355"/>
      <c r="AY647" s="2352">
        <v>41577</v>
      </c>
      <c r="AZ647" s="2355" t="s">
        <v>1464</v>
      </c>
      <c r="BA647" s="2355" t="s">
        <v>1458</v>
      </c>
      <c r="BB647" s="2355"/>
      <c r="BC647" s="2355"/>
      <c r="BD647" s="2355"/>
      <c r="BE647" s="1480"/>
      <c r="BF647" s="1480"/>
      <c r="BG647" s="1480"/>
      <c r="BH647" s="1480"/>
      <c r="BI647" s="1480"/>
      <c r="BJ647" s="1480"/>
    </row>
    <row r="648" spans="1:62" s="629" customFormat="1" ht="48" customHeight="1" x14ac:dyDescent="0.2">
      <c r="A648" s="2365"/>
      <c r="B648" s="2361"/>
      <c r="C648" s="2023"/>
      <c r="D648" s="2023"/>
      <c r="E648" s="2023"/>
      <c r="F648" s="2023"/>
      <c r="G648" s="2006"/>
      <c r="H648" s="2367"/>
      <c r="I648" s="2141"/>
      <c r="J648" s="2023"/>
      <c r="K648" s="2023"/>
      <c r="L648" s="2343"/>
      <c r="M648" s="2006"/>
      <c r="N648" s="2347"/>
      <c r="O648" s="2347"/>
      <c r="P648" s="2367"/>
      <c r="Q648" s="2023"/>
      <c r="R648" s="2023"/>
      <c r="S648" s="2023"/>
      <c r="T648" s="2023"/>
      <c r="U648" s="1146" t="s">
        <v>3906</v>
      </c>
      <c r="V648" s="1055"/>
      <c r="W648" s="1145"/>
      <c r="X648" s="1146" t="s">
        <v>3955</v>
      </c>
      <c r="Y648" s="1137">
        <v>41667</v>
      </c>
      <c r="Z648" s="1137">
        <v>41757</v>
      </c>
      <c r="AA648" s="1138"/>
      <c r="AB648" s="1055"/>
      <c r="AC648" s="1139"/>
      <c r="AD648" s="1139"/>
      <c r="AE648" s="1155"/>
      <c r="AF648" s="525">
        <v>0</v>
      </c>
      <c r="AG648" s="525">
        <v>0</v>
      </c>
      <c r="AH648" s="1139">
        <f t="shared" si="19"/>
        <v>0</v>
      </c>
      <c r="AI648" s="1138"/>
      <c r="AJ648" s="1064"/>
      <c r="AK648" s="1055"/>
      <c r="AL648" s="1133"/>
      <c r="AM648" s="1055"/>
      <c r="AN648" s="1055"/>
      <c r="AO648" s="1064"/>
      <c r="AP648" s="1137"/>
      <c r="AQ648" s="1064"/>
      <c r="AR648" s="1137"/>
      <c r="AS648" s="2023"/>
      <c r="AT648" s="2355"/>
      <c r="AU648" s="42">
        <v>41638</v>
      </c>
      <c r="AV648" s="42">
        <v>41694</v>
      </c>
      <c r="AW648" s="2379"/>
      <c r="AX648" s="2355"/>
      <c r="AY648" s="2355"/>
      <c r="AZ648" s="2355"/>
      <c r="BA648" s="2355"/>
      <c r="BB648" s="2355"/>
      <c r="BC648" s="2355"/>
      <c r="BD648" s="2355"/>
      <c r="BE648" s="1480"/>
      <c r="BF648" s="1480"/>
      <c r="BG648" s="1480"/>
      <c r="BH648" s="1480"/>
      <c r="BI648" s="1480"/>
      <c r="BJ648" s="1480"/>
    </row>
    <row r="649" spans="1:62" s="629" customFormat="1" ht="78.75" customHeight="1" x14ac:dyDescent="0.2">
      <c r="A649" s="2365">
        <v>279</v>
      </c>
      <c r="B649" s="2361" t="s">
        <v>4798</v>
      </c>
      <c r="C649" s="2023" t="s">
        <v>1006</v>
      </c>
      <c r="D649" s="2023" t="s">
        <v>4703</v>
      </c>
      <c r="E649" s="2023" t="s">
        <v>584</v>
      </c>
      <c r="F649" s="2023" t="s">
        <v>4799</v>
      </c>
      <c r="G649" s="2006">
        <v>11086</v>
      </c>
      <c r="H649" s="2367" t="s">
        <v>4800</v>
      </c>
      <c r="I649" s="2023" t="s">
        <v>4715</v>
      </c>
      <c r="J649" s="2023" t="s">
        <v>4716</v>
      </c>
      <c r="K649" s="2347">
        <v>41577</v>
      </c>
      <c r="L649" s="2343">
        <v>143507.81</v>
      </c>
      <c r="M649" s="2006">
        <v>11172</v>
      </c>
      <c r="N649" s="2347">
        <v>41577</v>
      </c>
      <c r="O649" s="2347">
        <v>41667</v>
      </c>
      <c r="P649" s="2367" t="s">
        <v>3905</v>
      </c>
      <c r="Q649" s="2023"/>
      <c r="R649" s="2023"/>
      <c r="S649" s="2023"/>
      <c r="T649" s="2028" t="s">
        <v>1438</v>
      </c>
      <c r="U649" s="1146" t="s">
        <v>3928</v>
      </c>
      <c r="V649" s="1137">
        <v>41599</v>
      </c>
      <c r="W649" s="1145">
        <v>11367</v>
      </c>
      <c r="X649" s="1146" t="s">
        <v>4730</v>
      </c>
      <c r="Y649" s="1055"/>
      <c r="Z649" s="1055"/>
      <c r="AA649" s="1138"/>
      <c r="AB649" s="1055"/>
      <c r="AC649" s="1139"/>
      <c r="AD649" s="1139"/>
      <c r="AE649" s="1155"/>
      <c r="AF649" s="1155">
        <v>0</v>
      </c>
      <c r="AG649" s="1139">
        <f>92295.9+14933.48</f>
        <v>107229.37999999999</v>
      </c>
      <c r="AH649" s="1139">
        <f t="shared" si="19"/>
        <v>107229.37999999999</v>
      </c>
      <c r="AI649" s="1138"/>
      <c r="AJ649" s="1064"/>
      <c r="AK649" s="1055"/>
      <c r="AL649" s="1133"/>
      <c r="AM649" s="1055"/>
      <c r="AN649" s="1055"/>
      <c r="AO649" s="1064"/>
      <c r="AP649" s="1137"/>
      <c r="AQ649" s="1064"/>
      <c r="AR649" s="1137"/>
      <c r="AS649" s="2028" t="s">
        <v>4707</v>
      </c>
      <c r="AT649" s="2356" t="s">
        <v>4631</v>
      </c>
      <c r="AU649" s="42">
        <v>41577</v>
      </c>
      <c r="AV649" s="42">
        <v>41637</v>
      </c>
      <c r="AW649" s="2364">
        <f>(AH649:AH656)/AE654</f>
        <v>0.64314203480808219</v>
      </c>
      <c r="AX649" s="2356"/>
      <c r="AY649" s="2353">
        <v>41577</v>
      </c>
      <c r="AZ649" s="2356" t="s">
        <v>1464</v>
      </c>
      <c r="BA649" s="2356" t="s">
        <v>1458</v>
      </c>
      <c r="BB649" s="2355"/>
      <c r="BC649" s="2355"/>
      <c r="BD649" s="2355"/>
      <c r="BE649" s="1480"/>
      <c r="BF649" s="1480"/>
      <c r="BG649" s="1480"/>
      <c r="BH649" s="1480"/>
      <c r="BI649" s="1480"/>
      <c r="BJ649" s="1480"/>
    </row>
    <row r="650" spans="1:62" s="629" customFormat="1" ht="78.75" customHeight="1" x14ac:dyDescent="0.2">
      <c r="A650" s="2365"/>
      <c r="B650" s="2361"/>
      <c r="C650" s="2023"/>
      <c r="D650" s="2023"/>
      <c r="E650" s="2023"/>
      <c r="F650" s="2023"/>
      <c r="G650" s="2006"/>
      <c r="H650" s="2367"/>
      <c r="I650" s="2023"/>
      <c r="J650" s="2023"/>
      <c r="K650" s="2347"/>
      <c r="L650" s="2343"/>
      <c r="M650" s="2006"/>
      <c r="N650" s="2347"/>
      <c r="O650" s="2347"/>
      <c r="P650" s="2367"/>
      <c r="Q650" s="2023"/>
      <c r="R650" s="2023"/>
      <c r="S650" s="2023"/>
      <c r="T650" s="2029"/>
      <c r="U650" s="1146" t="s">
        <v>4710</v>
      </c>
      <c r="V650" s="1137">
        <v>41625</v>
      </c>
      <c r="W650" s="1145">
        <v>11367</v>
      </c>
      <c r="X650" s="1146" t="s">
        <v>4730</v>
      </c>
      <c r="Y650" s="1055"/>
      <c r="Z650" s="1055"/>
      <c r="AA650" s="1138"/>
      <c r="AB650" s="1055"/>
      <c r="AC650" s="1139"/>
      <c r="AD650" s="1139"/>
      <c r="AE650" s="1155"/>
      <c r="AF650" s="525">
        <v>0</v>
      </c>
      <c r="AG650" s="525">
        <v>0</v>
      </c>
      <c r="AH650" s="1139">
        <f t="shared" si="19"/>
        <v>0</v>
      </c>
      <c r="AI650" s="1138"/>
      <c r="AJ650" s="1064"/>
      <c r="AK650" s="1055"/>
      <c r="AL650" s="1133"/>
      <c r="AM650" s="1055"/>
      <c r="AN650" s="1055"/>
      <c r="AO650" s="1064"/>
      <c r="AP650" s="1137"/>
      <c r="AQ650" s="1064"/>
      <c r="AR650" s="1137"/>
      <c r="AS650" s="2029"/>
      <c r="AT650" s="2376"/>
      <c r="AU650" s="42"/>
      <c r="AV650" s="42"/>
      <c r="AW650" s="2378"/>
      <c r="AX650" s="2376"/>
      <c r="AY650" s="2380"/>
      <c r="AZ650" s="2376"/>
      <c r="BA650" s="2376"/>
      <c r="BB650" s="2355"/>
      <c r="BC650" s="2355"/>
      <c r="BD650" s="2355"/>
      <c r="BE650" s="1480"/>
      <c r="BF650" s="1480"/>
      <c r="BG650" s="1480"/>
      <c r="BH650" s="1480"/>
      <c r="BI650" s="1480"/>
      <c r="BJ650" s="1480"/>
    </row>
    <row r="651" spans="1:62" s="629" customFormat="1" ht="38.25" customHeight="1" x14ac:dyDescent="0.2">
      <c r="A651" s="2365"/>
      <c r="B651" s="2361"/>
      <c r="C651" s="2023"/>
      <c r="D651" s="2023"/>
      <c r="E651" s="2023"/>
      <c r="F651" s="2023"/>
      <c r="G651" s="2006"/>
      <c r="H651" s="2367"/>
      <c r="I651" s="2023"/>
      <c r="J651" s="2023"/>
      <c r="K651" s="2347"/>
      <c r="L651" s="2343"/>
      <c r="M651" s="2006"/>
      <c r="N651" s="2347"/>
      <c r="O651" s="2347"/>
      <c r="P651" s="2367"/>
      <c r="Q651" s="2023"/>
      <c r="R651" s="2023"/>
      <c r="S651" s="2023"/>
      <c r="T651" s="2029"/>
      <c r="U651" s="1146" t="s">
        <v>3906</v>
      </c>
      <c r="V651" s="1137">
        <v>41647</v>
      </c>
      <c r="W651" s="1145">
        <v>11254</v>
      </c>
      <c r="X651" s="1146" t="s">
        <v>3933</v>
      </c>
      <c r="Y651" s="1137">
        <v>41667</v>
      </c>
      <c r="Z651" s="1137">
        <v>41757</v>
      </c>
      <c r="AA651" s="1138"/>
      <c r="AB651" s="1055"/>
      <c r="AC651" s="1139"/>
      <c r="AD651" s="1139"/>
      <c r="AE651" s="1155"/>
      <c r="AF651" s="525">
        <v>0</v>
      </c>
      <c r="AG651" s="525">
        <v>0</v>
      </c>
      <c r="AH651" s="1139">
        <f t="shared" si="19"/>
        <v>0</v>
      </c>
      <c r="AI651" s="1138"/>
      <c r="AJ651" s="1064"/>
      <c r="AK651" s="1055"/>
      <c r="AL651" s="1133"/>
      <c r="AM651" s="1055"/>
      <c r="AN651" s="1055"/>
      <c r="AO651" s="1064"/>
      <c r="AP651" s="1137"/>
      <c r="AQ651" s="1064"/>
      <c r="AR651" s="1137"/>
      <c r="AS651" s="2029"/>
      <c r="AT651" s="2376"/>
      <c r="AU651" s="42">
        <v>41638</v>
      </c>
      <c r="AV651" s="42">
        <v>41698</v>
      </c>
      <c r="AW651" s="2378"/>
      <c r="AX651" s="2376"/>
      <c r="AY651" s="2380"/>
      <c r="AZ651" s="2376"/>
      <c r="BA651" s="2376"/>
      <c r="BB651" s="2355"/>
      <c r="BC651" s="2355"/>
      <c r="BD651" s="2355"/>
      <c r="BE651" s="1480"/>
      <c r="BF651" s="1480"/>
      <c r="BG651" s="1480"/>
      <c r="BH651" s="1480"/>
      <c r="BI651" s="1480"/>
      <c r="BJ651" s="1480"/>
    </row>
    <row r="652" spans="1:62" s="629" customFormat="1" ht="38.25" customHeight="1" x14ac:dyDescent="0.2">
      <c r="A652" s="2365"/>
      <c r="B652" s="2361"/>
      <c r="C652" s="2023"/>
      <c r="D652" s="2023"/>
      <c r="E652" s="2023"/>
      <c r="F652" s="2023"/>
      <c r="G652" s="2006"/>
      <c r="H652" s="2367"/>
      <c r="I652" s="2023"/>
      <c r="J652" s="2023"/>
      <c r="K652" s="2347"/>
      <c r="L652" s="2343"/>
      <c r="M652" s="2006"/>
      <c r="N652" s="2347"/>
      <c r="O652" s="2347"/>
      <c r="P652" s="2367"/>
      <c r="Q652" s="2023"/>
      <c r="R652" s="2023"/>
      <c r="S652" s="2023"/>
      <c r="T652" s="2029"/>
      <c r="U652" s="1146" t="s">
        <v>3891</v>
      </c>
      <c r="V652" s="1137">
        <v>41743</v>
      </c>
      <c r="W652" s="1145"/>
      <c r="X652" s="1146" t="s">
        <v>4650</v>
      </c>
      <c r="Y652" s="1137">
        <v>41757</v>
      </c>
      <c r="Z652" s="1137">
        <f>Y652+90</f>
        <v>41847</v>
      </c>
      <c r="AA652" s="1138"/>
      <c r="AB652" s="1055"/>
      <c r="AC652" s="1139"/>
      <c r="AD652" s="1139"/>
      <c r="AE652" s="1155"/>
      <c r="AF652" s="525">
        <v>0</v>
      </c>
      <c r="AG652" s="525">
        <v>0</v>
      </c>
      <c r="AH652" s="1139">
        <f t="shared" si="19"/>
        <v>0</v>
      </c>
      <c r="AI652" s="1138"/>
      <c r="AJ652" s="1064"/>
      <c r="AK652" s="1055"/>
      <c r="AL652" s="1133"/>
      <c r="AM652" s="1055"/>
      <c r="AN652" s="1055"/>
      <c r="AO652" s="1064"/>
      <c r="AP652" s="1137"/>
      <c r="AQ652" s="1064"/>
      <c r="AR652" s="1137"/>
      <c r="AS652" s="2029"/>
      <c r="AT652" s="2376"/>
      <c r="AU652" s="42">
        <v>41698</v>
      </c>
      <c r="AV652" s="42">
        <v>41788</v>
      </c>
      <c r="AW652" s="2378"/>
      <c r="AX652" s="2376"/>
      <c r="AY652" s="2380"/>
      <c r="AZ652" s="2376"/>
      <c r="BA652" s="2376"/>
      <c r="BB652" s="2355"/>
      <c r="BC652" s="2355"/>
      <c r="BD652" s="2355"/>
      <c r="BE652" s="1480"/>
      <c r="BF652" s="1480"/>
      <c r="BG652" s="1480"/>
      <c r="BH652" s="1480"/>
      <c r="BI652" s="1480"/>
      <c r="BJ652" s="1480"/>
    </row>
    <row r="653" spans="1:62" s="629" customFormat="1" ht="54.75" customHeight="1" x14ac:dyDescent="0.2">
      <c r="A653" s="2365"/>
      <c r="B653" s="2361"/>
      <c r="C653" s="2023"/>
      <c r="D653" s="2023"/>
      <c r="E653" s="2023"/>
      <c r="F653" s="2023"/>
      <c r="G653" s="2006"/>
      <c r="H653" s="2367"/>
      <c r="I653" s="2023"/>
      <c r="J653" s="2023"/>
      <c r="K653" s="2347"/>
      <c r="L653" s="2343"/>
      <c r="M653" s="1064"/>
      <c r="N653" s="1137"/>
      <c r="O653" s="1137"/>
      <c r="P653" s="2367"/>
      <c r="Q653" s="1055"/>
      <c r="R653" s="1055"/>
      <c r="S653" s="1055"/>
      <c r="T653" s="2029"/>
      <c r="U653" s="1146" t="s">
        <v>3908</v>
      </c>
      <c r="V653" s="1137">
        <v>41829</v>
      </c>
      <c r="W653" s="1145">
        <v>11480</v>
      </c>
      <c r="X653" s="1146" t="s">
        <v>4650</v>
      </c>
      <c r="Y653" s="1137">
        <f>Z653-90</f>
        <v>41847</v>
      </c>
      <c r="Z653" s="1137">
        <v>41937</v>
      </c>
      <c r="AA653" s="1138"/>
      <c r="AB653" s="1055"/>
      <c r="AC653" s="1139"/>
      <c r="AD653" s="1139"/>
      <c r="AE653" s="1155"/>
      <c r="AF653" s="525">
        <v>0</v>
      </c>
      <c r="AG653" s="525">
        <v>0</v>
      </c>
      <c r="AH653" s="1139">
        <f t="shared" si="19"/>
        <v>0</v>
      </c>
      <c r="AI653" s="1138"/>
      <c r="AJ653" s="1064"/>
      <c r="AK653" s="1055"/>
      <c r="AL653" s="1133"/>
      <c r="AM653" s="1055"/>
      <c r="AN653" s="1055"/>
      <c r="AO653" s="1064"/>
      <c r="AP653" s="1137"/>
      <c r="AQ653" s="1064"/>
      <c r="AR653" s="1137"/>
      <c r="AS653" s="2029"/>
      <c r="AT653" s="2376"/>
      <c r="AU653" s="42">
        <v>41788</v>
      </c>
      <c r="AV653" s="42">
        <v>41878</v>
      </c>
      <c r="AW653" s="2378"/>
      <c r="AX653" s="2376"/>
      <c r="AY653" s="2380"/>
      <c r="AZ653" s="2376"/>
      <c r="BA653" s="2376"/>
      <c r="BB653" s="1133"/>
      <c r="BC653" s="1133"/>
      <c r="BD653" s="1133"/>
      <c r="BE653" s="1480"/>
      <c r="BF653" s="1480"/>
      <c r="BG653" s="1480"/>
      <c r="BH653" s="1480"/>
      <c r="BI653" s="1480"/>
      <c r="BJ653" s="1480"/>
    </row>
    <row r="654" spans="1:62" s="629" customFormat="1" ht="54.75" customHeight="1" x14ac:dyDescent="0.2">
      <c r="A654" s="2365"/>
      <c r="B654" s="2361"/>
      <c r="C654" s="2023"/>
      <c r="D654" s="2023"/>
      <c r="E654" s="2023"/>
      <c r="F654" s="2023"/>
      <c r="G654" s="2006"/>
      <c r="H654" s="2367"/>
      <c r="I654" s="2023"/>
      <c r="J654" s="2023"/>
      <c r="K654" s="2347"/>
      <c r="L654" s="2343"/>
      <c r="M654" s="1064"/>
      <c r="N654" s="1137"/>
      <c r="O654" s="1137"/>
      <c r="P654" s="1146"/>
      <c r="Q654" s="1055"/>
      <c r="R654" s="1055"/>
      <c r="S654" s="1055"/>
      <c r="T654" s="2029"/>
      <c r="U654" s="1146" t="s">
        <v>4712</v>
      </c>
      <c r="V654" s="1137">
        <v>41894</v>
      </c>
      <c r="W654" s="1145">
        <v>11392</v>
      </c>
      <c r="X654" s="1146" t="s">
        <v>4801</v>
      </c>
      <c r="Y654" s="1137">
        <v>41759</v>
      </c>
      <c r="Z654" s="1137">
        <v>41757</v>
      </c>
      <c r="AA654" s="1138">
        <f>AC654/L649</f>
        <v>0.16179997451009812</v>
      </c>
      <c r="AB654" s="1055"/>
      <c r="AC654" s="1139">
        <v>23219.56</v>
      </c>
      <c r="AD654" s="1139"/>
      <c r="AE654" s="1155">
        <f>AC654+L649</f>
        <v>166727.37</v>
      </c>
      <c r="AF654" s="525">
        <v>0</v>
      </c>
      <c r="AG654" s="525">
        <v>0</v>
      </c>
      <c r="AH654" s="1139">
        <f t="shared" si="19"/>
        <v>0</v>
      </c>
      <c r="AI654" s="1138"/>
      <c r="AJ654" s="1064"/>
      <c r="AK654" s="1055"/>
      <c r="AL654" s="1133"/>
      <c r="AM654" s="1055"/>
      <c r="AN654" s="1055"/>
      <c r="AO654" s="1064"/>
      <c r="AP654" s="1137"/>
      <c r="AQ654" s="1064"/>
      <c r="AR654" s="1137"/>
      <c r="AS654" s="2029"/>
      <c r="AT654" s="2376"/>
      <c r="AU654" s="42"/>
      <c r="AV654" s="42"/>
      <c r="AW654" s="2378"/>
      <c r="AX654" s="2376"/>
      <c r="AY654" s="2380"/>
      <c r="AZ654" s="2376"/>
      <c r="BA654" s="2376"/>
      <c r="BB654" s="1133"/>
      <c r="BC654" s="1133"/>
      <c r="BD654" s="1133"/>
      <c r="BE654" s="1480"/>
      <c r="BF654" s="1480"/>
      <c r="BG654" s="1480"/>
      <c r="BH654" s="1480"/>
      <c r="BI654" s="1480"/>
      <c r="BJ654" s="1480"/>
    </row>
    <row r="655" spans="1:62" s="629" customFormat="1" ht="54.75" customHeight="1" x14ac:dyDescent="0.2">
      <c r="A655" s="2365"/>
      <c r="B655" s="2361"/>
      <c r="C655" s="2023"/>
      <c r="D655" s="2023"/>
      <c r="E655" s="2023"/>
      <c r="F655" s="2023"/>
      <c r="G655" s="2006"/>
      <c r="H655" s="2367"/>
      <c r="I655" s="2023"/>
      <c r="J655" s="2023"/>
      <c r="K655" s="2347"/>
      <c r="L655" s="2343"/>
      <c r="M655" s="1064"/>
      <c r="N655" s="1137"/>
      <c r="O655" s="1137"/>
      <c r="P655" s="1146"/>
      <c r="Q655" s="1055"/>
      <c r="R655" s="1055"/>
      <c r="S655" s="1055"/>
      <c r="T655" s="2029"/>
      <c r="U655" s="1146" t="s">
        <v>3893</v>
      </c>
      <c r="V655" s="1137">
        <v>41936</v>
      </c>
      <c r="W655" s="1145">
        <v>11481</v>
      </c>
      <c r="X655" s="1146" t="s">
        <v>4650</v>
      </c>
      <c r="Y655" s="1137">
        <f>Z655-90</f>
        <v>41937</v>
      </c>
      <c r="Z655" s="1137">
        <v>42027</v>
      </c>
      <c r="AA655" s="1137"/>
      <c r="AB655" s="1055"/>
      <c r="AC655" s="1139"/>
      <c r="AD655" s="1139"/>
      <c r="AE655" s="1155"/>
      <c r="AF655" s="525">
        <v>0</v>
      </c>
      <c r="AG655" s="525">
        <v>0</v>
      </c>
      <c r="AH655" s="1139">
        <f t="shared" si="19"/>
        <v>0</v>
      </c>
      <c r="AI655" s="1055"/>
      <c r="AJ655" s="1064"/>
      <c r="AK655" s="1055"/>
      <c r="AL655" s="1133"/>
      <c r="AM655" s="1055"/>
      <c r="AN655" s="1055"/>
      <c r="AO655" s="1064"/>
      <c r="AP655" s="1137"/>
      <c r="AQ655" s="1064"/>
      <c r="AR655" s="1137"/>
      <c r="AS655" s="2029"/>
      <c r="AT655" s="2376"/>
      <c r="AU655" s="42">
        <v>41879</v>
      </c>
      <c r="AV655" s="42">
        <v>41969</v>
      </c>
      <c r="AW655" s="2378"/>
      <c r="AX655" s="2376"/>
      <c r="AY655" s="2380"/>
      <c r="AZ655" s="2376"/>
      <c r="BA655" s="2376"/>
      <c r="BB655" s="1133"/>
      <c r="BC655" s="1133"/>
      <c r="BD655" s="1133"/>
      <c r="BE655" s="1480"/>
      <c r="BF655" s="1480"/>
      <c r="BG655" s="1480"/>
      <c r="BH655" s="1480"/>
      <c r="BI655" s="1480"/>
      <c r="BJ655" s="1480"/>
    </row>
    <row r="656" spans="1:62" s="629" customFormat="1" ht="54.75" customHeight="1" x14ac:dyDescent="0.2">
      <c r="A656" s="2365"/>
      <c r="B656" s="2361"/>
      <c r="C656" s="2023"/>
      <c r="D656" s="2023"/>
      <c r="E656" s="2023"/>
      <c r="F656" s="2023"/>
      <c r="G656" s="2006"/>
      <c r="H656" s="2367"/>
      <c r="I656" s="2023"/>
      <c r="J656" s="2023"/>
      <c r="K656" s="2347"/>
      <c r="L656" s="2343"/>
      <c r="M656" s="1064"/>
      <c r="N656" s="1137"/>
      <c r="O656" s="1137"/>
      <c r="P656" s="1146"/>
      <c r="Q656" s="1055"/>
      <c r="R656" s="1055"/>
      <c r="S656" s="1055"/>
      <c r="T656" s="2030"/>
      <c r="U656" s="1146" t="s">
        <v>3909</v>
      </c>
      <c r="V656" s="1137">
        <v>42009</v>
      </c>
      <c r="W656" s="1145">
        <v>11482</v>
      </c>
      <c r="X656" s="1146" t="s">
        <v>4650</v>
      </c>
      <c r="Y656" s="1137">
        <f>Z656-90</f>
        <v>42010</v>
      </c>
      <c r="Z656" s="1137">
        <v>42100</v>
      </c>
      <c r="AA656" s="1138"/>
      <c r="AB656" s="1055"/>
      <c r="AC656" s="1139"/>
      <c r="AD656" s="1139"/>
      <c r="AE656" s="1155"/>
      <c r="AF656" s="525">
        <v>0</v>
      </c>
      <c r="AG656" s="525">
        <v>0</v>
      </c>
      <c r="AH656" s="1139">
        <f t="shared" si="19"/>
        <v>0</v>
      </c>
      <c r="AI656" s="1055"/>
      <c r="AJ656" s="1064"/>
      <c r="AK656" s="1055"/>
      <c r="AL656" s="1133"/>
      <c r="AM656" s="1055"/>
      <c r="AN656" s="1055"/>
      <c r="AO656" s="1064"/>
      <c r="AP656" s="1137"/>
      <c r="AQ656" s="1064"/>
      <c r="AR656" s="1137"/>
      <c r="AS656" s="2030"/>
      <c r="AT656" s="2377"/>
      <c r="AU656" s="42">
        <v>41970</v>
      </c>
      <c r="AV656" s="42">
        <v>42060</v>
      </c>
      <c r="AW656" s="2379"/>
      <c r="AX656" s="2377"/>
      <c r="AY656" s="2381"/>
      <c r="AZ656" s="2377"/>
      <c r="BA656" s="2377"/>
      <c r="BB656" s="1133"/>
      <c r="BC656" s="1133"/>
      <c r="BD656" s="1133"/>
      <c r="BE656" s="1480"/>
      <c r="BF656" s="1480"/>
      <c r="BG656" s="1480"/>
      <c r="BH656" s="1480"/>
      <c r="BI656" s="1480"/>
      <c r="BJ656" s="1480"/>
    </row>
    <row r="657" spans="1:62" s="629" customFormat="1" ht="26.25" customHeight="1" x14ac:dyDescent="0.2">
      <c r="A657" s="2365">
        <v>280</v>
      </c>
      <c r="B657" s="2366" t="s">
        <v>4802</v>
      </c>
      <c r="C657" s="2023" t="s">
        <v>4803</v>
      </c>
      <c r="D657" s="2023" t="s">
        <v>4804</v>
      </c>
      <c r="E657" s="2023" t="s">
        <v>584</v>
      </c>
      <c r="F657" s="2023" t="s">
        <v>4805</v>
      </c>
      <c r="G657" s="2006">
        <v>10760</v>
      </c>
      <c r="H657" s="2367" t="s">
        <v>4806</v>
      </c>
      <c r="I657" s="2023" t="s">
        <v>4807</v>
      </c>
      <c r="J657" s="2023" t="s">
        <v>4427</v>
      </c>
      <c r="K657" s="2347">
        <v>40946</v>
      </c>
      <c r="L657" s="2343">
        <v>22265</v>
      </c>
      <c r="M657" s="2006">
        <v>11015</v>
      </c>
      <c r="N657" s="2347">
        <v>41312</v>
      </c>
      <c r="O657" s="2347">
        <v>41639</v>
      </c>
      <c r="P657" s="2367" t="s">
        <v>3905</v>
      </c>
      <c r="Q657" s="2023"/>
      <c r="R657" s="2023"/>
      <c r="S657" s="2023"/>
      <c r="T657" s="2023" t="s">
        <v>316</v>
      </c>
      <c r="U657" s="1146"/>
      <c r="V657" s="1055"/>
      <c r="W657" s="1064"/>
      <c r="X657" s="1055"/>
      <c r="Y657" s="1055"/>
      <c r="Z657" s="1055"/>
      <c r="AA657" s="1138"/>
      <c r="AB657" s="1055"/>
      <c r="AC657" s="1133"/>
      <c r="AD657" s="1135"/>
      <c r="AE657" s="1133"/>
      <c r="AF657" s="1155">
        <v>15942.33</v>
      </c>
      <c r="AG657" s="1150">
        <f>5644.95+39.65+85.4+76.25</f>
        <v>5846.2499999999991</v>
      </c>
      <c r="AH657" s="1139">
        <f t="shared" si="19"/>
        <v>21788.579999999998</v>
      </c>
      <c r="AI657" s="2023" t="s">
        <v>2523</v>
      </c>
      <c r="AJ657" s="2006">
        <v>10760</v>
      </c>
      <c r="AK657" s="2023" t="s">
        <v>4808</v>
      </c>
      <c r="AL657" s="2355"/>
      <c r="AM657" s="1055"/>
      <c r="AN657" s="1055"/>
      <c r="AO657" s="1064"/>
      <c r="AP657" s="1137"/>
      <c r="AQ657" s="1064"/>
      <c r="AR657" s="1137"/>
      <c r="AS657" s="1055"/>
      <c r="AT657" s="1133"/>
      <c r="AU657" s="1133"/>
      <c r="AV657" s="1133"/>
      <c r="AW657" s="1133"/>
      <c r="AX657" s="1133"/>
      <c r="AY657" s="1133"/>
      <c r="AZ657" s="1133"/>
      <c r="BA657" s="1133"/>
      <c r="BB657" s="1133"/>
      <c r="BC657" s="1133"/>
      <c r="BD657" s="1133"/>
      <c r="BE657" s="1480"/>
      <c r="BF657" s="1480"/>
      <c r="BG657" s="1480"/>
      <c r="BH657" s="1480"/>
      <c r="BI657" s="1480"/>
      <c r="BJ657" s="1480"/>
    </row>
    <row r="658" spans="1:62" s="629" customFormat="1" ht="27" customHeight="1" x14ac:dyDescent="0.2">
      <c r="A658" s="2365"/>
      <c r="B658" s="2366"/>
      <c r="C658" s="2023"/>
      <c r="D658" s="2023"/>
      <c r="E658" s="2023"/>
      <c r="F658" s="2023"/>
      <c r="G658" s="2006"/>
      <c r="H658" s="2367"/>
      <c r="I658" s="2023"/>
      <c r="J658" s="2023"/>
      <c r="K658" s="2023"/>
      <c r="L658" s="2343"/>
      <c r="M658" s="2006"/>
      <c r="N658" s="2347"/>
      <c r="O658" s="2347"/>
      <c r="P658" s="2367"/>
      <c r="Q658" s="2023"/>
      <c r="R658" s="2023"/>
      <c r="S658" s="2023"/>
      <c r="T658" s="2023"/>
      <c r="U658" s="1146" t="s">
        <v>3972</v>
      </c>
      <c r="V658" s="1137">
        <v>41631</v>
      </c>
      <c r="W658" s="1064">
        <v>11230</v>
      </c>
      <c r="X658" s="1055" t="s">
        <v>4036</v>
      </c>
      <c r="Y658" s="1134">
        <v>41312</v>
      </c>
      <c r="Z658" s="1137">
        <v>41639</v>
      </c>
      <c r="AA658" s="1138"/>
      <c r="AB658" s="1138">
        <f>AD658/L657</f>
        <v>7.0684931506849319E-2</v>
      </c>
      <c r="AC658" s="1139"/>
      <c r="AD658" s="1139">
        <v>1573.8</v>
      </c>
      <c r="AE658" s="1155">
        <f>L657-AD658</f>
        <v>20691.2</v>
      </c>
      <c r="AF658" s="525">
        <v>0</v>
      </c>
      <c r="AG658" s="525">
        <v>0</v>
      </c>
      <c r="AH658" s="1139">
        <f t="shared" si="19"/>
        <v>0</v>
      </c>
      <c r="AI658" s="2023"/>
      <c r="AJ658" s="2006"/>
      <c r="AK658" s="2023"/>
      <c r="AL658" s="2355"/>
      <c r="AM658" s="1055"/>
      <c r="AN658" s="1055"/>
      <c r="AO658" s="1064"/>
      <c r="AP658" s="1137"/>
      <c r="AQ658" s="1064"/>
      <c r="AR658" s="1137"/>
      <c r="AS658" s="1055"/>
      <c r="AT658" s="1133"/>
      <c r="AU658" s="1133"/>
      <c r="AV658" s="1133"/>
      <c r="AW658" s="1133"/>
      <c r="AX658" s="1133"/>
      <c r="AY658" s="1133"/>
      <c r="AZ658" s="1133"/>
      <c r="BA658" s="1133"/>
      <c r="BB658" s="1133"/>
      <c r="BC658" s="1133"/>
      <c r="BD658" s="1133"/>
      <c r="BE658" s="1480"/>
      <c r="BF658" s="1480"/>
      <c r="BG658" s="1480"/>
      <c r="BH658" s="1480"/>
      <c r="BI658" s="1480"/>
      <c r="BJ658" s="1480"/>
    </row>
    <row r="659" spans="1:62" s="629" customFormat="1" ht="33" customHeight="1" x14ac:dyDescent="0.2">
      <c r="A659" s="2365">
        <v>281</v>
      </c>
      <c r="B659" s="2366" t="s">
        <v>4809</v>
      </c>
      <c r="C659" s="2023" t="s">
        <v>901</v>
      </c>
      <c r="D659" s="2023" t="s">
        <v>4804</v>
      </c>
      <c r="E659" s="2023" t="s">
        <v>584</v>
      </c>
      <c r="F659" s="2023" t="s">
        <v>4810</v>
      </c>
      <c r="G659" s="2006">
        <v>11048</v>
      </c>
      <c r="H659" s="2367" t="s">
        <v>4811</v>
      </c>
      <c r="I659" s="2023" t="s">
        <v>4812</v>
      </c>
      <c r="J659" s="2023" t="s">
        <v>4813</v>
      </c>
      <c r="K659" s="2347">
        <v>41396</v>
      </c>
      <c r="L659" s="2369">
        <v>213530.09</v>
      </c>
      <c r="M659" s="2006">
        <v>11061</v>
      </c>
      <c r="N659" s="2347">
        <v>41396</v>
      </c>
      <c r="O659" s="2347">
        <v>41639</v>
      </c>
      <c r="P659" s="2367" t="s">
        <v>3905</v>
      </c>
      <c r="Q659" s="2023"/>
      <c r="R659" s="2023"/>
      <c r="S659" s="2023"/>
      <c r="T659" s="2023" t="s">
        <v>208</v>
      </c>
      <c r="U659" s="1146"/>
      <c r="V659" s="1055"/>
      <c r="W659" s="1064"/>
      <c r="X659" s="1055"/>
      <c r="Y659" s="1055"/>
      <c r="Z659" s="1055"/>
      <c r="AA659" s="1138"/>
      <c r="AB659" s="1055"/>
      <c r="AC659" s="553"/>
      <c r="AD659" s="553"/>
      <c r="AE659" s="1155"/>
      <c r="AF659" s="525">
        <v>1183158.93</v>
      </c>
      <c r="AG659" s="1139">
        <f>220452.89+28441.55+28441.55+28441.55+28441.55</f>
        <v>334219.08999999997</v>
      </c>
      <c r="AH659" s="1139">
        <f t="shared" si="19"/>
        <v>1517378.02</v>
      </c>
      <c r="AI659" s="2023" t="s">
        <v>4814</v>
      </c>
      <c r="AJ659" s="2006">
        <v>10922</v>
      </c>
      <c r="AK659" s="2023" t="s">
        <v>4815</v>
      </c>
      <c r="AL659" s="2373">
        <v>11051</v>
      </c>
      <c r="AM659" s="1055"/>
      <c r="AN659" s="1055"/>
      <c r="AO659" s="1064"/>
      <c r="AP659" s="1137"/>
      <c r="AQ659" s="1064"/>
      <c r="AR659" s="1137"/>
      <c r="AS659" s="1055"/>
      <c r="AT659" s="1133"/>
      <c r="AU659" s="1133"/>
      <c r="AV659" s="1133"/>
      <c r="AW659" s="1133"/>
      <c r="AX659" s="1133"/>
      <c r="AY659" s="1133"/>
      <c r="AZ659" s="1133"/>
      <c r="BA659" s="1133"/>
      <c r="BB659" s="1133"/>
      <c r="BC659" s="1133"/>
      <c r="BD659" s="1133"/>
      <c r="BE659" s="1480"/>
      <c r="BF659" s="1480"/>
      <c r="BG659" s="1480"/>
      <c r="BH659" s="1480"/>
      <c r="BI659" s="1480"/>
      <c r="BJ659" s="1480"/>
    </row>
    <row r="660" spans="1:62" s="629" customFormat="1" ht="33" customHeight="1" x14ac:dyDescent="0.2">
      <c r="A660" s="2365"/>
      <c r="B660" s="2366"/>
      <c r="C660" s="2023"/>
      <c r="D660" s="2023"/>
      <c r="E660" s="2023"/>
      <c r="F660" s="2023"/>
      <c r="G660" s="2006"/>
      <c r="H660" s="2367"/>
      <c r="I660" s="2023"/>
      <c r="J660" s="2023"/>
      <c r="K660" s="2347"/>
      <c r="L660" s="2369"/>
      <c r="M660" s="2006"/>
      <c r="N660" s="2347"/>
      <c r="O660" s="2347"/>
      <c r="P660" s="2367"/>
      <c r="Q660" s="2023"/>
      <c r="R660" s="2023"/>
      <c r="S660" s="2023"/>
      <c r="T660" s="2023"/>
      <c r="U660" s="1146" t="s">
        <v>3972</v>
      </c>
      <c r="V660" s="1137">
        <v>41627</v>
      </c>
      <c r="W660" s="1064">
        <v>11219</v>
      </c>
      <c r="X660" s="1055" t="s">
        <v>4816</v>
      </c>
      <c r="Y660" s="1137">
        <v>41640</v>
      </c>
      <c r="Z660" s="1137">
        <v>42004</v>
      </c>
      <c r="AA660" s="537"/>
      <c r="AB660" s="537">
        <f>AD660/L659</f>
        <v>0.14223363086673171</v>
      </c>
      <c r="AC660" s="1150">
        <v>127768.51</v>
      </c>
      <c r="AD660" s="1150">
        <v>30371.16</v>
      </c>
      <c r="AE660" s="525">
        <f>L659-AD660+AC660</f>
        <v>310927.44</v>
      </c>
      <c r="AF660" s="525">
        <v>0</v>
      </c>
      <c r="AG660" s="525">
        <v>0</v>
      </c>
      <c r="AH660" s="1139">
        <f t="shared" si="19"/>
        <v>0</v>
      </c>
      <c r="AI660" s="2023"/>
      <c r="AJ660" s="2006"/>
      <c r="AK660" s="2023"/>
      <c r="AL660" s="2373"/>
      <c r="AM660" s="1055"/>
      <c r="AN660" s="1055"/>
      <c r="AO660" s="1064"/>
      <c r="AP660" s="1137"/>
      <c r="AQ660" s="1064"/>
      <c r="AR660" s="1137"/>
      <c r="AS660" s="1055"/>
      <c r="AT660" s="1133"/>
      <c r="AU660" s="1133"/>
      <c r="AV660" s="1133"/>
      <c r="AW660" s="1133"/>
      <c r="AX660" s="1133"/>
      <c r="AY660" s="1133"/>
      <c r="AZ660" s="1133"/>
      <c r="BA660" s="1133"/>
      <c r="BB660" s="1133"/>
      <c r="BC660" s="1133"/>
      <c r="BD660" s="1133"/>
      <c r="BE660" s="1480"/>
      <c r="BF660" s="1480"/>
      <c r="BG660" s="1480"/>
      <c r="BH660" s="1480"/>
      <c r="BI660" s="1480"/>
      <c r="BJ660" s="1480"/>
    </row>
    <row r="661" spans="1:62" s="629" customFormat="1" ht="37.5" customHeight="1" x14ac:dyDescent="0.2">
      <c r="A661" s="2365"/>
      <c r="B661" s="2366"/>
      <c r="C661" s="2023"/>
      <c r="D661" s="2023"/>
      <c r="E661" s="2023"/>
      <c r="F661" s="2023"/>
      <c r="G661" s="2006"/>
      <c r="H661" s="2367"/>
      <c r="I661" s="2023"/>
      <c r="J661" s="2023"/>
      <c r="K661" s="2023"/>
      <c r="L661" s="2369"/>
      <c r="M661" s="2006"/>
      <c r="N661" s="2347"/>
      <c r="O661" s="2347"/>
      <c r="P661" s="2367"/>
      <c r="Q661" s="2023"/>
      <c r="R661" s="2023"/>
      <c r="S661" s="2023"/>
      <c r="T661" s="2023"/>
      <c r="U661" s="1146" t="s">
        <v>3989</v>
      </c>
      <c r="V661" s="1137">
        <v>42003</v>
      </c>
      <c r="W661" s="1064">
        <v>11485</v>
      </c>
      <c r="X661" s="1146" t="s">
        <v>3907</v>
      </c>
      <c r="Y661" s="1137">
        <v>42005</v>
      </c>
      <c r="Z661" s="1137">
        <v>42369</v>
      </c>
      <c r="AA661" s="542"/>
      <c r="AB661" s="1055"/>
      <c r="AC661" s="1150"/>
      <c r="AD661" s="1139"/>
      <c r="AE661" s="1155"/>
      <c r="AF661" s="525">
        <v>0</v>
      </c>
      <c r="AG661" s="525">
        <v>0</v>
      </c>
      <c r="AH661" s="1139">
        <f t="shared" si="19"/>
        <v>0</v>
      </c>
      <c r="AI661" s="2023"/>
      <c r="AJ661" s="2023"/>
      <c r="AK661" s="2023"/>
      <c r="AL661" s="2355"/>
      <c r="AM661" s="1055"/>
      <c r="AN661" s="1055"/>
      <c r="AO661" s="1064"/>
      <c r="AP661" s="1137"/>
      <c r="AQ661" s="1064"/>
      <c r="AR661" s="1137"/>
      <c r="AS661" s="1055"/>
      <c r="AT661" s="1133"/>
      <c r="AU661" s="1133"/>
      <c r="AV661" s="1133"/>
      <c r="AW661" s="1133"/>
      <c r="AX661" s="1133"/>
      <c r="AY661" s="1133"/>
      <c r="AZ661" s="1133"/>
      <c r="BA661" s="1133"/>
      <c r="BB661" s="1133"/>
      <c r="BC661" s="1133"/>
      <c r="BD661" s="1133"/>
      <c r="BE661" s="1480"/>
      <c r="BF661" s="1480"/>
      <c r="BG661" s="1480"/>
      <c r="BH661" s="1480"/>
      <c r="BI661" s="1480"/>
      <c r="BJ661" s="1480"/>
    </row>
    <row r="662" spans="1:62" s="629" customFormat="1" ht="29.25" customHeight="1" x14ac:dyDescent="0.2">
      <c r="A662" s="2365">
        <v>282</v>
      </c>
      <c r="B662" s="2366">
        <v>130360050</v>
      </c>
      <c r="C662" s="2023" t="s">
        <v>1330</v>
      </c>
      <c r="D662" s="2023" t="s">
        <v>4817</v>
      </c>
      <c r="E662" s="2023" t="s">
        <v>584</v>
      </c>
      <c r="F662" s="2023" t="s">
        <v>4818</v>
      </c>
      <c r="G662" s="2006">
        <v>11143</v>
      </c>
      <c r="H662" s="2367" t="s">
        <v>4819</v>
      </c>
      <c r="I662" s="2023" t="s">
        <v>2702</v>
      </c>
      <c r="J662" s="2023" t="s">
        <v>759</v>
      </c>
      <c r="K662" s="2347">
        <v>41487</v>
      </c>
      <c r="L662" s="2343">
        <v>1910208</v>
      </c>
      <c r="M662" s="2006">
        <v>11132</v>
      </c>
      <c r="N662" s="2347">
        <v>41487</v>
      </c>
      <c r="O662" s="2347">
        <v>41852</v>
      </c>
      <c r="P662" s="2367" t="s">
        <v>3905</v>
      </c>
      <c r="Q662" s="1055"/>
      <c r="R662" s="1055"/>
      <c r="S662" s="1055"/>
      <c r="T662" s="2023" t="s">
        <v>208</v>
      </c>
      <c r="U662" s="1146"/>
      <c r="V662" s="1055"/>
      <c r="W662" s="1064"/>
      <c r="X662" s="1055"/>
      <c r="Y662" s="1055"/>
      <c r="Z662" s="1055"/>
      <c r="AA662" s="1138"/>
      <c r="AB662" s="1055"/>
      <c r="AC662" s="1139"/>
      <c r="AD662" s="1139"/>
      <c r="AE662" s="1155"/>
      <c r="AF662" s="1155">
        <v>156530.93</v>
      </c>
      <c r="AG662" s="1139">
        <f>330943.2+81900+81900</f>
        <v>494743.2</v>
      </c>
      <c r="AH662" s="1139">
        <f t="shared" si="19"/>
        <v>651274.13</v>
      </c>
      <c r="AI662" s="2023" t="s">
        <v>1031</v>
      </c>
      <c r="AJ662" s="2006">
        <v>11021</v>
      </c>
      <c r="AK662" s="2023" t="s">
        <v>4820</v>
      </c>
      <c r="AL662" s="2355"/>
      <c r="AM662" s="1055"/>
      <c r="AN662" s="1055"/>
      <c r="AO662" s="1064"/>
      <c r="AP662" s="1137"/>
      <c r="AQ662" s="1064"/>
      <c r="AR662" s="1137"/>
      <c r="AS662" s="1055"/>
      <c r="AT662" s="1133"/>
      <c r="AU662" s="1133"/>
      <c r="AV662" s="1133"/>
      <c r="AW662" s="1133"/>
      <c r="AX662" s="1133"/>
      <c r="AY662" s="1133"/>
      <c r="AZ662" s="1133"/>
      <c r="BA662" s="1133"/>
      <c r="BB662" s="1133"/>
      <c r="BC662" s="1133"/>
      <c r="BD662" s="1133"/>
      <c r="BE662" s="1480"/>
      <c r="BF662" s="1480"/>
      <c r="BG662" s="1480"/>
      <c r="BH662" s="1480"/>
      <c r="BI662" s="1480"/>
      <c r="BJ662" s="1480"/>
    </row>
    <row r="663" spans="1:62" s="629" customFormat="1" ht="60.75" customHeight="1" x14ac:dyDescent="0.2">
      <c r="A663" s="2365"/>
      <c r="B663" s="2366"/>
      <c r="C663" s="2023"/>
      <c r="D663" s="2023"/>
      <c r="E663" s="2023"/>
      <c r="F663" s="2023"/>
      <c r="G663" s="2006"/>
      <c r="H663" s="2367"/>
      <c r="I663" s="2023"/>
      <c r="J663" s="2023"/>
      <c r="K663" s="2347"/>
      <c r="L663" s="2343"/>
      <c r="M663" s="2006"/>
      <c r="N663" s="2347"/>
      <c r="O663" s="2347"/>
      <c r="P663" s="2367"/>
      <c r="Q663" s="1055"/>
      <c r="R663" s="1055"/>
      <c r="S663" s="1055"/>
      <c r="T663" s="2023"/>
      <c r="U663" s="1146" t="s">
        <v>3972</v>
      </c>
      <c r="V663" s="1137">
        <v>41732</v>
      </c>
      <c r="W663" s="1064">
        <v>11165</v>
      </c>
      <c r="X663" s="1055" t="s">
        <v>4821</v>
      </c>
      <c r="Y663" s="1137">
        <v>41732</v>
      </c>
      <c r="Z663" s="1137">
        <v>41852</v>
      </c>
      <c r="AA663" s="1138"/>
      <c r="AB663" s="1138">
        <f>AD663/L662</f>
        <v>0.21250041880255971</v>
      </c>
      <c r="AC663" s="1139"/>
      <c r="AD663" s="1139">
        <v>405920</v>
      </c>
      <c r="AE663" s="2368">
        <f>L662-AD663</f>
        <v>1504288</v>
      </c>
      <c r="AF663" s="525">
        <v>0</v>
      </c>
      <c r="AG663" s="525">
        <v>0</v>
      </c>
      <c r="AH663" s="1139">
        <f t="shared" si="19"/>
        <v>0</v>
      </c>
      <c r="AI663" s="2023"/>
      <c r="AJ663" s="2006"/>
      <c r="AK663" s="2023"/>
      <c r="AL663" s="2355"/>
      <c r="AM663" s="1055"/>
      <c r="AN663" s="1055"/>
      <c r="AO663" s="1064"/>
      <c r="AP663" s="1137"/>
      <c r="AQ663" s="1064"/>
      <c r="AR663" s="1137"/>
      <c r="AS663" s="1055"/>
      <c r="AT663" s="1133"/>
      <c r="AU663" s="1133"/>
      <c r="AV663" s="1133"/>
      <c r="AW663" s="1133"/>
      <c r="AX663" s="1133"/>
      <c r="AY663" s="1133"/>
      <c r="AZ663" s="1133"/>
      <c r="BA663" s="1133"/>
      <c r="BB663" s="1133"/>
      <c r="BC663" s="1133"/>
      <c r="BD663" s="1133"/>
      <c r="BE663" s="1480"/>
      <c r="BF663" s="1480"/>
      <c r="BG663" s="1480"/>
      <c r="BH663" s="1480"/>
      <c r="BI663" s="1480"/>
      <c r="BJ663" s="1480"/>
    </row>
    <row r="664" spans="1:62" s="629" customFormat="1" ht="39.75" customHeight="1" x14ac:dyDescent="0.2">
      <c r="A664" s="2365"/>
      <c r="B664" s="2366"/>
      <c r="C664" s="2023"/>
      <c r="D664" s="2023"/>
      <c r="E664" s="2023"/>
      <c r="F664" s="2023"/>
      <c r="G664" s="2006"/>
      <c r="H664" s="2367"/>
      <c r="I664" s="2023"/>
      <c r="J664" s="2023"/>
      <c r="K664" s="2347"/>
      <c r="L664" s="2343"/>
      <c r="M664" s="2006"/>
      <c r="N664" s="2347"/>
      <c r="O664" s="2347"/>
      <c r="P664" s="1146"/>
      <c r="Q664" s="1055"/>
      <c r="R664" s="1055"/>
      <c r="S664" s="1055"/>
      <c r="T664" s="2023"/>
      <c r="U664" s="1146" t="s">
        <v>3989</v>
      </c>
      <c r="V664" s="539">
        <v>41851</v>
      </c>
      <c r="W664" s="1147">
        <v>11382</v>
      </c>
      <c r="X664" s="1055" t="s">
        <v>4822</v>
      </c>
      <c r="Y664" s="1137">
        <v>41853</v>
      </c>
      <c r="Z664" s="1137">
        <v>42004</v>
      </c>
      <c r="AA664" s="1138"/>
      <c r="AB664" s="1138"/>
      <c r="AC664" s="1139"/>
      <c r="AD664" s="1139"/>
      <c r="AE664" s="2368"/>
      <c r="AF664" s="525">
        <v>0</v>
      </c>
      <c r="AG664" s="525">
        <v>0</v>
      </c>
      <c r="AH664" s="1139">
        <f t="shared" si="19"/>
        <v>0</v>
      </c>
      <c r="AI664" s="1055"/>
      <c r="AJ664" s="1064"/>
      <c r="AK664" s="1055"/>
      <c r="AL664" s="1133"/>
      <c r="AM664" s="1055"/>
      <c r="AN664" s="1055"/>
      <c r="AO664" s="1064"/>
      <c r="AP664" s="1137"/>
      <c r="AQ664" s="1064"/>
      <c r="AR664" s="1137"/>
      <c r="AS664" s="1055"/>
      <c r="AT664" s="1133"/>
      <c r="AU664" s="1133"/>
      <c r="AV664" s="1133"/>
      <c r="AW664" s="1133"/>
      <c r="AX664" s="1133"/>
      <c r="AY664" s="1133"/>
      <c r="AZ664" s="1133"/>
      <c r="BA664" s="1133"/>
      <c r="BB664" s="1133"/>
      <c r="BC664" s="1133"/>
      <c r="BD664" s="1133"/>
      <c r="BE664" s="1480"/>
      <c r="BF664" s="1480"/>
      <c r="BG664" s="1480"/>
      <c r="BH664" s="1480"/>
      <c r="BI664" s="1480"/>
      <c r="BJ664" s="1480"/>
    </row>
    <row r="665" spans="1:62" s="629" customFormat="1" ht="39.75" customHeight="1" x14ac:dyDescent="0.2">
      <c r="A665" s="2365"/>
      <c r="B665" s="2366"/>
      <c r="C665" s="2023"/>
      <c r="D665" s="2023"/>
      <c r="E665" s="2023"/>
      <c r="F665" s="2023"/>
      <c r="G665" s="2006"/>
      <c r="H665" s="2367"/>
      <c r="I665" s="2023"/>
      <c r="J665" s="2023"/>
      <c r="K665" s="2347"/>
      <c r="L665" s="2343"/>
      <c r="M665" s="2006"/>
      <c r="N665" s="2347"/>
      <c r="O665" s="2347"/>
      <c r="P665" s="1146"/>
      <c r="Q665" s="1055"/>
      <c r="R665" s="1055"/>
      <c r="S665" s="1055"/>
      <c r="T665" s="2023"/>
      <c r="U665" s="1146" t="s">
        <v>3892</v>
      </c>
      <c r="V665" s="539">
        <v>41999</v>
      </c>
      <c r="W665" s="1147">
        <v>11478</v>
      </c>
      <c r="X665" s="1055" t="s">
        <v>4823</v>
      </c>
      <c r="Y665" s="1137">
        <v>42005</v>
      </c>
      <c r="Z665" s="1137">
        <v>42369</v>
      </c>
      <c r="AA665" s="1138">
        <f>AC665/AE663</f>
        <v>0.15555531919419685</v>
      </c>
      <c r="AB665" s="1138"/>
      <c r="AC665" s="1139">
        <f>(10*1950)*12</f>
        <v>234000</v>
      </c>
      <c r="AD665" s="1139"/>
      <c r="AE665" s="1155">
        <f>AE663+AC665</f>
        <v>1738288</v>
      </c>
      <c r="AF665" s="525">
        <v>0</v>
      </c>
      <c r="AG665" s="525">
        <v>0</v>
      </c>
      <c r="AH665" s="1139">
        <f t="shared" si="19"/>
        <v>0</v>
      </c>
      <c r="AI665" s="1055"/>
      <c r="AJ665" s="1064"/>
      <c r="AK665" s="1055"/>
      <c r="AL665" s="1133"/>
      <c r="AM665" s="1055"/>
      <c r="AN665" s="1055"/>
      <c r="AO665" s="1064"/>
      <c r="AP665" s="1137"/>
      <c r="AQ665" s="1064"/>
      <c r="AR665" s="1137"/>
      <c r="AS665" s="1055"/>
      <c r="AT665" s="1133"/>
      <c r="AU665" s="1133"/>
      <c r="AV665" s="1133"/>
      <c r="AW665" s="1133"/>
      <c r="AX665" s="1133"/>
      <c r="AY665" s="1133"/>
      <c r="AZ665" s="1133"/>
      <c r="BA665" s="1133"/>
      <c r="BB665" s="1133"/>
      <c r="BC665" s="1133"/>
      <c r="BD665" s="1133"/>
      <c r="BE665" s="1480"/>
      <c r="BF665" s="1480"/>
      <c r="BG665" s="1480"/>
      <c r="BH665" s="1480"/>
      <c r="BI665" s="1480"/>
      <c r="BJ665" s="1480"/>
    </row>
    <row r="666" spans="1:62" s="629" customFormat="1" ht="45" customHeight="1" x14ac:dyDescent="0.2">
      <c r="A666" s="2365">
        <v>283</v>
      </c>
      <c r="B666" s="2366" t="s">
        <v>4824</v>
      </c>
      <c r="C666" s="2023" t="s">
        <v>4825</v>
      </c>
      <c r="D666" s="2023" t="s">
        <v>4817</v>
      </c>
      <c r="E666" s="2023" t="s">
        <v>584</v>
      </c>
      <c r="F666" s="2023" t="s">
        <v>4826</v>
      </c>
      <c r="G666" s="2006">
        <v>236</v>
      </c>
      <c r="H666" s="2367" t="s">
        <v>4827</v>
      </c>
      <c r="I666" s="2023" t="s">
        <v>4828</v>
      </c>
      <c r="J666" s="2023" t="s">
        <v>4829</v>
      </c>
      <c r="K666" s="2347">
        <v>41612</v>
      </c>
      <c r="L666" s="2343">
        <v>501000</v>
      </c>
      <c r="M666" s="2006">
        <v>11198</v>
      </c>
      <c r="N666" s="2347">
        <v>41612</v>
      </c>
      <c r="O666" s="2347">
        <v>41977</v>
      </c>
      <c r="P666" s="1146" t="s">
        <v>3961</v>
      </c>
      <c r="Q666" s="2023"/>
      <c r="R666" s="2023"/>
      <c r="S666" s="2023"/>
      <c r="T666" s="2023" t="s">
        <v>408</v>
      </c>
      <c r="U666" s="1146"/>
      <c r="V666" s="1055"/>
      <c r="W666" s="1064"/>
      <c r="X666" s="1055"/>
      <c r="Y666" s="1055"/>
      <c r="Z666" s="1055"/>
      <c r="AA666" s="1138"/>
      <c r="AB666" s="1055"/>
      <c r="AC666" s="1139"/>
      <c r="AD666" s="1139"/>
      <c r="AE666" s="1155">
        <f>L666-AD666+AC666</f>
        <v>501000</v>
      </c>
      <c r="AF666" s="525">
        <v>0</v>
      </c>
      <c r="AG666" s="525">
        <v>0</v>
      </c>
      <c r="AH666" s="1139">
        <f t="shared" si="19"/>
        <v>0</v>
      </c>
      <c r="AI666" s="2023" t="s">
        <v>4830</v>
      </c>
      <c r="AJ666" s="2023" t="s">
        <v>4831</v>
      </c>
      <c r="AK666" s="2023" t="s">
        <v>4832</v>
      </c>
      <c r="AL666" s="2355">
        <v>236</v>
      </c>
      <c r="AM666" s="1055"/>
      <c r="AN666" s="1055"/>
      <c r="AO666" s="1064"/>
      <c r="AP666" s="1137"/>
      <c r="AQ666" s="1064"/>
      <c r="AR666" s="1137"/>
      <c r="AS666" s="1055"/>
      <c r="AT666" s="1133"/>
      <c r="AU666" s="1133"/>
      <c r="AV666" s="1133"/>
      <c r="AW666" s="1133"/>
      <c r="AX666" s="1133"/>
      <c r="AY666" s="1133"/>
      <c r="AZ666" s="1133"/>
      <c r="BA666" s="1133"/>
      <c r="BB666" s="1133"/>
      <c r="BC666" s="1133"/>
      <c r="BD666" s="1133"/>
      <c r="BE666" s="1480"/>
      <c r="BF666" s="1480"/>
      <c r="BG666" s="1480"/>
      <c r="BH666" s="1480"/>
      <c r="BI666" s="1480"/>
      <c r="BJ666" s="1480"/>
    </row>
    <row r="667" spans="1:62" s="629" customFormat="1" ht="51" customHeight="1" x14ac:dyDescent="0.2">
      <c r="A667" s="2365"/>
      <c r="B667" s="2366"/>
      <c r="C667" s="2023"/>
      <c r="D667" s="2023"/>
      <c r="E667" s="2023"/>
      <c r="F667" s="2023"/>
      <c r="G667" s="2006"/>
      <c r="H667" s="2367"/>
      <c r="I667" s="2023"/>
      <c r="J667" s="2023"/>
      <c r="K667" s="2023"/>
      <c r="L667" s="2343"/>
      <c r="M667" s="2006"/>
      <c r="N667" s="2347"/>
      <c r="O667" s="2347"/>
      <c r="P667" s="1146" t="s">
        <v>4071</v>
      </c>
      <c r="Q667" s="2023"/>
      <c r="R667" s="2023"/>
      <c r="S667" s="2023"/>
      <c r="T667" s="2023"/>
      <c r="U667" s="1146" t="s">
        <v>3972</v>
      </c>
      <c r="V667" s="1137">
        <v>41772</v>
      </c>
      <c r="W667" s="1064"/>
      <c r="X667" s="1055" t="s">
        <v>3955</v>
      </c>
      <c r="Y667" s="1137">
        <v>41772</v>
      </c>
      <c r="Z667" s="1137">
        <v>41932</v>
      </c>
      <c r="AA667" s="1138"/>
      <c r="AB667" s="1055"/>
      <c r="AC667" s="1139"/>
      <c r="AD667" s="1139"/>
      <c r="AE667" s="1155"/>
      <c r="AF667" s="525">
        <v>0</v>
      </c>
      <c r="AG667" s="1139">
        <v>501000</v>
      </c>
      <c r="AH667" s="1139">
        <f t="shared" ref="AH667:AH730" si="20">AF667+AG667</f>
        <v>501000</v>
      </c>
      <c r="AI667" s="2023"/>
      <c r="AJ667" s="2023"/>
      <c r="AK667" s="2023"/>
      <c r="AL667" s="2355"/>
      <c r="AM667" s="1055"/>
      <c r="AN667" s="1055"/>
      <c r="AO667" s="1064"/>
      <c r="AP667" s="1137"/>
      <c r="AQ667" s="1064"/>
      <c r="AR667" s="1137"/>
      <c r="AS667" s="1055"/>
      <c r="AT667" s="1133"/>
      <c r="AU667" s="1133"/>
      <c r="AV667" s="1133"/>
      <c r="AW667" s="1133"/>
      <c r="AX667" s="1133"/>
      <c r="AY667" s="1133"/>
      <c r="AZ667" s="1133"/>
      <c r="BA667" s="1133"/>
      <c r="BB667" s="1133"/>
      <c r="BC667" s="1133"/>
      <c r="BD667" s="1133"/>
      <c r="BE667" s="1480"/>
      <c r="BF667" s="1480"/>
      <c r="BG667" s="1480"/>
      <c r="BH667" s="1480"/>
      <c r="BI667" s="1480"/>
      <c r="BJ667" s="1480"/>
    </row>
    <row r="668" spans="1:62" s="629" customFormat="1" ht="45" customHeight="1" x14ac:dyDescent="0.2">
      <c r="A668" s="1514">
        <v>284</v>
      </c>
      <c r="B668" s="1217" t="s">
        <v>4833</v>
      </c>
      <c r="C668" s="1055"/>
      <c r="D668" s="1055" t="s">
        <v>4804</v>
      </c>
      <c r="E668" s="1055" t="s">
        <v>584</v>
      </c>
      <c r="F668" s="1055" t="s">
        <v>4834</v>
      </c>
      <c r="G668" s="1064">
        <v>11145</v>
      </c>
      <c r="H668" s="1146" t="s">
        <v>4835</v>
      </c>
      <c r="I668" s="1055"/>
      <c r="J668" s="1055" t="s">
        <v>2025</v>
      </c>
      <c r="K668" s="1137">
        <v>41617</v>
      </c>
      <c r="L668" s="1139">
        <v>119000</v>
      </c>
      <c r="M668" s="1064">
        <v>11194</v>
      </c>
      <c r="N668" s="1137">
        <v>41617</v>
      </c>
      <c r="O668" s="1137">
        <v>41639</v>
      </c>
      <c r="P668" s="1146" t="s">
        <v>3961</v>
      </c>
      <c r="Q668" s="1055"/>
      <c r="R668" s="1055"/>
      <c r="S668" s="1055"/>
      <c r="T668" s="1055" t="s">
        <v>408</v>
      </c>
      <c r="U668" s="1055"/>
      <c r="V668" s="1055"/>
      <c r="W668" s="1064"/>
      <c r="X668" s="1055"/>
      <c r="Y668" s="1055"/>
      <c r="Z668" s="1055"/>
      <c r="AA668" s="1138"/>
      <c r="AB668" s="1055"/>
      <c r="AC668" s="1139"/>
      <c r="AD668" s="1139"/>
      <c r="AE668" s="1155">
        <f>L668-AD668+AC668</f>
        <v>119000</v>
      </c>
      <c r="AF668" s="1155">
        <v>0</v>
      </c>
      <c r="AG668" s="1139">
        <v>119000</v>
      </c>
      <c r="AH668" s="1139">
        <f t="shared" si="20"/>
        <v>119000</v>
      </c>
      <c r="AI668" s="1055" t="s">
        <v>4836</v>
      </c>
      <c r="AJ668" s="1064">
        <v>11145</v>
      </c>
      <c r="AK668" s="1055" t="s">
        <v>4837</v>
      </c>
      <c r="AL668" s="1133"/>
      <c r="AM668" s="1055"/>
      <c r="AN668" s="1055"/>
      <c r="AO668" s="1064"/>
      <c r="AP668" s="1137"/>
      <c r="AQ668" s="1064"/>
      <c r="AR668" s="1137"/>
      <c r="AS668" s="1055"/>
      <c r="AT668" s="1133"/>
      <c r="AU668" s="1133"/>
      <c r="AV668" s="1133"/>
      <c r="AW668" s="1133"/>
      <c r="AX668" s="1133"/>
      <c r="AY668" s="1133"/>
      <c r="AZ668" s="1133"/>
      <c r="BA668" s="1133"/>
      <c r="BB668" s="1133"/>
      <c r="BC668" s="1133"/>
      <c r="BD668" s="1133"/>
      <c r="BE668" s="1480"/>
      <c r="BF668" s="1480"/>
      <c r="BG668" s="1480"/>
      <c r="BH668" s="1480"/>
      <c r="BI668" s="1480"/>
      <c r="BJ668" s="1480"/>
    </row>
    <row r="669" spans="1:62" s="629" customFormat="1" ht="45" customHeight="1" x14ac:dyDescent="0.2">
      <c r="A669" s="2365">
        <v>285</v>
      </c>
      <c r="B669" s="2361" t="s">
        <v>4838</v>
      </c>
      <c r="C669" s="2023" t="s">
        <v>675</v>
      </c>
      <c r="D669" s="2023" t="s">
        <v>4839</v>
      </c>
      <c r="E669" s="2149" t="s">
        <v>584</v>
      </c>
      <c r="F669" s="2023" t="s">
        <v>4326</v>
      </c>
      <c r="G669" s="2355">
        <v>11253</v>
      </c>
      <c r="H669" s="2023" t="s">
        <v>4327</v>
      </c>
      <c r="I669" s="2023" t="s">
        <v>4840</v>
      </c>
      <c r="J669" s="2023" t="s">
        <v>4329</v>
      </c>
      <c r="K669" s="2347">
        <v>41677</v>
      </c>
      <c r="L669" s="2349">
        <v>401497.36</v>
      </c>
      <c r="M669" s="2374">
        <v>11253</v>
      </c>
      <c r="N669" s="2375">
        <v>41677</v>
      </c>
      <c r="O669" s="2375">
        <v>42042</v>
      </c>
      <c r="P669" s="2354" t="s">
        <v>3905</v>
      </c>
      <c r="Q669" s="1055"/>
      <c r="R669" s="2023"/>
      <c r="S669" s="2023"/>
      <c r="T669" s="2355" t="s">
        <v>208</v>
      </c>
      <c r="U669" s="1146"/>
      <c r="V669" s="1055"/>
      <c r="W669" s="1064"/>
      <c r="X669" s="1055"/>
      <c r="Y669" s="1055"/>
      <c r="Z669" s="1055"/>
      <c r="AA669" s="1138"/>
      <c r="AB669" s="1055"/>
      <c r="AC669" s="1139"/>
      <c r="AD669" s="1139"/>
      <c r="AE669" s="1155"/>
      <c r="AF669" s="525">
        <v>0</v>
      </c>
      <c r="AG669" s="1139">
        <v>365160.01</v>
      </c>
      <c r="AH669" s="1139">
        <f t="shared" si="20"/>
        <v>365160.01</v>
      </c>
      <c r="AI669" s="1146" t="s">
        <v>4841</v>
      </c>
      <c r="AJ669" s="1064">
        <v>11172</v>
      </c>
      <c r="AK669" s="1055" t="s">
        <v>4842</v>
      </c>
      <c r="AL669" s="1145">
        <v>11253</v>
      </c>
      <c r="AM669" s="1055"/>
      <c r="AN669" s="1055"/>
      <c r="AO669" s="1064"/>
      <c r="AP669" s="1137"/>
      <c r="AQ669" s="1064"/>
      <c r="AR669" s="1137"/>
      <c r="AS669" s="1055"/>
      <c r="AT669" s="1133"/>
      <c r="AU669" s="1133"/>
      <c r="AV669" s="1133"/>
      <c r="AW669" s="1133"/>
      <c r="AX669" s="1133"/>
      <c r="AY669" s="1133"/>
      <c r="AZ669" s="1133"/>
      <c r="BA669" s="1133"/>
      <c r="BB669" s="1133"/>
      <c r="BC669" s="1133"/>
      <c r="BD669" s="1133"/>
      <c r="BE669" s="1480"/>
      <c r="BF669" s="1480"/>
      <c r="BG669" s="1480"/>
      <c r="BH669" s="1480"/>
      <c r="BI669" s="1480"/>
      <c r="BJ669" s="1480"/>
    </row>
    <row r="670" spans="1:62" s="629" customFormat="1" ht="30" customHeight="1" x14ac:dyDescent="0.2">
      <c r="A670" s="2365"/>
      <c r="B670" s="2361"/>
      <c r="C670" s="2023"/>
      <c r="D670" s="2023"/>
      <c r="E670" s="2149"/>
      <c r="F670" s="2023"/>
      <c r="G670" s="2355"/>
      <c r="H670" s="2023"/>
      <c r="I670" s="2023"/>
      <c r="J670" s="2023"/>
      <c r="K670" s="2347"/>
      <c r="L670" s="2349"/>
      <c r="M670" s="2374"/>
      <c r="N670" s="2375"/>
      <c r="O670" s="2375"/>
      <c r="P670" s="2354"/>
      <c r="Q670" s="1055"/>
      <c r="R670" s="2023"/>
      <c r="S670" s="2023"/>
      <c r="T670" s="2355"/>
      <c r="U670" s="1146" t="s">
        <v>3972</v>
      </c>
      <c r="V670" s="1137">
        <v>41863</v>
      </c>
      <c r="W670" s="1064">
        <v>11382</v>
      </c>
      <c r="X670" s="1055" t="s">
        <v>3922</v>
      </c>
      <c r="Y670" s="1137">
        <v>41863</v>
      </c>
      <c r="Z670" s="1137">
        <v>42042</v>
      </c>
      <c r="AA670" s="537">
        <f>AC670/L669</f>
        <v>0.25</v>
      </c>
      <c r="AB670" s="1055"/>
      <c r="AC670" s="1139">
        <v>100374.34</v>
      </c>
      <c r="AD670" s="1139"/>
      <c r="AE670" s="1155">
        <f>L669+AC670</f>
        <v>501871.69999999995</v>
      </c>
      <c r="AF670" s="525">
        <v>0</v>
      </c>
      <c r="AG670" s="525">
        <v>0</v>
      </c>
      <c r="AH670" s="1139">
        <f t="shared" si="20"/>
        <v>0</v>
      </c>
      <c r="AI670" s="1146"/>
      <c r="AJ670" s="1064"/>
      <c r="AK670" s="1055"/>
      <c r="AL670" s="1145"/>
      <c r="AM670" s="1055"/>
      <c r="AN670" s="1055"/>
      <c r="AO670" s="1064"/>
      <c r="AP670" s="1137"/>
      <c r="AQ670" s="1064"/>
      <c r="AR670" s="1137"/>
      <c r="AS670" s="1055"/>
      <c r="AT670" s="1133"/>
      <c r="AU670" s="1133"/>
      <c r="AV670" s="1133"/>
      <c r="AW670" s="1133"/>
      <c r="AX670" s="1133"/>
      <c r="AY670" s="1133"/>
      <c r="AZ670" s="1133"/>
      <c r="BA670" s="1133"/>
      <c r="BB670" s="1133"/>
      <c r="BC670" s="1133"/>
      <c r="BD670" s="1133"/>
      <c r="BE670" s="1480"/>
      <c r="BF670" s="1480"/>
      <c r="BG670" s="1480"/>
      <c r="BH670" s="1480"/>
      <c r="BI670" s="1480"/>
      <c r="BJ670" s="1480"/>
    </row>
    <row r="671" spans="1:62" s="629" customFormat="1" ht="30" customHeight="1" x14ac:dyDescent="0.2">
      <c r="A671" s="2365"/>
      <c r="B671" s="2361"/>
      <c r="C671" s="2023"/>
      <c r="D671" s="2023"/>
      <c r="E671" s="2149"/>
      <c r="F671" s="2023"/>
      <c r="G671" s="2355"/>
      <c r="H671" s="2023"/>
      <c r="I671" s="2023"/>
      <c r="J671" s="2023"/>
      <c r="K671" s="2347"/>
      <c r="L671" s="2349"/>
      <c r="M671" s="2374"/>
      <c r="N671" s="2375"/>
      <c r="O671" s="2375"/>
      <c r="P671" s="2354"/>
      <c r="Q671" s="1055"/>
      <c r="R671" s="1055"/>
      <c r="S671" s="1055"/>
      <c r="T671" s="2355"/>
      <c r="U671" s="1146" t="s">
        <v>3989</v>
      </c>
      <c r="V671" s="1137">
        <v>41967</v>
      </c>
      <c r="W671" s="1064">
        <v>11489</v>
      </c>
      <c r="X671" s="1055" t="s">
        <v>4036</v>
      </c>
      <c r="Y671" s="1137">
        <v>41677</v>
      </c>
      <c r="Z671" s="1137">
        <v>42042</v>
      </c>
      <c r="AA671" s="1138"/>
      <c r="AB671" s="1138">
        <f>AD671/AE670</f>
        <v>2.7443069613209913E-3</v>
      </c>
      <c r="AC671" s="1139"/>
      <c r="AD671" s="1139">
        <v>1377.29</v>
      </c>
      <c r="AE671" s="1155">
        <f>AE670-AD671</f>
        <v>500494.41</v>
      </c>
      <c r="AF671" s="525">
        <v>0</v>
      </c>
      <c r="AG671" s="525">
        <v>0</v>
      </c>
      <c r="AH671" s="1139">
        <f t="shared" si="20"/>
        <v>0</v>
      </c>
      <c r="AI671" s="1146"/>
      <c r="AJ671" s="1064"/>
      <c r="AK671" s="1055"/>
      <c r="AL671" s="1145"/>
      <c r="AM671" s="1055"/>
      <c r="AN671" s="1055"/>
      <c r="AO671" s="1064"/>
      <c r="AP671" s="1137"/>
      <c r="AQ671" s="1064"/>
      <c r="AR671" s="1137"/>
      <c r="AS671" s="1055"/>
      <c r="AT671" s="1133"/>
      <c r="AU671" s="1133"/>
      <c r="AV671" s="1133"/>
      <c r="AW671" s="1133"/>
      <c r="AX671" s="1133"/>
      <c r="AY671" s="1133"/>
      <c r="AZ671" s="1133"/>
      <c r="BA671" s="1133"/>
      <c r="BB671" s="1133"/>
      <c r="BC671" s="1133"/>
      <c r="BD671" s="1133"/>
      <c r="BE671" s="1480"/>
      <c r="BF671" s="1480"/>
      <c r="BG671" s="1480"/>
      <c r="BH671" s="1480"/>
      <c r="BI671" s="1480"/>
      <c r="BJ671" s="1480"/>
    </row>
    <row r="672" spans="1:62" s="629" customFormat="1" ht="80.25" customHeight="1" x14ac:dyDescent="0.2">
      <c r="A672" s="2365">
        <v>286</v>
      </c>
      <c r="B672" s="2361" t="s">
        <v>1346</v>
      </c>
      <c r="C672" s="2023" t="s">
        <v>724</v>
      </c>
      <c r="D672" s="2023" t="s">
        <v>4839</v>
      </c>
      <c r="E672" s="2023" t="s">
        <v>584</v>
      </c>
      <c r="F672" s="2023" t="s">
        <v>4843</v>
      </c>
      <c r="G672" s="2355">
        <v>11243</v>
      </c>
      <c r="H672" s="2023" t="s">
        <v>4844</v>
      </c>
      <c r="I672" s="2023" t="s">
        <v>4845</v>
      </c>
      <c r="J672" s="2023" t="s">
        <v>4337</v>
      </c>
      <c r="K672" s="2347">
        <v>41802</v>
      </c>
      <c r="L672" s="2372">
        <v>58780.2</v>
      </c>
      <c r="M672" s="2006">
        <v>11341</v>
      </c>
      <c r="N672" s="2352">
        <v>41802</v>
      </c>
      <c r="O672" s="2352">
        <v>41863</v>
      </c>
      <c r="P672" s="1132" t="s">
        <v>4846</v>
      </c>
      <c r="Q672" s="1055"/>
      <c r="R672" s="1055"/>
      <c r="S672" s="1055"/>
      <c r="T672" s="2023" t="s">
        <v>208</v>
      </c>
      <c r="U672" s="1146"/>
      <c r="V672" s="1055"/>
      <c r="W672" s="1064"/>
      <c r="X672" s="1146"/>
      <c r="Y672" s="1137"/>
      <c r="Z672" s="1137"/>
      <c r="AA672" s="1138"/>
      <c r="AB672" s="1055"/>
      <c r="AC672" s="1139"/>
      <c r="AD672" s="1139"/>
      <c r="AE672" s="2345">
        <f>L672-AD672+AC672</f>
        <v>58780.2</v>
      </c>
      <c r="AF672" s="525">
        <v>0</v>
      </c>
      <c r="AG672" s="1135">
        <v>20437.7</v>
      </c>
      <c r="AH672" s="1139">
        <f t="shared" si="20"/>
        <v>20437.7</v>
      </c>
      <c r="AI672" s="1055"/>
      <c r="AJ672" s="1064"/>
      <c r="AK672" s="1055"/>
      <c r="AL672" s="1133"/>
      <c r="AM672" s="1055"/>
      <c r="AN672" s="1055"/>
      <c r="AO672" s="1064"/>
      <c r="AP672" s="1137"/>
      <c r="AQ672" s="1064"/>
      <c r="AR672" s="1137"/>
      <c r="AS672" s="1055"/>
      <c r="AT672" s="1133"/>
      <c r="AU672" s="1133"/>
      <c r="AV672" s="1133"/>
      <c r="AW672" s="1133"/>
      <c r="AX672" s="1133"/>
      <c r="AY672" s="1133"/>
      <c r="AZ672" s="1133"/>
      <c r="BA672" s="1133"/>
      <c r="BB672" s="1133"/>
      <c r="BC672" s="1133"/>
      <c r="BD672" s="1133"/>
      <c r="BE672" s="1480"/>
      <c r="BF672" s="1480"/>
      <c r="BG672" s="1480"/>
      <c r="BH672" s="1480"/>
      <c r="BI672" s="1480"/>
      <c r="BJ672" s="1480"/>
    </row>
    <row r="673" spans="1:62" s="629" customFormat="1" ht="36.75" customHeight="1" x14ac:dyDescent="0.2">
      <c r="A673" s="2365"/>
      <c r="B673" s="2361"/>
      <c r="C673" s="2023"/>
      <c r="D673" s="2023"/>
      <c r="E673" s="2023"/>
      <c r="F673" s="2023"/>
      <c r="G673" s="2355"/>
      <c r="H673" s="2023"/>
      <c r="I673" s="2023"/>
      <c r="J673" s="2023"/>
      <c r="K673" s="2347"/>
      <c r="L673" s="2372"/>
      <c r="M673" s="2006"/>
      <c r="N673" s="2352"/>
      <c r="O673" s="2352"/>
      <c r="P673" s="1132" t="s">
        <v>3905</v>
      </c>
      <c r="Q673" s="1055"/>
      <c r="R673" s="1055"/>
      <c r="S673" s="1055"/>
      <c r="T673" s="2023"/>
      <c r="U673" s="1146"/>
      <c r="V673" s="1055"/>
      <c r="W673" s="1064"/>
      <c r="X673" s="1146"/>
      <c r="Y673" s="1137"/>
      <c r="Z673" s="1137"/>
      <c r="AA673" s="1138"/>
      <c r="AB673" s="1055"/>
      <c r="AC673" s="1139"/>
      <c r="AD673" s="1139"/>
      <c r="AE673" s="2346"/>
      <c r="AF673" s="525">
        <v>0</v>
      </c>
      <c r="AG673" s="525">
        <v>0</v>
      </c>
      <c r="AH673" s="1139">
        <f t="shared" si="20"/>
        <v>0</v>
      </c>
      <c r="AI673" s="1055"/>
      <c r="AJ673" s="1064"/>
      <c r="AK673" s="1055"/>
      <c r="AL673" s="1133"/>
      <c r="AM673" s="1055"/>
      <c r="AN673" s="1055"/>
      <c r="AO673" s="1064"/>
      <c r="AP673" s="1137"/>
      <c r="AQ673" s="1064"/>
      <c r="AR673" s="1137"/>
      <c r="AS673" s="1055"/>
      <c r="AT673" s="1133"/>
      <c r="AU673" s="1133"/>
      <c r="AV673" s="1133"/>
      <c r="AW673" s="1133"/>
      <c r="AX673" s="1133"/>
      <c r="AY673" s="1133"/>
      <c r="AZ673" s="1133"/>
      <c r="BA673" s="1133"/>
      <c r="BB673" s="1133"/>
      <c r="BC673" s="1133"/>
      <c r="BD673" s="1133"/>
      <c r="BE673" s="1480"/>
      <c r="BF673" s="1480"/>
      <c r="BG673" s="1480"/>
      <c r="BH673" s="1480"/>
      <c r="BI673" s="1480"/>
      <c r="BJ673" s="1480"/>
    </row>
    <row r="674" spans="1:62" s="629" customFormat="1" ht="36.75" customHeight="1" x14ac:dyDescent="0.2">
      <c r="A674" s="2365"/>
      <c r="B674" s="2361"/>
      <c r="C674" s="2023"/>
      <c r="D674" s="2023"/>
      <c r="E674" s="2023"/>
      <c r="F674" s="2023"/>
      <c r="G674" s="2355"/>
      <c r="H674" s="2023"/>
      <c r="I674" s="2023"/>
      <c r="J674" s="2023"/>
      <c r="K674" s="2347"/>
      <c r="L674" s="2372"/>
      <c r="M674" s="2006"/>
      <c r="N674" s="2352"/>
      <c r="O674" s="2352"/>
      <c r="P674" s="1132" t="s">
        <v>4071</v>
      </c>
      <c r="Q674" s="1055"/>
      <c r="R674" s="1055"/>
      <c r="S674" s="1055"/>
      <c r="T674" s="2023"/>
      <c r="U674" s="1055"/>
      <c r="V674" s="1055"/>
      <c r="W674" s="1064"/>
      <c r="X674" s="1146"/>
      <c r="Y674" s="1137"/>
      <c r="Z674" s="1137"/>
      <c r="AA674" s="1138"/>
      <c r="AB674" s="1055"/>
      <c r="AC674" s="1139"/>
      <c r="AD674" s="1139"/>
      <c r="AE674" s="2371"/>
      <c r="AF674" s="525">
        <v>0</v>
      </c>
      <c r="AG674" s="1135">
        <v>38342.5</v>
      </c>
      <c r="AH674" s="1139">
        <f t="shared" si="20"/>
        <v>38342.5</v>
      </c>
      <c r="AI674" s="1055"/>
      <c r="AJ674" s="1064"/>
      <c r="AK674" s="1055"/>
      <c r="AL674" s="1133"/>
      <c r="AM674" s="1055"/>
      <c r="AN674" s="1055"/>
      <c r="AO674" s="1064"/>
      <c r="AP674" s="1137"/>
      <c r="AQ674" s="1064"/>
      <c r="AR674" s="1137"/>
      <c r="AS674" s="1055"/>
      <c r="AT674" s="1133"/>
      <c r="AU674" s="1133"/>
      <c r="AV674" s="1133"/>
      <c r="AW674" s="1133"/>
      <c r="AX674" s="1133"/>
      <c r="AY674" s="1133"/>
      <c r="AZ674" s="1133"/>
      <c r="BA674" s="1133"/>
      <c r="BB674" s="1133"/>
      <c r="BC674" s="1133"/>
      <c r="BD674" s="1133"/>
      <c r="BE674" s="1480"/>
      <c r="BF674" s="1480"/>
      <c r="BG674" s="1480"/>
      <c r="BH674" s="1480"/>
      <c r="BI674" s="1480"/>
      <c r="BJ674" s="1480"/>
    </row>
    <row r="675" spans="1:62" s="629" customFormat="1" ht="45" customHeight="1" x14ac:dyDescent="0.2">
      <c r="A675" s="2365">
        <v>287</v>
      </c>
      <c r="B675" s="2366" t="s">
        <v>670</v>
      </c>
      <c r="C675" s="2367" t="s">
        <v>671</v>
      </c>
      <c r="D675" s="2023" t="s">
        <v>4839</v>
      </c>
      <c r="E675" s="2149" t="s">
        <v>584</v>
      </c>
      <c r="F675" s="2023" t="s">
        <v>4226</v>
      </c>
      <c r="G675" s="2373">
        <v>11161</v>
      </c>
      <c r="H675" s="2023" t="s">
        <v>4847</v>
      </c>
      <c r="I675" s="2023" t="s">
        <v>2113</v>
      </c>
      <c r="J675" s="2023" t="s">
        <v>407</v>
      </c>
      <c r="K675" s="2347">
        <v>41852</v>
      </c>
      <c r="L675" s="2372">
        <v>18600</v>
      </c>
      <c r="M675" s="2006">
        <v>11373</v>
      </c>
      <c r="N675" s="2352">
        <v>41852</v>
      </c>
      <c r="O675" s="2352">
        <v>41897</v>
      </c>
      <c r="P675" s="1132" t="s">
        <v>4846</v>
      </c>
      <c r="Q675" s="1055"/>
      <c r="R675" s="1055"/>
      <c r="S675" s="1055"/>
      <c r="T675" s="2028" t="s">
        <v>408</v>
      </c>
      <c r="U675" s="1055"/>
      <c r="V675" s="1055"/>
      <c r="W675" s="1064"/>
      <c r="X675" s="1146"/>
      <c r="Y675" s="1137"/>
      <c r="Z675" s="1137"/>
      <c r="AA675" s="1138"/>
      <c r="AB675" s="1055"/>
      <c r="AC675" s="1139"/>
      <c r="AD675" s="1139"/>
      <c r="AE675" s="2345">
        <f>L675</f>
        <v>18600</v>
      </c>
      <c r="AF675" s="525">
        <v>0</v>
      </c>
      <c r="AG675" s="1135">
        <v>17360</v>
      </c>
      <c r="AH675" s="1139">
        <f t="shared" si="20"/>
        <v>17360</v>
      </c>
      <c r="AI675" s="1055" t="s">
        <v>675</v>
      </c>
      <c r="AJ675" s="1064">
        <v>11308</v>
      </c>
      <c r="AK675" s="1055" t="s">
        <v>4848</v>
      </c>
      <c r="AL675" s="1145">
        <v>11364</v>
      </c>
      <c r="AM675" s="1055"/>
      <c r="AN675" s="1055"/>
      <c r="AO675" s="1064"/>
      <c r="AP675" s="1137"/>
      <c r="AQ675" s="1064"/>
      <c r="AR675" s="1137"/>
      <c r="AS675" s="1055"/>
      <c r="AT675" s="1133"/>
      <c r="AU675" s="1133"/>
      <c r="AV675" s="1133"/>
      <c r="AW675" s="1133"/>
      <c r="AX675" s="1133"/>
      <c r="AY675" s="1133"/>
      <c r="AZ675" s="1133"/>
      <c r="BA675" s="1133"/>
      <c r="BB675" s="1133"/>
      <c r="BC675" s="1133"/>
      <c r="BD675" s="1133"/>
      <c r="BE675" s="1480"/>
      <c r="BF675" s="1480"/>
      <c r="BG675" s="1480"/>
      <c r="BH675" s="1480"/>
      <c r="BI675" s="1480"/>
      <c r="BJ675" s="1480"/>
    </row>
    <row r="676" spans="1:62" s="629" customFormat="1" ht="36.75" customHeight="1" x14ac:dyDescent="0.2">
      <c r="A676" s="2365"/>
      <c r="B676" s="2366"/>
      <c r="C676" s="2367"/>
      <c r="D676" s="2023"/>
      <c r="E676" s="2149"/>
      <c r="F676" s="2023"/>
      <c r="G676" s="2373"/>
      <c r="H676" s="2023"/>
      <c r="I676" s="2023"/>
      <c r="J676" s="2023"/>
      <c r="K676" s="2347"/>
      <c r="L676" s="2372"/>
      <c r="M676" s="2006"/>
      <c r="N676" s="2352"/>
      <c r="O676" s="2352"/>
      <c r="P676" s="1132" t="s">
        <v>3905</v>
      </c>
      <c r="Q676" s="1055"/>
      <c r="R676" s="1055"/>
      <c r="S676" s="1055"/>
      <c r="T676" s="2029"/>
      <c r="U676" s="1055"/>
      <c r="V676" s="1055"/>
      <c r="W676" s="1064"/>
      <c r="X676" s="1146"/>
      <c r="Y676" s="1137"/>
      <c r="Z676" s="1137"/>
      <c r="AA676" s="1138"/>
      <c r="AB676" s="1055"/>
      <c r="AC676" s="1139"/>
      <c r="AD676" s="1139"/>
      <c r="AE676" s="2346"/>
      <c r="AF676" s="525">
        <v>0</v>
      </c>
      <c r="AG676" s="525">
        <v>0</v>
      </c>
      <c r="AH676" s="1139">
        <f t="shared" si="20"/>
        <v>0</v>
      </c>
      <c r="AI676" s="1055"/>
      <c r="AJ676" s="1064"/>
      <c r="AK676" s="1055"/>
      <c r="AL676" s="1133"/>
      <c r="AM676" s="1055"/>
      <c r="AN676" s="1055"/>
      <c r="AO676" s="1064"/>
      <c r="AP676" s="1137"/>
      <c r="AQ676" s="1064"/>
      <c r="AR676" s="1137"/>
      <c r="AS676" s="1055"/>
      <c r="AT676" s="1133"/>
      <c r="AU676" s="1133"/>
      <c r="AV676" s="1133"/>
      <c r="AW676" s="1133"/>
      <c r="AX676" s="1133"/>
      <c r="AY676" s="1133"/>
      <c r="AZ676" s="1133"/>
      <c r="BA676" s="1133"/>
      <c r="BB676" s="1133"/>
      <c r="BC676" s="1133"/>
      <c r="BD676" s="1133"/>
      <c r="BE676" s="1480"/>
      <c r="BF676" s="1480"/>
      <c r="BG676" s="1480"/>
      <c r="BH676" s="1480"/>
      <c r="BI676" s="1480"/>
      <c r="BJ676" s="1480"/>
    </row>
    <row r="677" spans="1:62" s="629" customFormat="1" ht="36.75" customHeight="1" x14ac:dyDescent="0.2">
      <c r="A677" s="2365"/>
      <c r="B677" s="2366"/>
      <c r="C677" s="2367"/>
      <c r="D677" s="2023"/>
      <c r="E677" s="2149"/>
      <c r="F677" s="2023"/>
      <c r="G677" s="2373"/>
      <c r="H677" s="2023"/>
      <c r="I677" s="2023"/>
      <c r="J677" s="2023"/>
      <c r="K677" s="2347"/>
      <c r="L677" s="2372"/>
      <c r="M677" s="2006"/>
      <c r="N677" s="2352"/>
      <c r="O677" s="2352"/>
      <c r="P677" s="1132" t="s">
        <v>4849</v>
      </c>
      <c r="Q677" s="1055"/>
      <c r="R677" s="1055"/>
      <c r="S677" s="1055"/>
      <c r="T677" s="2030"/>
      <c r="U677" s="1055"/>
      <c r="V677" s="1055"/>
      <c r="W677" s="1064"/>
      <c r="X677" s="1146"/>
      <c r="Y677" s="1137"/>
      <c r="Z677" s="1137"/>
      <c r="AA677" s="1138"/>
      <c r="AB677" s="1055"/>
      <c r="AC677" s="1139"/>
      <c r="AD677" s="1139"/>
      <c r="AE677" s="2371"/>
      <c r="AF677" s="525">
        <v>0</v>
      </c>
      <c r="AG677" s="1148">
        <v>9920</v>
      </c>
      <c r="AH677" s="1139">
        <f t="shared" si="20"/>
        <v>9920</v>
      </c>
      <c r="AI677" s="1055"/>
      <c r="AJ677" s="1064"/>
      <c r="AK677" s="1055"/>
      <c r="AL677" s="1145"/>
      <c r="AM677" s="1055"/>
      <c r="AN677" s="1055"/>
      <c r="AO677" s="1064"/>
      <c r="AP677" s="1137"/>
      <c r="AQ677" s="1064"/>
      <c r="AR677" s="1137"/>
      <c r="AS677" s="1055"/>
      <c r="AT677" s="1133"/>
      <c r="AU677" s="1133"/>
      <c r="AV677" s="1133"/>
      <c r="AW677" s="1133"/>
      <c r="AX677" s="1133"/>
      <c r="AY677" s="1133"/>
      <c r="AZ677" s="1133"/>
      <c r="BA677" s="1133"/>
      <c r="BB677" s="1133"/>
      <c r="BC677" s="1133"/>
      <c r="BD677" s="1133"/>
      <c r="BE677" s="1480"/>
      <c r="BF677" s="1480"/>
      <c r="BG677" s="1480"/>
      <c r="BH677" s="1480"/>
      <c r="BI677" s="1480"/>
      <c r="BJ677" s="1480"/>
    </row>
    <row r="678" spans="1:62" s="629" customFormat="1" ht="45" customHeight="1" x14ac:dyDescent="0.2">
      <c r="A678" s="1514">
        <v>288</v>
      </c>
      <c r="B678" s="1217" t="s">
        <v>4850</v>
      </c>
      <c r="C678" s="1146" t="s">
        <v>686</v>
      </c>
      <c r="D678" s="1055" t="s">
        <v>4851</v>
      </c>
      <c r="E678" s="1090" t="s">
        <v>584</v>
      </c>
      <c r="F678" s="1055" t="s">
        <v>4213</v>
      </c>
      <c r="G678" s="1145">
        <v>11180</v>
      </c>
      <c r="H678" s="1055" t="s">
        <v>4852</v>
      </c>
      <c r="I678" s="1055" t="s">
        <v>4853</v>
      </c>
      <c r="J678" s="1055" t="s">
        <v>1154</v>
      </c>
      <c r="K678" s="1137">
        <v>41852</v>
      </c>
      <c r="L678" s="1148">
        <v>26000</v>
      </c>
      <c r="M678" s="1064">
        <v>11373</v>
      </c>
      <c r="N678" s="1134">
        <v>41852</v>
      </c>
      <c r="O678" s="1134">
        <v>41897</v>
      </c>
      <c r="P678" s="1132" t="s">
        <v>3905</v>
      </c>
      <c r="Q678" s="1055"/>
      <c r="R678" s="1055"/>
      <c r="S678" s="1055"/>
      <c r="T678" s="1055" t="s">
        <v>316</v>
      </c>
      <c r="U678" s="1055"/>
      <c r="V678" s="1055"/>
      <c r="W678" s="1064"/>
      <c r="X678" s="1146"/>
      <c r="Y678" s="1137"/>
      <c r="Z678" s="1137"/>
      <c r="AA678" s="1138"/>
      <c r="AB678" s="1055"/>
      <c r="AC678" s="1139"/>
      <c r="AD678" s="1139"/>
      <c r="AE678" s="1155">
        <f>L678-AD678+AC678</f>
        <v>26000</v>
      </c>
      <c r="AF678" s="525">
        <v>0</v>
      </c>
      <c r="AG678" s="1135">
        <v>26000</v>
      </c>
      <c r="AH678" s="1139">
        <f t="shared" si="20"/>
        <v>26000</v>
      </c>
      <c r="AI678" s="1055" t="s">
        <v>3029</v>
      </c>
      <c r="AJ678" s="1064"/>
      <c r="AK678" s="1055" t="s">
        <v>4854</v>
      </c>
      <c r="AL678" s="1145">
        <v>11167</v>
      </c>
      <c r="AM678" s="1055"/>
      <c r="AN678" s="1055"/>
      <c r="AO678" s="1064"/>
      <c r="AP678" s="1137"/>
      <c r="AQ678" s="1064"/>
      <c r="AR678" s="1137"/>
      <c r="AS678" s="1055"/>
      <c r="AT678" s="1133"/>
      <c r="AU678" s="1133"/>
      <c r="AV678" s="1133"/>
      <c r="AW678" s="1133"/>
      <c r="AX678" s="1133"/>
      <c r="AY678" s="1133"/>
      <c r="AZ678" s="1133"/>
      <c r="BA678" s="1133"/>
      <c r="BB678" s="1133"/>
      <c r="BC678" s="1133"/>
      <c r="BD678" s="1133"/>
      <c r="BE678" s="1480"/>
      <c r="BF678" s="1480"/>
      <c r="BG678" s="1480"/>
      <c r="BH678" s="1480"/>
      <c r="BI678" s="1480"/>
      <c r="BJ678" s="1480"/>
    </row>
    <row r="679" spans="1:62" s="629" customFormat="1" ht="27" customHeight="1" x14ac:dyDescent="0.2">
      <c r="A679" s="2365">
        <v>289</v>
      </c>
      <c r="B679" s="2366">
        <v>1474</v>
      </c>
      <c r="C679" s="2023"/>
      <c r="D679" s="2023" t="s">
        <v>2222</v>
      </c>
      <c r="E679" s="2023" t="s">
        <v>584</v>
      </c>
      <c r="F679" s="2023" t="s">
        <v>4855</v>
      </c>
      <c r="G679" s="2006">
        <v>9186</v>
      </c>
      <c r="H679" s="2367" t="s">
        <v>4856</v>
      </c>
      <c r="I679" s="2023" t="s">
        <v>4857</v>
      </c>
      <c r="J679" s="2023" t="s">
        <v>4858</v>
      </c>
      <c r="K679" s="2347">
        <v>38688</v>
      </c>
      <c r="L679" s="2369">
        <v>151200</v>
      </c>
      <c r="M679" s="2023"/>
      <c r="N679" s="2347">
        <v>38688</v>
      </c>
      <c r="O679" s="2347">
        <v>39418</v>
      </c>
      <c r="P679" s="2367" t="s">
        <v>3905</v>
      </c>
      <c r="Q679" s="2023"/>
      <c r="R679" s="2023"/>
      <c r="S679" s="2023"/>
      <c r="T679" s="2023" t="s">
        <v>158</v>
      </c>
      <c r="U679" s="1055"/>
      <c r="V679" s="1055"/>
      <c r="W679" s="1064"/>
      <c r="X679" s="1146"/>
      <c r="Y679" s="1055"/>
      <c r="Z679" s="1055"/>
      <c r="AA679" s="1138"/>
      <c r="AB679" s="1055"/>
      <c r="AC679" s="1139"/>
      <c r="AD679" s="1139"/>
      <c r="AE679" s="1155"/>
      <c r="AF679" s="525">
        <v>760047.9</v>
      </c>
      <c r="AG679" s="1139">
        <f>71586.13+10226.59</f>
        <v>81812.72</v>
      </c>
      <c r="AH679" s="1139">
        <f t="shared" si="20"/>
        <v>841860.62</v>
      </c>
      <c r="AI679" s="1055"/>
      <c r="AJ679" s="1064"/>
      <c r="AK679" s="1055"/>
      <c r="AL679" s="1133"/>
      <c r="AM679" s="2023" t="s">
        <v>1311</v>
      </c>
      <c r="AN679" s="2023" t="s">
        <v>4859</v>
      </c>
      <c r="AO679" s="2006">
        <v>9186</v>
      </c>
      <c r="AP679" s="1064"/>
      <c r="AQ679" s="1064"/>
      <c r="AR679" s="1064"/>
      <c r="AS679" s="1055"/>
      <c r="AT679" s="1133"/>
      <c r="AU679" s="1133"/>
      <c r="AV679" s="1133"/>
      <c r="AW679" s="1133"/>
      <c r="AX679" s="1133"/>
      <c r="AY679" s="1133"/>
      <c r="AZ679" s="1133"/>
      <c r="BA679" s="1133"/>
      <c r="BB679" s="1133"/>
      <c r="BC679" s="1133"/>
      <c r="BD679" s="1133"/>
      <c r="BE679" s="1480"/>
      <c r="BF679" s="1480"/>
      <c r="BG679" s="1480"/>
      <c r="BH679" s="1480"/>
      <c r="BI679" s="1480"/>
      <c r="BJ679" s="1480"/>
    </row>
    <row r="680" spans="1:62" s="629" customFormat="1" ht="24" customHeight="1" x14ac:dyDescent="0.2">
      <c r="A680" s="2365"/>
      <c r="B680" s="2366"/>
      <c r="C680" s="2023"/>
      <c r="D680" s="2023"/>
      <c r="E680" s="2023"/>
      <c r="F680" s="2023"/>
      <c r="G680" s="2023"/>
      <c r="H680" s="2367"/>
      <c r="I680" s="2023"/>
      <c r="J680" s="2023"/>
      <c r="K680" s="2023"/>
      <c r="L680" s="2369"/>
      <c r="M680" s="2023"/>
      <c r="N680" s="2347"/>
      <c r="O680" s="2347"/>
      <c r="P680" s="2367"/>
      <c r="Q680" s="2023"/>
      <c r="R680" s="2023"/>
      <c r="S680" s="2023"/>
      <c r="T680" s="2023"/>
      <c r="U680" s="1146" t="s">
        <v>3906</v>
      </c>
      <c r="V680" s="1137">
        <v>39052</v>
      </c>
      <c r="W680" s="1064">
        <v>9579</v>
      </c>
      <c r="X680" s="1146" t="s">
        <v>4732</v>
      </c>
      <c r="Y680" s="1137">
        <v>39053</v>
      </c>
      <c r="Z680" s="1137">
        <v>39418</v>
      </c>
      <c r="AA680" s="1138">
        <f>220.5/6300</f>
        <v>3.5000000000000003E-2</v>
      </c>
      <c r="AB680" s="1055"/>
      <c r="AC680" s="1139">
        <f>220.5*12</f>
        <v>2646</v>
      </c>
      <c r="AD680" s="1139"/>
      <c r="AE680" s="1155">
        <f>AC680+L679</f>
        <v>153846</v>
      </c>
      <c r="AF680" s="525">
        <v>0</v>
      </c>
      <c r="AG680" s="525">
        <v>0</v>
      </c>
      <c r="AH680" s="1139">
        <f t="shared" si="20"/>
        <v>0</v>
      </c>
      <c r="AI680" s="1055"/>
      <c r="AJ680" s="1064"/>
      <c r="AK680" s="1055"/>
      <c r="AL680" s="1133"/>
      <c r="AM680" s="2023"/>
      <c r="AN680" s="2023"/>
      <c r="AO680" s="2006"/>
      <c r="AP680" s="1064"/>
      <c r="AQ680" s="1064"/>
      <c r="AR680" s="1064"/>
      <c r="AS680" s="1055"/>
      <c r="AT680" s="1133"/>
      <c r="AU680" s="1133"/>
      <c r="AV680" s="1133"/>
      <c r="AW680" s="1133"/>
      <c r="AX680" s="1133"/>
      <c r="AY680" s="1133"/>
      <c r="AZ680" s="1133"/>
      <c r="BA680" s="1133"/>
      <c r="BB680" s="1133"/>
      <c r="BC680" s="1133"/>
      <c r="BD680" s="1133"/>
      <c r="BE680" s="1480"/>
      <c r="BF680" s="1480"/>
      <c r="BG680" s="1480"/>
      <c r="BH680" s="1480"/>
      <c r="BI680" s="1480"/>
      <c r="BJ680" s="1480"/>
    </row>
    <row r="681" spans="1:62" s="629" customFormat="1" ht="25.5" x14ac:dyDescent="0.2">
      <c r="A681" s="2365"/>
      <c r="B681" s="2366"/>
      <c r="C681" s="2023"/>
      <c r="D681" s="2023"/>
      <c r="E681" s="2023"/>
      <c r="F681" s="2023"/>
      <c r="G681" s="2023"/>
      <c r="H681" s="2367"/>
      <c r="I681" s="2023"/>
      <c r="J681" s="2023"/>
      <c r="K681" s="2023"/>
      <c r="L681" s="2369"/>
      <c r="M681" s="2023"/>
      <c r="N681" s="2347"/>
      <c r="O681" s="2347"/>
      <c r="P681" s="2367"/>
      <c r="Q681" s="2023"/>
      <c r="R681" s="2023"/>
      <c r="S681" s="2023"/>
      <c r="T681" s="2023"/>
      <c r="U681" s="1146" t="s">
        <v>3891</v>
      </c>
      <c r="V681" s="1137">
        <v>39417</v>
      </c>
      <c r="W681" s="1064">
        <v>9702</v>
      </c>
      <c r="X681" s="1146" t="s">
        <v>4860</v>
      </c>
      <c r="Y681" s="1137">
        <v>39418</v>
      </c>
      <c r="Z681" s="1137">
        <v>39813</v>
      </c>
      <c r="AA681" s="1138">
        <f>405.68/6520.5</f>
        <v>6.2216087723334104E-2</v>
      </c>
      <c r="AB681" s="1055"/>
      <c r="AC681" s="1139">
        <f>405.68*13</f>
        <v>5273.84</v>
      </c>
      <c r="AD681" s="1139"/>
      <c r="AE681" s="1155">
        <f>AE680+AC681+(6520.5*13)</f>
        <v>243886.34</v>
      </c>
      <c r="AF681" s="525">
        <v>0</v>
      </c>
      <c r="AG681" s="525">
        <v>0</v>
      </c>
      <c r="AH681" s="1139">
        <f t="shared" si="20"/>
        <v>0</v>
      </c>
      <c r="AI681" s="1055"/>
      <c r="AJ681" s="1064"/>
      <c r="AK681" s="1055"/>
      <c r="AL681" s="1133"/>
      <c r="AM681" s="2023"/>
      <c r="AN681" s="2023"/>
      <c r="AO681" s="2006"/>
      <c r="AP681" s="1064"/>
      <c r="AQ681" s="1064"/>
      <c r="AR681" s="1064"/>
      <c r="AS681" s="1055"/>
      <c r="AT681" s="1133"/>
      <c r="AU681" s="1133"/>
      <c r="AV681" s="1133"/>
      <c r="AW681" s="1133"/>
      <c r="AX681" s="1133"/>
      <c r="AY681" s="1133"/>
      <c r="AZ681" s="1133"/>
      <c r="BA681" s="1133"/>
      <c r="BB681" s="1133"/>
      <c r="BC681" s="1133"/>
      <c r="BD681" s="1133"/>
      <c r="BE681" s="1480"/>
      <c r="BF681" s="1480"/>
      <c r="BG681" s="1480"/>
      <c r="BH681" s="1480"/>
      <c r="BI681" s="1480"/>
      <c r="BJ681" s="1480"/>
    </row>
    <row r="682" spans="1:62" s="629" customFormat="1" ht="25.5" x14ac:dyDescent="0.2">
      <c r="A682" s="2365"/>
      <c r="B682" s="2366"/>
      <c r="C682" s="2023"/>
      <c r="D682" s="2023"/>
      <c r="E682" s="2023"/>
      <c r="F682" s="2023"/>
      <c r="G682" s="2023"/>
      <c r="H682" s="2367"/>
      <c r="I682" s="2023"/>
      <c r="J682" s="2023"/>
      <c r="K682" s="2023"/>
      <c r="L682" s="2369"/>
      <c r="M682" s="2023"/>
      <c r="N682" s="2347"/>
      <c r="O682" s="2347"/>
      <c r="P682" s="2367"/>
      <c r="Q682" s="2023"/>
      <c r="R682" s="2023"/>
      <c r="S682" s="2023"/>
      <c r="T682" s="2023"/>
      <c r="U682" s="1146" t="s">
        <v>3908</v>
      </c>
      <c r="V682" s="1137">
        <v>39799</v>
      </c>
      <c r="W682" s="1064">
        <v>9960</v>
      </c>
      <c r="X682" s="1146" t="s">
        <v>4861</v>
      </c>
      <c r="Y682" s="1137">
        <v>39814</v>
      </c>
      <c r="Z682" s="1137">
        <v>40178</v>
      </c>
      <c r="AA682" s="1138">
        <f>823.07/6926.18</f>
        <v>0.11883462456938745</v>
      </c>
      <c r="AB682" s="1055"/>
      <c r="AC682" s="1139">
        <f>823.07*13</f>
        <v>10699.91</v>
      </c>
      <c r="AD682" s="1139"/>
      <c r="AE682" s="1155">
        <f>AE681+AC682+(6926.8*12)</f>
        <v>337707.85</v>
      </c>
      <c r="AF682" s="525">
        <v>0</v>
      </c>
      <c r="AG682" s="525">
        <v>0</v>
      </c>
      <c r="AH682" s="1139">
        <f t="shared" si="20"/>
        <v>0</v>
      </c>
      <c r="AI682" s="1055"/>
      <c r="AJ682" s="1064"/>
      <c r="AK682" s="1055"/>
      <c r="AL682" s="1133"/>
      <c r="AM682" s="2023"/>
      <c r="AN682" s="2023"/>
      <c r="AO682" s="2006"/>
      <c r="AP682" s="1064"/>
      <c r="AQ682" s="1064"/>
      <c r="AR682" s="1064"/>
      <c r="AS682" s="1055"/>
      <c r="AT682" s="1133"/>
      <c r="AU682" s="1133"/>
      <c r="AV682" s="1133"/>
      <c r="AW682" s="1133"/>
      <c r="AX682" s="1133"/>
      <c r="AY682" s="1133"/>
      <c r="AZ682" s="1133"/>
      <c r="BA682" s="1133"/>
      <c r="BB682" s="1133"/>
      <c r="BC682" s="1133"/>
      <c r="BD682" s="1133"/>
      <c r="BE682" s="1480"/>
      <c r="BF682" s="1480"/>
      <c r="BG682" s="1480"/>
      <c r="BH682" s="1480"/>
      <c r="BI682" s="1480"/>
      <c r="BJ682" s="1480"/>
    </row>
    <row r="683" spans="1:62" s="629" customFormat="1" ht="12.75" x14ac:dyDescent="0.2">
      <c r="A683" s="2365"/>
      <c r="B683" s="2366"/>
      <c r="C683" s="2023"/>
      <c r="D683" s="2023"/>
      <c r="E683" s="2023"/>
      <c r="F683" s="2023"/>
      <c r="G683" s="2023"/>
      <c r="H683" s="2367"/>
      <c r="I683" s="2023"/>
      <c r="J683" s="2023"/>
      <c r="K683" s="2023"/>
      <c r="L683" s="2369"/>
      <c r="M683" s="2023"/>
      <c r="N683" s="2347"/>
      <c r="O683" s="2347"/>
      <c r="P683" s="2367"/>
      <c r="Q683" s="2023"/>
      <c r="R683" s="2023"/>
      <c r="S683" s="2023"/>
      <c r="T683" s="2023"/>
      <c r="U683" s="1146" t="s">
        <v>3893</v>
      </c>
      <c r="V683" s="1137">
        <v>40161</v>
      </c>
      <c r="W683" s="1064">
        <v>10209</v>
      </c>
      <c r="X683" s="1146" t="s">
        <v>4862</v>
      </c>
      <c r="Y683" s="1137">
        <v>40179</v>
      </c>
      <c r="Z683" s="1137">
        <v>40512</v>
      </c>
      <c r="AA683" s="1138"/>
      <c r="AB683" s="1055"/>
      <c r="AC683" s="1139"/>
      <c r="AD683" s="1139"/>
      <c r="AE683" s="1155">
        <f>(7749.25*11)+AE682</f>
        <v>422949.6</v>
      </c>
      <c r="AF683" s="525">
        <v>0</v>
      </c>
      <c r="AG683" s="525">
        <v>0</v>
      </c>
      <c r="AH683" s="1139">
        <f t="shared" si="20"/>
        <v>0</v>
      </c>
      <c r="AI683" s="1055"/>
      <c r="AJ683" s="1064"/>
      <c r="AK683" s="1055"/>
      <c r="AL683" s="1133"/>
      <c r="AM683" s="2023"/>
      <c r="AN683" s="2023"/>
      <c r="AO683" s="2006"/>
      <c r="AP683" s="1064"/>
      <c r="AQ683" s="1064"/>
      <c r="AR683" s="1064"/>
      <c r="AS683" s="1055"/>
      <c r="AT683" s="1133"/>
      <c r="AU683" s="1133"/>
      <c r="AV683" s="1133"/>
      <c r="AW683" s="1133"/>
      <c r="AX683" s="1133"/>
      <c r="AY683" s="1133"/>
      <c r="AZ683" s="1133"/>
      <c r="BA683" s="1133"/>
      <c r="BB683" s="1133"/>
      <c r="BC683" s="1133"/>
      <c r="BD683" s="1133"/>
      <c r="BE683" s="1480"/>
      <c r="BF683" s="1480"/>
      <c r="BG683" s="1480"/>
      <c r="BH683" s="1480"/>
      <c r="BI683" s="1480"/>
      <c r="BJ683" s="1480"/>
    </row>
    <row r="684" spans="1:62" s="629" customFormat="1" ht="12.75" x14ac:dyDescent="0.2">
      <c r="A684" s="2365"/>
      <c r="B684" s="2366"/>
      <c r="C684" s="2023"/>
      <c r="D684" s="2023"/>
      <c r="E684" s="2023"/>
      <c r="F684" s="2023"/>
      <c r="G684" s="2023"/>
      <c r="H684" s="2367"/>
      <c r="I684" s="2023"/>
      <c r="J684" s="2023"/>
      <c r="K684" s="2023"/>
      <c r="L684" s="2369"/>
      <c r="M684" s="2023"/>
      <c r="N684" s="2347"/>
      <c r="O684" s="2347"/>
      <c r="P684" s="2367"/>
      <c r="Q684" s="2023"/>
      <c r="R684" s="2023"/>
      <c r="S684" s="2023"/>
      <c r="T684" s="2023"/>
      <c r="U684" s="1146" t="s">
        <v>3909</v>
      </c>
      <c r="V684" s="1137">
        <v>40500</v>
      </c>
      <c r="W684" s="1064">
        <v>10439</v>
      </c>
      <c r="X684" s="1146" t="s">
        <v>3907</v>
      </c>
      <c r="Y684" s="1137">
        <v>40513</v>
      </c>
      <c r="Z684" s="1137">
        <v>40878</v>
      </c>
      <c r="AA684" s="1138"/>
      <c r="AB684" s="1055"/>
      <c r="AC684" s="1139"/>
      <c r="AD684" s="1139"/>
      <c r="AE684" s="1155">
        <f>(7749.25*12)+AE683</f>
        <v>515940.6</v>
      </c>
      <c r="AF684" s="525">
        <v>0</v>
      </c>
      <c r="AG684" s="525">
        <v>0</v>
      </c>
      <c r="AH684" s="1139">
        <f t="shared" si="20"/>
        <v>0</v>
      </c>
      <c r="AI684" s="1055"/>
      <c r="AJ684" s="1064"/>
      <c r="AK684" s="1055"/>
      <c r="AL684" s="1133"/>
      <c r="AM684" s="2023"/>
      <c r="AN684" s="2023"/>
      <c r="AO684" s="2006"/>
      <c r="AP684" s="1064"/>
      <c r="AQ684" s="1064"/>
      <c r="AR684" s="1064"/>
      <c r="AS684" s="1055"/>
      <c r="AT684" s="1133"/>
      <c r="AU684" s="1133"/>
      <c r="AV684" s="1133"/>
      <c r="AW684" s="1133"/>
      <c r="AX684" s="1133"/>
      <c r="AY684" s="1133"/>
      <c r="AZ684" s="1133"/>
      <c r="BA684" s="1133"/>
      <c r="BB684" s="1133"/>
      <c r="BC684" s="1133"/>
      <c r="BD684" s="1133"/>
      <c r="BE684" s="1480"/>
      <c r="BF684" s="1480"/>
      <c r="BG684" s="1480"/>
      <c r="BH684" s="1480"/>
      <c r="BI684" s="1480"/>
      <c r="BJ684" s="1480"/>
    </row>
    <row r="685" spans="1:62" s="629" customFormat="1" ht="12.75" x14ac:dyDescent="0.2">
      <c r="A685" s="2365"/>
      <c r="B685" s="2366"/>
      <c r="C685" s="2023"/>
      <c r="D685" s="2023"/>
      <c r="E685" s="2023"/>
      <c r="F685" s="2023"/>
      <c r="G685" s="2023"/>
      <c r="H685" s="2367"/>
      <c r="I685" s="2023"/>
      <c r="J685" s="2023"/>
      <c r="K685" s="2023"/>
      <c r="L685" s="2369"/>
      <c r="M685" s="2023"/>
      <c r="N685" s="2347"/>
      <c r="O685" s="2347"/>
      <c r="P685" s="2367"/>
      <c r="Q685" s="2023"/>
      <c r="R685" s="2023"/>
      <c r="S685" s="2023"/>
      <c r="T685" s="2023"/>
      <c r="U685" s="1146" t="s">
        <v>4863</v>
      </c>
      <c r="V685" s="1137">
        <v>40521</v>
      </c>
      <c r="W685" s="1064"/>
      <c r="X685" s="1146" t="s">
        <v>4732</v>
      </c>
      <c r="Y685" s="1137">
        <v>40514</v>
      </c>
      <c r="Z685" s="1137">
        <v>40878</v>
      </c>
      <c r="AA685" s="1138">
        <f>795.98/7749.25</f>
        <v>0.10271703713262574</v>
      </c>
      <c r="AB685" s="1055"/>
      <c r="AC685" s="1139">
        <f>795.98*12</f>
        <v>9551.76</v>
      </c>
      <c r="AD685" s="1139"/>
      <c r="AE685" s="1155">
        <f>AE684+AC685</f>
        <v>525492.36</v>
      </c>
      <c r="AF685" s="525">
        <v>0</v>
      </c>
      <c r="AG685" s="525">
        <v>0</v>
      </c>
      <c r="AH685" s="1139">
        <f t="shared" si="20"/>
        <v>0</v>
      </c>
      <c r="AI685" s="1055"/>
      <c r="AJ685" s="1064"/>
      <c r="AK685" s="1055"/>
      <c r="AL685" s="1133"/>
      <c r="AM685" s="2023"/>
      <c r="AN685" s="2023"/>
      <c r="AO685" s="2006"/>
      <c r="AP685" s="1064"/>
      <c r="AQ685" s="1064"/>
      <c r="AR685" s="1064"/>
      <c r="AS685" s="1055"/>
      <c r="AT685" s="1133"/>
      <c r="AU685" s="1133"/>
      <c r="AV685" s="1133"/>
      <c r="AW685" s="1133"/>
      <c r="AX685" s="1133"/>
      <c r="AY685" s="1133"/>
      <c r="AZ685" s="1133"/>
      <c r="BA685" s="1133"/>
      <c r="BB685" s="1133"/>
      <c r="BC685" s="1133"/>
      <c r="BD685" s="1133"/>
      <c r="BE685" s="1480"/>
      <c r="BF685" s="1480"/>
      <c r="BG685" s="1480"/>
      <c r="BH685" s="1480"/>
      <c r="BI685" s="1480"/>
      <c r="BJ685" s="1480"/>
    </row>
    <row r="686" spans="1:62" s="629" customFormat="1" ht="12.75" x14ac:dyDescent="0.2">
      <c r="A686" s="2365"/>
      <c r="B686" s="2366"/>
      <c r="C686" s="2023"/>
      <c r="D686" s="2023"/>
      <c r="E686" s="2023"/>
      <c r="F686" s="2023"/>
      <c r="G686" s="2023"/>
      <c r="H686" s="2367"/>
      <c r="I686" s="2023"/>
      <c r="J686" s="2023"/>
      <c r="K686" s="2023"/>
      <c r="L686" s="2369"/>
      <c r="M686" s="2023"/>
      <c r="N686" s="2347"/>
      <c r="O686" s="2347"/>
      <c r="P686" s="2367"/>
      <c r="Q686" s="2023"/>
      <c r="R686" s="2023"/>
      <c r="S686" s="2023"/>
      <c r="T686" s="2023"/>
      <c r="U686" s="1146" t="s">
        <v>4864</v>
      </c>
      <c r="V686" s="1137">
        <v>40857</v>
      </c>
      <c r="W686" s="1064">
        <v>10694</v>
      </c>
      <c r="X686" s="1146" t="s">
        <v>3907</v>
      </c>
      <c r="Y686" s="1137">
        <v>40878</v>
      </c>
      <c r="Z686" s="1137">
        <v>41244</v>
      </c>
      <c r="AA686" s="1138"/>
      <c r="AB686" s="1055"/>
      <c r="AC686" s="1139"/>
      <c r="AD686" s="1139"/>
      <c r="AE686" s="1155">
        <f>(8545.23*12)+AE685</f>
        <v>628035.12</v>
      </c>
      <c r="AF686" s="525">
        <v>0</v>
      </c>
      <c r="AG686" s="525">
        <v>0</v>
      </c>
      <c r="AH686" s="1139">
        <f t="shared" si="20"/>
        <v>0</v>
      </c>
      <c r="AI686" s="1055"/>
      <c r="AJ686" s="1064"/>
      <c r="AK686" s="1055"/>
      <c r="AL686" s="1133"/>
      <c r="AM686" s="2023"/>
      <c r="AN686" s="2023"/>
      <c r="AO686" s="2006"/>
      <c r="AP686" s="1137">
        <v>38688</v>
      </c>
      <c r="AQ686" s="1064">
        <v>9186</v>
      </c>
      <c r="AR686" s="1137">
        <v>38688</v>
      </c>
      <c r="AS686" s="1055"/>
      <c r="AT686" s="1133"/>
      <c r="AU686" s="1133"/>
      <c r="AV686" s="1133"/>
      <c r="AW686" s="1133"/>
      <c r="AX686" s="1133"/>
      <c r="AY686" s="1133"/>
      <c r="AZ686" s="1133"/>
      <c r="BA686" s="1133"/>
      <c r="BB686" s="1133"/>
      <c r="BC686" s="1133"/>
      <c r="BD686" s="1133"/>
      <c r="BE686" s="1480"/>
      <c r="BF686" s="1480"/>
      <c r="BG686" s="1480"/>
      <c r="BH686" s="1480"/>
      <c r="BI686" s="1480"/>
      <c r="BJ686" s="1480"/>
    </row>
    <row r="687" spans="1:62" s="629" customFormat="1" ht="12.75" x14ac:dyDescent="0.2">
      <c r="A687" s="2365"/>
      <c r="B687" s="2366"/>
      <c r="C687" s="2023"/>
      <c r="D687" s="2023"/>
      <c r="E687" s="2023"/>
      <c r="F687" s="2023"/>
      <c r="G687" s="2023"/>
      <c r="H687" s="2367"/>
      <c r="I687" s="2023"/>
      <c r="J687" s="2023"/>
      <c r="K687" s="2023"/>
      <c r="L687" s="2369"/>
      <c r="M687" s="2023"/>
      <c r="N687" s="2347"/>
      <c r="O687" s="2347"/>
      <c r="P687" s="2367"/>
      <c r="Q687" s="2023"/>
      <c r="R687" s="2023"/>
      <c r="S687" s="2023"/>
      <c r="T687" s="2023"/>
      <c r="U687" s="1146" t="s">
        <v>4865</v>
      </c>
      <c r="V687" s="1137">
        <v>40879</v>
      </c>
      <c r="W687" s="1064"/>
      <c r="X687" s="1146" t="s">
        <v>4866</v>
      </c>
      <c r="Y687" s="1137">
        <v>40879</v>
      </c>
      <c r="Z687" s="1137">
        <v>41245</v>
      </c>
      <c r="AA687" s="1138">
        <f>508.15/8545.53</f>
        <v>5.9463836649101924E-2</v>
      </c>
      <c r="AB687" s="1055"/>
      <c r="AC687" s="1139">
        <f>508.15*12</f>
        <v>6097.7999999999993</v>
      </c>
      <c r="AD687" s="1139"/>
      <c r="AE687" s="1155">
        <f>AE686+AC687</f>
        <v>634132.92000000004</v>
      </c>
      <c r="AF687" s="525">
        <v>0</v>
      </c>
      <c r="AG687" s="525">
        <v>0</v>
      </c>
      <c r="AH687" s="1139">
        <f t="shared" si="20"/>
        <v>0</v>
      </c>
      <c r="AI687" s="1055"/>
      <c r="AJ687" s="1064"/>
      <c r="AK687" s="1055"/>
      <c r="AL687" s="1133"/>
      <c r="AM687" s="2023"/>
      <c r="AN687" s="2023"/>
      <c r="AO687" s="2006"/>
      <c r="AP687" s="1064"/>
      <c r="AQ687" s="1064"/>
      <c r="AR687" s="1064"/>
      <c r="AS687" s="1055"/>
      <c r="AT687" s="1133"/>
      <c r="AU687" s="1133"/>
      <c r="AV687" s="1133"/>
      <c r="AW687" s="1133"/>
      <c r="AX687" s="1133"/>
      <c r="AY687" s="1133"/>
      <c r="AZ687" s="1133"/>
      <c r="BA687" s="1133"/>
      <c r="BB687" s="1133"/>
      <c r="BC687" s="1133"/>
      <c r="BD687" s="1133"/>
      <c r="BE687" s="1480"/>
      <c r="BF687" s="1480"/>
      <c r="BG687" s="1480"/>
      <c r="BH687" s="1480"/>
      <c r="BI687" s="1480"/>
      <c r="BJ687" s="1480"/>
    </row>
    <row r="688" spans="1:62" s="629" customFormat="1" ht="12.75" x14ac:dyDescent="0.2">
      <c r="A688" s="2365"/>
      <c r="B688" s="2366"/>
      <c r="C688" s="2023"/>
      <c r="D688" s="2023"/>
      <c r="E688" s="2023"/>
      <c r="F688" s="2023"/>
      <c r="G688" s="2023"/>
      <c r="H688" s="2367"/>
      <c r="I688" s="2023"/>
      <c r="J688" s="2023"/>
      <c r="K688" s="2023"/>
      <c r="L688" s="2369"/>
      <c r="M688" s="2023"/>
      <c r="N688" s="2347"/>
      <c r="O688" s="2347"/>
      <c r="P688" s="2367"/>
      <c r="Q688" s="2023"/>
      <c r="R688" s="2023"/>
      <c r="S688" s="2023"/>
      <c r="T688" s="2023"/>
      <c r="U688" s="1146" t="s">
        <v>4867</v>
      </c>
      <c r="V688" s="1137">
        <v>41239</v>
      </c>
      <c r="W688" s="1064">
        <v>10939</v>
      </c>
      <c r="X688" s="1146" t="s">
        <v>3907</v>
      </c>
      <c r="Y688" s="1137">
        <v>41244</v>
      </c>
      <c r="Z688" s="1137">
        <v>41609</v>
      </c>
      <c r="AA688" s="1138"/>
      <c r="AB688" s="1055"/>
      <c r="AC688" s="1139"/>
      <c r="AD688" s="1139"/>
      <c r="AE688" s="1155">
        <f>(9053.68*12)+AE687</f>
        <v>742777.08000000007</v>
      </c>
      <c r="AF688" s="525">
        <v>0</v>
      </c>
      <c r="AG688" s="525">
        <v>0</v>
      </c>
      <c r="AH688" s="1139">
        <f t="shared" si="20"/>
        <v>0</v>
      </c>
      <c r="AI688" s="1055"/>
      <c r="AJ688" s="1064"/>
      <c r="AK688" s="1055"/>
      <c r="AL688" s="1133"/>
      <c r="AM688" s="2023"/>
      <c r="AN688" s="2023"/>
      <c r="AO688" s="2006"/>
      <c r="AP688" s="1064"/>
      <c r="AQ688" s="1064"/>
      <c r="AR688" s="1064"/>
      <c r="AS688" s="1055"/>
      <c r="AT688" s="1133"/>
      <c r="AU688" s="1133"/>
      <c r="AV688" s="1133"/>
      <c r="AW688" s="1133"/>
      <c r="AX688" s="1133"/>
      <c r="AY688" s="1133"/>
      <c r="AZ688" s="1133"/>
      <c r="BA688" s="1133"/>
      <c r="BB688" s="1133"/>
      <c r="BC688" s="1133"/>
      <c r="BD688" s="1133"/>
      <c r="BE688" s="1480"/>
      <c r="BF688" s="1480"/>
      <c r="BG688" s="1480"/>
      <c r="BH688" s="1480"/>
      <c r="BI688" s="1480"/>
      <c r="BJ688" s="1480"/>
    </row>
    <row r="689" spans="1:62" s="629" customFormat="1" ht="12.75" x14ac:dyDescent="0.2">
      <c r="A689" s="2365"/>
      <c r="B689" s="2366"/>
      <c r="C689" s="2023"/>
      <c r="D689" s="2023"/>
      <c r="E689" s="2023"/>
      <c r="F689" s="2023"/>
      <c r="G689" s="2023"/>
      <c r="H689" s="2367"/>
      <c r="I689" s="2023"/>
      <c r="J689" s="2023"/>
      <c r="K689" s="2023"/>
      <c r="L689" s="2369"/>
      <c r="M689" s="2023"/>
      <c r="N689" s="2347"/>
      <c r="O689" s="2347"/>
      <c r="P689" s="2367"/>
      <c r="Q689" s="2023"/>
      <c r="R689" s="2023"/>
      <c r="S689" s="2023"/>
      <c r="T689" s="2023"/>
      <c r="U689" s="1146" t="s">
        <v>4868</v>
      </c>
      <c r="V689" s="1137">
        <v>41249</v>
      </c>
      <c r="W689" s="1064"/>
      <c r="X689" s="1146" t="s">
        <v>4866</v>
      </c>
      <c r="Y689" s="1137">
        <v>41245</v>
      </c>
      <c r="Z689" s="1137">
        <v>41609</v>
      </c>
      <c r="AA689" s="1138">
        <f>629.71/9053.68</f>
        <v>6.9552933171925665E-2</v>
      </c>
      <c r="AB689" s="1055"/>
      <c r="AC689" s="1139">
        <f>629.71*12</f>
        <v>7556.52</v>
      </c>
      <c r="AD689" s="1139"/>
      <c r="AE689" s="1155">
        <f>AE688+AC689</f>
        <v>750333.60000000009</v>
      </c>
      <c r="AF689" s="525">
        <v>0</v>
      </c>
      <c r="AG689" s="525">
        <v>0</v>
      </c>
      <c r="AH689" s="1139">
        <f t="shared" si="20"/>
        <v>0</v>
      </c>
      <c r="AI689" s="1055"/>
      <c r="AJ689" s="1064"/>
      <c r="AK689" s="1055"/>
      <c r="AL689" s="1133"/>
      <c r="AM689" s="2023"/>
      <c r="AN689" s="2023"/>
      <c r="AO689" s="2006"/>
      <c r="AP689" s="1064"/>
      <c r="AQ689" s="1064"/>
      <c r="AR689" s="1064"/>
      <c r="AS689" s="1055"/>
      <c r="AT689" s="1133"/>
      <c r="AU689" s="1133"/>
      <c r="AV689" s="1133"/>
      <c r="AW689" s="1133"/>
      <c r="AX689" s="1133"/>
      <c r="AY689" s="1133"/>
      <c r="AZ689" s="1133"/>
      <c r="BA689" s="1133"/>
      <c r="BB689" s="1133"/>
      <c r="BC689" s="1133"/>
      <c r="BD689" s="1133"/>
      <c r="BE689" s="1480"/>
      <c r="BF689" s="1480"/>
      <c r="BG689" s="1480"/>
      <c r="BH689" s="1480"/>
      <c r="BI689" s="1480"/>
      <c r="BJ689" s="1480"/>
    </row>
    <row r="690" spans="1:62" s="629" customFormat="1" ht="12.75" x14ac:dyDescent="0.2">
      <c r="A690" s="2365"/>
      <c r="B690" s="2366"/>
      <c r="C690" s="2023"/>
      <c r="D690" s="2023"/>
      <c r="E690" s="2023"/>
      <c r="F690" s="2023"/>
      <c r="G690" s="2023"/>
      <c r="H690" s="2367"/>
      <c r="I690" s="2023"/>
      <c r="J690" s="2023"/>
      <c r="K690" s="2023"/>
      <c r="L690" s="2369"/>
      <c r="M690" s="2023"/>
      <c r="N690" s="2347"/>
      <c r="O690" s="2347"/>
      <c r="P690" s="2367"/>
      <c r="Q690" s="2023"/>
      <c r="R690" s="2023"/>
      <c r="S690" s="2023"/>
      <c r="T690" s="2023"/>
      <c r="U690" s="1146" t="s">
        <v>4019</v>
      </c>
      <c r="V690" s="1137">
        <v>41604</v>
      </c>
      <c r="W690" s="1064">
        <v>11219</v>
      </c>
      <c r="X690" s="1146" t="s">
        <v>3907</v>
      </c>
      <c r="Y690" s="1137">
        <v>41609</v>
      </c>
      <c r="Z690" s="1137">
        <v>41974</v>
      </c>
      <c r="AA690" s="1138"/>
      <c r="AB690" s="1055"/>
      <c r="AC690" s="1139"/>
      <c r="AD690" s="1139"/>
      <c r="AE690" s="1155">
        <f>(9683.39*12)+AE689</f>
        <v>866534.28</v>
      </c>
      <c r="AF690" s="525">
        <v>0</v>
      </c>
      <c r="AG690" s="525">
        <v>0</v>
      </c>
      <c r="AH690" s="1139">
        <f t="shared" si="20"/>
        <v>0</v>
      </c>
      <c r="AI690" s="1055"/>
      <c r="AJ690" s="1064"/>
      <c r="AK690" s="1055"/>
      <c r="AL690" s="1133"/>
      <c r="AM690" s="2023"/>
      <c r="AN690" s="2023"/>
      <c r="AO690" s="2006"/>
      <c r="AP690" s="1064"/>
      <c r="AQ690" s="1064"/>
      <c r="AR690" s="1064"/>
      <c r="AS690" s="1055"/>
      <c r="AT690" s="1133"/>
      <c r="AU690" s="1133"/>
      <c r="AV690" s="1133"/>
      <c r="AW690" s="1133"/>
      <c r="AX690" s="1133"/>
      <c r="AY690" s="1133"/>
      <c r="AZ690" s="1133"/>
      <c r="BA690" s="1133"/>
      <c r="BB690" s="1133"/>
      <c r="BC690" s="1133"/>
      <c r="BD690" s="1133"/>
      <c r="BE690" s="1480"/>
      <c r="BF690" s="1480"/>
      <c r="BG690" s="1480"/>
      <c r="BH690" s="1480"/>
      <c r="BI690" s="1480"/>
      <c r="BJ690" s="1480"/>
    </row>
    <row r="691" spans="1:62" s="629" customFormat="1" ht="12.75" x14ac:dyDescent="0.2">
      <c r="A691" s="2365"/>
      <c r="B691" s="2366"/>
      <c r="C691" s="2023"/>
      <c r="D691" s="2023"/>
      <c r="E691" s="2023"/>
      <c r="F691" s="2023"/>
      <c r="G691" s="2023"/>
      <c r="H691" s="2367"/>
      <c r="I691" s="2023"/>
      <c r="J691" s="2023"/>
      <c r="K691" s="2023"/>
      <c r="L691" s="2369"/>
      <c r="M691" s="2023"/>
      <c r="N691" s="2347"/>
      <c r="O691" s="2347"/>
      <c r="P691" s="2367"/>
      <c r="Q691" s="2023"/>
      <c r="R691" s="2023"/>
      <c r="S691" s="2023"/>
      <c r="T691" s="2023"/>
      <c r="U691" s="1146" t="s">
        <v>4869</v>
      </c>
      <c r="V691" s="1137">
        <v>41634</v>
      </c>
      <c r="W691" s="1064"/>
      <c r="X691" s="1146" t="s">
        <v>4866</v>
      </c>
      <c r="Y691" s="1137">
        <v>41609</v>
      </c>
      <c r="Z691" s="1137">
        <v>41974</v>
      </c>
      <c r="AA691" s="1138">
        <f>543.2/9683.39</f>
        <v>5.6096057269200153E-2</v>
      </c>
      <c r="AB691" s="1055"/>
      <c r="AC691" s="1139">
        <f>543.2*12</f>
        <v>6518.4000000000005</v>
      </c>
      <c r="AD691" s="1139"/>
      <c r="AE691" s="1155">
        <f>AE690+AC691</f>
        <v>873052.68</v>
      </c>
      <c r="AF691" s="525">
        <v>0</v>
      </c>
      <c r="AG691" s="525">
        <v>0</v>
      </c>
      <c r="AH691" s="1139">
        <f t="shared" si="20"/>
        <v>0</v>
      </c>
      <c r="AI691" s="1055"/>
      <c r="AJ691" s="1064"/>
      <c r="AK691" s="1055"/>
      <c r="AL691" s="1133"/>
      <c r="AM691" s="2023"/>
      <c r="AN691" s="2023"/>
      <c r="AO691" s="2006"/>
      <c r="AP691" s="1064"/>
      <c r="AQ691" s="1064"/>
      <c r="AR691" s="1064"/>
      <c r="AS691" s="1055"/>
      <c r="AT691" s="1133"/>
      <c r="AU691" s="1133"/>
      <c r="AV691" s="1133"/>
      <c r="AW691" s="1133"/>
      <c r="AX691" s="1133"/>
      <c r="AY691" s="1133"/>
      <c r="AZ691" s="1133"/>
      <c r="BA691" s="1133"/>
      <c r="BB691" s="1133"/>
      <c r="BC691" s="1133"/>
      <c r="BD691" s="1133"/>
      <c r="BE691" s="1480"/>
      <c r="BF691" s="1480"/>
      <c r="BG691" s="1480"/>
      <c r="BH691" s="1480"/>
      <c r="BI691" s="1480"/>
      <c r="BJ691" s="1480"/>
    </row>
    <row r="692" spans="1:62" s="629" customFormat="1" ht="30.75" customHeight="1" x14ac:dyDescent="0.2">
      <c r="A692" s="2365">
        <v>290</v>
      </c>
      <c r="B692" s="2366" t="s">
        <v>4870</v>
      </c>
      <c r="C692" s="2023"/>
      <c r="D692" s="2023" t="s">
        <v>2222</v>
      </c>
      <c r="E692" s="2023" t="s">
        <v>584</v>
      </c>
      <c r="F692" s="2023" t="s">
        <v>4871</v>
      </c>
      <c r="G692" s="2006">
        <v>9353</v>
      </c>
      <c r="H692" s="2367" t="s">
        <v>4872</v>
      </c>
      <c r="I692" s="2023" t="s">
        <v>4873</v>
      </c>
      <c r="J692" s="2023" t="s">
        <v>4874</v>
      </c>
      <c r="K692" s="2347">
        <v>38930</v>
      </c>
      <c r="L692" s="2370">
        <v>60000</v>
      </c>
      <c r="M692" s="2023"/>
      <c r="N692" s="2347">
        <v>38930</v>
      </c>
      <c r="O692" s="2347">
        <v>39661</v>
      </c>
      <c r="P692" s="2355">
        <v>1</v>
      </c>
      <c r="Q692" s="2023"/>
      <c r="R692" s="2023"/>
      <c r="S692" s="2023"/>
      <c r="T692" s="2355" t="s">
        <v>208</v>
      </c>
      <c r="U692" s="1146"/>
      <c r="V692" s="1055"/>
      <c r="W692" s="1064"/>
      <c r="X692" s="1055"/>
      <c r="Y692" s="1055"/>
      <c r="Z692" s="1055"/>
      <c r="AA692" s="1138"/>
      <c r="AB692" s="1055"/>
      <c r="AC692" s="1139"/>
      <c r="AD692" s="1139"/>
      <c r="AE692" s="1155"/>
      <c r="AF692" s="554">
        <v>266703.28000000003</v>
      </c>
      <c r="AG692" s="1139">
        <v>14812.16</v>
      </c>
      <c r="AH692" s="1139">
        <f t="shared" si="20"/>
        <v>281515.44</v>
      </c>
      <c r="AI692" s="1055"/>
      <c r="AJ692" s="1064"/>
      <c r="AK692" s="1055"/>
      <c r="AL692" s="1133"/>
      <c r="AM692" s="2023" t="s">
        <v>1311</v>
      </c>
      <c r="AN692" s="2023" t="s">
        <v>4859</v>
      </c>
      <c r="AO692" s="2006">
        <v>9353</v>
      </c>
      <c r="AP692" s="2347">
        <v>38923</v>
      </c>
      <c r="AQ692" s="2006">
        <v>9353</v>
      </c>
      <c r="AR692" s="2347">
        <v>38924</v>
      </c>
      <c r="AS692" s="1055"/>
      <c r="AT692" s="1133"/>
      <c r="AU692" s="1133"/>
      <c r="AV692" s="1133"/>
      <c r="AW692" s="1133"/>
      <c r="AX692" s="1133"/>
      <c r="AY692" s="1133"/>
      <c r="AZ692" s="1133"/>
      <c r="BA692" s="1133"/>
      <c r="BB692" s="1133"/>
      <c r="BC692" s="1133"/>
      <c r="BD692" s="1133"/>
      <c r="BE692" s="1480"/>
      <c r="BF692" s="1480"/>
      <c r="BG692" s="1480"/>
      <c r="BH692" s="1480"/>
      <c r="BI692" s="1480"/>
      <c r="BJ692" s="1480"/>
    </row>
    <row r="693" spans="1:62" s="629" customFormat="1" ht="12.75" x14ac:dyDescent="0.2">
      <c r="A693" s="2365"/>
      <c r="B693" s="2366"/>
      <c r="C693" s="2023"/>
      <c r="D693" s="2023"/>
      <c r="E693" s="2023"/>
      <c r="F693" s="2023"/>
      <c r="G693" s="2023"/>
      <c r="H693" s="2367"/>
      <c r="I693" s="2023"/>
      <c r="J693" s="2023"/>
      <c r="K693" s="2023"/>
      <c r="L693" s="2370"/>
      <c r="M693" s="2023"/>
      <c r="N693" s="2347"/>
      <c r="O693" s="2347"/>
      <c r="P693" s="2355"/>
      <c r="Q693" s="2023"/>
      <c r="R693" s="2023"/>
      <c r="S693" s="2023"/>
      <c r="T693" s="2355"/>
      <c r="U693" s="1146" t="s">
        <v>3972</v>
      </c>
      <c r="V693" s="1137">
        <v>39294</v>
      </c>
      <c r="W693" s="1064">
        <v>9624</v>
      </c>
      <c r="X693" s="1055" t="s">
        <v>3929</v>
      </c>
      <c r="Y693" s="1137">
        <v>39295</v>
      </c>
      <c r="Z693" s="1137">
        <v>39661</v>
      </c>
      <c r="AA693" s="1138">
        <f>AC693/L692</f>
        <v>0.02</v>
      </c>
      <c r="AB693" s="1055"/>
      <c r="AC693" s="1139">
        <v>1200</v>
      </c>
      <c r="AD693" s="1135"/>
      <c r="AE693" s="1139">
        <f>L692+AC693</f>
        <v>61200</v>
      </c>
      <c r="AF693" s="525">
        <v>0</v>
      </c>
      <c r="AG693" s="525">
        <v>0</v>
      </c>
      <c r="AH693" s="1139">
        <f t="shared" si="20"/>
        <v>0</v>
      </c>
      <c r="AI693" s="1055"/>
      <c r="AJ693" s="1064"/>
      <c r="AK693" s="1055"/>
      <c r="AL693" s="1133"/>
      <c r="AM693" s="2023"/>
      <c r="AN693" s="2023"/>
      <c r="AO693" s="2006"/>
      <c r="AP693" s="2347"/>
      <c r="AQ693" s="2006"/>
      <c r="AR693" s="2347"/>
      <c r="AS693" s="1055"/>
      <c r="AT693" s="1133"/>
      <c r="AU693" s="1133"/>
      <c r="AV693" s="1133"/>
      <c r="AW693" s="1133"/>
      <c r="AX693" s="1133"/>
      <c r="AY693" s="1133"/>
      <c r="AZ693" s="1133"/>
      <c r="BA693" s="1133"/>
      <c r="BB693" s="1133"/>
      <c r="BC693" s="1133"/>
      <c r="BD693" s="1133"/>
      <c r="BE693" s="1480"/>
      <c r="BF693" s="1480"/>
      <c r="BG693" s="1480"/>
      <c r="BH693" s="1480"/>
      <c r="BI693" s="1480"/>
      <c r="BJ693" s="1480"/>
    </row>
    <row r="694" spans="1:62" s="629" customFormat="1" ht="25.5" x14ac:dyDescent="0.2">
      <c r="A694" s="2365"/>
      <c r="B694" s="2366"/>
      <c r="C694" s="2023"/>
      <c r="D694" s="2023"/>
      <c r="E694" s="2023"/>
      <c r="F694" s="2023"/>
      <c r="G694" s="2023"/>
      <c r="H694" s="2367"/>
      <c r="I694" s="2023"/>
      <c r="J694" s="2023"/>
      <c r="K694" s="2023"/>
      <c r="L694" s="2370"/>
      <c r="M694" s="2023"/>
      <c r="N694" s="2347"/>
      <c r="O694" s="2347"/>
      <c r="P694" s="2355"/>
      <c r="Q694" s="2023"/>
      <c r="R694" s="2023"/>
      <c r="S694" s="2023"/>
      <c r="T694" s="2355"/>
      <c r="U694" s="1146" t="s">
        <v>3989</v>
      </c>
      <c r="V694" s="1137">
        <v>39646</v>
      </c>
      <c r="W694" s="1064">
        <v>9855</v>
      </c>
      <c r="X694" s="1055" t="s">
        <v>4875</v>
      </c>
      <c r="Y694" s="1137">
        <v>39661</v>
      </c>
      <c r="Z694" s="1137">
        <v>39813</v>
      </c>
      <c r="AA694" s="1138">
        <f>AC694/AE693</f>
        <v>1.9277777777777776E-2</v>
      </c>
      <c r="AB694" s="1055"/>
      <c r="AC694" s="1139">
        <f>235.96*5</f>
        <v>1179.8</v>
      </c>
      <c r="AD694" s="1135"/>
      <c r="AE694" s="1139">
        <f>AE693+AC694</f>
        <v>62379.8</v>
      </c>
      <c r="AF694" s="525">
        <v>0</v>
      </c>
      <c r="AG694" s="525">
        <v>0</v>
      </c>
      <c r="AH694" s="1139">
        <f t="shared" si="20"/>
        <v>0</v>
      </c>
      <c r="AI694" s="1055"/>
      <c r="AJ694" s="1064"/>
      <c r="AK694" s="1055"/>
      <c r="AL694" s="1133"/>
      <c r="AM694" s="2023"/>
      <c r="AN694" s="2023"/>
      <c r="AO694" s="2006"/>
      <c r="AP694" s="2347"/>
      <c r="AQ694" s="2006"/>
      <c r="AR694" s="2347"/>
      <c r="AS694" s="1055"/>
      <c r="AT694" s="1133"/>
      <c r="AU694" s="1133"/>
      <c r="AV694" s="1133"/>
      <c r="AW694" s="1133"/>
      <c r="AX694" s="1133"/>
      <c r="AY694" s="1133"/>
      <c r="AZ694" s="1133"/>
      <c r="BA694" s="1133"/>
      <c r="BB694" s="1133"/>
      <c r="BC694" s="1133"/>
      <c r="BD694" s="1133"/>
      <c r="BE694" s="1480"/>
      <c r="BF694" s="1480"/>
      <c r="BG694" s="1480"/>
      <c r="BH694" s="1480"/>
      <c r="BI694" s="1480"/>
      <c r="BJ694" s="1480"/>
    </row>
    <row r="695" spans="1:62" s="629" customFormat="1" ht="12.75" x14ac:dyDescent="0.2">
      <c r="A695" s="2365"/>
      <c r="B695" s="2366"/>
      <c r="C695" s="2023"/>
      <c r="D695" s="2023"/>
      <c r="E695" s="2023"/>
      <c r="F695" s="2023"/>
      <c r="G695" s="2023"/>
      <c r="H695" s="2367"/>
      <c r="I695" s="2023"/>
      <c r="J695" s="2023"/>
      <c r="K695" s="2023"/>
      <c r="L695" s="2370"/>
      <c r="M695" s="2023"/>
      <c r="N695" s="2347"/>
      <c r="O695" s="2347"/>
      <c r="P695" s="2355"/>
      <c r="Q695" s="2023"/>
      <c r="R695" s="2023"/>
      <c r="S695" s="2023"/>
      <c r="T695" s="2355"/>
      <c r="U695" s="1146" t="s">
        <v>3892</v>
      </c>
      <c r="V695" s="1137">
        <v>39799</v>
      </c>
      <c r="W695" s="1064">
        <v>9960</v>
      </c>
      <c r="X695" s="1055" t="s">
        <v>3907</v>
      </c>
      <c r="Y695" s="1137">
        <v>39814</v>
      </c>
      <c r="Z695" s="1137">
        <v>40178</v>
      </c>
      <c r="AA695" s="1138"/>
      <c r="AB695" s="1055"/>
      <c r="AC695" s="1139"/>
      <c r="AD695" s="1135"/>
      <c r="AE695" s="1139">
        <f>(235.96*7)+AE694</f>
        <v>64031.520000000004</v>
      </c>
      <c r="AF695" s="525">
        <v>0</v>
      </c>
      <c r="AG695" s="525">
        <v>0</v>
      </c>
      <c r="AH695" s="1139">
        <f t="shared" si="20"/>
        <v>0</v>
      </c>
      <c r="AI695" s="1055"/>
      <c r="AJ695" s="1064"/>
      <c r="AK695" s="1055"/>
      <c r="AL695" s="1133"/>
      <c r="AM695" s="2023"/>
      <c r="AN695" s="2023"/>
      <c r="AO695" s="2006"/>
      <c r="AP695" s="2347"/>
      <c r="AQ695" s="2006"/>
      <c r="AR695" s="2347"/>
      <c r="AS695" s="1055"/>
      <c r="AT695" s="1133"/>
      <c r="AU695" s="1133"/>
      <c r="AV695" s="1133"/>
      <c r="AW695" s="1133"/>
      <c r="AX695" s="1133"/>
      <c r="AY695" s="1133"/>
      <c r="AZ695" s="1133"/>
      <c r="BA695" s="1133"/>
      <c r="BB695" s="1133"/>
      <c r="BC695" s="1133"/>
      <c r="BD695" s="1133"/>
      <c r="BE695" s="1480"/>
      <c r="BF695" s="1480"/>
      <c r="BG695" s="1480"/>
      <c r="BH695" s="1480"/>
      <c r="BI695" s="1480"/>
      <c r="BJ695" s="1480"/>
    </row>
    <row r="696" spans="1:62" s="629" customFormat="1" ht="12.75" x14ac:dyDescent="0.2">
      <c r="A696" s="2365"/>
      <c r="B696" s="2366"/>
      <c r="C696" s="2023"/>
      <c r="D696" s="2023"/>
      <c r="E696" s="2023"/>
      <c r="F696" s="2023"/>
      <c r="G696" s="2023"/>
      <c r="H696" s="2367"/>
      <c r="I696" s="2023"/>
      <c r="J696" s="2023"/>
      <c r="K696" s="2023"/>
      <c r="L696" s="2370"/>
      <c r="M696" s="2023"/>
      <c r="N696" s="2347"/>
      <c r="O696" s="2347"/>
      <c r="P696" s="2355"/>
      <c r="Q696" s="2023"/>
      <c r="R696" s="2023"/>
      <c r="S696" s="2023"/>
      <c r="T696" s="2355"/>
      <c r="U696" s="1146" t="s">
        <v>4045</v>
      </c>
      <c r="V696" s="1137">
        <v>40028</v>
      </c>
      <c r="W696" s="1064">
        <v>10116</v>
      </c>
      <c r="X696" s="1055" t="s">
        <v>4732</v>
      </c>
      <c r="Y696" s="1137">
        <v>40026</v>
      </c>
      <c r="Z696" s="1137">
        <v>40178</v>
      </c>
      <c r="AA696" s="1138">
        <f>AC696/AE694</f>
        <v>3.4682701772048006E-3</v>
      </c>
      <c r="AB696" s="1055"/>
      <c r="AC696" s="1139">
        <f>43.27*5</f>
        <v>216.35000000000002</v>
      </c>
      <c r="AD696" s="1135"/>
      <c r="AE696" s="1139">
        <f>AE695+AC696</f>
        <v>64247.87</v>
      </c>
      <c r="AF696" s="525">
        <v>0</v>
      </c>
      <c r="AG696" s="525">
        <v>0</v>
      </c>
      <c r="AH696" s="1139">
        <f t="shared" si="20"/>
        <v>0</v>
      </c>
      <c r="AI696" s="1055"/>
      <c r="AJ696" s="1064"/>
      <c r="AK696" s="1055"/>
      <c r="AL696" s="1133"/>
      <c r="AM696" s="2023"/>
      <c r="AN696" s="2023"/>
      <c r="AO696" s="2006"/>
      <c r="AP696" s="2347"/>
      <c r="AQ696" s="2006"/>
      <c r="AR696" s="2347"/>
      <c r="AS696" s="1055"/>
      <c r="AT696" s="1133"/>
      <c r="AU696" s="1133"/>
      <c r="AV696" s="1133"/>
      <c r="AW696" s="1133"/>
      <c r="AX696" s="1133"/>
      <c r="AY696" s="1133"/>
      <c r="AZ696" s="1133"/>
      <c r="BA696" s="1133"/>
      <c r="BB696" s="1133"/>
      <c r="BC696" s="1133"/>
      <c r="BD696" s="1133"/>
      <c r="BE696" s="1480"/>
      <c r="BF696" s="1480"/>
      <c r="BG696" s="1480"/>
      <c r="BH696" s="1480"/>
      <c r="BI696" s="1480"/>
      <c r="BJ696" s="1480"/>
    </row>
    <row r="697" spans="1:62" s="629" customFormat="1" ht="12.75" x14ac:dyDescent="0.2">
      <c r="A697" s="2365"/>
      <c r="B697" s="2366"/>
      <c r="C697" s="2023"/>
      <c r="D697" s="2023"/>
      <c r="E697" s="2023"/>
      <c r="F697" s="2023"/>
      <c r="G697" s="2023"/>
      <c r="H697" s="2367"/>
      <c r="I697" s="2023"/>
      <c r="J697" s="2023"/>
      <c r="K697" s="2023"/>
      <c r="L697" s="2370"/>
      <c r="M697" s="2023"/>
      <c r="N697" s="2347"/>
      <c r="O697" s="2347"/>
      <c r="P697" s="2355"/>
      <c r="Q697" s="2023"/>
      <c r="R697" s="2023"/>
      <c r="S697" s="2023"/>
      <c r="T697" s="2355"/>
      <c r="U697" s="1146" t="s">
        <v>3894</v>
      </c>
      <c r="V697" s="1137">
        <v>40161</v>
      </c>
      <c r="W697" s="1064">
        <v>10209</v>
      </c>
      <c r="X697" s="1055" t="s">
        <v>3907</v>
      </c>
      <c r="Y697" s="1137">
        <v>40179</v>
      </c>
      <c r="Z697" s="1137">
        <v>40543</v>
      </c>
      <c r="AA697" s="1138"/>
      <c r="AB697" s="1055"/>
      <c r="AC697" s="1139"/>
      <c r="AD697" s="1135"/>
      <c r="AE697" s="1139">
        <f>(43.27*7)+AE696</f>
        <v>64550.76</v>
      </c>
      <c r="AF697" s="525">
        <v>0</v>
      </c>
      <c r="AG697" s="525">
        <v>0</v>
      </c>
      <c r="AH697" s="1139">
        <f t="shared" si="20"/>
        <v>0</v>
      </c>
      <c r="AI697" s="1055"/>
      <c r="AJ697" s="1064"/>
      <c r="AK697" s="1055"/>
      <c r="AL697" s="1133"/>
      <c r="AM697" s="2023"/>
      <c r="AN697" s="2023"/>
      <c r="AO697" s="2006"/>
      <c r="AP697" s="2347"/>
      <c r="AQ697" s="2006"/>
      <c r="AR697" s="2347"/>
      <c r="AS697" s="1055"/>
      <c r="AT697" s="1133"/>
      <c r="AU697" s="1133"/>
      <c r="AV697" s="1133"/>
      <c r="AW697" s="1133"/>
      <c r="AX697" s="1133"/>
      <c r="AY697" s="1133"/>
      <c r="AZ697" s="1133"/>
      <c r="BA697" s="1133"/>
      <c r="BB697" s="1133"/>
      <c r="BC697" s="1133"/>
      <c r="BD697" s="1133"/>
      <c r="BE697" s="1480"/>
      <c r="BF697" s="1480"/>
      <c r="BG697" s="1480"/>
      <c r="BH697" s="1480"/>
      <c r="BI697" s="1480"/>
      <c r="BJ697" s="1480"/>
    </row>
    <row r="698" spans="1:62" s="629" customFormat="1" ht="12.75" x14ac:dyDescent="0.2">
      <c r="A698" s="2365"/>
      <c r="B698" s="2366"/>
      <c r="C698" s="2023"/>
      <c r="D698" s="2023"/>
      <c r="E698" s="2023"/>
      <c r="F698" s="2023"/>
      <c r="G698" s="2023"/>
      <c r="H698" s="2367"/>
      <c r="I698" s="2023"/>
      <c r="J698" s="2023"/>
      <c r="K698" s="2023"/>
      <c r="L698" s="2370"/>
      <c r="M698" s="2023"/>
      <c r="N698" s="2347"/>
      <c r="O698" s="2347"/>
      <c r="P698" s="2355"/>
      <c r="Q698" s="2023"/>
      <c r="R698" s="2023"/>
      <c r="S698" s="2023"/>
      <c r="T698" s="2355"/>
      <c r="U698" s="1146" t="s">
        <v>4876</v>
      </c>
      <c r="V698" s="1137">
        <v>40392</v>
      </c>
      <c r="W698" s="1064"/>
      <c r="X698" s="1055" t="s">
        <v>3929</v>
      </c>
      <c r="Y698" s="1137">
        <v>40391</v>
      </c>
      <c r="Z698" s="1137">
        <v>40543</v>
      </c>
      <c r="AA698" s="1138">
        <f>AC698/AE696</f>
        <v>1.2980196853218634E-2</v>
      </c>
      <c r="AB698" s="1055"/>
      <c r="AC698" s="1139">
        <f>166.79*5</f>
        <v>833.94999999999993</v>
      </c>
      <c r="AD698" s="1135"/>
      <c r="AE698" s="1139">
        <f>AC698+AE696</f>
        <v>65081.82</v>
      </c>
      <c r="AF698" s="525">
        <v>0</v>
      </c>
      <c r="AG698" s="525">
        <v>0</v>
      </c>
      <c r="AH698" s="1139">
        <f t="shared" si="20"/>
        <v>0</v>
      </c>
      <c r="AI698" s="1055"/>
      <c r="AJ698" s="1064"/>
      <c r="AK698" s="1055"/>
      <c r="AL698" s="1133"/>
      <c r="AM698" s="2023"/>
      <c r="AN698" s="2023"/>
      <c r="AO698" s="2006"/>
      <c r="AP698" s="2347"/>
      <c r="AQ698" s="2006"/>
      <c r="AR698" s="2347"/>
      <c r="AS698" s="1055"/>
      <c r="AT698" s="1133"/>
      <c r="AU698" s="1133"/>
      <c r="AV698" s="1133"/>
      <c r="AW698" s="1133"/>
      <c r="AX698" s="1133"/>
      <c r="AY698" s="1133"/>
      <c r="AZ698" s="1133"/>
      <c r="BA698" s="1133"/>
      <c r="BB698" s="1133"/>
      <c r="BC698" s="1133"/>
      <c r="BD698" s="1133"/>
      <c r="BE698" s="1480"/>
      <c r="BF698" s="1480"/>
      <c r="BG698" s="1480"/>
      <c r="BH698" s="1480"/>
      <c r="BI698" s="1480"/>
      <c r="BJ698" s="1480"/>
    </row>
    <row r="699" spans="1:62" s="629" customFormat="1" ht="12.75" x14ac:dyDescent="0.2">
      <c r="A699" s="2365"/>
      <c r="B699" s="2366"/>
      <c r="C699" s="2023"/>
      <c r="D699" s="2023"/>
      <c r="E699" s="2023"/>
      <c r="F699" s="2023"/>
      <c r="G699" s="2023"/>
      <c r="H699" s="2367"/>
      <c r="I699" s="2023"/>
      <c r="J699" s="2023"/>
      <c r="K699" s="2023"/>
      <c r="L699" s="2370"/>
      <c r="M699" s="2023"/>
      <c r="N699" s="2347"/>
      <c r="O699" s="2347"/>
      <c r="P699" s="2355"/>
      <c r="Q699" s="2023"/>
      <c r="R699" s="2023"/>
      <c r="S699" s="2023"/>
      <c r="T699" s="2355"/>
      <c r="U699" s="1146" t="s">
        <v>4017</v>
      </c>
      <c r="V699" s="1137">
        <v>40534</v>
      </c>
      <c r="W699" s="1064">
        <v>10452</v>
      </c>
      <c r="X699" s="1055" t="s">
        <v>3907</v>
      </c>
      <c r="Y699" s="1137">
        <v>40544</v>
      </c>
      <c r="Z699" s="1137">
        <v>40908</v>
      </c>
      <c r="AA699" s="1138"/>
      <c r="AB699" s="1055"/>
      <c r="AC699" s="1139"/>
      <c r="AD699" s="1135"/>
      <c r="AE699" s="1139">
        <f>(166.79*7)+AE698</f>
        <v>66249.350000000006</v>
      </c>
      <c r="AF699" s="525">
        <v>0</v>
      </c>
      <c r="AG699" s="525">
        <v>0</v>
      </c>
      <c r="AH699" s="1139">
        <f t="shared" si="20"/>
        <v>0</v>
      </c>
      <c r="AI699" s="1055"/>
      <c r="AJ699" s="1064"/>
      <c r="AK699" s="1055"/>
      <c r="AL699" s="1133"/>
      <c r="AM699" s="2023"/>
      <c r="AN699" s="2023"/>
      <c r="AO699" s="2006"/>
      <c r="AP699" s="2347"/>
      <c r="AQ699" s="2006"/>
      <c r="AR699" s="2347"/>
      <c r="AS699" s="1055"/>
      <c r="AT699" s="1133"/>
      <c r="AU699" s="1133"/>
      <c r="AV699" s="1133"/>
      <c r="AW699" s="1133"/>
      <c r="AX699" s="1133"/>
      <c r="AY699" s="1133"/>
      <c r="AZ699" s="1133"/>
      <c r="BA699" s="1133"/>
      <c r="BB699" s="1133"/>
      <c r="BC699" s="1133"/>
      <c r="BD699" s="1133"/>
      <c r="BE699" s="1480"/>
      <c r="BF699" s="1480"/>
      <c r="BG699" s="1480"/>
      <c r="BH699" s="1480"/>
      <c r="BI699" s="1480"/>
      <c r="BJ699" s="1480"/>
    </row>
    <row r="700" spans="1:62" s="629" customFormat="1" ht="12.75" x14ac:dyDescent="0.2">
      <c r="A700" s="2365"/>
      <c r="B700" s="2366"/>
      <c r="C700" s="2023"/>
      <c r="D700" s="2023"/>
      <c r="E700" s="2023"/>
      <c r="F700" s="2023"/>
      <c r="G700" s="2023"/>
      <c r="H700" s="2367"/>
      <c r="I700" s="2023"/>
      <c r="J700" s="2023"/>
      <c r="K700" s="2023"/>
      <c r="L700" s="2370"/>
      <c r="M700" s="2023"/>
      <c r="N700" s="2347"/>
      <c r="O700" s="2347"/>
      <c r="P700" s="2355"/>
      <c r="Q700" s="2023"/>
      <c r="R700" s="2023"/>
      <c r="S700" s="2023"/>
      <c r="T700" s="2355"/>
      <c r="U700" s="1146" t="s">
        <v>4877</v>
      </c>
      <c r="V700" s="1137">
        <v>40756</v>
      </c>
      <c r="W700" s="1064"/>
      <c r="X700" s="1055" t="s">
        <v>3929</v>
      </c>
      <c r="Y700" s="1137">
        <v>40756</v>
      </c>
      <c r="Z700" s="1137">
        <v>40908</v>
      </c>
      <c r="AA700" s="1138">
        <f>AC700/AE698</f>
        <v>1.9542323801024615E-2</v>
      </c>
      <c r="AB700" s="1055"/>
      <c r="AC700" s="1139">
        <f>254.37*5</f>
        <v>1271.8499999999999</v>
      </c>
      <c r="AD700" s="1135"/>
      <c r="AE700" s="1139">
        <f>AE699+AC700</f>
        <v>67521.200000000012</v>
      </c>
      <c r="AF700" s="525">
        <v>0</v>
      </c>
      <c r="AG700" s="525">
        <v>0</v>
      </c>
      <c r="AH700" s="1139">
        <f t="shared" si="20"/>
        <v>0</v>
      </c>
      <c r="AI700" s="1055"/>
      <c r="AJ700" s="1064"/>
      <c r="AK700" s="1055"/>
      <c r="AL700" s="1133"/>
      <c r="AM700" s="2023"/>
      <c r="AN700" s="2023"/>
      <c r="AO700" s="2006"/>
      <c r="AP700" s="2347"/>
      <c r="AQ700" s="2006"/>
      <c r="AR700" s="2347"/>
      <c r="AS700" s="1055"/>
      <c r="AT700" s="1133"/>
      <c r="AU700" s="1133"/>
      <c r="AV700" s="1133"/>
      <c r="AW700" s="1133"/>
      <c r="AX700" s="1133"/>
      <c r="AY700" s="1133"/>
      <c r="AZ700" s="1133"/>
      <c r="BA700" s="1133"/>
      <c r="BB700" s="1133"/>
      <c r="BC700" s="1133"/>
      <c r="BD700" s="1133"/>
      <c r="BE700" s="1480"/>
      <c r="BF700" s="1480"/>
      <c r="BG700" s="1480"/>
      <c r="BH700" s="1480"/>
      <c r="BI700" s="1480"/>
      <c r="BJ700" s="1480"/>
    </row>
    <row r="701" spans="1:62" s="629" customFormat="1" ht="12.75" x14ac:dyDescent="0.2">
      <c r="A701" s="2365"/>
      <c r="B701" s="2366"/>
      <c r="C701" s="2023"/>
      <c r="D701" s="2023"/>
      <c r="E701" s="2023"/>
      <c r="F701" s="2023"/>
      <c r="G701" s="2023"/>
      <c r="H701" s="2367"/>
      <c r="I701" s="2023"/>
      <c r="J701" s="2023"/>
      <c r="K701" s="2023"/>
      <c r="L701" s="2370"/>
      <c r="M701" s="2023"/>
      <c r="N701" s="2347"/>
      <c r="O701" s="2347"/>
      <c r="P701" s="2355"/>
      <c r="Q701" s="2023"/>
      <c r="R701" s="2023"/>
      <c r="S701" s="2023"/>
      <c r="T701" s="2355"/>
      <c r="U701" s="1146" t="s">
        <v>4018</v>
      </c>
      <c r="V701" s="1137">
        <v>40878</v>
      </c>
      <c r="W701" s="1064">
        <v>10707</v>
      </c>
      <c r="X701" s="1055" t="s">
        <v>3907</v>
      </c>
      <c r="Y701" s="1137">
        <v>40909</v>
      </c>
      <c r="Z701" s="1137">
        <v>41274</v>
      </c>
      <c r="AA701" s="1138"/>
      <c r="AB701" s="1055"/>
      <c r="AC701" s="1139"/>
      <c r="AD701" s="1139"/>
      <c r="AE701" s="1139">
        <f>(254.37*7)+AE700</f>
        <v>69301.790000000008</v>
      </c>
      <c r="AF701" s="525">
        <v>0</v>
      </c>
      <c r="AG701" s="525">
        <v>0</v>
      </c>
      <c r="AH701" s="1139">
        <f t="shared" si="20"/>
        <v>0</v>
      </c>
      <c r="AI701" s="1055"/>
      <c r="AJ701" s="1064"/>
      <c r="AK701" s="1055"/>
      <c r="AL701" s="1133"/>
      <c r="AM701" s="2023"/>
      <c r="AN701" s="2023"/>
      <c r="AO701" s="2006"/>
      <c r="AP701" s="2347"/>
      <c r="AQ701" s="2006"/>
      <c r="AR701" s="2347"/>
      <c r="AS701" s="1055"/>
      <c r="AT701" s="1133"/>
      <c r="AU701" s="1133"/>
      <c r="AV701" s="1133"/>
      <c r="AW701" s="1133"/>
      <c r="AX701" s="1133"/>
      <c r="AY701" s="1133"/>
      <c r="AZ701" s="1133"/>
      <c r="BA701" s="1133"/>
      <c r="BB701" s="1133"/>
      <c r="BC701" s="1133"/>
      <c r="BD701" s="1133"/>
      <c r="BE701" s="1480"/>
      <c r="BF701" s="1480"/>
      <c r="BG701" s="1480"/>
      <c r="BH701" s="1480"/>
      <c r="BI701" s="1480"/>
      <c r="BJ701" s="1480"/>
    </row>
    <row r="702" spans="1:62" s="629" customFormat="1" ht="12.75" x14ac:dyDescent="0.2">
      <c r="A702" s="2365"/>
      <c r="B702" s="2366"/>
      <c r="C702" s="2023"/>
      <c r="D702" s="2023"/>
      <c r="E702" s="2023"/>
      <c r="F702" s="2023"/>
      <c r="G702" s="2023"/>
      <c r="H702" s="2367"/>
      <c r="I702" s="2023"/>
      <c r="J702" s="2023"/>
      <c r="K702" s="2023"/>
      <c r="L702" s="2370"/>
      <c r="M702" s="2023"/>
      <c r="N702" s="2347"/>
      <c r="O702" s="2347"/>
      <c r="P702" s="2355"/>
      <c r="Q702" s="2023"/>
      <c r="R702" s="2023"/>
      <c r="S702" s="2023"/>
      <c r="T702" s="2355"/>
      <c r="U702" s="1146" t="s">
        <v>4878</v>
      </c>
      <c r="V702" s="1137">
        <v>41122</v>
      </c>
      <c r="W702" s="1064"/>
      <c r="X702" s="1055" t="s">
        <v>4732</v>
      </c>
      <c r="Y702" s="1137">
        <v>41122</v>
      </c>
      <c r="Z702" s="1137">
        <v>41274</v>
      </c>
      <c r="AA702" s="1138">
        <f>AC702/AE701</f>
        <v>1.589785776096115E-2</v>
      </c>
      <c r="AB702" s="1055"/>
      <c r="AC702" s="1139">
        <f>220.35*5</f>
        <v>1101.75</v>
      </c>
      <c r="AD702" s="1139"/>
      <c r="AE702" s="2343">
        <f>AE701+AC702</f>
        <v>70403.540000000008</v>
      </c>
      <c r="AF702" s="525">
        <v>0</v>
      </c>
      <c r="AG702" s="525">
        <v>0</v>
      </c>
      <c r="AH702" s="1139">
        <f t="shared" si="20"/>
        <v>0</v>
      </c>
      <c r="AI702" s="1055"/>
      <c r="AJ702" s="1064"/>
      <c r="AK702" s="1055"/>
      <c r="AL702" s="1133"/>
      <c r="AM702" s="2023"/>
      <c r="AN702" s="2023"/>
      <c r="AO702" s="2006"/>
      <c r="AP702" s="2347"/>
      <c r="AQ702" s="2006"/>
      <c r="AR702" s="2347"/>
      <c r="AS702" s="1055"/>
      <c r="AT702" s="1133"/>
      <c r="AU702" s="1133"/>
      <c r="AV702" s="1133"/>
      <c r="AW702" s="1133"/>
      <c r="AX702" s="1133"/>
      <c r="AY702" s="1133"/>
      <c r="AZ702" s="1133"/>
      <c r="BA702" s="1133"/>
      <c r="BB702" s="1133"/>
      <c r="BC702" s="1133"/>
      <c r="BD702" s="1133"/>
      <c r="BE702" s="1480"/>
      <c r="BF702" s="1480"/>
      <c r="BG702" s="1480"/>
      <c r="BH702" s="1480"/>
      <c r="BI702" s="1480"/>
      <c r="BJ702" s="1480"/>
    </row>
    <row r="703" spans="1:62" s="629" customFormat="1" ht="12.75" x14ac:dyDescent="0.2">
      <c r="A703" s="2365"/>
      <c r="B703" s="2366"/>
      <c r="C703" s="2023"/>
      <c r="D703" s="2023"/>
      <c r="E703" s="2023"/>
      <c r="F703" s="2023"/>
      <c r="G703" s="2023"/>
      <c r="H703" s="2367"/>
      <c r="I703" s="2023"/>
      <c r="J703" s="2023"/>
      <c r="K703" s="2023"/>
      <c r="L703" s="2370"/>
      <c r="M703" s="2023"/>
      <c r="N703" s="2347"/>
      <c r="O703" s="2347"/>
      <c r="P703" s="2355"/>
      <c r="Q703" s="2023"/>
      <c r="R703" s="2023"/>
      <c r="S703" s="2023"/>
      <c r="T703" s="2355"/>
      <c r="U703" s="1146" t="s">
        <v>4879</v>
      </c>
      <c r="V703" s="1137">
        <v>41143</v>
      </c>
      <c r="W703" s="1064">
        <v>10873</v>
      </c>
      <c r="X703" s="1055" t="s">
        <v>4880</v>
      </c>
      <c r="Y703" s="1137">
        <v>41143</v>
      </c>
      <c r="Z703" s="1137">
        <v>41274</v>
      </c>
      <c r="AA703" s="1138"/>
      <c r="AB703" s="1055"/>
      <c r="AC703" s="1139"/>
      <c r="AD703" s="1139"/>
      <c r="AE703" s="2343"/>
      <c r="AF703" s="525">
        <v>0</v>
      </c>
      <c r="AG703" s="525">
        <v>0</v>
      </c>
      <c r="AH703" s="1139">
        <f t="shared" si="20"/>
        <v>0</v>
      </c>
      <c r="AI703" s="1055"/>
      <c r="AJ703" s="1064"/>
      <c r="AK703" s="1055"/>
      <c r="AL703" s="1133"/>
      <c r="AM703" s="2023"/>
      <c r="AN703" s="2023"/>
      <c r="AO703" s="2006"/>
      <c r="AP703" s="2347"/>
      <c r="AQ703" s="2006"/>
      <c r="AR703" s="2347"/>
      <c r="AS703" s="1055"/>
      <c r="AT703" s="1133"/>
      <c r="AU703" s="1133"/>
      <c r="AV703" s="1133"/>
      <c r="AW703" s="1133"/>
      <c r="AX703" s="1133"/>
      <c r="AY703" s="1133"/>
      <c r="AZ703" s="1133"/>
      <c r="BA703" s="1133"/>
      <c r="BB703" s="1133"/>
      <c r="BC703" s="1133"/>
      <c r="BD703" s="1133"/>
      <c r="BE703" s="1480"/>
      <c r="BF703" s="1480"/>
      <c r="BG703" s="1480"/>
      <c r="BH703" s="1480"/>
      <c r="BI703" s="1480"/>
      <c r="BJ703" s="1480"/>
    </row>
    <row r="704" spans="1:62" s="629" customFormat="1" ht="12.75" x14ac:dyDescent="0.2">
      <c r="A704" s="2365"/>
      <c r="B704" s="2366"/>
      <c r="C704" s="2023"/>
      <c r="D704" s="2023"/>
      <c r="E704" s="2023"/>
      <c r="F704" s="2023"/>
      <c r="G704" s="2023"/>
      <c r="H704" s="2367"/>
      <c r="I704" s="2023"/>
      <c r="J704" s="2023"/>
      <c r="K704" s="2023"/>
      <c r="L704" s="2370"/>
      <c r="M704" s="2023"/>
      <c r="N704" s="2347"/>
      <c r="O704" s="2347"/>
      <c r="P704" s="2355"/>
      <c r="Q704" s="2023"/>
      <c r="R704" s="2023"/>
      <c r="S704" s="2023"/>
      <c r="T704" s="2355"/>
      <c r="U704" s="1146" t="s">
        <v>4881</v>
      </c>
      <c r="V704" s="1137">
        <v>41247</v>
      </c>
      <c r="W704" s="1064">
        <v>10951</v>
      </c>
      <c r="X704" s="1055" t="s">
        <v>4882</v>
      </c>
      <c r="Y704" s="1137">
        <v>41275</v>
      </c>
      <c r="Z704" s="1137">
        <v>41455</v>
      </c>
      <c r="AA704" s="1138"/>
      <c r="AB704" s="1055"/>
      <c r="AC704" s="1139"/>
      <c r="AD704" s="1139"/>
      <c r="AE704" s="1139">
        <f>(220.35*6)+AE702</f>
        <v>71725.640000000014</v>
      </c>
      <c r="AF704" s="525">
        <v>0</v>
      </c>
      <c r="AG704" s="525">
        <v>0</v>
      </c>
      <c r="AH704" s="1139">
        <f t="shared" si="20"/>
        <v>0</v>
      </c>
      <c r="AI704" s="1055"/>
      <c r="AJ704" s="1064"/>
      <c r="AK704" s="1055"/>
      <c r="AL704" s="1133"/>
      <c r="AM704" s="2023"/>
      <c r="AN704" s="2023"/>
      <c r="AO704" s="2006"/>
      <c r="AP704" s="2347"/>
      <c r="AQ704" s="2006"/>
      <c r="AR704" s="2347"/>
      <c r="AS704" s="1055"/>
      <c r="AT704" s="1133"/>
      <c r="AU704" s="1133"/>
      <c r="AV704" s="1133"/>
      <c r="AW704" s="1133"/>
      <c r="AX704" s="1133"/>
      <c r="AY704" s="1133"/>
      <c r="AZ704" s="1133"/>
      <c r="BA704" s="1133"/>
      <c r="BB704" s="1133"/>
      <c r="BC704" s="1133"/>
      <c r="BD704" s="1133"/>
      <c r="BE704" s="1480"/>
      <c r="BF704" s="1480"/>
      <c r="BG704" s="1480"/>
      <c r="BH704" s="1480"/>
      <c r="BI704" s="1480"/>
      <c r="BJ704" s="1480"/>
    </row>
    <row r="705" spans="1:62" s="629" customFormat="1" ht="12.75" x14ac:dyDescent="0.2">
      <c r="A705" s="2365"/>
      <c r="B705" s="2366"/>
      <c r="C705" s="2023"/>
      <c r="D705" s="2023"/>
      <c r="E705" s="2023"/>
      <c r="F705" s="2023"/>
      <c r="G705" s="2023"/>
      <c r="H705" s="2367"/>
      <c r="I705" s="2023"/>
      <c r="J705" s="2023"/>
      <c r="K705" s="2023"/>
      <c r="L705" s="2370"/>
      <c r="M705" s="2023"/>
      <c r="N705" s="2347"/>
      <c r="O705" s="2347"/>
      <c r="P705" s="2355"/>
      <c r="Q705" s="2023"/>
      <c r="R705" s="2023"/>
      <c r="S705" s="2023"/>
      <c r="T705" s="2355"/>
      <c r="U705" s="1146" t="s">
        <v>4883</v>
      </c>
      <c r="V705" s="1137">
        <v>41084</v>
      </c>
      <c r="W705" s="1064">
        <v>11083</v>
      </c>
      <c r="X705" s="1055" t="s">
        <v>4882</v>
      </c>
      <c r="Y705" s="1137">
        <v>41456</v>
      </c>
      <c r="Z705" s="1137">
        <v>41639</v>
      </c>
      <c r="AA705" s="1138"/>
      <c r="AB705" s="1055"/>
      <c r="AC705" s="1139"/>
      <c r="AD705" s="1139"/>
      <c r="AE705" s="1139">
        <f>(220.35*6)+AE704</f>
        <v>73047.74000000002</v>
      </c>
      <c r="AF705" s="525">
        <v>0</v>
      </c>
      <c r="AG705" s="525">
        <v>0</v>
      </c>
      <c r="AH705" s="1139">
        <f t="shared" si="20"/>
        <v>0</v>
      </c>
      <c r="AI705" s="1055"/>
      <c r="AJ705" s="1064"/>
      <c r="AK705" s="1055"/>
      <c r="AL705" s="1133"/>
      <c r="AM705" s="2023"/>
      <c r="AN705" s="2023"/>
      <c r="AO705" s="2006"/>
      <c r="AP705" s="2347"/>
      <c r="AQ705" s="2006"/>
      <c r="AR705" s="2347"/>
      <c r="AS705" s="1055"/>
      <c r="AT705" s="1133"/>
      <c r="AU705" s="1133"/>
      <c r="AV705" s="1133"/>
      <c r="AW705" s="1133"/>
      <c r="AX705" s="1133"/>
      <c r="AY705" s="1133"/>
      <c r="AZ705" s="1133"/>
      <c r="BA705" s="1133"/>
      <c r="BB705" s="1133"/>
      <c r="BC705" s="1133"/>
      <c r="BD705" s="1133"/>
      <c r="BE705" s="1480"/>
      <c r="BF705" s="1480"/>
      <c r="BG705" s="1480"/>
      <c r="BH705" s="1480"/>
      <c r="BI705" s="1480"/>
      <c r="BJ705" s="1480"/>
    </row>
    <row r="706" spans="1:62" s="629" customFormat="1" ht="12.75" x14ac:dyDescent="0.2">
      <c r="A706" s="2365"/>
      <c r="B706" s="2366"/>
      <c r="C706" s="2023"/>
      <c r="D706" s="2023"/>
      <c r="E706" s="2023"/>
      <c r="F706" s="2023"/>
      <c r="G706" s="2023"/>
      <c r="H706" s="2367"/>
      <c r="I706" s="2023"/>
      <c r="J706" s="2023"/>
      <c r="K706" s="2023"/>
      <c r="L706" s="2370"/>
      <c r="M706" s="2023"/>
      <c r="N706" s="2347"/>
      <c r="O706" s="2347"/>
      <c r="P706" s="2355"/>
      <c r="Q706" s="2023"/>
      <c r="R706" s="2023"/>
      <c r="S706" s="2023"/>
      <c r="T706" s="2355"/>
      <c r="U706" s="1146" t="s">
        <v>4884</v>
      </c>
      <c r="V706" s="1137">
        <v>41269</v>
      </c>
      <c r="W706" s="1064"/>
      <c r="X706" s="1055" t="s">
        <v>4732</v>
      </c>
      <c r="Y706" s="1137">
        <v>41487</v>
      </c>
      <c r="Z706" s="1137">
        <v>41639</v>
      </c>
      <c r="AA706" s="1138">
        <f>AC706/AE705</f>
        <v>1.2478141007510974E-2</v>
      </c>
      <c r="AB706" s="1055"/>
      <c r="AC706" s="1139">
        <f>182.3*5</f>
        <v>911.5</v>
      </c>
      <c r="AD706" s="1139"/>
      <c r="AE706" s="1139">
        <f>AE705+AC706</f>
        <v>73959.24000000002</v>
      </c>
      <c r="AF706" s="525">
        <v>0</v>
      </c>
      <c r="AG706" s="525">
        <v>0</v>
      </c>
      <c r="AH706" s="1139">
        <f t="shared" si="20"/>
        <v>0</v>
      </c>
      <c r="AI706" s="1055"/>
      <c r="AJ706" s="1064"/>
      <c r="AK706" s="1055"/>
      <c r="AL706" s="1133"/>
      <c r="AM706" s="2023"/>
      <c r="AN706" s="2023"/>
      <c r="AO706" s="2006"/>
      <c r="AP706" s="2347"/>
      <c r="AQ706" s="2006"/>
      <c r="AR706" s="2347"/>
      <c r="AS706" s="1055"/>
      <c r="AT706" s="1133"/>
      <c r="AU706" s="1133"/>
      <c r="AV706" s="1133"/>
      <c r="AW706" s="1133"/>
      <c r="AX706" s="1133"/>
      <c r="AY706" s="1133"/>
      <c r="AZ706" s="1133"/>
      <c r="BA706" s="1133"/>
      <c r="BB706" s="1133"/>
      <c r="BC706" s="1133"/>
      <c r="BD706" s="1133"/>
      <c r="BE706" s="1480"/>
      <c r="BF706" s="1480"/>
      <c r="BG706" s="1480"/>
      <c r="BH706" s="1480"/>
      <c r="BI706" s="1480"/>
      <c r="BJ706" s="1480"/>
    </row>
    <row r="707" spans="1:62" s="629" customFormat="1" ht="12.75" x14ac:dyDescent="0.2">
      <c r="A707" s="2365"/>
      <c r="B707" s="2366"/>
      <c r="C707" s="2023"/>
      <c r="D707" s="2023"/>
      <c r="E707" s="2023"/>
      <c r="F707" s="2023"/>
      <c r="G707" s="2023"/>
      <c r="H707" s="2367"/>
      <c r="I707" s="2023"/>
      <c r="J707" s="2023"/>
      <c r="K707" s="2023"/>
      <c r="L707" s="2370"/>
      <c r="M707" s="2023"/>
      <c r="N707" s="2347"/>
      <c r="O707" s="2347"/>
      <c r="P707" s="2355"/>
      <c r="Q707" s="2023"/>
      <c r="R707" s="2023"/>
      <c r="S707" s="2023"/>
      <c r="T707" s="2355"/>
      <c r="U707" s="1146" t="s">
        <v>4885</v>
      </c>
      <c r="V707" s="1137">
        <v>41631</v>
      </c>
      <c r="W707" s="1064">
        <v>11238</v>
      </c>
      <c r="X707" s="1055" t="s">
        <v>4034</v>
      </c>
      <c r="Y707" s="1137">
        <v>41640</v>
      </c>
      <c r="Z707" s="1137">
        <v>41394</v>
      </c>
      <c r="AA707" s="1138"/>
      <c r="AB707" s="1055"/>
      <c r="AC707" s="1139"/>
      <c r="AD707" s="1139"/>
      <c r="AE707" s="1139">
        <f>AE706+(182.3*4)</f>
        <v>74688.440000000017</v>
      </c>
      <c r="AF707" s="525">
        <v>0</v>
      </c>
      <c r="AG707" s="525">
        <v>0</v>
      </c>
      <c r="AH707" s="1139">
        <f t="shared" si="20"/>
        <v>0</v>
      </c>
      <c r="AI707" s="1055"/>
      <c r="AJ707" s="1064"/>
      <c r="AK707" s="1055"/>
      <c r="AL707" s="1133"/>
      <c r="AM707" s="2023"/>
      <c r="AN707" s="2023"/>
      <c r="AO707" s="2006"/>
      <c r="AP707" s="2347"/>
      <c r="AQ707" s="2006"/>
      <c r="AR707" s="2347"/>
      <c r="AS707" s="1055"/>
      <c r="AT707" s="1133"/>
      <c r="AU707" s="1133"/>
      <c r="AV707" s="1133"/>
      <c r="AW707" s="1133"/>
      <c r="AX707" s="1133"/>
      <c r="AY707" s="1133"/>
      <c r="AZ707" s="1133"/>
      <c r="BA707" s="1133"/>
      <c r="BB707" s="1133"/>
      <c r="BC707" s="1133"/>
      <c r="BD707" s="1133"/>
      <c r="BE707" s="1480"/>
      <c r="BF707" s="1480"/>
      <c r="BG707" s="1480"/>
      <c r="BH707" s="1480"/>
      <c r="BI707" s="1480"/>
      <c r="BJ707" s="1480"/>
    </row>
    <row r="708" spans="1:62" s="629" customFormat="1" ht="25.5" customHeight="1" x14ac:dyDescent="0.2">
      <c r="A708" s="2365">
        <v>291</v>
      </c>
      <c r="B708" s="2366" t="s">
        <v>4886</v>
      </c>
      <c r="C708" s="2023"/>
      <c r="D708" s="2023" t="s">
        <v>2222</v>
      </c>
      <c r="E708" s="2023" t="s">
        <v>584</v>
      </c>
      <c r="F708" s="2023" t="s">
        <v>4887</v>
      </c>
      <c r="G708" s="2006">
        <v>9983</v>
      </c>
      <c r="H708" s="2367" t="s">
        <v>4888</v>
      </c>
      <c r="I708" s="2023" t="s">
        <v>4889</v>
      </c>
      <c r="J708" s="2023" t="s">
        <v>854</v>
      </c>
      <c r="K708" s="2347">
        <v>39937</v>
      </c>
      <c r="L708" s="2369">
        <v>5500</v>
      </c>
      <c r="M708" s="2023"/>
      <c r="N708" s="2347">
        <v>39937</v>
      </c>
      <c r="O708" s="2347">
        <v>40178</v>
      </c>
      <c r="P708" s="2367" t="s">
        <v>3905</v>
      </c>
      <c r="Q708" s="2023"/>
      <c r="R708" s="2023"/>
      <c r="S708" s="2023"/>
      <c r="T708" s="2023" t="s">
        <v>208</v>
      </c>
      <c r="U708" s="1146"/>
      <c r="V708" s="1137"/>
      <c r="W708" s="1064"/>
      <c r="X708" s="1055"/>
      <c r="Y708" s="1137"/>
      <c r="Z708" s="1137"/>
      <c r="AA708" s="1138"/>
      <c r="AB708" s="1055"/>
      <c r="AC708" s="1139"/>
      <c r="AD708" s="1139"/>
      <c r="AE708" s="1155"/>
      <c r="AF708" s="555">
        <v>19927.25</v>
      </c>
      <c r="AG708" s="556">
        <v>63.06</v>
      </c>
      <c r="AH708" s="1139">
        <f t="shared" si="20"/>
        <v>19990.310000000001</v>
      </c>
      <c r="AI708" s="1055"/>
      <c r="AJ708" s="1064"/>
      <c r="AK708" s="1055"/>
      <c r="AL708" s="1133"/>
      <c r="AM708" s="1055"/>
      <c r="AN708" s="1055"/>
      <c r="AO708" s="1064"/>
      <c r="AP708" s="1137"/>
      <c r="AQ708" s="1064"/>
      <c r="AR708" s="1137"/>
      <c r="AS708" s="1055"/>
      <c r="AT708" s="1133"/>
      <c r="AU708" s="1133"/>
      <c r="AV708" s="1133"/>
      <c r="AW708" s="1133"/>
      <c r="AX708" s="1133"/>
      <c r="AY708" s="1133"/>
      <c r="AZ708" s="1133"/>
      <c r="BA708" s="1133"/>
      <c r="BB708" s="1133"/>
      <c r="BC708" s="1133"/>
      <c r="BD708" s="1133"/>
      <c r="BE708" s="1480"/>
      <c r="BF708" s="1480"/>
      <c r="BG708" s="1480"/>
      <c r="BH708" s="1480"/>
      <c r="BI708" s="1480"/>
      <c r="BJ708" s="1480"/>
    </row>
    <row r="709" spans="1:62" s="629" customFormat="1" ht="25.5" customHeight="1" x14ac:dyDescent="0.2">
      <c r="A709" s="2365"/>
      <c r="B709" s="2366"/>
      <c r="C709" s="2023"/>
      <c r="D709" s="2023"/>
      <c r="E709" s="2023"/>
      <c r="F709" s="2023"/>
      <c r="G709" s="2006"/>
      <c r="H709" s="2367"/>
      <c r="I709" s="2023"/>
      <c r="J709" s="2023"/>
      <c r="K709" s="2347"/>
      <c r="L709" s="2369"/>
      <c r="M709" s="2023"/>
      <c r="N709" s="2347"/>
      <c r="O709" s="2347"/>
      <c r="P709" s="2367"/>
      <c r="Q709" s="2023"/>
      <c r="R709" s="2023"/>
      <c r="S709" s="2023"/>
      <c r="T709" s="2023"/>
      <c r="U709" s="1146" t="s">
        <v>3889</v>
      </c>
      <c r="V709" s="1137">
        <v>40170</v>
      </c>
      <c r="W709" s="1064">
        <v>10209</v>
      </c>
      <c r="X709" s="1055" t="s">
        <v>3907</v>
      </c>
      <c r="Y709" s="1137">
        <v>40179</v>
      </c>
      <c r="Z709" s="1137">
        <v>40543</v>
      </c>
      <c r="AA709" s="542"/>
      <c r="AB709" s="1055"/>
      <c r="AC709" s="1139"/>
      <c r="AD709" s="1139"/>
      <c r="AE709" s="1155"/>
      <c r="AF709" s="557"/>
      <c r="AG709" s="558"/>
      <c r="AH709" s="1139">
        <f t="shared" si="20"/>
        <v>0</v>
      </c>
      <c r="AI709" s="1055"/>
      <c r="AJ709" s="1064"/>
      <c r="AK709" s="1055"/>
      <c r="AL709" s="1133"/>
      <c r="AM709" s="1055"/>
      <c r="AN709" s="1055"/>
      <c r="AO709" s="1064"/>
      <c r="AP709" s="1137"/>
      <c r="AQ709" s="1064"/>
      <c r="AR709" s="1137"/>
      <c r="AS709" s="1055"/>
      <c r="AT709" s="1133"/>
      <c r="AU709" s="1133"/>
      <c r="AV709" s="1133"/>
      <c r="AW709" s="1133"/>
      <c r="AX709" s="1133"/>
      <c r="AY709" s="1133"/>
      <c r="AZ709" s="1133"/>
      <c r="BA709" s="1133"/>
      <c r="BB709" s="1133"/>
      <c r="BC709" s="1133"/>
      <c r="BD709" s="1133"/>
      <c r="BE709" s="1480"/>
      <c r="BF709" s="1480"/>
      <c r="BG709" s="1480"/>
      <c r="BH709" s="1480"/>
      <c r="BI709" s="1480"/>
      <c r="BJ709" s="1480"/>
    </row>
    <row r="710" spans="1:62" s="629" customFormat="1" ht="25.5" customHeight="1" x14ac:dyDescent="0.2">
      <c r="A710" s="2365"/>
      <c r="B710" s="2366"/>
      <c r="C710" s="2023"/>
      <c r="D710" s="2023"/>
      <c r="E710" s="2023"/>
      <c r="F710" s="2023"/>
      <c r="G710" s="2006"/>
      <c r="H710" s="2367"/>
      <c r="I710" s="2023"/>
      <c r="J710" s="2023"/>
      <c r="K710" s="2347"/>
      <c r="L710" s="2369"/>
      <c r="M710" s="2023"/>
      <c r="N710" s="2347"/>
      <c r="O710" s="2347"/>
      <c r="P710" s="2367"/>
      <c r="Q710" s="2023"/>
      <c r="R710" s="2023"/>
      <c r="S710" s="2023"/>
      <c r="T710" s="2023"/>
      <c r="U710" s="1146" t="s">
        <v>3891</v>
      </c>
      <c r="V710" s="1137">
        <v>40429</v>
      </c>
      <c r="W710" s="1064"/>
      <c r="X710" s="1146" t="s">
        <v>4777</v>
      </c>
      <c r="Y710" s="1137">
        <v>40429</v>
      </c>
      <c r="Z710" s="1137">
        <v>40543</v>
      </c>
      <c r="AA710" s="1138">
        <f>AC710/L708</f>
        <v>0.89118181818181819</v>
      </c>
      <c r="AB710" s="1055"/>
      <c r="AC710" s="1139">
        <v>4901.5</v>
      </c>
      <c r="AD710" s="1139"/>
      <c r="AE710" s="1155">
        <f>L708-AD710+AC710</f>
        <v>10401.5</v>
      </c>
      <c r="AF710" s="557"/>
      <c r="AG710" s="558"/>
      <c r="AH710" s="1139">
        <f t="shared" si="20"/>
        <v>0</v>
      </c>
      <c r="AI710" s="1055"/>
      <c r="AJ710" s="1064"/>
      <c r="AK710" s="1055"/>
      <c r="AL710" s="1133"/>
      <c r="AM710" s="1055" t="s">
        <v>1311</v>
      </c>
      <c r="AN710" s="1055" t="s">
        <v>4890</v>
      </c>
      <c r="AO710" s="1064">
        <v>9983</v>
      </c>
      <c r="AP710" s="1137">
        <v>39841</v>
      </c>
      <c r="AQ710" s="1064">
        <v>9983</v>
      </c>
      <c r="AR710" s="1137">
        <v>39843</v>
      </c>
      <c r="AS710" s="1055"/>
      <c r="AT710" s="1133"/>
      <c r="AU710" s="1133"/>
      <c r="AV710" s="1133"/>
      <c r="AW710" s="1133"/>
      <c r="AX710" s="1133"/>
      <c r="AY710" s="1133"/>
      <c r="AZ710" s="1133"/>
      <c r="BA710" s="1133"/>
      <c r="BB710" s="1133"/>
      <c r="BC710" s="1133"/>
      <c r="BD710" s="1133"/>
      <c r="BE710" s="1480"/>
      <c r="BF710" s="1480"/>
      <c r="BG710" s="1480"/>
      <c r="BH710" s="1480"/>
      <c r="BI710" s="1480"/>
      <c r="BJ710" s="1480"/>
    </row>
    <row r="711" spans="1:62" s="629" customFormat="1" ht="25.5" customHeight="1" x14ac:dyDescent="0.2">
      <c r="A711" s="2365"/>
      <c r="B711" s="2366"/>
      <c r="C711" s="2023"/>
      <c r="D711" s="2023"/>
      <c r="E711" s="2023"/>
      <c r="F711" s="2023"/>
      <c r="G711" s="2006"/>
      <c r="H711" s="2367"/>
      <c r="I711" s="2023"/>
      <c r="J711" s="2023"/>
      <c r="K711" s="2347"/>
      <c r="L711" s="2369"/>
      <c r="M711" s="2023"/>
      <c r="N711" s="2347"/>
      <c r="O711" s="2347"/>
      <c r="P711" s="2367"/>
      <c r="Q711" s="2023"/>
      <c r="R711" s="2023"/>
      <c r="S711" s="2023"/>
      <c r="T711" s="2023"/>
      <c r="U711" s="1146" t="s">
        <v>3908</v>
      </c>
      <c r="V711" s="1137">
        <v>40525</v>
      </c>
      <c r="W711" s="1064">
        <v>10441</v>
      </c>
      <c r="X711" s="1055" t="s">
        <v>3907</v>
      </c>
      <c r="Y711" s="1137">
        <v>40544</v>
      </c>
      <c r="Z711" s="1137">
        <v>40908</v>
      </c>
      <c r="AA711" s="1138"/>
      <c r="AB711" s="1055"/>
      <c r="AC711" s="1139"/>
      <c r="AD711" s="1139"/>
      <c r="AE711" s="1155"/>
      <c r="AF711" s="557"/>
      <c r="AG711" s="558"/>
      <c r="AH711" s="1139">
        <f t="shared" si="20"/>
        <v>0</v>
      </c>
      <c r="AI711" s="1055"/>
      <c r="AJ711" s="1064"/>
      <c r="AK711" s="1055"/>
      <c r="AL711" s="1133"/>
      <c r="AM711" s="1055"/>
      <c r="AN711" s="1055"/>
      <c r="AO711" s="1064"/>
      <c r="AP711" s="1137"/>
      <c r="AQ711" s="1064"/>
      <c r="AR711" s="1137"/>
      <c r="AS711" s="1055"/>
      <c r="AT711" s="1133"/>
      <c r="AU711" s="1133"/>
      <c r="AV711" s="1133"/>
      <c r="AW711" s="1133"/>
      <c r="AX711" s="1133"/>
      <c r="AY711" s="1133"/>
      <c r="AZ711" s="1133"/>
      <c r="BA711" s="1133"/>
      <c r="BB711" s="1133"/>
      <c r="BC711" s="1133"/>
      <c r="BD711" s="1133"/>
      <c r="BE711" s="1480"/>
      <c r="BF711" s="1480"/>
      <c r="BG711" s="1480"/>
      <c r="BH711" s="1480"/>
      <c r="BI711" s="1480"/>
      <c r="BJ711" s="1480"/>
    </row>
    <row r="712" spans="1:62" s="629" customFormat="1" ht="25.5" customHeight="1" x14ac:dyDescent="0.2">
      <c r="A712" s="2365"/>
      <c r="B712" s="2366"/>
      <c r="C712" s="2023"/>
      <c r="D712" s="2023"/>
      <c r="E712" s="2023"/>
      <c r="F712" s="2023"/>
      <c r="G712" s="2006"/>
      <c r="H712" s="2367"/>
      <c r="I712" s="2023"/>
      <c r="J712" s="2023"/>
      <c r="K712" s="2347"/>
      <c r="L712" s="2369"/>
      <c r="M712" s="2023"/>
      <c r="N712" s="2347"/>
      <c r="O712" s="2347"/>
      <c r="P712" s="2367"/>
      <c r="Q712" s="2023"/>
      <c r="R712" s="2023"/>
      <c r="S712" s="2023"/>
      <c r="T712" s="2023"/>
      <c r="U712" s="1146" t="s">
        <v>3893</v>
      </c>
      <c r="V712" s="1137">
        <v>40887</v>
      </c>
      <c r="W712" s="1064">
        <v>10716</v>
      </c>
      <c r="X712" s="1055" t="s">
        <v>3907</v>
      </c>
      <c r="Y712" s="1137">
        <v>40909</v>
      </c>
      <c r="Z712" s="1137">
        <v>41274</v>
      </c>
      <c r="AA712" s="1138"/>
      <c r="AB712" s="1055"/>
      <c r="AC712" s="1139"/>
      <c r="AD712" s="1139"/>
      <c r="AE712" s="1155"/>
      <c r="AF712" s="557"/>
      <c r="AG712" s="558"/>
      <c r="AH712" s="1139">
        <f t="shared" si="20"/>
        <v>0</v>
      </c>
      <c r="AI712" s="1055"/>
      <c r="AJ712" s="1064"/>
      <c r="AK712" s="1055"/>
      <c r="AL712" s="1133"/>
      <c r="AM712" s="1055"/>
      <c r="AN712" s="1055"/>
      <c r="AO712" s="1064"/>
      <c r="AP712" s="1137"/>
      <c r="AQ712" s="1064"/>
      <c r="AR712" s="1137"/>
      <c r="AS712" s="1055"/>
      <c r="AT712" s="1133"/>
      <c r="AU712" s="1133"/>
      <c r="AV712" s="1133"/>
      <c r="AW712" s="1133"/>
      <c r="AX712" s="1133"/>
      <c r="AY712" s="1133"/>
      <c r="AZ712" s="1133"/>
      <c r="BA712" s="1133"/>
      <c r="BB712" s="1133"/>
      <c r="BC712" s="1133"/>
      <c r="BD712" s="1133"/>
      <c r="BE712" s="1480"/>
      <c r="BF712" s="1480"/>
      <c r="BG712" s="1480"/>
      <c r="BH712" s="1480"/>
      <c r="BI712" s="1480"/>
      <c r="BJ712" s="1480"/>
    </row>
    <row r="713" spans="1:62" s="629" customFormat="1" ht="25.5" customHeight="1" x14ac:dyDescent="0.2">
      <c r="A713" s="2365"/>
      <c r="B713" s="2366"/>
      <c r="C713" s="2023"/>
      <c r="D713" s="2023"/>
      <c r="E713" s="2023"/>
      <c r="F713" s="2023"/>
      <c r="G713" s="2006"/>
      <c r="H713" s="2367"/>
      <c r="I713" s="2023"/>
      <c r="J713" s="2023"/>
      <c r="K713" s="2347"/>
      <c r="L713" s="2369"/>
      <c r="M713" s="2023"/>
      <c r="N713" s="2347"/>
      <c r="O713" s="2347"/>
      <c r="P713" s="2367"/>
      <c r="Q713" s="2023"/>
      <c r="R713" s="2023"/>
      <c r="S713" s="2023"/>
      <c r="T713" s="2023"/>
      <c r="U713" s="1146" t="s">
        <v>3909</v>
      </c>
      <c r="V713" s="1137">
        <v>41240</v>
      </c>
      <c r="W713" s="1064">
        <v>10939</v>
      </c>
      <c r="X713" s="1055" t="s">
        <v>4891</v>
      </c>
      <c r="Y713" s="1137">
        <v>40909</v>
      </c>
      <c r="Z713" s="1137">
        <v>41274</v>
      </c>
      <c r="AA713" s="1138"/>
      <c r="AB713" s="1138">
        <f>AD713/AE710</f>
        <v>0.32638657885881844</v>
      </c>
      <c r="AC713" s="1139"/>
      <c r="AD713" s="1139">
        <v>3394.91</v>
      </c>
      <c r="AE713" s="1155">
        <f>AE710-AD713+AC713</f>
        <v>7006.59</v>
      </c>
      <c r="AF713" s="557"/>
      <c r="AG713" s="558"/>
      <c r="AH713" s="1139">
        <f t="shared" si="20"/>
        <v>0</v>
      </c>
      <c r="AI713" s="1055"/>
      <c r="AJ713" s="1064"/>
      <c r="AK713" s="1055"/>
      <c r="AL713" s="1133"/>
      <c r="AM713" s="1055"/>
      <c r="AN713" s="1055"/>
      <c r="AO713" s="1064"/>
      <c r="AP713" s="1137"/>
      <c r="AQ713" s="1064"/>
      <c r="AR713" s="1137"/>
      <c r="AS713" s="1055"/>
      <c r="AT713" s="1133"/>
      <c r="AU713" s="1133"/>
      <c r="AV713" s="1133"/>
      <c r="AW713" s="1133"/>
      <c r="AX713" s="1133"/>
      <c r="AY713" s="1133"/>
      <c r="AZ713" s="1133"/>
      <c r="BA713" s="1133"/>
      <c r="BB713" s="1133"/>
      <c r="BC713" s="1133"/>
      <c r="BD713" s="1133"/>
      <c r="BE713" s="1480"/>
      <c r="BF713" s="1480"/>
      <c r="BG713" s="1480"/>
      <c r="BH713" s="1480"/>
      <c r="BI713" s="1480"/>
      <c r="BJ713" s="1480"/>
    </row>
    <row r="714" spans="1:62" s="629" customFormat="1" ht="25.5" customHeight="1" x14ac:dyDescent="0.2">
      <c r="A714" s="2365"/>
      <c r="B714" s="2366"/>
      <c r="C714" s="2023"/>
      <c r="D714" s="2023"/>
      <c r="E714" s="2023"/>
      <c r="F714" s="2023"/>
      <c r="G714" s="2006"/>
      <c r="H714" s="2367"/>
      <c r="I714" s="2023"/>
      <c r="J714" s="2023"/>
      <c r="K714" s="2347"/>
      <c r="L714" s="2369"/>
      <c r="M714" s="2023"/>
      <c r="N714" s="2347"/>
      <c r="O714" s="2347"/>
      <c r="P714" s="2367"/>
      <c r="Q714" s="2023"/>
      <c r="R714" s="2023"/>
      <c r="S714" s="2023"/>
      <c r="T714" s="2023"/>
      <c r="U714" s="1146" t="s">
        <v>4864</v>
      </c>
      <c r="V714" s="1137">
        <v>41246</v>
      </c>
      <c r="W714" s="1064">
        <v>10951</v>
      </c>
      <c r="X714" s="1055" t="s">
        <v>3907</v>
      </c>
      <c r="Y714" s="1137">
        <v>41275</v>
      </c>
      <c r="Z714" s="1137">
        <v>41639</v>
      </c>
      <c r="AA714" s="1138"/>
      <c r="AB714" s="1055"/>
      <c r="AC714" s="1139"/>
      <c r="AD714" s="1139"/>
      <c r="AE714" s="1155"/>
      <c r="AF714" s="557"/>
      <c r="AG714" s="558"/>
      <c r="AH714" s="1139">
        <f t="shared" si="20"/>
        <v>0</v>
      </c>
      <c r="AI714" s="1055"/>
      <c r="AJ714" s="1064"/>
      <c r="AK714" s="1055"/>
      <c r="AL714" s="1133"/>
      <c r="AM714" s="1055"/>
      <c r="AN714" s="1055"/>
      <c r="AO714" s="1064"/>
      <c r="AP714" s="1137"/>
      <c r="AQ714" s="1064"/>
      <c r="AR714" s="1137"/>
      <c r="AS714" s="1055"/>
      <c r="AT714" s="1133"/>
      <c r="AU714" s="1133"/>
      <c r="AV714" s="1133"/>
      <c r="AW714" s="1133"/>
      <c r="AX714" s="1133"/>
      <c r="AY714" s="1133"/>
      <c r="AZ714" s="1133"/>
      <c r="BA714" s="1133"/>
      <c r="BB714" s="1133"/>
      <c r="BC714" s="1133"/>
      <c r="BD714" s="1133"/>
      <c r="BE714" s="1480"/>
      <c r="BF714" s="1480"/>
      <c r="BG714" s="1480"/>
      <c r="BH714" s="1480"/>
      <c r="BI714" s="1480"/>
      <c r="BJ714" s="1480"/>
    </row>
    <row r="715" spans="1:62" s="629" customFormat="1" ht="25.5" customHeight="1" x14ac:dyDescent="0.2">
      <c r="A715" s="2365"/>
      <c r="B715" s="2366"/>
      <c r="C715" s="2023"/>
      <c r="D715" s="2023"/>
      <c r="E715" s="2023"/>
      <c r="F715" s="2023"/>
      <c r="G715" s="2006"/>
      <c r="H715" s="2367"/>
      <c r="I715" s="2023"/>
      <c r="J715" s="2023"/>
      <c r="K715" s="2347"/>
      <c r="L715" s="2369"/>
      <c r="M715" s="2023"/>
      <c r="N715" s="2347"/>
      <c r="O715" s="2347"/>
      <c r="P715" s="2367"/>
      <c r="Q715" s="2023"/>
      <c r="R715" s="2023"/>
      <c r="S715" s="2023"/>
      <c r="T715" s="2023"/>
      <c r="U715" s="1146" t="s">
        <v>4892</v>
      </c>
      <c r="V715" s="1137">
        <v>41631</v>
      </c>
      <c r="W715" s="1064"/>
      <c r="X715" s="1055" t="s">
        <v>4893</v>
      </c>
      <c r="Y715" s="1137">
        <v>41640</v>
      </c>
      <c r="Z715" s="1137">
        <v>42004</v>
      </c>
      <c r="AA715" s="1138"/>
      <c r="AB715" s="1055"/>
      <c r="AC715" s="1139"/>
      <c r="AD715" s="1139"/>
      <c r="AE715" s="1155"/>
      <c r="AF715" s="557"/>
      <c r="AG715" s="558"/>
      <c r="AH715" s="1139">
        <f t="shared" si="20"/>
        <v>0</v>
      </c>
      <c r="AI715" s="1055"/>
      <c r="AJ715" s="1064"/>
      <c r="AK715" s="1055"/>
      <c r="AL715" s="1133"/>
      <c r="AM715" s="1055"/>
      <c r="AN715" s="1055"/>
      <c r="AO715" s="1064"/>
      <c r="AP715" s="1137"/>
      <c r="AQ715" s="1064"/>
      <c r="AR715" s="1137"/>
      <c r="AS715" s="1055"/>
      <c r="AT715" s="1133"/>
      <c r="AU715" s="1133"/>
      <c r="AV715" s="1133"/>
      <c r="AW715" s="1133"/>
      <c r="AX715" s="1133"/>
      <c r="AY715" s="1133"/>
      <c r="AZ715" s="1133"/>
      <c r="BA715" s="1133"/>
      <c r="BB715" s="1133"/>
      <c r="BC715" s="1133"/>
      <c r="BD715" s="1133"/>
      <c r="BE715" s="1480"/>
      <c r="BF715" s="1480"/>
      <c r="BG715" s="1480"/>
      <c r="BH715" s="1480"/>
      <c r="BI715" s="1480"/>
      <c r="BJ715" s="1480"/>
    </row>
    <row r="716" spans="1:62" s="629" customFormat="1" ht="25.5" customHeight="1" x14ac:dyDescent="0.2">
      <c r="A716" s="2365"/>
      <c r="B716" s="2366"/>
      <c r="C716" s="2023"/>
      <c r="D716" s="2023"/>
      <c r="E716" s="2023"/>
      <c r="F716" s="2023"/>
      <c r="G716" s="2006"/>
      <c r="H716" s="2367"/>
      <c r="I716" s="2023"/>
      <c r="J716" s="2023"/>
      <c r="K716" s="2347"/>
      <c r="L716" s="2369"/>
      <c r="M716" s="2023"/>
      <c r="N716" s="2347"/>
      <c r="O716" s="2347"/>
      <c r="P716" s="2367"/>
      <c r="Q716" s="2023"/>
      <c r="R716" s="2023"/>
      <c r="S716" s="2023"/>
      <c r="T716" s="2023"/>
      <c r="U716" s="1146" t="s">
        <v>4018</v>
      </c>
      <c r="V716" s="1137">
        <v>41611</v>
      </c>
      <c r="W716" s="1145">
        <v>11257</v>
      </c>
      <c r="X716" s="1055" t="s">
        <v>4034</v>
      </c>
      <c r="Y716" s="1137">
        <v>41640</v>
      </c>
      <c r="Z716" s="1137">
        <v>41759</v>
      </c>
      <c r="AA716" s="1138"/>
      <c r="AB716" s="1138">
        <f>AD716/AE713</f>
        <v>0.48453099153796636</v>
      </c>
      <c r="AC716" s="1139"/>
      <c r="AD716" s="1573">
        <v>3394.91</v>
      </c>
      <c r="AE716" s="1155">
        <f>AE713-AD716</f>
        <v>3611.6800000000003</v>
      </c>
      <c r="AF716" s="559"/>
      <c r="AG716" s="560"/>
      <c r="AH716" s="1139">
        <f t="shared" si="20"/>
        <v>0</v>
      </c>
      <c r="AI716" s="1055"/>
      <c r="AJ716" s="1064"/>
      <c r="AK716" s="1055"/>
      <c r="AL716" s="1133"/>
      <c r="AM716" s="1055"/>
      <c r="AN716" s="1055"/>
      <c r="AO716" s="1064"/>
      <c r="AP716" s="1137"/>
      <c r="AQ716" s="1064"/>
      <c r="AR716" s="1137"/>
      <c r="AS716" s="1055"/>
      <c r="AT716" s="1133"/>
      <c r="AU716" s="1133"/>
      <c r="AV716" s="1133"/>
      <c r="AW716" s="1133"/>
      <c r="AX716" s="1133"/>
      <c r="AY716" s="1133"/>
      <c r="AZ716" s="1133"/>
      <c r="BA716" s="1133"/>
      <c r="BB716" s="1133"/>
      <c r="BC716" s="1133"/>
      <c r="BD716" s="1133"/>
      <c r="BE716" s="1480"/>
      <c r="BF716" s="1480"/>
      <c r="BG716" s="1480"/>
      <c r="BH716" s="1480"/>
      <c r="BI716" s="1480"/>
      <c r="BJ716" s="1480"/>
    </row>
    <row r="717" spans="1:62" s="629" customFormat="1" ht="28.5" customHeight="1" x14ac:dyDescent="0.2">
      <c r="A717" s="2365">
        <v>292</v>
      </c>
      <c r="B717" s="2366" t="s">
        <v>4894</v>
      </c>
      <c r="C717" s="2023"/>
      <c r="D717" s="2023" t="s">
        <v>2222</v>
      </c>
      <c r="E717" s="2023" t="s">
        <v>584</v>
      </c>
      <c r="F717" s="2023" t="s">
        <v>4895</v>
      </c>
      <c r="G717" s="2006">
        <v>10723</v>
      </c>
      <c r="H717" s="2367" t="s">
        <v>4896</v>
      </c>
      <c r="I717" s="2023" t="s">
        <v>4897</v>
      </c>
      <c r="J717" s="2023" t="s">
        <v>4898</v>
      </c>
      <c r="K717" s="2347">
        <v>40940</v>
      </c>
      <c r="L717" s="2369">
        <v>27500</v>
      </c>
      <c r="M717" s="2006">
        <v>10733</v>
      </c>
      <c r="N717" s="2347">
        <v>40940</v>
      </c>
      <c r="O717" s="2347">
        <v>41274</v>
      </c>
      <c r="P717" s="2367" t="s">
        <v>3905</v>
      </c>
      <c r="Q717" s="2023"/>
      <c r="R717" s="2023"/>
      <c r="S717" s="2023"/>
      <c r="T717" s="2023" t="s">
        <v>158</v>
      </c>
      <c r="U717" s="1146"/>
      <c r="V717" s="1055"/>
      <c r="W717" s="1064"/>
      <c r="X717" s="1146"/>
      <c r="Y717" s="1055"/>
      <c r="Z717" s="1055"/>
      <c r="AA717" s="1138"/>
      <c r="AB717" s="1055"/>
      <c r="AC717" s="1139"/>
      <c r="AD717" s="1139"/>
      <c r="AE717" s="1155"/>
      <c r="AF717" s="525">
        <v>59674.92</v>
      </c>
      <c r="AG717" s="1150">
        <f>19802.28+2850.76</f>
        <v>22653.040000000001</v>
      </c>
      <c r="AH717" s="1139">
        <f t="shared" si="20"/>
        <v>82327.959999999992</v>
      </c>
      <c r="AI717" s="1055"/>
      <c r="AJ717" s="1064"/>
      <c r="AK717" s="1055"/>
      <c r="AL717" s="1133"/>
      <c r="AM717" s="2023" t="s">
        <v>1311</v>
      </c>
      <c r="AN717" s="2023" t="s">
        <v>4859</v>
      </c>
      <c r="AO717" s="2006">
        <v>10723</v>
      </c>
      <c r="AP717" s="2347">
        <v>40925</v>
      </c>
      <c r="AQ717" s="2006">
        <v>10723</v>
      </c>
      <c r="AR717" s="2347">
        <v>40925</v>
      </c>
      <c r="AS717" s="1055"/>
      <c r="AT717" s="1133"/>
      <c r="AU717" s="1133"/>
      <c r="AV717" s="1133"/>
      <c r="AW717" s="1133"/>
      <c r="AX717" s="1133"/>
      <c r="AY717" s="1133"/>
      <c r="AZ717" s="1133"/>
      <c r="BA717" s="1133"/>
      <c r="BB717" s="1133"/>
      <c r="BC717" s="1133"/>
      <c r="BD717" s="1133"/>
      <c r="BE717" s="1480"/>
      <c r="BF717" s="1480"/>
      <c r="BG717" s="1480"/>
      <c r="BH717" s="1480"/>
      <c r="BI717" s="1480"/>
      <c r="BJ717" s="1480"/>
    </row>
    <row r="718" spans="1:62" s="629" customFormat="1" ht="22.5" customHeight="1" x14ac:dyDescent="0.2">
      <c r="A718" s="2365"/>
      <c r="B718" s="2366"/>
      <c r="C718" s="2023"/>
      <c r="D718" s="2023"/>
      <c r="E718" s="2023"/>
      <c r="F718" s="2023"/>
      <c r="G718" s="2006"/>
      <c r="H718" s="2367"/>
      <c r="I718" s="2023"/>
      <c r="J718" s="2023"/>
      <c r="K718" s="2347"/>
      <c r="L718" s="2369"/>
      <c r="M718" s="2006"/>
      <c r="N718" s="2347"/>
      <c r="O718" s="2347"/>
      <c r="P718" s="2367"/>
      <c r="Q718" s="2023"/>
      <c r="R718" s="2023"/>
      <c r="S718" s="2023"/>
      <c r="T718" s="2023"/>
      <c r="U718" s="1146" t="s">
        <v>3906</v>
      </c>
      <c r="V718" s="1137">
        <v>41246</v>
      </c>
      <c r="W718" s="1064">
        <v>10951</v>
      </c>
      <c r="X718" s="1146" t="s">
        <v>3907</v>
      </c>
      <c r="Y718" s="1137">
        <v>41275</v>
      </c>
      <c r="Z718" s="1137">
        <v>41639</v>
      </c>
      <c r="AA718" s="1138"/>
      <c r="AB718" s="1055"/>
      <c r="AC718" s="1139"/>
      <c r="AD718" s="1139"/>
      <c r="AE718" s="1155">
        <f>L717+(2500*12)</f>
        <v>57500</v>
      </c>
      <c r="AF718" s="525">
        <v>0</v>
      </c>
      <c r="AG718" s="525">
        <v>0</v>
      </c>
      <c r="AH718" s="1139">
        <f t="shared" si="20"/>
        <v>0</v>
      </c>
      <c r="AI718" s="1055"/>
      <c r="AJ718" s="1064"/>
      <c r="AK718" s="1055"/>
      <c r="AL718" s="1133"/>
      <c r="AM718" s="2023"/>
      <c r="AN718" s="2023"/>
      <c r="AO718" s="2006"/>
      <c r="AP718" s="2347"/>
      <c r="AQ718" s="2006"/>
      <c r="AR718" s="2347"/>
      <c r="AS718" s="1055"/>
      <c r="AT718" s="1133"/>
      <c r="AU718" s="1133"/>
      <c r="AV718" s="1133"/>
      <c r="AW718" s="1133"/>
      <c r="AX718" s="1133"/>
      <c r="AY718" s="1133"/>
      <c r="AZ718" s="1133"/>
      <c r="BA718" s="1133"/>
      <c r="BB718" s="1133"/>
      <c r="BC718" s="1133"/>
      <c r="BD718" s="1133"/>
      <c r="BE718" s="1480"/>
      <c r="BF718" s="1480"/>
      <c r="BG718" s="1480"/>
      <c r="BH718" s="1480"/>
      <c r="BI718" s="1480"/>
      <c r="BJ718" s="1480"/>
    </row>
    <row r="719" spans="1:62" s="629" customFormat="1" ht="25.5" x14ac:dyDescent="0.2">
      <c r="A719" s="2365"/>
      <c r="B719" s="2366"/>
      <c r="C719" s="2023"/>
      <c r="D719" s="2023"/>
      <c r="E719" s="2023"/>
      <c r="F719" s="2023"/>
      <c r="G719" s="2006"/>
      <c r="H719" s="2367"/>
      <c r="I719" s="2023"/>
      <c r="J719" s="2023"/>
      <c r="K719" s="2347"/>
      <c r="L719" s="2369"/>
      <c r="M719" s="2006"/>
      <c r="N719" s="2347"/>
      <c r="O719" s="2347"/>
      <c r="P719" s="2367"/>
      <c r="Q719" s="2023"/>
      <c r="R719" s="2023"/>
      <c r="S719" s="2023"/>
      <c r="T719" s="2023"/>
      <c r="U719" s="1146" t="s">
        <v>3943</v>
      </c>
      <c r="V719" s="1137">
        <v>41766</v>
      </c>
      <c r="W719" s="1064">
        <v>11301</v>
      </c>
      <c r="X719" s="1146" t="s">
        <v>4899</v>
      </c>
      <c r="Y719" s="1137">
        <v>41306</v>
      </c>
      <c r="Z719" s="1137">
        <v>41639</v>
      </c>
      <c r="AA719" s="1138">
        <f>AC719/L717</f>
        <v>7.9088000000000006E-2</v>
      </c>
      <c r="AB719" s="1055"/>
      <c r="AC719" s="1139">
        <f>197.72*11</f>
        <v>2174.92</v>
      </c>
      <c r="AD719" s="1139"/>
      <c r="AE719" s="1155">
        <f>AE718+AC719</f>
        <v>59674.92</v>
      </c>
      <c r="AF719" s="525">
        <v>0</v>
      </c>
      <c r="AG719" s="525">
        <v>0</v>
      </c>
      <c r="AH719" s="1139">
        <f t="shared" si="20"/>
        <v>0</v>
      </c>
      <c r="AI719" s="1055"/>
      <c r="AJ719" s="1064"/>
      <c r="AK719" s="1055"/>
      <c r="AL719" s="1133"/>
      <c r="AM719" s="2023"/>
      <c r="AN719" s="2023"/>
      <c r="AO719" s="2006"/>
      <c r="AP719" s="2347"/>
      <c r="AQ719" s="2006"/>
      <c r="AR719" s="2347"/>
      <c r="AS719" s="1055"/>
      <c r="AT719" s="1133"/>
      <c r="AU719" s="1133"/>
      <c r="AV719" s="1133"/>
      <c r="AW719" s="1133"/>
      <c r="AX719" s="1133"/>
      <c r="AY719" s="1133"/>
      <c r="AZ719" s="1133"/>
      <c r="BA719" s="1133"/>
      <c r="BB719" s="1133"/>
      <c r="BC719" s="1133"/>
      <c r="BD719" s="1133"/>
      <c r="BE719" s="1480"/>
      <c r="BF719" s="1480"/>
      <c r="BG719" s="1480"/>
      <c r="BH719" s="1480"/>
      <c r="BI719" s="1480"/>
      <c r="BJ719" s="1480"/>
    </row>
    <row r="720" spans="1:62" s="629" customFormat="1" ht="18.75" customHeight="1" x14ac:dyDescent="0.2">
      <c r="A720" s="2365"/>
      <c r="B720" s="2366"/>
      <c r="C720" s="2023"/>
      <c r="D720" s="2023"/>
      <c r="E720" s="2023"/>
      <c r="F720" s="2023"/>
      <c r="G720" s="2006"/>
      <c r="H720" s="2367"/>
      <c r="I720" s="2023"/>
      <c r="J720" s="2023"/>
      <c r="K720" s="2347"/>
      <c r="L720" s="2369"/>
      <c r="M720" s="2006"/>
      <c r="N720" s="2347"/>
      <c r="O720" s="2347"/>
      <c r="P720" s="2367"/>
      <c r="Q720" s="2023"/>
      <c r="R720" s="2023"/>
      <c r="S720" s="2023"/>
      <c r="T720" s="2023"/>
      <c r="U720" s="1146" t="s">
        <v>3891</v>
      </c>
      <c r="V720" s="1137">
        <v>41631</v>
      </c>
      <c r="W720" s="1064">
        <v>11226</v>
      </c>
      <c r="X720" s="1146" t="s">
        <v>3916</v>
      </c>
      <c r="Y720" s="1137">
        <v>41640</v>
      </c>
      <c r="Z720" s="1137">
        <v>41820</v>
      </c>
      <c r="AA720" s="1138"/>
      <c r="AB720" s="1055"/>
      <c r="AC720" s="1139"/>
      <c r="AD720" s="1139"/>
      <c r="AE720" s="1155">
        <f>(2697.72*6)+AE719</f>
        <v>75861.239999999991</v>
      </c>
      <c r="AF720" s="525">
        <v>0</v>
      </c>
      <c r="AG720" s="525">
        <v>0</v>
      </c>
      <c r="AH720" s="1139">
        <f t="shared" si="20"/>
        <v>0</v>
      </c>
      <c r="AI720" s="1055"/>
      <c r="AJ720" s="1064"/>
      <c r="AK720" s="1055"/>
      <c r="AL720" s="1133"/>
      <c r="AM720" s="2023"/>
      <c r="AN720" s="2023"/>
      <c r="AO720" s="2006"/>
      <c r="AP720" s="2347"/>
      <c r="AQ720" s="2006"/>
      <c r="AR720" s="2347"/>
      <c r="AS720" s="1055"/>
      <c r="AT720" s="1133"/>
      <c r="AU720" s="1133"/>
      <c r="AV720" s="1133"/>
      <c r="AW720" s="1133"/>
      <c r="AX720" s="1133"/>
      <c r="AY720" s="1133"/>
      <c r="AZ720" s="1133"/>
      <c r="BA720" s="1133"/>
      <c r="BB720" s="1133"/>
      <c r="BC720" s="1133"/>
      <c r="BD720" s="1133"/>
      <c r="BE720" s="1480"/>
      <c r="BF720" s="1480"/>
      <c r="BG720" s="1480"/>
      <c r="BH720" s="1480"/>
      <c r="BI720" s="1480"/>
      <c r="BJ720" s="1480"/>
    </row>
    <row r="721" spans="1:62" s="629" customFormat="1" ht="25.5" x14ac:dyDescent="0.2">
      <c r="A721" s="2365"/>
      <c r="B721" s="2366"/>
      <c r="C721" s="2023"/>
      <c r="D721" s="2023"/>
      <c r="E721" s="2023"/>
      <c r="F721" s="2023"/>
      <c r="G721" s="2006"/>
      <c r="H721" s="2367"/>
      <c r="I721" s="2023"/>
      <c r="J721" s="2023"/>
      <c r="K721" s="2347"/>
      <c r="L721" s="2369"/>
      <c r="M721" s="2006"/>
      <c r="N721" s="2347"/>
      <c r="O721" s="2347"/>
      <c r="P721" s="2367"/>
      <c r="Q721" s="2023"/>
      <c r="R721" s="2023"/>
      <c r="S721" s="2023"/>
      <c r="T721" s="2023"/>
      <c r="U721" s="1146" t="s">
        <v>4723</v>
      </c>
      <c r="V721" s="1137">
        <v>41766</v>
      </c>
      <c r="W721" s="1064">
        <v>11301</v>
      </c>
      <c r="X721" s="1146" t="s">
        <v>4899</v>
      </c>
      <c r="Y721" s="1137">
        <v>41671</v>
      </c>
      <c r="Z721" s="1137">
        <v>41820</v>
      </c>
      <c r="AA721" s="1138">
        <f>AC721/L717</f>
        <v>2.7825454545454542E-2</v>
      </c>
      <c r="AB721" s="1055"/>
      <c r="AC721" s="1139">
        <f>153.04*5</f>
        <v>765.19999999999993</v>
      </c>
      <c r="AD721" s="1139"/>
      <c r="AE721" s="1155">
        <f>AE720+AC721</f>
        <v>76626.439999999988</v>
      </c>
      <c r="AF721" s="525">
        <v>0</v>
      </c>
      <c r="AG721" s="525">
        <v>0</v>
      </c>
      <c r="AH721" s="1139">
        <f t="shared" si="20"/>
        <v>0</v>
      </c>
      <c r="AI721" s="1055"/>
      <c r="AJ721" s="1064"/>
      <c r="AK721" s="1055"/>
      <c r="AL721" s="1133"/>
      <c r="AM721" s="2023"/>
      <c r="AN721" s="2023"/>
      <c r="AO721" s="2006"/>
      <c r="AP721" s="2347"/>
      <c r="AQ721" s="2006"/>
      <c r="AR721" s="2347"/>
      <c r="AS721" s="1055"/>
      <c r="AT721" s="1133"/>
      <c r="AU721" s="1133"/>
      <c r="AV721" s="1133"/>
      <c r="AW721" s="1133"/>
      <c r="AX721" s="1133"/>
      <c r="AY721" s="1133"/>
      <c r="AZ721" s="1133"/>
      <c r="BA721" s="1133"/>
      <c r="BB721" s="1133"/>
      <c r="BC721" s="1133"/>
      <c r="BD721" s="1133"/>
      <c r="BE721" s="1480"/>
      <c r="BF721" s="1480"/>
      <c r="BG721" s="1480"/>
      <c r="BH721" s="1480"/>
      <c r="BI721" s="1480"/>
      <c r="BJ721" s="1480"/>
    </row>
    <row r="722" spans="1:62" s="629" customFormat="1" ht="12.75" x14ac:dyDescent="0.2">
      <c r="A722" s="2365"/>
      <c r="B722" s="2366"/>
      <c r="C722" s="2023"/>
      <c r="D722" s="2023"/>
      <c r="E722" s="2023"/>
      <c r="F722" s="2023"/>
      <c r="G722" s="2006"/>
      <c r="H722" s="2367"/>
      <c r="I722" s="2023"/>
      <c r="J722" s="2023"/>
      <c r="K722" s="2347"/>
      <c r="L722" s="2369"/>
      <c r="M722" s="2006"/>
      <c r="N722" s="2347"/>
      <c r="O722" s="2347"/>
      <c r="P722" s="2367"/>
      <c r="Q722" s="2023"/>
      <c r="R722" s="2023"/>
      <c r="S722" s="2023"/>
      <c r="T722" s="2023"/>
      <c r="U722" s="1146" t="s">
        <v>3908</v>
      </c>
      <c r="V722" s="1137">
        <v>41820</v>
      </c>
      <c r="W722" s="1064">
        <v>11351</v>
      </c>
      <c r="X722" s="1146" t="s">
        <v>3917</v>
      </c>
      <c r="Y722" s="1137">
        <v>41821</v>
      </c>
      <c r="Z722" s="1137">
        <v>42004</v>
      </c>
      <c r="AA722" s="1138"/>
      <c r="AB722" s="1055"/>
      <c r="AC722" s="1139"/>
      <c r="AD722" s="1139"/>
      <c r="AE722" s="1155">
        <f>(2850.76*6)+AE721</f>
        <v>93730.999999999985</v>
      </c>
      <c r="AF722" s="525">
        <v>0</v>
      </c>
      <c r="AG722" s="525">
        <v>0</v>
      </c>
      <c r="AH722" s="1139">
        <f t="shared" si="20"/>
        <v>0</v>
      </c>
      <c r="AI722" s="1055"/>
      <c r="AJ722" s="1064"/>
      <c r="AK722" s="1055"/>
      <c r="AL722" s="1133"/>
      <c r="AM722" s="1055"/>
      <c r="AN722" s="1055"/>
      <c r="AO722" s="1064"/>
      <c r="AP722" s="1137"/>
      <c r="AQ722" s="1064"/>
      <c r="AR722" s="1137"/>
      <c r="AS722" s="1055"/>
      <c r="AT722" s="1133"/>
      <c r="AU722" s="1133"/>
      <c r="AV722" s="1133"/>
      <c r="AW722" s="1133"/>
      <c r="AX722" s="1133"/>
      <c r="AY722" s="1133"/>
      <c r="AZ722" s="1133"/>
      <c r="BA722" s="1133"/>
      <c r="BB722" s="1133"/>
      <c r="BC722" s="1133"/>
      <c r="BD722" s="1133"/>
      <c r="BE722" s="1480"/>
      <c r="BF722" s="1480"/>
      <c r="BG722" s="1480"/>
      <c r="BH722" s="1480"/>
      <c r="BI722" s="1480"/>
      <c r="BJ722" s="1480"/>
    </row>
    <row r="723" spans="1:62" s="629" customFormat="1" ht="54.95" customHeight="1" x14ac:dyDescent="0.2">
      <c r="A723" s="2365">
        <v>293</v>
      </c>
      <c r="B723" s="2366" t="s">
        <v>4030</v>
      </c>
      <c r="C723" s="2023"/>
      <c r="D723" s="2023" t="s">
        <v>2222</v>
      </c>
      <c r="E723" s="2023" t="s">
        <v>584</v>
      </c>
      <c r="F723" s="2023" t="s">
        <v>4900</v>
      </c>
      <c r="G723" s="2023">
        <v>10951</v>
      </c>
      <c r="H723" s="2367" t="s">
        <v>4901</v>
      </c>
      <c r="I723" s="2023" t="s">
        <v>4902</v>
      </c>
      <c r="J723" s="2023" t="s">
        <v>4903</v>
      </c>
      <c r="K723" s="2347">
        <v>41246</v>
      </c>
      <c r="L723" s="2343">
        <v>338000</v>
      </c>
      <c r="M723" s="2023">
        <v>10733</v>
      </c>
      <c r="N723" s="2347">
        <v>40932</v>
      </c>
      <c r="O723" s="2347">
        <v>41274</v>
      </c>
      <c r="P723" s="2367" t="s">
        <v>3905</v>
      </c>
      <c r="Q723" s="2023"/>
      <c r="R723" s="2023"/>
      <c r="S723" s="2023"/>
      <c r="T723" s="2023" t="s">
        <v>208</v>
      </c>
      <c r="U723" s="1146"/>
      <c r="V723" s="1055"/>
      <c r="W723" s="1064"/>
      <c r="X723" s="1146"/>
      <c r="Y723" s="1055"/>
      <c r="Z723" s="1055"/>
      <c r="AA723" s="1138"/>
      <c r="AB723" s="1055"/>
      <c r="AC723" s="1150"/>
      <c r="AD723" s="1139"/>
      <c r="AE723" s="1155"/>
      <c r="AF723" s="1155">
        <v>724404.33</v>
      </c>
      <c r="AG723" s="1139">
        <f>203474.07+68261.56</f>
        <v>271735.63</v>
      </c>
      <c r="AH723" s="1139">
        <f t="shared" si="20"/>
        <v>996139.96</v>
      </c>
      <c r="AI723" s="1055"/>
      <c r="AJ723" s="1064"/>
      <c r="AK723" s="1055"/>
      <c r="AL723" s="1133"/>
      <c r="AM723" s="2023" t="s">
        <v>1311</v>
      </c>
      <c r="AN723" s="2023" t="s">
        <v>4859</v>
      </c>
      <c r="AO723" s="2006">
        <v>10723</v>
      </c>
      <c r="AP723" s="2347">
        <v>40925</v>
      </c>
      <c r="AQ723" s="2006">
        <v>10723</v>
      </c>
      <c r="AR723" s="2347">
        <v>40925</v>
      </c>
      <c r="AS723" s="1055"/>
      <c r="AT723" s="1133"/>
      <c r="AU723" s="1133"/>
      <c r="AV723" s="1133"/>
      <c r="AW723" s="1133"/>
      <c r="AX723" s="1133"/>
      <c r="AY723" s="1133"/>
      <c r="AZ723" s="1133"/>
      <c r="BA723" s="1133"/>
      <c r="BB723" s="1133"/>
      <c r="BC723" s="1133"/>
      <c r="BD723" s="1133"/>
      <c r="BE723" s="1480"/>
      <c r="BF723" s="1480"/>
      <c r="BG723" s="1480"/>
      <c r="BH723" s="1480"/>
      <c r="BI723" s="1480"/>
      <c r="BJ723" s="1480"/>
    </row>
    <row r="724" spans="1:62" s="629" customFormat="1" ht="12.75" x14ac:dyDescent="0.2">
      <c r="A724" s="2365"/>
      <c r="B724" s="2366"/>
      <c r="C724" s="2023"/>
      <c r="D724" s="2023"/>
      <c r="E724" s="2023"/>
      <c r="F724" s="2023"/>
      <c r="G724" s="2023"/>
      <c r="H724" s="2367"/>
      <c r="I724" s="2023"/>
      <c r="J724" s="2023"/>
      <c r="K724" s="2023"/>
      <c r="L724" s="2343"/>
      <c r="M724" s="2023"/>
      <c r="N724" s="2347"/>
      <c r="O724" s="2347"/>
      <c r="P724" s="2367"/>
      <c r="Q724" s="2023"/>
      <c r="R724" s="2023"/>
      <c r="S724" s="2023"/>
      <c r="T724" s="2023"/>
      <c r="U724" s="1146" t="s">
        <v>3906</v>
      </c>
      <c r="V724" s="1137">
        <v>41246</v>
      </c>
      <c r="W724" s="1064">
        <v>10951</v>
      </c>
      <c r="X724" s="1146" t="s">
        <v>3907</v>
      </c>
      <c r="Y724" s="1137">
        <v>41275</v>
      </c>
      <c r="Z724" s="1137">
        <v>41639</v>
      </c>
      <c r="AA724" s="1138"/>
      <c r="AB724" s="1055"/>
      <c r="AC724" s="1139"/>
      <c r="AD724" s="1139"/>
      <c r="AE724" s="1155">
        <f>(30000*12)+L723</f>
        <v>698000</v>
      </c>
      <c r="AF724" s="525">
        <v>0</v>
      </c>
      <c r="AG724" s="525">
        <v>0</v>
      </c>
      <c r="AH724" s="1139">
        <f t="shared" si="20"/>
        <v>0</v>
      </c>
      <c r="AI724" s="1055"/>
      <c r="AJ724" s="1064"/>
      <c r="AK724" s="1055"/>
      <c r="AL724" s="1133"/>
      <c r="AM724" s="2023"/>
      <c r="AN724" s="2023"/>
      <c r="AO724" s="2006"/>
      <c r="AP724" s="2347"/>
      <c r="AQ724" s="2006"/>
      <c r="AR724" s="2347"/>
      <c r="AS724" s="1055"/>
      <c r="AT724" s="1133"/>
      <c r="AU724" s="1133"/>
      <c r="AV724" s="1133"/>
      <c r="AW724" s="1133"/>
      <c r="AX724" s="1133"/>
      <c r="AY724" s="1133"/>
      <c r="AZ724" s="1133"/>
      <c r="BA724" s="1133"/>
      <c r="BB724" s="1133"/>
      <c r="BC724" s="1133"/>
      <c r="BD724" s="1133"/>
      <c r="BE724" s="1480"/>
      <c r="BF724" s="1480"/>
      <c r="BG724" s="1480"/>
      <c r="BH724" s="1480"/>
      <c r="BI724" s="1480"/>
      <c r="BJ724" s="1480"/>
    </row>
    <row r="725" spans="1:62" s="629" customFormat="1" ht="12.75" x14ac:dyDescent="0.2">
      <c r="A725" s="2365"/>
      <c r="B725" s="2366"/>
      <c r="C725" s="2023"/>
      <c r="D725" s="2023"/>
      <c r="E725" s="2023"/>
      <c r="F725" s="2023"/>
      <c r="G725" s="2023"/>
      <c r="H725" s="2367"/>
      <c r="I725" s="2023"/>
      <c r="J725" s="2023"/>
      <c r="K725" s="2023"/>
      <c r="L725" s="2343"/>
      <c r="M725" s="2023"/>
      <c r="N725" s="2347"/>
      <c r="O725" s="2347"/>
      <c r="P725" s="2367"/>
      <c r="Q725" s="2023"/>
      <c r="R725" s="2023"/>
      <c r="S725" s="2023"/>
      <c r="T725" s="2023"/>
      <c r="U725" s="1146" t="s">
        <v>4904</v>
      </c>
      <c r="V725" s="1137">
        <v>41333</v>
      </c>
      <c r="W725" s="1064"/>
      <c r="X725" s="1146" t="s">
        <v>3929</v>
      </c>
      <c r="Y725" s="1137">
        <v>41298</v>
      </c>
      <c r="Z725" s="1137">
        <v>41639</v>
      </c>
      <c r="AA725" s="1138">
        <f>2343.58/30000</f>
        <v>7.8119333333333332E-2</v>
      </c>
      <c r="AB725" s="1055"/>
      <c r="AC725" s="1139">
        <v>26404.33</v>
      </c>
      <c r="AD725" s="1139"/>
      <c r="AE725" s="1155">
        <f>AE724+AC725</f>
        <v>724404.33</v>
      </c>
      <c r="AF725" s="525">
        <v>0</v>
      </c>
      <c r="AG725" s="525">
        <v>0</v>
      </c>
      <c r="AH725" s="1139">
        <f t="shared" si="20"/>
        <v>0</v>
      </c>
      <c r="AI725" s="1055"/>
      <c r="AJ725" s="1064"/>
      <c r="AK725" s="1055"/>
      <c r="AL725" s="1133"/>
      <c r="AM725" s="2023"/>
      <c r="AN725" s="2023"/>
      <c r="AO725" s="2006"/>
      <c r="AP725" s="2347"/>
      <c r="AQ725" s="2006"/>
      <c r="AR725" s="2347"/>
      <c r="AS725" s="1055"/>
      <c r="AT725" s="1133"/>
      <c r="AU725" s="1133"/>
      <c r="AV725" s="1133"/>
      <c r="AW725" s="1133"/>
      <c r="AX725" s="1133"/>
      <c r="AY725" s="1133"/>
      <c r="AZ725" s="1133"/>
      <c r="BA725" s="1133"/>
      <c r="BB725" s="1133"/>
      <c r="BC725" s="1133"/>
      <c r="BD725" s="1133"/>
      <c r="BE725" s="1480"/>
      <c r="BF725" s="1480"/>
      <c r="BG725" s="1480"/>
      <c r="BH725" s="1480"/>
      <c r="BI725" s="1480"/>
      <c r="BJ725" s="1480"/>
    </row>
    <row r="726" spans="1:62" s="629" customFormat="1" ht="12.75" x14ac:dyDescent="0.2">
      <c r="A726" s="2365"/>
      <c r="B726" s="2366"/>
      <c r="C726" s="2023"/>
      <c r="D726" s="2023"/>
      <c r="E726" s="2023"/>
      <c r="F726" s="2023"/>
      <c r="G726" s="2023"/>
      <c r="H726" s="2367"/>
      <c r="I726" s="2023"/>
      <c r="J726" s="2023"/>
      <c r="K726" s="2023"/>
      <c r="L726" s="2343"/>
      <c r="M726" s="2023"/>
      <c r="N726" s="2347"/>
      <c r="O726" s="2347"/>
      <c r="P726" s="2367"/>
      <c r="Q726" s="2023"/>
      <c r="R726" s="2023"/>
      <c r="S726" s="2023"/>
      <c r="T726" s="2023"/>
      <c r="U726" s="1146" t="s">
        <v>3891</v>
      </c>
      <c r="V726" s="1137">
        <v>41631</v>
      </c>
      <c r="W726" s="1064">
        <v>11219</v>
      </c>
      <c r="X726" s="1146" t="s">
        <v>3907</v>
      </c>
      <c r="Y726" s="1137">
        <v>41640</v>
      </c>
      <c r="Z726" s="1137">
        <v>42004</v>
      </c>
      <c r="AA726" s="1138"/>
      <c r="AB726" s="1055"/>
      <c r="AC726" s="1138"/>
      <c r="AD726" s="1139"/>
      <c r="AE726" s="1155">
        <f>AE725+(32343.58*12)</f>
        <v>1112527.29</v>
      </c>
      <c r="AF726" s="525">
        <v>0</v>
      </c>
      <c r="AG726" s="525">
        <v>0</v>
      </c>
      <c r="AH726" s="1139">
        <f t="shared" si="20"/>
        <v>0</v>
      </c>
      <c r="AI726" s="1055"/>
      <c r="AJ726" s="1064"/>
      <c r="AK726" s="1055"/>
      <c r="AL726" s="1133"/>
      <c r="AM726" s="2023"/>
      <c r="AN726" s="2023"/>
      <c r="AO726" s="2006"/>
      <c r="AP726" s="2347"/>
      <c r="AQ726" s="2006"/>
      <c r="AR726" s="2347"/>
      <c r="AS726" s="1055"/>
      <c r="AT726" s="1133"/>
      <c r="AU726" s="1133"/>
      <c r="AV726" s="1133"/>
      <c r="AW726" s="1133"/>
      <c r="AX726" s="1133"/>
      <c r="AY726" s="1133"/>
      <c r="AZ726" s="1133"/>
      <c r="BA726" s="1133"/>
      <c r="BB726" s="1133"/>
      <c r="BC726" s="1133"/>
      <c r="BD726" s="1133"/>
      <c r="BE726" s="1480"/>
      <c r="BF726" s="1480"/>
      <c r="BG726" s="1480"/>
      <c r="BH726" s="1480"/>
      <c r="BI726" s="1480"/>
      <c r="BJ726" s="1480"/>
    </row>
    <row r="727" spans="1:62" s="629" customFormat="1" ht="54.95" customHeight="1" x14ac:dyDescent="0.2">
      <c r="A727" s="2365">
        <v>294</v>
      </c>
      <c r="B727" s="2366" t="s">
        <v>4905</v>
      </c>
      <c r="C727" s="2023"/>
      <c r="D727" s="2023" t="s">
        <v>2222</v>
      </c>
      <c r="E727" s="2023" t="s">
        <v>584</v>
      </c>
      <c r="F727" s="2023" t="s">
        <v>4906</v>
      </c>
      <c r="G727" s="2006">
        <v>10759</v>
      </c>
      <c r="H727" s="2367" t="s">
        <v>4907</v>
      </c>
      <c r="I727" s="2023" t="s">
        <v>4908</v>
      </c>
      <c r="J727" s="2023" t="s">
        <v>4909</v>
      </c>
      <c r="K727" s="2347">
        <v>40990</v>
      </c>
      <c r="L727" s="2343">
        <v>102903.13</v>
      </c>
      <c r="M727" s="2023">
        <v>10769</v>
      </c>
      <c r="N727" s="2347">
        <v>40988</v>
      </c>
      <c r="O727" s="2347">
        <v>41639</v>
      </c>
      <c r="P727" s="2367" t="s">
        <v>3905</v>
      </c>
      <c r="Q727" s="2023"/>
      <c r="R727" s="2023"/>
      <c r="S727" s="2023"/>
      <c r="T727" s="2023" t="s">
        <v>208</v>
      </c>
      <c r="U727" s="1146"/>
      <c r="V727" s="1055"/>
      <c r="W727" s="1064"/>
      <c r="X727" s="1146"/>
      <c r="Y727" s="1055"/>
      <c r="Z727" s="1055"/>
      <c r="AA727" s="1138"/>
      <c r="AB727" s="1133"/>
      <c r="AC727" s="1139"/>
      <c r="AD727" s="1139"/>
      <c r="AE727" s="1139"/>
      <c r="AF727" s="1155">
        <v>243471.51</v>
      </c>
      <c r="AG727" s="1139">
        <f>73782.15+12598.55+12598.55+12598.55</f>
        <v>111577.8</v>
      </c>
      <c r="AH727" s="1139">
        <f t="shared" si="20"/>
        <v>355049.31</v>
      </c>
      <c r="AI727" s="1055"/>
      <c r="AJ727" s="1064"/>
      <c r="AK727" s="1055"/>
      <c r="AL727" s="1133"/>
      <c r="AM727" s="2023" t="s">
        <v>1311</v>
      </c>
      <c r="AN727" s="2023" t="s">
        <v>4859</v>
      </c>
      <c r="AO727" s="2006">
        <v>10759</v>
      </c>
      <c r="AP727" s="2347">
        <v>40975</v>
      </c>
      <c r="AQ727" s="2006">
        <v>10759</v>
      </c>
      <c r="AR727" s="2347">
        <v>40977</v>
      </c>
      <c r="AS727" s="1055"/>
      <c r="AT727" s="1133"/>
      <c r="AU727" s="1133"/>
      <c r="AV727" s="1133"/>
      <c r="AW727" s="1133"/>
      <c r="AX727" s="1133"/>
      <c r="AY727" s="1133"/>
      <c r="AZ727" s="1133"/>
      <c r="BA727" s="1133"/>
      <c r="BB727" s="1133"/>
      <c r="BC727" s="1133"/>
      <c r="BD727" s="1133"/>
      <c r="BE727" s="1480"/>
      <c r="BF727" s="1480"/>
      <c r="BG727" s="1480"/>
      <c r="BH727" s="1480"/>
      <c r="BI727" s="1480"/>
      <c r="BJ727" s="1480"/>
    </row>
    <row r="728" spans="1:62" s="629" customFormat="1" ht="12.75" x14ac:dyDescent="0.2">
      <c r="A728" s="2365"/>
      <c r="B728" s="2366"/>
      <c r="C728" s="2023"/>
      <c r="D728" s="2023"/>
      <c r="E728" s="2023"/>
      <c r="F728" s="2023"/>
      <c r="G728" s="2023"/>
      <c r="H728" s="2367"/>
      <c r="I728" s="2023"/>
      <c r="J728" s="2023"/>
      <c r="K728" s="2347"/>
      <c r="L728" s="2343"/>
      <c r="M728" s="2023"/>
      <c r="N728" s="2347"/>
      <c r="O728" s="2347"/>
      <c r="P728" s="2367"/>
      <c r="Q728" s="2023"/>
      <c r="R728" s="2023"/>
      <c r="S728" s="2023"/>
      <c r="T728" s="2023"/>
      <c r="U728" s="1146" t="s">
        <v>3972</v>
      </c>
      <c r="V728" s="1137">
        <v>41275</v>
      </c>
      <c r="W728" s="1064">
        <v>10951</v>
      </c>
      <c r="X728" s="1146" t="s">
        <v>3907</v>
      </c>
      <c r="Y728" s="1137">
        <v>41275</v>
      </c>
      <c r="Z728" s="1137">
        <v>41639</v>
      </c>
      <c r="AA728" s="1138"/>
      <c r="AB728" s="1055"/>
      <c r="AC728" s="1139"/>
      <c r="AD728" s="1139"/>
      <c r="AE728" s="1139">
        <f>(12*11000)+L727</f>
        <v>234903.13</v>
      </c>
      <c r="AF728" s="525">
        <v>0</v>
      </c>
      <c r="AG728" s="525">
        <v>0</v>
      </c>
      <c r="AH728" s="1139">
        <f t="shared" si="20"/>
        <v>0</v>
      </c>
      <c r="AI728" s="1055"/>
      <c r="AJ728" s="1064"/>
      <c r="AK728" s="1055"/>
      <c r="AL728" s="1133"/>
      <c r="AM728" s="2023"/>
      <c r="AN728" s="2023"/>
      <c r="AO728" s="2006"/>
      <c r="AP728" s="2347"/>
      <c r="AQ728" s="2006"/>
      <c r="AR728" s="2347"/>
      <c r="AS728" s="1055"/>
      <c r="AT728" s="1133"/>
      <c r="AU728" s="1133"/>
      <c r="AV728" s="1133"/>
      <c r="AW728" s="1133"/>
      <c r="AX728" s="1133"/>
      <c r="AY728" s="1133"/>
      <c r="AZ728" s="1133"/>
      <c r="BA728" s="1133"/>
      <c r="BB728" s="1133"/>
      <c r="BC728" s="1133"/>
      <c r="BD728" s="1133"/>
      <c r="BE728" s="1480"/>
      <c r="BF728" s="1480"/>
      <c r="BG728" s="1480"/>
      <c r="BH728" s="1480"/>
      <c r="BI728" s="1480"/>
      <c r="BJ728" s="1480"/>
    </row>
    <row r="729" spans="1:62" s="629" customFormat="1" ht="12.75" x14ac:dyDescent="0.2">
      <c r="A729" s="2365"/>
      <c r="B729" s="2366"/>
      <c r="C729" s="2023"/>
      <c r="D729" s="2023"/>
      <c r="E729" s="2023"/>
      <c r="F729" s="2023"/>
      <c r="G729" s="2023"/>
      <c r="H729" s="2367"/>
      <c r="I729" s="2023"/>
      <c r="J729" s="2023"/>
      <c r="K729" s="2347"/>
      <c r="L729" s="2343"/>
      <c r="M729" s="2023"/>
      <c r="N729" s="2347"/>
      <c r="O729" s="2347"/>
      <c r="P729" s="2367"/>
      <c r="Q729" s="2023"/>
      <c r="R729" s="2023"/>
      <c r="S729" s="2023"/>
      <c r="T729" s="2023"/>
      <c r="U729" s="1146" t="s">
        <v>4910</v>
      </c>
      <c r="V729" s="1137">
        <v>41366</v>
      </c>
      <c r="W729" s="1064"/>
      <c r="X729" s="1146" t="s">
        <v>4732</v>
      </c>
      <c r="Y729" s="1137">
        <v>41353</v>
      </c>
      <c r="Z729" s="1137">
        <v>41639</v>
      </c>
      <c r="AA729" s="1138">
        <f>(11911.53-11000)/11000</f>
        <v>8.2866363636363696E-2</v>
      </c>
      <c r="AB729" s="1055"/>
      <c r="AC729" s="1139">
        <v>8568.3799999999992</v>
      </c>
      <c r="AD729" s="1139"/>
      <c r="AE729" s="1139">
        <f>AE728+AC729</f>
        <v>243471.51</v>
      </c>
      <c r="AF729" s="525">
        <v>0</v>
      </c>
      <c r="AG729" s="525">
        <v>0</v>
      </c>
      <c r="AH729" s="1139">
        <f t="shared" si="20"/>
        <v>0</v>
      </c>
      <c r="AI729" s="1055"/>
      <c r="AJ729" s="1064"/>
      <c r="AK729" s="1055"/>
      <c r="AL729" s="1133"/>
      <c r="AM729" s="2023"/>
      <c r="AN729" s="2023"/>
      <c r="AO729" s="2006"/>
      <c r="AP729" s="2347"/>
      <c r="AQ729" s="2006"/>
      <c r="AR729" s="2347"/>
      <c r="AS729" s="1055"/>
      <c r="AT729" s="1133"/>
      <c r="AU729" s="1133"/>
      <c r="AV729" s="1133"/>
      <c r="AW729" s="1133"/>
      <c r="AX729" s="1133"/>
      <c r="AY729" s="1133"/>
      <c r="AZ729" s="1133"/>
      <c r="BA729" s="1133"/>
      <c r="BB729" s="1133"/>
      <c r="BC729" s="1133"/>
      <c r="BD729" s="1133"/>
      <c r="BE729" s="1480"/>
      <c r="BF729" s="1480"/>
      <c r="BG729" s="1480"/>
      <c r="BH729" s="1480"/>
      <c r="BI729" s="1480"/>
      <c r="BJ729" s="1480"/>
    </row>
    <row r="730" spans="1:62" s="629" customFormat="1" ht="12.75" x14ac:dyDescent="0.2">
      <c r="A730" s="2365"/>
      <c r="B730" s="2366"/>
      <c r="C730" s="2023"/>
      <c r="D730" s="2023"/>
      <c r="E730" s="2023"/>
      <c r="F730" s="2023"/>
      <c r="G730" s="2023"/>
      <c r="H730" s="2367"/>
      <c r="I730" s="2023"/>
      <c r="J730" s="2023"/>
      <c r="K730" s="2347"/>
      <c r="L730" s="2343"/>
      <c r="M730" s="2023"/>
      <c r="N730" s="2347"/>
      <c r="O730" s="2347"/>
      <c r="P730" s="2367"/>
      <c r="Q730" s="2023"/>
      <c r="R730" s="2023"/>
      <c r="S730" s="2023"/>
      <c r="T730" s="2023"/>
      <c r="U730" s="1146" t="s">
        <v>3989</v>
      </c>
      <c r="V730" s="1137">
        <v>41631</v>
      </c>
      <c r="W730" s="1064">
        <v>11221</v>
      </c>
      <c r="X730" s="1146" t="s">
        <v>3907</v>
      </c>
      <c r="Y730" s="1137">
        <v>41640</v>
      </c>
      <c r="Z730" s="1137">
        <v>42004</v>
      </c>
      <c r="AA730" s="1138"/>
      <c r="AB730" s="1055"/>
      <c r="AC730" s="1139"/>
      <c r="AD730" s="1139"/>
      <c r="AE730" s="1139">
        <f>(12*11911.53)+AE729</f>
        <v>386409.87</v>
      </c>
      <c r="AF730" s="525">
        <v>0</v>
      </c>
      <c r="AG730" s="525">
        <v>0</v>
      </c>
      <c r="AH730" s="1139">
        <f t="shared" si="20"/>
        <v>0</v>
      </c>
      <c r="AI730" s="1055"/>
      <c r="AJ730" s="1064"/>
      <c r="AK730" s="1055"/>
      <c r="AL730" s="1133"/>
      <c r="AM730" s="2023"/>
      <c r="AN730" s="2023"/>
      <c r="AO730" s="2006"/>
      <c r="AP730" s="2347"/>
      <c r="AQ730" s="2006"/>
      <c r="AR730" s="2347"/>
      <c r="AS730" s="1055"/>
      <c r="AT730" s="1133"/>
      <c r="AU730" s="1133"/>
      <c r="AV730" s="1133"/>
      <c r="AW730" s="1133"/>
      <c r="AX730" s="1133"/>
      <c r="AY730" s="1133"/>
      <c r="AZ730" s="1133"/>
      <c r="BA730" s="1133"/>
      <c r="BB730" s="1133"/>
      <c r="BC730" s="1133"/>
      <c r="BD730" s="1133"/>
      <c r="BE730" s="1480"/>
      <c r="BF730" s="1480"/>
      <c r="BG730" s="1480"/>
      <c r="BH730" s="1480"/>
      <c r="BI730" s="1480"/>
      <c r="BJ730" s="1480"/>
    </row>
    <row r="731" spans="1:62" s="629" customFormat="1" ht="25.5" x14ac:dyDescent="0.2">
      <c r="A731" s="2365"/>
      <c r="B731" s="2366"/>
      <c r="C731" s="2023"/>
      <c r="D731" s="2023"/>
      <c r="E731" s="2023"/>
      <c r="F731" s="2023"/>
      <c r="G731" s="2023"/>
      <c r="H731" s="2367"/>
      <c r="I731" s="2023"/>
      <c r="J731" s="2023"/>
      <c r="K731" s="2347"/>
      <c r="L731" s="2343"/>
      <c r="M731" s="2023"/>
      <c r="N731" s="2347"/>
      <c r="O731" s="2347"/>
      <c r="P731" s="2367"/>
      <c r="Q731" s="2023"/>
      <c r="R731" s="2023"/>
      <c r="S731" s="2023"/>
      <c r="T731" s="2023"/>
      <c r="U731" s="1146" t="s">
        <v>4911</v>
      </c>
      <c r="V731" s="1137">
        <v>41738</v>
      </c>
      <c r="W731" s="1064">
        <v>11288</v>
      </c>
      <c r="X731" s="1146" t="s">
        <v>4732</v>
      </c>
      <c r="Y731" s="1137">
        <v>41718</v>
      </c>
      <c r="Z731" s="1137">
        <v>42004</v>
      </c>
      <c r="AA731" s="1138">
        <f>(12598.55-11911.53)/11911.53</f>
        <v>5.7676889534761577E-2</v>
      </c>
      <c r="AB731" s="1055"/>
      <c r="AC731" s="1139">
        <f>6435.09</f>
        <v>6435.09</v>
      </c>
      <c r="AD731" s="1139"/>
      <c r="AE731" s="1139">
        <f>AE730+AC731</f>
        <v>392844.96</v>
      </c>
      <c r="AF731" s="525">
        <v>0</v>
      </c>
      <c r="AG731" s="525">
        <v>0</v>
      </c>
      <c r="AH731" s="1139">
        <f t="shared" ref="AH731:AH766" si="21">AF731+AG731</f>
        <v>0</v>
      </c>
      <c r="AI731" s="1055"/>
      <c r="AJ731" s="1064"/>
      <c r="AK731" s="1055"/>
      <c r="AL731" s="1133"/>
      <c r="AM731" s="2023"/>
      <c r="AN731" s="2023"/>
      <c r="AO731" s="2006"/>
      <c r="AP731" s="2347"/>
      <c r="AQ731" s="2006"/>
      <c r="AR731" s="2347"/>
      <c r="AS731" s="1055"/>
      <c r="AT731" s="1133"/>
      <c r="AU731" s="1133"/>
      <c r="AV731" s="1133"/>
      <c r="AW731" s="1133"/>
      <c r="AX731" s="1133"/>
      <c r="AY731" s="1133"/>
      <c r="AZ731" s="1133"/>
      <c r="BA731" s="1133"/>
      <c r="BB731" s="1133"/>
      <c r="BC731" s="1133"/>
      <c r="BD731" s="1133"/>
      <c r="BE731" s="1480"/>
      <c r="BF731" s="1480"/>
      <c r="BG731" s="1480"/>
      <c r="BH731" s="1480"/>
      <c r="BI731" s="1480"/>
      <c r="BJ731" s="1480"/>
    </row>
    <row r="732" spans="1:62" s="629" customFormat="1" ht="54.95" customHeight="1" x14ac:dyDescent="0.2">
      <c r="A732" s="2365">
        <v>295</v>
      </c>
      <c r="B732" s="2366" t="s">
        <v>356</v>
      </c>
      <c r="C732" s="2023"/>
      <c r="D732" s="2023" t="s">
        <v>2222</v>
      </c>
      <c r="E732" s="2023" t="s">
        <v>584</v>
      </c>
      <c r="F732" s="2023" t="s">
        <v>4887</v>
      </c>
      <c r="G732" s="2006">
        <v>11345</v>
      </c>
      <c r="H732" s="2367" t="s">
        <v>4912</v>
      </c>
      <c r="I732" s="2023" t="s">
        <v>4889</v>
      </c>
      <c r="J732" s="2023" t="s">
        <v>854</v>
      </c>
      <c r="K732" s="2347">
        <v>41821</v>
      </c>
      <c r="L732" s="2343">
        <v>5000</v>
      </c>
      <c r="M732" s="2023">
        <v>11351</v>
      </c>
      <c r="N732" s="2347">
        <v>41821</v>
      </c>
      <c r="O732" s="2347">
        <v>42003</v>
      </c>
      <c r="P732" s="2367" t="s">
        <v>3905</v>
      </c>
      <c r="Q732" s="1055"/>
      <c r="R732" s="2023"/>
      <c r="S732" s="2023"/>
      <c r="T732" s="2023" t="s">
        <v>208</v>
      </c>
      <c r="U732" s="1146"/>
      <c r="V732" s="1137"/>
      <c r="W732" s="1064"/>
      <c r="X732" s="1146"/>
      <c r="Y732" s="1137"/>
      <c r="Z732" s="1137"/>
      <c r="AA732" s="1138"/>
      <c r="AB732" s="1055"/>
      <c r="AC732" s="1139"/>
      <c r="AD732" s="1139"/>
      <c r="AE732" s="1155"/>
      <c r="AF732" s="525">
        <v>0</v>
      </c>
      <c r="AG732" s="1139">
        <f>439.64+187.72+110.67+111.57</f>
        <v>849.59999999999991</v>
      </c>
      <c r="AH732" s="1139">
        <f t="shared" si="21"/>
        <v>849.59999999999991</v>
      </c>
      <c r="AI732" s="1055"/>
      <c r="AJ732" s="1064"/>
      <c r="AK732" s="1055"/>
      <c r="AL732" s="1133"/>
      <c r="AM732" s="1055" t="s">
        <v>1311</v>
      </c>
      <c r="AN732" s="1055" t="s">
        <v>4913</v>
      </c>
      <c r="AO732" s="1064">
        <v>11345</v>
      </c>
      <c r="AP732" s="1137">
        <v>41830</v>
      </c>
      <c r="AQ732" s="1064">
        <v>11345</v>
      </c>
      <c r="AR732" s="1137"/>
      <c r="AS732" s="1055"/>
      <c r="AT732" s="1133"/>
      <c r="AU732" s="1133"/>
      <c r="AV732" s="1133"/>
      <c r="AW732" s="1133"/>
      <c r="AX732" s="1133"/>
      <c r="AY732" s="1133"/>
      <c r="AZ732" s="1133"/>
      <c r="BA732" s="1133"/>
      <c r="BB732" s="1133"/>
      <c r="BC732" s="1133"/>
      <c r="BD732" s="1133"/>
      <c r="BE732" s="1480"/>
      <c r="BF732" s="1480"/>
      <c r="BG732" s="1480"/>
      <c r="BH732" s="1480"/>
      <c r="BI732" s="1480"/>
      <c r="BJ732" s="1480"/>
    </row>
    <row r="733" spans="1:62" s="629" customFormat="1" ht="54.95" customHeight="1" x14ac:dyDescent="0.2">
      <c r="A733" s="2365"/>
      <c r="B733" s="2366"/>
      <c r="C733" s="2023"/>
      <c r="D733" s="2023"/>
      <c r="E733" s="2023"/>
      <c r="F733" s="2023"/>
      <c r="G733" s="2006"/>
      <c r="H733" s="2367"/>
      <c r="I733" s="2023"/>
      <c r="J733" s="2023"/>
      <c r="K733" s="2347"/>
      <c r="L733" s="2343"/>
      <c r="M733" s="2023"/>
      <c r="N733" s="2347"/>
      <c r="O733" s="2347"/>
      <c r="P733" s="2367"/>
      <c r="Q733" s="1055"/>
      <c r="R733" s="2023"/>
      <c r="S733" s="2023"/>
      <c r="T733" s="2023"/>
      <c r="U733" s="1146" t="s">
        <v>3972</v>
      </c>
      <c r="V733" s="1137">
        <v>41967</v>
      </c>
      <c r="W733" s="1064">
        <v>11489</v>
      </c>
      <c r="X733" s="1146" t="s">
        <v>4036</v>
      </c>
      <c r="Y733" s="1137"/>
      <c r="Z733" s="1137"/>
      <c r="AA733" s="1138"/>
      <c r="AB733" s="1138">
        <f>AD733/L732</f>
        <v>0.26238800000000001</v>
      </c>
      <c r="AC733" s="1139"/>
      <c r="AD733" s="1139">
        <v>1311.94</v>
      </c>
      <c r="AE733" s="1139">
        <f>L732-AD733</f>
        <v>3688.06</v>
      </c>
      <c r="AF733" s="525">
        <v>0</v>
      </c>
      <c r="AG733" s="525">
        <v>0</v>
      </c>
      <c r="AH733" s="1139">
        <f t="shared" si="21"/>
        <v>0</v>
      </c>
      <c r="AI733" s="1055"/>
      <c r="AJ733" s="1064"/>
      <c r="AK733" s="1055"/>
      <c r="AL733" s="1133"/>
      <c r="AM733" s="1055"/>
      <c r="AN733" s="1055"/>
      <c r="AO733" s="1064"/>
      <c r="AP733" s="1137"/>
      <c r="AQ733" s="1064"/>
      <c r="AR733" s="1137"/>
      <c r="AS733" s="1055"/>
      <c r="AT733" s="1133"/>
      <c r="AU733" s="1133"/>
      <c r="AV733" s="1133"/>
      <c r="AW733" s="1133"/>
      <c r="AX733" s="1133"/>
      <c r="AY733" s="1133"/>
      <c r="AZ733" s="1133"/>
      <c r="BA733" s="1133"/>
      <c r="BB733" s="1133"/>
      <c r="BC733" s="1133"/>
      <c r="BD733" s="1133"/>
      <c r="BE733" s="1480"/>
      <c r="BF733" s="1480"/>
      <c r="BG733" s="1480"/>
      <c r="BH733" s="1480"/>
      <c r="BI733" s="1480"/>
      <c r="BJ733" s="1480"/>
    </row>
    <row r="734" spans="1:62" s="629" customFormat="1" ht="54.95" customHeight="1" x14ac:dyDescent="0.2">
      <c r="A734" s="1514">
        <v>296</v>
      </c>
      <c r="B734" s="1217" t="s">
        <v>832</v>
      </c>
      <c r="C734" s="1055"/>
      <c r="D734" s="1055" t="s">
        <v>2222</v>
      </c>
      <c r="E734" s="1055" t="s">
        <v>584</v>
      </c>
      <c r="F734" s="1055" t="s">
        <v>4914</v>
      </c>
      <c r="G734" s="1064"/>
      <c r="H734" s="1146" t="s">
        <v>4915</v>
      </c>
      <c r="I734" s="1055" t="s">
        <v>4916</v>
      </c>
      <c r="J734" s="1055" t="s">
        <v>4917</v>
      </c>
      <c r="K734" s="1137">
        <v>41830</v>
      </c>
      <c r="L734" s="1139">
        <v>4000</v>
      </c>
      <c r="M734" s="1055">
        <v>11352</v>
      </c>
      <c r="N734" s="1137">
        <v>41830</v>
      </c>
      <c r="O734" s="1137">
        <v>41838</v>
      </c>
      <c r="P734" s="1146" t="s">
        <v>4071</v>
      </c>
      <c r="Q734" s="1055"/>
      <c r="R734" s="1055"/>
      <c r="S734" s="1055"/>
      <c r="T734" s="1055" t="s">
        <v>158</v>
      </c>
      <c r="U734" s="1146"/>
      <c r="V734" s="1137"/>
      <c r="W734" s="1064"/>
      <c r="X734" s="1146"/>
      <c r="Y734" s="1137"/>
      <c r="Z734" s="1137"/>
      <c r="AA734" s="1138"/>
      <c r="AB734" s="1055"/>
      <c r="AC734" s="1139"/>
      <c r="AD734" s="1139"/>
      <c r="AE734" s="1155">
        <f t="shared" ref="AE734:AE740" si="22">L734-AD734+AC734</f>
        <v>4000</v>
      </c>
      <c r="AF734" s="525">
        <v>0</v>
      </c>
      <c r="AG734" s="1139">
        <v>4000</v>
      </c>
      <c r="AH734" s="1139">
        <f t="shared" si="21"/>
        <v>4000</v>
      </c>
      <c r="AI734" s="1055"/>
      <c r="AJ734" s="1064"/>
      <c r="AK734" s="1055"/>
      <c r="AL734" s="1133"/>
      <c r="AM734" s="1055" t="s">
        <v>1311</v>
      </c>
      <c r="AN734" s="1055" t="s">
        <v>4913</v>
      </c>
      <c r="AO734" s="1064"/>
      <c r="AP734" s="1137"/>
      <c r="AQ734" s="1064"/>
      <c r="AR734" s="1137"/>
      <c r="AS734" s="1055"/>
      <c r="AT734" s="1133"/>
      <c r="AU734" s="1133"/>
      <c r="AV734" s="1133"/>
      <c r="AW734" s="1133"/>
      <c r="AX734" s="1133"/>
      <c r="AY734" s="1133"/>
      <c r="AZ734" s="1133"/>
      <c r="BA734" s="1133"/>
      <c r="BB734" s="1133"/>
      <c r="BC734" s="1133"/>
      <c r="BD734" s="1133"/>
      <c r="BE734" s="1480"/>
      <c r="BF734" s="1480"/>
      <c r="BG734" s="1480"/>
      <c r="BH734" s="1480"/>
      <c r="BI734" s="1480"/>
      <c r="BJ734" s="1480"/>
    </row>
    <row r="735" spans="1:62" s="629" customFormat="1" ht="54.95" customHeight="1" x14ac:dyDescent="0.2">
      <c r="A735" s="1514">
        <v>297</v>
      </c>
      <c r="B735" s="1217" t="s">
        <v>4918</v>
      </c>
      <c r="C735" s="1055"/>
      <c r="D735" s="1055" t="s">
        <v>2222</v>
      </c>
      <c r="E735" s="1055" t="s">
        <v>584</v>
      </c>
      <c r="F735" s="1055" t="s">
        <v>4563</v>
      </c>
      <c r="G735" s="1064"/>
      <c r="H735" s="1146" t="s">
        <v>4919</v>
      </c>
      <c r="I735" s="1055" t="s">
        <v>4565</v>
      </c>
      <c r="J735" s="1055" t="s">
        <v>4566</v>
      </c>
      <c r="K735" s="1137">
        <v>41834</v>
      </c>
      <c r="L735" s="1139">
        <v>7875.2</v>
      </c>
      <c r="M735" s="1055">
        <v>11358</v>
      </c>
      <c r="N735" s="1137">
        <v>41834</v>
      </c>
      <c r="O735" s="1137">
        <v>41857</v>
      </c>
      <c r="P735" s="1146" t="s">
        <v>3905</v>
      </c>
      <c r="Q735" s="1055"/>
      <c r="R735" s="1055"/>
      <c r="S735" s="1055"/>
      <c r="T735" s="1055" t="s">
        <v>158</v>
      </c>
      <c r="U735" s="1146"/>
      <c r="V735" s="1137"/>
      <c r="W735" s="1064"/>
      <c r="X735" s="1146"/>
      <c r="Y735" s="1137"/>
      <c r="Z735" s="1137"/>
      <c r="AA735" s="1138"/>
      <c r="AB735" s="1055"/>
      <c r="AC735" s="1139"/>
      <c r="AD735" s="1139"/>
      <c r="AE735" s="1155">
        <f t="shared" si="22"/>
        <v>7875.2</v>
      </c>
      <c r="AF735" s="525">
        <v>0</v>
      </c>
      <c r="AG735" s="1139">
        <v>7109.76</v>
      </c>
      <c r="AH735" s="1139">
        <f t="shared" si="21"/>
        <v>7109.76</v>
      </c>
      <c r="AI735" s="1055"/>
      <c r="AJ735" s="1064"/>
      <c r="AK735" s="1055"/>
      <c r="AL735" s="1133"/>
      <c r="AM735" s="1055" t="s">
        <v>1311</v>
      </c>
      <c r="AN735" s="1055" t="s">
        <v>4913</v>
      </c>
      <c r="AO735" s="1064"/>
      <c r="AP735" s="1137"/>
      <c r="AQ735" s="1064"/>
      <c r="AR735" s="1137"/>
      <c r="AS735" s="1055"/>
      <c r="AT735" s="1133"/>
      <c r="AU735" s="1133"/>
      <c r="AV735" s="1133"/>
      <c r="AW735" s="1133"/>
      <c r="AX735" s="1133"/>
      <c r="AY735" s="1133"/>
      <c r="AZ735" s="1133"/>
      <c r="BA735" s="1133"/>
      <c r="BB735" s="1133"/>
      <c r="BC735" s="1133"/>
      <c r="BD735" s="1133"/>
      <c r="BE735" s="1480"/>
      <c r="BF735" s="1480"/>
      <c r="BG735" s="1480"/>
      <c r="BH735" s="1480"/>
      <c r="BI735" s="1480"/>
      <c r="BJ735" s="1480"/>
    </row>
    <row r="736" spans="1:62" s="629" customFormat="1" ht="54.95" customHeight="1" x14ac:dyDescent="0.2">
      <c r="A736" s="1514">
        <v>298</v>
      </c>
      <c r="B736" s="1217" t="s">
        <v>814</v>
      </c>
      <c r="C736" s="1055"/>
      <c r="D736" s="1055" t="s">
        <v>2222</v>
      </c>
      <c r="E736" s="1055" t="s">
        <v>584</v>
      </c>
      <c r="F736" s="1055" t="s">
        <v>4920</v>
      </c>
      <c r="G736" s="1064"/>
      <c r="H736" s="1146" t="s">
        <v>4921</v>
      </c>
      <c r="I736" s="1055" t="s">
        <v>4922</v>
      </c>
      <c r="J736" s="1055" t="s">
        <v>4923</v>
      </c>
      <c r="K736" s="1137">
        <v>41890</v>
      </c>
      <c r="L736" s="1139">
        <v>56500</v>
      </c>
      <c r="M736" s="1055">
        <v>11396</v>
      </c>
      <c r="N736" s="1137">
        <v>41859</v>
      </c>
      <c r="O736" s="1137">
        <v>42004</v>
      </c>
      <c r="P736" s="1146" t="s">
        <v>3905</v>
      </c>
      <c r="Q736" s="1055"/>
      <c r="R736" s="1055"/>
      <c r="S736" s="1055"/>
      <c r="T736" s="1055" t="s">
        <v>208</v>
      </c>
      <c r="U736" s="1146"/>
      <c r="V736" s="1137"/>
      <c r="W736" s="1064"/>
      <c r="X736" s="1146"/>
      <c r="Y736" s="1137"/>
      <c r="Z736" s="1137"/>
      <c r="AA736" s="1138"/>
      <c r="AB736" s="1055"/>
      <c r="AC736" s="1139"/>
      <c r="AD736" s="1139"/>
      <c r="AE736" s="1155">
        <f t="shared" si="22"/>
        <v>56500</v>
      </c>
      <c r="AF736" s="525">
        <v>0</v>
      </c>
      <c r="AG736" s="1139">
        <v>26500</v>
      </c>
      <c r="AH736" s="1139">
        <f t="shared" si="21"/>
        <v>26500</v>
      </c>
      <c r="AI736" s="1055"/>
      <c r="AJ736" s="1064"/>
      <c r="AK736" s="1055"/>
      <c r="AL736" s="1133"/>
      <c r="AM736" s="1055" t="s">
        <v>1311</v>
      </c>
      <c r="AN736" s="1055" t="s">
        <v>4913</v>
      </c>
      <c r="AO736" s="1064">
        <v>11387</v>
      </c>
      <c r="AP736" s="1137">
        <v>41890</v>
      </c>
      <c r="AQ736" s="1064">
        <v>11387</v>
      </c>
      <c r="AR736" s="1137">
        <v>41890</v>
      </c>
      <c r="AS736" s="1055"/>
      <c r="AT736" s="1133"/>
      <c r="AU736" s="1133"/>
      <c r="AV736" s="1133"/>
      <c r="AW736" s="1133"/>
      <c r="AX736" s="1133"/>
      <c r="AY736" s="1133"/>
      <c r="AZ736" s="1133"/>
      <c r="BA736" s="1133"/>
      <c r="BB736" s="1133"/>
      <c r="BC736" s="1133"/>
      <c r="BD736" s="1133"/>
      <c r="BE736" s="1480"/>
      <c r="BF736" s="1480"/>
      <c r="BG736" s="1480"/>
      <c r="BH736" s="1480"/>
      <c r="BI736" s="1480"/>
      <c r="BJ736" s="1480"/>
    </row>
    <row r="737" spans="1:62" s="629" customFormat="1" ht="54.95" customHeight="1" x14ac:dyDescent="0.2">
      <c r="A737" s="1514">
        <v>299</v>
      </c>
      <c r="B737" s="1217" t="s">
        <v>837</v>
      </c>
      <c r="C737" s="1055"/>
      <c r="D737" s="1055" t="s">
        <v>2222</v>
      </c>
      <c r="E737" s="1055" t="s">
        <v>584</v>
      </c>
      <c r="F737" s="1055" t="s">
        <v>4560</v>
      </c>
      <c r="G737" s="1145">
        <v>11385</v>
      </c>
      <c r="H737" s="1055" t="s">
        <v>4924</v>
      </c>
      <c r="I737" s="1055" t="s">
        <v>4562</v>
      </c>
      <c r="J737" s="1055" t="s">
        <v>4472</v>
      </c>
      <c r="K737" s="1137">
        <v>41891</v>
      </c>
      <c r="L737" s="1139">
        <v>7799.88</v>
      </c>
      <c r="M737" s="1055">
        <v>11389</v>
      </c>
      <c r="N737" s="1137">
        <v>41891</v>
      </c>
      <c r="O737" s="1137">
        <v>42004</v>
      </c>
      <c r="P737" s="1146" t="s">
        <v>3905</v>
      </c>
      <c r="Q737" s="1055"/>
      <c r="R737" s="1055"/>
      <c r="S737" s="1055"/>
      <c r="T737" s="1055" t="s">
        <v>158</v>
      </c>
      <c r="U737" s="1146"/>
      <c r="V737" s="1137"/>
      <c r="W737" s="1064"/>
      <c r="X737" s="1146"/>
      <c r="Y737" s="1137"/>
      <c r="Z737" s="1137"/>
      <c r="AA737" s="1138"/>
      <c r="AB737" s="1055"/>
      <c r="AC737" s="1139"/>
      <c r="AD737" s="1139"/>
      <c r="AE737" s="1155">
        <f>L737</f>
        <v>7799.88</v>
      </c>
      <c r="AF737" s="525">
        <v>0</v>
      </c>
      <c r="AG737" s="1139">
        <v>7799.88</v>
      </c>
      <c r="AH737" s="1139">
        <f t="shared" si="21"/>
        <v>7799.88</v>
      </c>
      <c r="AI737" s="1055"/>
      <c r="AJ737" s="1064"/>
      <c r="AK737" s="1055"/>
      <c r="AL737" s="1133"/>
      <c r="AM737" s="1055" t="s">
        <v>1311</v>
      </c>
      <c r="AN737" s="1055" t="s">
        <v>4913</v>
      </c>
      <c r="AO737" s="1064">
        <v>11385</v>
      </c>
      <c r="AP737" s="1137">
        <v>41885</v>
      </c>
      <c r="AQ737" s="1064">
        <v>11385</v>
      </c>
      <c r="AR737" s="1137">
        <v>41885</v>
      </c>
      <c r="AS737" s="1055"/>
      <c r="AT737" s="1133"/>
      <c r="AU737" s="1133"/>
      <c r="AV737" s="1133"/>
      <c r="AW737" s="1133"/>
      <c r="AX737" s="1133"/>
      <c r="AY737" s="1133"/>
      <c r="AZ737" s="1133"/>
      <c r="BA737" s="1133"/>
      <c r="BB737" s="1133"/>
      <c r="BC737" s="1133"/>
      <c r="BD737" s="1133"/>
      <c r="BE737" s="1480"/>
      <c r="BF737" s="1480"/>
      <c r="BG737" s="1480"/>
      <c r="BH737" s="1480"/>
      <c r="BI737" s="1480"/>
      <c r="BJ737" s="1480"/>
    </row>
    <row r="738" spans="1:62" s="629" customFormat="1" ht="54.95" customHeight="1" x14ac:dyDescent="0.2">
      <c r="A738" s="1514">
        <v>300</v>
      </c>
      <c r="B738" s="1217" t="s">
        <v>1679</v>
      </c>
      <c r="C738" s="1055"/>
      <c r="D738" s="1055" t="s">
        <v>2222</v>
      </c>
      <c r="E738" s="1055" t="s">
        <v>584</v>
      </c>
      <c r="F738" s="1055" t="s">
        <v>4925</v>
      </c>
      <c r="G738" s="1064"/>
      <c r="H738" s="1146" t="s">
        <v>4926</v>
      </c>
      <c r="I738" s="1055" t="s">
        <v>4927</v>
      </c>
      <c r="J738" s="1055" t="s">
        <v>4928</v>
      </c>
      <c r="K738" s="1137">
        <v>41890</v>
      </c>
      <c r="L738" s="1139">
        <v>22500</v>
      </c>
      <c r="M738" s="1055"/>
      <c r="N738" s="1137">
        <v>41890</v>
      </c>
      <c r="O738" s="1137">
        <v>42004</v>
      </c>
      <c r="P738" s="1146" t="s">
        <v>3905</v>
      </c>
      <c r="Q738" s="1055"/>
      <c r="R738" s="1055"/>
      <c r="S738" s="1055"/>
      <c r="T738" s="1055" t="s">
        <v>1612</v>
      </c>
      <c r="U738" s="1146"/>
      <c r="V738" s="1137"/>
      <c r="W738" s="1064"/>
      <c r="X738" s="1146"/>
      <c r="Y738" s="1137"/>
      <c r="Z738" s="1137"/>
      <c r="AA738" s="1138"/>
      <c r="AB738" s="1055"/>
      <c r="AC738" s="1139"/>
      <c r="AD738" s="1139"/>
      <c r="AE738" s="1155">
        <f t="shared" si="22"/>
        <v>22500</v>
      </c>
      <c r="AF738" s="525">
        <v>0</v>
      </c>
      <c r="AG738" s="1139">
        <v>0</v>
      </c>
      <c r="AH738" s="1139">
        <f t="shared" si="21"/>
        <v>0</v>
      </c>
      <c r="AI738" s="1055"/>
      <c r="AJ738" s="1064"/>
      <c r="AK738" s="1055"/>
      <c r="AL738" s="1133"/>
      <c r="AM738" s="1055" t="s">
        <v>867</v>
      </c>
      <c r="AN738" s="1055" t="s">
        <v>4929</v>
      </c>
      <c r="AO738" s="1064">
        <v>11385</v>
      </c>
      <c r="AP738" s="1137">
        <v>41885</v>
      </c>
      <c r="AQ738" s="1064">
        <v>11385</v>
      </c>
      <c r="AR738" s="1137">
        <v>41885</v>
      </c>
      <c r="AS738" s="1055"/>
      <c r="AT738" s="1133"/>
      <c r="AU738" s="1133"/>
      <c r="AV738" s="1133"/>
      <c r="AW738" s="1133"/>
      <c r="AX738" s="1133"/>
      <c r="AY738" s="1133"/>
      <c r="AZ738" s="1133"/>
      <c r="BA738" s="1133"/>
      <c r="BB738" s="1133"/>
      <c r="BC738" s="1133"/>
      <c r="BD738" s="1133"/>
      <c r="BE738" s="1480"/>
      <c r="BF738" s="1480"/>
      <c r="BG738" s="1480"/>
      <c r="BH738" s="1480"/>
      <c r="BI738" s="1480"/>
      <c r="BJ738" s="1480"/>
    </row>
    <row r="739" spans="1:62" s="629" customFormat="1" ht="54.95" customHeight="1" x14ac:dyDescent="0.2">
      <c r="A739" s="1514">
        <v>301</v>
      </c>
      <c r="B739" s="636"/>
      <c r="C739" s="1133"/>
      <c r="D739" s="1055" t="s">
        <v>2222</v>
      </c>
      <c r="E739" s="1055" t="s">
        <v>584</v>
      </c>
      <c r="F739" s="1055" t="s">
        <v>4930</v>
      </c>
      <c r="G739" s="1055"/>
      <c r="H739" s="1146" t="s">
        <v>4931</v>
      </c>
      <c r="I739" s="1055" t="s">
        <v>4932</v>
      </c>
      <c r="J739" s="1055" t="s">
        <v>4933</v>
      </c>
      <c r="K739" s="1137">
        <v>41409</v>
      </c>
      <c r="L739" s="1156">
        <v>7475</v>
      </c>
      <c r="M739" s="1146"/>
      <c r="N739" s="1134">
        <v>41409</v>
      </c>
      <c r="O739" s="1134">
        <v>41562</v>
      </c>
      <c r="P739" s="1133">
        <v>1</v>
      </c>
      <c r="Q739" s="1155"/>
      <c r="R739" s="1055"/>
      <c r="S739" s="1055"/>
      <c r="T739" s="1133" t="s">
        <v>208</v>
      </c>
      <c r="U739" s="1055"/>
      <c r="V739" s="1055"/>
      <c r="W739" s="1064"/>
      <c r="X739" s="1133"/>
      <c r="Y739" s="1055"/>
      <c r="Z739" s="1055"/>
      <c r="AA739" s="1138"/>
      <c r="AB739" s="1055"/>
      <c r="AC739" s="1139"/>
      <c r="AD739" s="1139"/>
      <c r="AE739" s="1155">
        <f t="shared" si="22"/>
        <v>7475</v>
      </c>
      <c r="AF739" s="561">
        <v>7175.92</v>
      </c>
      <c r="AG739" s="1156">
        <v>299.08</v>
      </c>
      <c r="AH739" s="1139">
        <f t="shared" si="21"/>
        <v>7475</v>
      </c>
      <c r="AI739" s="1055"/>
      <c r="AJ739" s="1155"/>
      <c r="AK739" s="1055"/>
      <c r="AL739" s="1055"/>
      <c r="AM739" s="1055" t="s">
        <v>1311</v>
      </c>
      <c r="AN739" s="1055" t="s">
        <v>4913</v>
      </c>
      <c r="AO739" s="1133"/>
      <c r="AP739" s="1133"/>
      <c r="AQ739" s="1133"/>
      <c r="AR739" s="1133"/>
      <c r="AS739" s="1055"/>
      <c r="AT739" s="1064"/>
      <c r="AU739" s="1137"/>
      <c r="AV739" s="1064"/>
      <c r="AW739" s="1137"/>
      <c r="AX739" s="1055"/>
      <c r="AY739" s="1133"/>
      <c r="AZ739" s="1133"/>
      <c r="BA739" s="1133"/>
      <c r="BB739" s="1133"/>
      <c r="BC739" s="1133"/>
      <c r="BD739" s="1133"/>
      <c r="BE739" s="204"/>
      <c r="BF739" s="204"/>
      <c r="BG739" s="204"/>
      <c r="BH739" s="204"/>
      <c r="BI739" s="204"/>
      <c r="BJ739" s="1480"/>
    </row>
    <row r="740" spans="1:62" s="629" customFormat="1" ht="54.95" customHeight="1" x14ac:dyDescent="0.2">
      <c r="A740" s="1514">
        <v>302</v>
      </c>
      <c r="B740" s="1217" t="s">
        <v>832</v>
      </c>
      <c r="C740" s="1055"/>
      <c r="D740" s="1055" t="s">
        <v>2222</v>
      </c>
      <c r="E740" s="1055" t="s">
        <v>584</v>
      </c>
      <c r="F740" s="1055" t="s">
        <v>4914</v>
      </c>
      <c r="G740" s="1064"/>
      <c r="H740" s="1146" t="s">
        <v>4934</v>
      </c>
      <c r="I740" s="1055" t="s">
        <v>4935</v>
      </c>
      <c r="J740" s="1055" t="s">
        <v>4936</v>
      </c>
      <c r="K740" s="1137">
        <v>41838</v>
      </c>
      <c r="L740" s="1139">
        <v>4000</v>
      </c>
      <c r="M740" s="1055">
        <v>11467</v>
      </c>
      <c r="N740" s="1137">
        <v>41838</v>
      </c>
      <c r="O740" s="1137">
        <v>41842</v>
      </c>
      <c r="P740" s="1146" t="s">
        <v>4071</v>
      </c>
      <c r="Q740" s="1055"/>
      <c r="R740" s="1055"/>
      <c r="S740" s="1055"/>
      <c r="T740" s="1055" t="s">
        <v>158</v>
      </c>
      <c r="U740" s="1146"/>
      <c r="V740" s="1137"/>
      <c r="W740" s="1064"/>
      <c r="X740" s="1146"/>
      <c r="Y740" s="1137"/>
      <c r="Z740" s="1137"/>
      <c r="AA740" s="1138"/>
      <c r="AB740" s="1055"/>
      <c r="AC740" s="1139"/>
      <c r="AD740" s="1139"/>
      <c r="AE740" s="1155">
        <f t="shared" si="22"/>
        <v>4000</v>
      </c>
      <c r="AF740" s="525">
        <v>0</v>
      </c>
      <c r="AG740" s="1139">
        <v>4000</v>
      </c>
      <c r="AH740" s="1139">
        <f t="shared" si="21"/>
        <v>4000</v>
      </c>
      <c r="AI740" s="1055"/>
      <c r="AJ740" s="1064"/>
      <c r="AK740" s="1055"/>
      <c r="AL740" s="1133"/>
      <c r="AM740" s="1055" t="s">
        <v>1311</v>
      </c>
      <c r="AN740" s="1055" t="s">
        <v>4913</v>
      </c>
      <c r="AO740" s="1064"/>
      <c r="AP740" s="1137"/>
      <c r="AQ740" s="1064"/>
      <c r="AR740" s="1137"/>
      <c r="AS740" s="1055"/>
      <c r="AT740" s="1133"/>
      <c r="AU740" s="1133"/>
      <c r="AV740" s="1133"/>
      <c r="AW740" s="1133"/>
      <c r="AX740" s="1133"/>
      <c r="AY740" s="1133"/>
      <c r="AZ740" s="1133"/>
      <c r="BA740" s="1133"/>
      <c r="BB740" s="1133"/>
      <c r="BC740" s="1133"/>
      <c r="BD740" s="1133"/>
      <c r="BE740" s="204"/>
      <c r="BF740" s="204"/>
      <c r="BG740" s="204"/>
      <c r="BH740" s="204"/>
      <c r="BI740" s="204"/>
      <c r="BJ740" s="1480"/>
    </row>
    <row r="741" spans="1:62" s="629" customFormat="1" ht="40.5" customHeight="1" x14ac:dyDescent="0.2">
      <c r="A741" s="2365">
        <v>303</v>
      </c>
      <c r="B741" s="2366" t="s">
        <v>4937</v>
      </c>
      <c r="C741" s="2355"/>
      <c r="D741" s="2023" t="s">
        <v>2222</v>
      </c>
      <c r="E741" s="2023" t="s">
        <v>584</v>
      </c>
      <c r="F741" s="2023" t="s">
        <v>4938</v>
      </c>
      <c r="G741" s="2006">
        <v>11132</v>
      </c>
      <c r="H741" s="2367" t="s">
        <v>4939</v>
      </c>
      <c r="I741" s="2023" t="s">
        <v>4940</v>
      </c>
      <c r="J741" s="2023" t="s">
        <v>4941</v>
      </c>
      <c r="K741" s="2347">
        <v>41488</v>
      </c>
      <c r="L741" s="2369">
        <v>80000</v>
      </c>
      <c r="M741" s="2367" t="s">
        <v>4942</v>
      </c>
      <c r="N741" s="2347">
        <v>41459</v>
      </c>
      <c r="O741" s="2347">
        <v>41639</v>
      </c>
      <c r="P741" s="2367" t="s">
        <v>3905</v>
      </c>
      <c r="Q741" s="2368"/>
      <c r="R741" s="2023"/>
      <c r="S741" s="2023"/>
      <c r="T741" s="2023" t="s">
        <v>316</v>
      </c>
      <c r="U741" s="1055"/>
      <c r="V741" s="1055"/>
      <c r="W741" s="1064"/>
      <c r="X741" s="1146"/>
      <c r="Y741" s="1055"/>
      <c r="Z741" s="1055"/>
      <c r="AA741" s="1138"/>
      <c r="AB741" s="1055"/>
      <c r="AC741" s="1139"/>
      <c r="AD741" s="1139"/>
      <c r="AE741" s="1155"/>
      <c r="AF741" s="525">
        <v>80000</v>
      </c>
      <c r="AG741" s="1150">
        <f>96000+32000</f>
        <v>128000</v>
      </c>
      <c r="AH741" s="1139">
        <f t="shared" si="21"/>
        <v>208000</v>
      </c>
      <c r="AI741" s="1055"/>
      <c r="AJ741" s="1155"/>
      <c r="AK741" s="1055"/>
      <c r="AL741" s="1055"/>
      <c r="AM741" s="2023" t="s">
        <v>1311</v>
      </c>
      <c r="AN741" s="2023" t="s">
        <v>4859</v>
      </c>
      <c r="AO741" s="2006">
        <v>11132</v>
      </c>
      <c r="AP741" s="2347" t="s">
        <v>4943</v>
      </c>
      <c r="AQ741" s="2006">
        <v>11132</v>
      </c>
      <c r="AR741" s="2347">
        <v>41488</v>
      </c>
      <c r="AS741" s="1055"/>
      <c r="AT741" s="1064"/>
      <c r="AU741" s="1137"/>
      <c r="AV741" s="1064"/>
      <c r="AW741" s="1137"/>
      <c r="AX741" s="1055"/>
      <c r="AY741" s="1133"/>
      <c r="AZ741" s="1133"/>
      <c r="BA741" s="1133"/>
      <c r="BB741" s="1133"/>
      <c r="BC741" s="1133"/>
      <c r="BD741" s="1133"/>
      <c r="BE741" s="204"/>
      <c r="BF741" s="204"/>
      <c r="BG741" s="204"/>
      <c r="BH741" s="204"/>
      <c r="BI741" s="204"/>
      <c r="BJ741" s="1480"/>
    </row>
    <row r="742" spans="1:62" s="629" customFormat="1" ht="26.25" customHeight="1" x14ac:dyDescent="0.2">
      <c r="A742" s="2365"/>
      <c r="B742" s="2366"/>
      <c r="C742" s="2355"/>
      <c r="D742" s="2023"/>
      <c r="E742" s="2023"/>
      <c r="F742" s="2023"/>
      <c r="G742" s="2006"/>
      <c r="H742" s="2367"/>
      <c r="I742" s="2023"/>
      <c r="J742" s="2023"/>
      <c r="K742" s="2347"/>
      <c r="L742" s="2369"/>
      <c r="M742" s="2367"/>
      <c r="N742" s="2347"/>
      <c r="O742" s="2347"/>
      <c r="P742" s="2367"/>
      <c r="Q742" s="2368"/>
      <c r="R742" s="2023"/>
      <c r="S742" s="2023"/>
      <c r="T742" s="2023"/>
      <c r="U742" s="1146" t="s">
        <v>4190</v>
      </c>
      <c r="V742" s="1137">
        <v>41631</v>
      </c>
      <c r="W742" s="1064">
        <v>11221</v>
      </c>
      <c r="X742" s="1146" t="s">
        <v>3907</v>
      </c>
      <c r="Y742" s="1137">
        <v>41640</v>
      </c>
      <c r="Z742" s="1137">
        <v>42004</v>
      </c>
      <c r="AA742" s="542"/>
      <c r="AB742" s="1055"/>
      <c r="AC742" s="1139">
        <f>16000*7</f>
        <v>112000</v>
      </c>
      <c r="AD742" s="1139"/>
      <c r="AE742" s="1155">
        <f>AC742+L741</f>
        <v>192000</v>
      </c>
      <c r="AF742" s="525">
        <v>0</v>
      </c>
      <c r="AG742" s="525">
        <v>0</v>
      </c>
      <c r="AH742" s="1139">
        <f t="shared" si="21"/>
        <v>0</v>
      </c>
      <c r="AI742" s="1055"/>
      <c r="AJ742" s="1155"/>
      <c r="AK742" s="1055"/>
      <c r="AL742" s="1055"/>
      <c r="AM742" s="2023"/>
      <c r="AN742" s="2023"/>
      <c r="AO742" s="2006"/>
      <c r="AP742" s="2347"/>
      <c r="AQ742" s="2006"/>
      <c r="AR742" s="2347"/>
      <c r="AS742" s="1055"/>
      <c r="AT742" s="1064"/>
      <c r="AU742" s="1137"/>
      <c r="AV742" s="1064"/>
      <c r="AW742" s="1137"/>
      <c r="AX742" s="1055"/>
      <c r="AY742" s="1133"/>
      <c r="AZ742" s="1133"/>
      <c r="BA742" s="1133"/>
      <c r="BB742" s="1133"/>
      <c r="BC742" s="1133"/>
      <c r="BD742" s="1133"/>
      <c r="BE742" s="204"/>
      <c r="BF742" s="204"/>
      <c r="BG742" s="204"/>
      <c r="BH742" s="204"/>
      <c r="BI742" s="204"/>
      <c r="BJ742" s="1480"/>
    </row>
    <row r="743" spans="1:62" s="629" customFormat="1" ht="54.95" customHeight="1" x14ac:dyDescent="0.2">
      <c r="A743" s="2365">
        <v>304</v>
      </c>
      <c r="B743" s="2366" t="s">
        <v>4944</v>
      </c>
      <c r="C743" s="2355"/>
      <c r="D743" s="2023" t="s">
        <v>2222</v>
      </c>
      <c r="E743" s="2023" t="s">
        <v>584</v>
      </c>
      <c r="F743" s="2023" t="s">
        <v>4945</v>
      </c>
      <c r="G743" s="2006">
        <v>11078</v>
      </c>
      <c r="H743" s="2367" t="s">
        <v>4946</v>
      </c>
      <c r="I743" s="2023" t="s">
        <v>4947</v>
      </c>
      <c r="J743" s="2023" t="s">
        <v>4948</v>
      </c>
      <c r="K743" s="2347">
        <v>41530</v>
      </c>
      <c r="L743" s="2343">
        <v>19800</v>
      </c>
      <c r="M743" s="2367" t="s">
        <v>4949</v>
      </c>
      <c r="N743" s="2347">
        <v>41520</v>
      </c>
      <c r="O743" s="2347">
        <v>41639</v>
      </c>
      <c r="P743" s="2367" t="s">
        <v>3905</v>
      </c>
      <c r="Q743" s="2368"/>
      <c r="R743" s="2023"/>
      <c r="S743" s="2023"/>
      <c r="T743" s="2023" t="s">
        <v>158</v>
      </c>
      <c r="U743" s="1146"/>
      <c r="V743" s="1055"/>
      <c r="W743" s="1064"/>
      <c r="X743" s="1146"/>
      <c r="Y743" s="1055"/>
      <c r="Z743" s="1055"/>
      <c r="AA743" s="1138"/>
      <c r="AB743" s="1055"/>
      <c r="AC743" s="1139"/>
      <c r="AD743" s="1139"/>
      <c r="AE743" s="1155"/>
      <c r="AF743" s="1155">
        <v>19800</v>
      </c>
      <c r="AG743" s="1139">
        <f>38500+5500</f>
        <v>44000</v>
      </c>
      <c r="AH743" s="1139">
        <f t="shared" si="21"/>
        <v>63800</v>
      </c>
      <c r="AI743" s="1055"/>
      <c r="AJ743" s="1155"/>
      <c r="AK743" s="1055"/>
      <c r="AL743" s="1055"/>
      <c r="AM743" s="2023" t="s">
        <v>1311</v>
      </c>
      <c r="AN743" s="2023" t="s">
        <v>4859</v>
      </c>
      <c r="AO743" s="2006">
        <v>11078</v>
      </c>
      <c r="AP743" s="2347">
        <v>41529</v>
      </c>
      <c r="AQ743" s="2006">
        <v>11078</v>
      </c>
      <c r="AR743" s="2347">
        <v>41530</v>
      </c>
      <c r="AS743" s="1055"/>
      <c r="AT743" s="1064"/>
      <c r="AU743" s="1137"/>
      <c r="AV743" s="1064"/>
      <c r="AW743" s="1137"/>
      <c r="AX743" s="1055"/>
      <c r="AY743" s="1133"/>
      <c r="AZ743" s="1133"/>
      <c r="BA743" s="1133"/>
      <c r="BB743" s="1133"/>
      <c r="BC743" s="1133"/>
      <c r="BD743" s="1133"/>
      <c r="BE743" s="204"/>
      <c r="BF743" s="204"/>
      <c r="BG743" s="204"/>
      <c r="BH743" s="204"/>
      <c r="BI743" s="204"/>
      <c r="BJ743" s="1480"/>
    </row>
    <row r="744" spans="1:62" s="629" customFormat="1" ht="35.25" customHeight="1" x14ac:dyDescent="0.2">
      <c r="A744" s="2365"/>
      <c r="B744" s="2366"/>
      <c r="C744" s="2355"/>
      <c r="D744" s="2023"/>
      <c r="E744" s="2023"/>
      <c r="F744" s="2023"/>
      <c r="G744" s="2006"/>
      <c r="H744" s="2367"/>
      <c r="I744" s="2023"/>
      <c r="J744" s="2023"/>
      <c r="K744" s="2347"/>
      <c r="L744" s="2343"/>
      <c r="M744" s="2367"/>
      <c r="N744" s="2347"/>
      <c r="O744" s="2347"/>
      <c r="P744" s="2367"/>
      <c r="Q744" s="2368"/>
      <c r="R744" s="2023"/>
      <c r="S744" s="2023"/>
      <c r="T744" s="2023"/>
      <c r="U744" s="1146" t="s">
        <v>4950</v>
      </c>
      <c r="V744" s="1137">
        <v>41631</v>
      </c>
      <c r="W744" s="1064">
        <v>11221</v>
      </c>
      <c r="X744" s="1146" t="s">
        <v>3907</v>
      </c>
      <c r="Y744" s="1137">
        <v>41640</v>
      </c>
      <c r="Z744" s="1137">
        <v>42004</v>
      </c>
      <c r="AA744" s="1138"/>
      <c r="AB744" s="1055"/>
      <c r="AC744" s="1139"/>
      <c r="AD744" s="1139"/>
      <c r="AE744" s="1155">
        <f>(5500*12)+L743</f>
        <v>85800</v>
      </c>
      <c r="AF744" s="525">
        <v>0</v>
      </c>
      <c r="AG744" s="525">
        <v>0</v>
      </c>
      <c r="AH744" s="1139">
        <f t="shared" si="21"/>
        <v>0</v>
      </c>
      <c r="AI744" s="1055"/>
      <c r="AJ744" s="1155"/>
      <c r="AK744" s="1055"/>
      <c r="AL744" s="1055"/>
      <c r="AM744" s="2023"/>
      <c r="AN744" s="2023"/>
      <c r="AO744" s="2006"/>
      <c r="AP744" s="2347"/>
      <c r="AQ744" s="2006"/>
      <c r="AR744" s="2347"/>
      <c r="AS744" s="1055"/>
      <c r="AT744" s="1064"/>
      <c r="AU744" s="1137"/>
      <c r="AV744" s="1064"/>
      <c r="AW744" s="1137"/>
      <c r="AX744" s="1055"/>
      <c r="AY744" s="1133"/>
      <c r="AZ744" s="1133"/>
      <c r="BA744" s="1133"/>
      <c r="BB744" s="1133"/>
      <c r="BC744" s="1133"/>
      <c r="BD744" s="1133"/>
      <c r="BE744" s="204"/>
      <c r="BF744" s="204"/>
      <c r="BG744" s="204"/>
      <c r="BH744" s="204"/>
      <c r="BI744" s="204"/>
      <c r="BJ744" s="1480"/>
    </row>
    <row r="745" spans="1:62" s="629" customFormat="1" ht="25.5" x14ac:dyDescent="0.2">
      <c r="A745" s="2365"/>
      <c r="B745" s="2366"/>
      <c r="C745" s="2355"/>
      <c r="D745" s="2023"/>
      <c r="E745" s="2023"/>
      <c r="F745" s="2023"/>
      <c r="G745" s="2023"/>
      <c r="H745" s="2367"/>
      <c r="I745" s="2023"/>
      <c r="J745" s="2023"/>
      <c r="K745" s="2023"/>
      <c r="L745" s="2343"/>
      <c r="M745" s="2367"/>
      <c r="N745" s="2347"/>
      <c r="O745" s="2347"/>
      <c r="P745" s="2367"/>
      <c r="Q745" s="2368"/>
      <c r="R745" s="2023"/>
      <c r="S745" s="2023"/>
      <c r="T745" s="2023"/>
      <c r="U745" s="1146" t="s">
        <v>3943</v>
      </c>
      <c r="V745" s="1137">
        <v>41981</v>
      </c>
      <c r="W745" s="1064">
        <v>11454</v>
      </c>
      <c r="X745" s="1146" t="s">
        <v>3929</v>
      </c>
      <c r="Y745" s="1137">
        <v>41895</v>
      </c>
      <c r="Z745" s="1137">
        <v>42004</v>
      </c>
      <c r="AA745" s="1138">
        <f>268.66/5500</f>
        <v>4.8847272727272732E-2</v>
      </c>
      <c r="AB745" s="1055"/>
      <c r="AC745" s="1139">
        <v>967.18</v>
      </c>
      <c r="AD745" s="1139"/>
      <c r="AE745" s="1155">
        <f>AE744+AC745</f>
        <v>86767.18</v>
      </c>
      <c r="AF745" s="525">
        <v>0</v>
      </c>
      <c r="AG745" s="525">
        <v>0</v>
      </c>
      <c r="AH745" s="1139">
        <f t="shared" si="21"/>
        <v>0</v>
      </c>
      <c r="AI745" s="1055"/>
      <c r="AJ745" s="1155"/>
      <c r="AK745" s="1055"/>
      <c r="AL745" s="1055"/>
      <c r="AM745" s="2023"/>
      <c r="AN745" s="2023"/>
      <c r="AO745" s="2006"/>
      <c r="AP745" s="2347"/>
      <c r="AQ745" s="2006"/>
      <c r="AR745" s="2347"/>
      <c r="AS745" s="1055"/>
      <c r="AT745" s="1064"/>
      <c r="AU745" s="1137"/>
      <c r="AV745" s="1064"/>
      <c r="AW745" s="1137"/>
      <c r="AX745" s="1055"/>
      <c r="AY745" s="1133"/>
      <c r="AZ745" s="1133"/>
      <c r="BA745" s="1133"/>
      <c r="BB745" s="1133"/>
      <c r="BC745" s="1133"/>
      <c r="BD745" s="1133"/>
      <c r="BE745" s="204"/>
      <c r="BF745" s="204"/>
      <c r="BG745" s="204"/>
      <c r="BH745" s="204"/>
      <c r="BI745" s="204"/>
      <c r="BJ745" s="1480"/>
    </row>
    <row r="746" spans="1:62" s="629" customFormat="1" ht="54.95" customHeight="1" x14ac:dyDescent="0.2">
      <c r="A746" s="1514">
        <v>305</v>
      </c>
      <c r="B746" s="636" t="s">
        <v>4951</v>
      </c>
      <c r="C746" s="1133"/>
      <c r="D746" s="1055" t="s">
        <v>2222</v>
      </c>
      <c r="E746" s="1055" t="s">
        <v>584</v>
      </c>
      <c r="F746" s="1055" t="s">
        <v>4952</v>
      </c>
      <c r="G746" s="1055"/>
      <c r="H746" s="1055" t="s">
        <v>4241</v>
      </c>
      <c r="I746" s="1146" t="s">
        <v>4953</v>
      </c>
      <c r="J746" s="1055"/>
      <c r="K746" s="1055"/>
      <c r="L746" s="1135">
        <v>671.66</v>
      </c>
      <c r="M746" s="1146"/>
      <c r="N746" s="1133"/>
      <c r="O746" s="1133"/>
      <c r="P746" s="1146" t="s">
        <v>3905</v>
      </c>
      <c r="Q746" s="1155"/>
      <c r="R746" s="1055"/>
      <c r="S746" s="1055"/>
      <c r="T746" s="1133" t="s">
        <v>316</v>
      </c>
      <c r="U746" s="1055"/>
      <c r="V746" s="1055"/>
      <c r="W746" s="1064"/>
      <c r="X746" s="1133"/>
      <c r="Y746" s="1055"/>
      <c r="Z746" s="1055"/>
      <c r="AA746" s="1138"/>
      <c r="AB746" s="1055"/>
      <c r="AC746" s="1139"/>
      <c r="AD746" s="1139"/>
      <c r="AE746" s="1155">
        <f t="shared" ref="AE746:AE758" si="23">L746-AD746+AC746</f>
        <v>671.66</v>
      </c>
      <c r="AF746" s="525">
        <v>0</v>
      </c>
      <c r="AG746" s="525">
        <v>0</v>
      </c>
      <c r="AH746" s="1139">
        <f t="shared" si="21"/>
        <v>0</v>
      </c>
      <c r="AI746" s="1055"/>
      <c r="AJ746" s="1155"/>
      <c r="AK746" s="1055"/>
      <c r="AL746" s="1055"/>
      <c r="AM746" s="1055" t="s">
        <v>1311</v>
      </c>
      <c r="AN746" s="1055" t="s">
        <v>4913</v>
      </c>
      <c r="AO746" s="1055"/>
      <c r="AP746" s="1055"/>
      <c r="AQ746" s="1055"/>
      <c r="AR746" s="1055"/>
      <c r="AS746" s="1055"/>
      <c r="AT746" s="1064"/>
      <c r="AU746" s="1137"/>
      <c r="AV746" s="1064"/>
      <c r="AW746" s="1137"/>
      <c r="AX746" s="1055"/>
      <c r="AY746" s="1133"/>
      <c r="AZ746" s="1133"/>
      <c r="BA746" s="1133"/>
      <c r="BB746" s="1133"/>
      <c r="BC746" s="1133"/>
      <c r="BD746" s="1133"/>
      <c r="BE746" s="204"/>
      <c r="BF746" s="204"/>
      <c r="BG746" s="204"/>
      <c r="BH746" s="204"/>
      <c r="BI746" s="204"/>
      <c r="BJ746" s="1480"/>
    </row>
    <row r="747" spans="1:62" s="629" customFormat="1" ht="54.95" customHeight="1" x14ac:dyDescent="0.2">
      <c r="A747" s="1514">
        <v>306</v>
      </c>
      <c r="B747" s="636" t="s">
        <v>4954</v>
      </c>
      <c r="C747" s="1133"/>
      <c r="D747" s="1055" t="s">
        <v>2222</v>
      </c>
      <c r="E747" s="1055" t="s">
        <v>584</v>
      </c>
      <c r="F747" s="1055" t="s">
        <v>4955</v>
      </c>
      <c r="G747" s="1055"/>
      <c r="H747" s="1055" t="s">
        <v>4241</v>
      </c>
      <c r="I747" s="1146" t="s">
        <v>4956</v>
      </c>
      <c r="J747" s="1055" t="s">
        <v>4957</v>
      </c>
      <c r="K747" s="1137">
        <v>41696</v>
      </c>
      <c r="L747" s="1135">
        <v>2280</v>
      </c>
      <c r="M747" s="1146"/>
      <c r="N747" s="1133"/>
      <c r="O747" s="1133"/>
      <c r="P747" s="1146"/>
      <c r="Q747" s="1155"/>
      <c r="R747" s="1055"/>
      <c r="S747" s="1055"/>
      <c r="T747" s="1133"/>
      <c r="U747" s="1055"/>
      <c r="V747" s="1055"/>
      <c r="W747" s="1064"/>
      <c r="X747" s="1133"/>
      <c r="Y747" s="1055"/>
      <c r="Z747" s="1055"/>
      <c r="AA747" s="1138"/>
      <c r="AB747" s="1055"/>
      <c r="AC747" s="1139"/>
      <c r="AD747" s="1139"/>
      <c r="AE747" s="1155">
        <f t="shared" si="23"/>
        <v>2280</v>
      </c>
      <c r="AF747" s="525">
        <v>0</v>
      </c>
      <c r="AG747" s="1135">
        <v>2280</v>
      </c>
      <c r="AH747" s="1139">
        <f t="shared" si="21"/>
        <v>2280</v>
      </c>
      <c r="AI747" s="1055"/>
      <c r="AJ747" s="1155"/>
      <c r="AK747" s="1055"/>
      <c r="AL747" s="1055"/>
      <c r="AM747" s="1055"/>
      <c r="AN747" s="1055"/>
      <c r="AO747" s="1055"/>
      <c r="AP747" s="1055"/>
      <c r="AQ747" s="1055"/>
      <c r="AR747" s="1055"/>
      <c r="AS747" s="1055"/>
      <c r="AT747" s="1064"/>
      <c r="AU747" s="1137"/>
      <c r="AV747" s="1064"/>
      <c r="AW747" s="1137"/>
      <c r="AX747" s="1055"/>
      <c r="AY747" s="1133"/>
      <c r="AZ747" s="1133"/>
      <c r="BA747" s="1133"/>
      <c r="BB747" s="1133"/>
      <c r="BC747" s="1133"/>
      <c r="BD747" s="1133"/>
      <c r="BE747" s="204"/>
      <c r="BF747" s="204"/>
      <c r="BG747" s="204"/>
      <c r="BH747" s="204"/>
      <c r="BI747" s="204"/>
      <c r="BJ747" s="1480"/>
    </row>
    <row r="748" spans="1:62" s="629" customFormat="1" ht="54.95" customHeight="1" x14ac:dyDescent="0.2">
      <c r="A748" s="1514">
        <v>307</v>
      </c>
      <c r="B748" s="636" t="s">
        <v>2365</v>
      </c>
      <c r="C748" s="1133"/>
      <c r="D748" s="1055" t="s">
        <v>2222</v>
      </c>
      <c r="E748" s="1055" t="s">
        <v>584</v>
      </c>
      <c r="F748" s="1055" t="s">
        <v>4958</v>
      </c>
      <c r="G748" s="1055"/>
      <c r="H748" s="1055" t="s">
        <v>4241</v>
      </c>
      <c r="I748" s="1146" t="s">
        <v>4959</v>
      </c>
      <c r="J748" s="1055" t="s">
        <v>371</v>
      </c>
      <c r="K748" s="1137">
        <v>41641</v>
      </c>
      <c r="L748" s="1135">
        <v>450</v>
      </c>
      <c r="M748" s="1146"/>
      <c r="N748" s="1133"/>
      <c r="O748" s="1133"/>
      <c r="P748" s="1146"/>
      <c r="Q748" s="1155"/>
      <c r="R748" s="1055"/>
      <c r="S748" s="1055"/>
      <c r="T748" s="1133"/>
      <c r="U748" s="1055"/>
      <c r="V748" s="1055"/>
      <c r="W748" s="1064"/>
      <c r="X748" s="1133"/>
      <c r="Y748" s="1055"/>
      <c r="Z748" s="1055"/>
      <c r="AA748" s="1138"/>
      <c r="AB748" s="1055"/>
      <c r="AC748" s="1139"/>
      <c r="AD748" s="1139"/>
      <c r="AE748" s="1155">
        <f t="shared" si="23"/>
        <v>450</v>
      </c>
      <c r="AF748" s="525">
        <v>0</v>
      </c>
      <c r="AG748" s="1135">
        <v>450</v>
      </c>
      <c r="AH748" s="1139">
        <f t="shared" si="21"/>
        <v>450</v>
      </c>
      <c r="AI748" s="1055"/>
      <c r="AJ748" s="1155"/>
      <c r="AK748" s="1055"/>
      <c r="AL748" s="1055"/>
      <c r="AM748" s="1055"/>
      <c r="AN748" s="1055"/>
      <c r="AO748" s="1055"/>
      <c r="AP748" s="1055"/>
      <c r="AQ748" s="1055"/>
      <c r="AR748" s="1055"/>
      <c r="AS748" s="1055"/>
      <c r="AT748" s="1064"/>
      <c r="AU748" s="1137"/>
      <c r="AV748" s="1064"/>
      <c r="AW748" s="1137"/>
      <c r="AX748" s="1055"/>
      <c r="AY748" s="1133"/>
      <c r="AZ748" s="1133"/>
      <c r="BA748" s="1133"/>
      <c r="BB748" s="1133"/>
      <c r="BC748" s="1133"/>
      <c r="BD748" s="1133"/>
      <c r="BE748" s="204"/>
      <c r="BF748" s="204"/>
      <c r="BG748" s="204"/>
      <c r="BH748" s="204"/>
      <c r="BI748" s="204"/>
      <c r="BJ748" s="1480"/>
    </row>
    <row r="749" spans="1:62" s="629" customFormat="1" ht="54.95" customHeight="1" x14ac:dyDescent="0.2">
      <c r="A749" s="1514">
        <v>308</v>
      </c>
      <c r="B749" s="636" t="s">
        <v>2364</v>
      </c>
      <c r="C749" s="1133"/>
      <c r="D749" s="1055" t="s">
        <v>2222</v>
      </c>
      <c r="E749" s="1055" t="s">
        <v>584</v>
      </c>
      <c r="F749" s="1055" t="s">
        <v>4958</v>
      </c>
      <c r="G749" s="1055"/>
      <c r="H749" s="1055" t="s">
        <v>4241</v>
      </c>
      <c r="I749" s="1146" t="s">
        <v>4960</v>
      </c>
      <c r="J749" s="1055" t="s">
        <v>374</v>
      </c>
      <c r="K749" s="1137">
        <v>41641</v>
      </c>
      <c r="L749" s="1135">
        <v>450</v>
      </c>
      <c r="M749" s="1146"/>
      <c r="N749" s="1133"/>
      <c r="O749" s="1133"/>
      <c r="P749" s="1146"/>
      <c r="Q749" s="1155"/>
      <c r="R749" s="1055"/>
      <c r="S749" s="1055"/>
      <c r="T749" s="1133"/>
      <c r="U749" s="1055"/>
      <c r="V749" s="1055"/>
      <c r="W749" s="1064"/>
      <c r="X749" s="1133"/>
      <c r="Y749" s="1055"/>
      <c r="Z749" s="1055"/>
      <c r="AA749" s="1138"/>
      <c r="AB749" s="1055"/>
      <c r="AC749" s="1139"/>
      <c r="AD749" s="1139"/>
      <c r="AE749" s="1155">
        <f t="shared" si="23"/>
        <v>450</v>
      </c>
      <c r="AF749" s="525">
        <v>0</v>
      </c>
      <c r="AG749" s="1135">
        <v>450</v>
      </c>
      <c r="AH749" s="1139">
        <f t="shared" si="21"/>
        <v>450</v>
      </c>
      <c r="AI749" s="1055"/>
      <c r="AJ749" s="1155"/>
      <c r="AK749" s="1055"/>
      <c r="AL749" s="1055"/>
      <c r="AM749" s="1055"/>
      <c r="AN749" s="1055"/>
      <c r="AO749" s="1055"/>
      <c r="AP749" s="1055"/>
      <c r="AQ749" s="1055"/>
      <c r="AR749" s="1055"/>
      <c r="AS749" s="1055"/>
      <c r="AT749" s="1064"/>
      <c r="AU749" s="1137"/>
      <c r="AV749" s="1064"/>
      <c r="AW749" s="1137"/>
      <c r="AX749" s="1055"/>
      <c r="AY749" s="1133"/>
      <c r="AZ749" s="1133"/>
      <c r="BA749" s="1133"/>
      <c r="BB749" s="1133"/>
      <c r="BC749" s="1133"/>
      <c r="BD749" s="1133"/>
      <c r="BE749" s="204"/>
      <c r="BF749" s="204"/>
      <c r="BG749" s="204"/>
      <c r="BH749" s="204"/>
      <c r="BI749" s="204"/>
      <c r="BJ749" s="1480"/>
    </row>
    <row r="750" spans="1:62" s="629" customFormat="1" ht="54.95" customHeight="1" x14ac:dyDescent="0.2">
      <c r="A750" s="1514">
        <v>309</v>
      </c>
      <c r="B750" s="636" t="s">
        <v>2362</v>
      </c>
      <c r="C750" s="1133"/>
      <c r="D750" s="1055" t="s">
        <v>2222</v>
      </c>
      <c r="E750" s="1055" t="s">
        <v>584</v>
      </c>
      <c r="F750" s="1055" t="s">
        <v>4958</v>
      </c>
      <c r="G750" s="1055"/>
      <c r="H750" s="1055" t="s">
        <v>4241</v>
      </c>
      <c r="I750" s="1146" t="s">
        <v>4961</v>
      </c>
      <c r="J750" s="1055" t="s">
        <v>368</v>
      </c>
      <c r="K750" s="1137">
        <v>41641</v>
      </c>
      <c r="L750" s="1135">
        <v>450</v>
      </c>
      <c r="M750" s="1146"/>
      <c r="N750" s="1133"/>
      <c r="O750" s="1133"/>
      <c r="P750" s="1146"/>
      <c r="Q750" s="1155"/>
      <c r="R750" s="1055"/>
      <c r="S750" s="1055"/>
      <c r="T750" s="1133"/>
      <c r="U750" s="1055"/>
      <c r="V750" s="1055"/>
      <c r="W750" s="1064"/>
      <c r="X750" s="1133"/>
      <c r="Y750" s="1055"/>
      <c r="Z750" s="1055"/>
      <c r="AA750" s="1138"/>
      <c r="AB750" s="1055"/>
      <c r="AC750" s="1139"/>
      <c r="AD750" s="1139"/>
      <c r="AE750" s="1155">
        <f t="shared" si="23"/>
        <v>450</v>
      </c>
      <c r="AF750" s="525">
        <v>0</v>
      </c>
      <c r="AG750" s="1135">
        <v>450</v>
      </c>
      <c r="AH750" s="1139">
        <f t="shared" si="21"/>
        <v>450</v>
      </c>
      <c r="AI750" s="1055"/>
      <c r="AJ750" s="1155"/>
      <c r="AK750" s="1055"/>
      <c r="AL750" s="1055"/>
      <c r="AM750" s="1055"/>
      <c r="AN750" s="1055"/>
      <c r="AO750" s="1055"/>
      <c r="AP750" s="1055"/>
      <c r="AQ750" s="1055"/>
      <c r="AR750" s="1055"/>
      <c r="AS750" s="1055"/>
      <c r="AT750" s="1064"/>
      <c r="AU750" s="1137"/>
      <c r="AV750" s="1064"/>
      <c r="AW750" s="1137"/>
      <c r="AX750" s="1055"/>
      <c r="AY750" s="1133"/>
      <c r="AZ750" s="1133"/>
      <c r="BA750" s="1133"/>
      <c r="BB750" s="1133"/>
      <c r="BC750" s="1133"/>
      <c r="BD750" s="1133"/>
      <c r="BE750" s="204"/>
      <c r="BF750" s="204"/>
      <c r="BG750" s="204"/>
      <c r="BH750" s="204"/>
      <c r="BI750" s="204"/>
      <c r="BJ750" s="1480"/>
    </row>
    <row r="751" spans="1:62" s="629" customFormat="1" ht="54.95" customHeight="1" x14ac:dyDescent="0.2">
      <c r="A751" s="1514">
        <v>310</v>
      </c>
      <c r="B751" s="636" t="s">
        <v>2363</v>
      </c>
      <c r="C751" s="1133"/>
      <c r="D751" s="1055" t="s">
        <v>2222</v>
      </c>
      <c r="E751" s="1055" t="s">
        <v>584</v>
      </c>
      <c r="F751" s="1055" t="s">
        <v>4958</v>
      </c>
      <c r="G751" s="1055"/>
      <c r="H751" s="1055" t="s">
        <v>4241</v>
      </c>
      <c r="I751" s="1146" t="s">
        <v>4962</v>
      </c>
      <c r="J751" s="1055" t="s">
        <v>363</v>
      </c>
      <c r="K751" s="1137">
        <v>41641</v>
      </c>
      <c r="L751" s="1135">
        <v>450</v>
      </c>
      <c r="M751" s="1146"/>
      <c r="N751" s="1133"/>
      <c r="O751" s="1133"/>
      <c r="P751" s="1146"/>
      <c r="Q751" s="1155"/>
      <c r="R751" s="1055"/>
      <c r="S751" s="1055"/>
      <c r="T751" s="1133"/>
      <c r="U751" s="1055"/>
      <c r="V751" s="1055"/>
      <c r="W751" s="1064"/>
      <c r="X751" s="1133"/>
      <c r="Y751" s="1055"/>
      <c r="Z751" s="1055"/>
      <c r="AA751" s="1138"/>
      <c r="AB751" s="1055"/>
      <c r="AC751" s="1139"/>
      <c r="AD751" s="1139"/>
      <c r="AE751" s="1155">
        <f t="shared" si="23"/>
        <v>450</v>
      </c>
      <c r="AF751" s="525">
        <v>0</v>
      </c>
      <c r="AG751" s="1135">
        <v>450</v>
      </c>
      <c r="AH751" s="1139">
        <f t="shared" si="21"/>
        <v>450</v>
      </c>
      <c r="AI751" s="1055"/>
      <c r="AJ751" s="1155"/>
      <c r="AK751" s="1055"/>
      <c r="AL751" s="1055"/>
      <c r="AM751" s="1055"/>
      <c r="AN751" s="1055"/>
      <c r="AO751" s="1055"/>
      <c r="AP751" s="1055"/>
      <c r="AQ751" s="1055"/>
      <c r="AR751" s="1055"/>
      <c r="AS751" s="1055"/>
      <c r="AT751" s="1064"/>
      <c r="AU751" s="1137"/>
      <c r="AV751" s="1064"/>
      <c r="AW751" s="1137"/>
      <c r="AX751" s="1055"/>
      <c r="AY751" s="1133"/>
      <c r="AZ751" s="1133"/>
      <c r="BA751" s="1133"/>
      <c r="BB751" s="1133"/>
      <c r="BC751" s="1133"/>
      <c r="BD751" s="1133"/>
      <c r="BE751" s="204"/>
      <c r="BF751" s="204"/>
      <c r="BG751" s="204"/>
      <c r="BH751" s="204"/>
      <c r="BI751" s="204"/>
      <c r="BJ751" s="1480"/>
    </row>
    <row r="752" spans="1:62" s="629" customFormat="1" ht="54.95" customHeight="1" x14ac:dyDescent="0.2">
      <c r="A752" s="1514">
        <v>311</v>
      </c>
      <c r="B752" s="636" t="s">
        <v>4963</v>
      </c>
      <c r="C752" s="1133"/>
      <c r="D752" s="1055" t="s">
        <v>2222</v>
      </c>
      <c r="E752" s="1055" t="s">
        <v>584</v>
      </c>
      <c r="F752" s="1055" t="s">
        <v>4213</v>
      </c>
      <c r="G752" s="1055"/>
      <c r="H752" s="1055" t="s">
        <v>4241</v>
      </c>
      <c r="I752" s="1146" t="s">
        <v>4964</v>
      </c>
      <c r="J752" s="1055" t="s">
        <v>4965</v>
      </c>
      <c r="K752" s="1137">
        <v>41955</v>
      </c>
      <c r="L752" s="1135">
        <v>480</v>
      </c>
      <c r="M752" s="1146"/>
      <c r="N752" s="1133"/>
      <c r="O752" s="1133"/>
      <c r="P752" s="1146"/>
      <c r="Q752" s="1155"/>
      <c r="R752" s="1055"/>
      <c r="S752" s="1055"/>
      <c r="T752" s="1133"/>
      <c r="U752" s="1055"/>
      <c r="V752" s="1055"/>
      <c r="W752" s="1064"/>
      <c r="X752" s="1133"/>
      <c r="Y752" s="1055"/>
      <c r="Z752" s="1055"/>
      <c r="AA752" s="1138"/>
      <c r="AB752" s="1055"/>
      <c r="AC752" s="1139"/>
      <c r="AD752" s="1139"/>
      <c r="AE752" s="1155">
        <f t="shared" si="23"/>
        <v>480</v>
      </c>
      <c r="AF752" s="525">
        <v>0</v>
      </c>
      <c r="AG752" s="1135">
        <v>480</v>
      </c>
      <c r="AH752" s="1139">
        <f t="shared" si="21"/>
        <v>480</v>
      </c>
      <c r="AI752" s="1055"/>
      <c r="AJ752" s="1155"/>
      <c r="AK752" s="1055"/>
      <c r="AL752" s="1055"/>
      <c r="AM752" s="1055"/>
      <c r="AN752" s="1055"/>
      <c r="AO752" s="1055"/>
      <c r="AP752" s="1055"/>
      <c r="AQ752" s="1055"/>
      <c r="AR752" s="1055"/>
      <c r="AS752" s="1055"/>
      <c r="AT752" s="1064"/>
      <c r="AU752" s="1137"/>
      <c r="AV752" s="1064"/>
      <c r="AW752" s="1137"/>
      <c r="AX752" s="1055"/>
      <c r="AY752" s="1133"/>
      <c r="AZ752" s="1133"/>
      <c r="BA752" s="1133"/>
      <c r="BB752" s="1133"/>
      <c r="BC752" s="1133"/>
      <c r="BD752" s="1133"/>
      <c r="BE752" s="204"/>
      <c r="BF752" s="204"/>
      <c r="BG752" s="204"/>
      <c r="BH752" s="204"/>
      <c r="BI752" s="204"/>
      <c r="BJ752" s="1480"/>
    </row>
    <row r="753" spans="1:62" s="629" customFormat="1" ht="54.95" customHeight="1" x14ac:dyDescent="0.2">
      <c r="A753" s="1514">
        <v>312</v>
      </c>
      <c r="B753" s="636" t="s">
        <v>4966</v>
      </c>
      <c r="C753" s="1133"/>
      <c r="D753" s="1055" t="s">
        <v>2222</v>
      </c>
      <c r="E753" s="1055" t="s">
        <v>584</v>
      </c>
      <c r="F753" s="1055" t="s">
        <v>4213</v>
      </c>
      <c r="G753" s="1055"/>
      <c r="H753" s="1055" t="s">
        <v>4241</v>
      </c>
      <c r="I753" s="1146" t="s">
        <v>4967</v>
      </c>
      <c r="J753" s="1055" t="s">
        <v>4968</v>
      </c>
      <c r="K753" s="1137">
        <v>41955</v>
      </c>
      <c r="L753" s="1135">
        <v>709.71</v>
      </c>
      <c r="M753" s="1146"/>
      <c r="N753" s="1133"/>
      <c r="O753" s="1133"/>
      <c r="P753" s="1146"/>
      <c r="Q753" s="1155"/>
      <c r="R753" s="1055"/>
      <c r="S753" s="1055"/>
      <c r="T753" s="1133"/>
      <c r="U753" s="1055"/>
      <c r="V753" s="1055"/>
      <c r="W753" s="1064"/>
      <c r="X753" s="1133"/>
      <c r="Y753" s="1055"/>
      <c r="Z753" s="1055"/>
      <c r="AA753" s="1138"/>
      <c r="AB753" s="1055"/>
      <c r="AC753" s="1139"/>
      <c r="AD753" s="1139"/>
      <c r="AE753" s="1155">
        <f t="shared" si="23"/>
        <v>709.71</v>
      </c>
      <c r="AF753" s="525">
        <v>0</v>
      </c>
      <c r="AG753" s="1135">
        <v>709.71</v>
      </c>
      <c r="AH753" s="1139">
        <f t="shared" si="21"/>
        <v>709.71</v>
      </c>
      <c r="AI753" s="1055"/>
      <c r="AJ753" s="1155"/>
      <c r="AK753" s="1055"/>
      <c r="AL753" s="1055"/>
      <c r="AM753" s="1055"/>
      <c r="AN753" s="1055"/>
      <c r="AO753" s="1055"/>
      <c r="AP753" s="1055"/>
      <c r="AQ753" s="1055"/>
      <c r="AR753" s="1055"/>
      <c r="AS753" s="1055"/>
      <c r="AT753" s="1064"/>
      <c r="AU753" s="1137"/>
      <c r="AV753" s="1064"/>
      <c r="AW753" s="1137"/>
      <c r="AX753" s="1055"/>
      <c r="AY753" s="1133"/>
      <c r="AZ753" s="1133"/>
      <c r="BA753" s="1133"/>
      <c r="BB753" s="1133"/>
      <c r="BC753" s="1133"/>
      <c r="BD753" s="1133"/>
      <c r="BE753" s="204"/>
      <c r="BF753" s="204"/>
      <c r="BG753" s="204"/>
      <c r="BH753" s="204"/>
      <c r="BI753" s="204"/>
      <c r="BJ753" s="1480"/>
    </row>
    <row r="754" spans="1:62" s="629" customFormat="1" ht="54.95" customHeight="1" x14ac:dyDescent="0.2">
      <c r="A754" s="1514">
        <v>313</v>
      </c>
      <c r="B754" s="636" t="s">
        <v>4969</v>
      </c>
      <c r="C754" s="1133"/>
      <c r="D754" s="1055" t="s">
        <v>2222</v>
      </c>
      <c r="E754" s="1055" t="s">
        <v>584</v>
      </c>
      <c r="F754" s="1055" t="s">
        <v>4952</v>
      </c>
      <c r="G754" s="1055"/>
      <c r="H754" s="1055" t="s">
        <v>4241</v>
      </c>
      <c r="I754" s="1146" t="s">
        <v>4953</v>
      </c>
      <c r="J754" s="1055"/>
      <c r="K754" s="1055"/>
      <c r="L754" s="1135">
        <v>2486.14</v>
      </c>
      <c r="M754" s="1146"/>
      <c r="N754" s="1133"/>
      <c r="O754" s="1133"/>
      <c r="P754" s="1146" t="s">
        <v>3905</v>
      </c>
      <c r="Q754" s="1155"/>
      <c r="R754" s="1055"/>
      <c r="S754" s="1055"/>
      <c r="T754" s="1133" t="s">
        <v>316</v>
      </c>
      <c r="U754" s="1055"/>
      <c r="V754" s="1055"/>
      <c r="W754" s="1064"/>
      <c r="X754" s="1133"/>
      <c r="Y754" s="1055"/>
      <c r="Z754" s="1055"/>
      <c r="AA754" s="1138"/>
      <c r="AB754" s="1055"/>
      <c r="AC754" s="1139"/>
      <c r="AD754" s="1139"/>
      <c r="AE754" s="1155">
        <f t="shared" si="23"/>
        <v>2486.14</v>
      </c>
      <c r="AF754" s="525">
        <v>0</v>
      </c>
      <c r="AG754" s="525">
        <v>0</v>
      </c>
      <c r="AH754" s="1139">
        <f t="shared" si="21"/>
        <v>0</v>
      </c>
      <c r="AI754" s="1055"/>
      <c r="AJ754" s="1155"/>
      <c r="AK754" s="1055"/>
      <c r="AL754" s="1055"/>
      <c r="AM754" s="1055" t="s">
        <v>1311</v>
      </c>
      <c r="AN754" s="1055" t="s">
        <v>4913</v>
      </c>
      <c r="AO754" s="1055"/>
      <c r="AP754" s="1055"/>
      <c r="AQ754" s="1055"/>
      <c r="AR754" s="1055"/>
      <c r="AS754" s="1055"/>
      <c r="AT754" s="1064"/>
      <c r="AU754" s="1137"/>
      <c r="AV754" s="1064"/>
      <c r="AW754" s="1137"/>
      <c r="AX754" s="1055"/>
      <c r="AY754" s="1133"/>
      <c r="AZ754" s="1133"/>
      <c r="BA754" s="1133"/>
      <c r="BB754" s="1133"/>
      <c r="BC754" s="1133"/>
      <c r="BD754" s="1133"/>
      <c r="BE754" s="204"/>
      <c r="BF754" s="204"/>
      <c r="BG754" s="204"/>
      <c r="BH754" s="204"/>
      <c r="BI754" s="204"/>
      <c r="BJ754" s="1480"/>
    </row>
    <row r="755" spans="1:62" s="629" customFormat="1" ht="54.95" customHeight="1" x14ac:dyDescent="0.2">
      <c r="A755" s="1514">
        <v>314</v>
      </c>
      <c r="B755" s="636" t="s">
        <v>4970</v>
      </c>
      <c r="C755" s="1055"/>
      <c r="D755" s="1055" t="s">
        <v>2222</v>
      </c>
      <c r="E755" s="1055" t="s">
        <v>584</v>
      </c>
      <c r="F755" s="1055" t="s">
        <v>4971</v>
      </c>
      <c r="G755" s="1055"/>
      <c r="H755" s="1055" t="s">
        <v>4241</v>
      </c>
      <c r="I755" s="1146" t="s">
        <v>4953</v>
      </c>
      <c r="J755" s="1055"/>
      <c r="K755" s="1055"/>
      <c r="L755" s="1135">
        <v>600</v>
      </c>
      <c r="M755" s="1055"/>
      <c r="N755" s="1133"/>
      <c r="O755" s="1133"/>
      <c r="P755" s="1146" t="s">
        <v>3905</v>
      </c>
      <c r="Q755" s="1055"/>
      <c r="R755" s="1055"/>
      <c r="S755" s="1055"/>
      <c r="T755" s="1133" t="s">
        <v>208</v>
      </c>
      <c r="U755" s="1055"/>
      <c r="V755" s="1055"/>
      <c r="W755" s="1064"/>
      <c r="X755" s="1133"/>
      <c r="Y755" s="1055"/>
      <c r="Z755" s="1055"/>
      <c r="AA755" s="1138"/>
      <c r="AB755" s="1055"/>
      <c r="AC755" s="1139"/>
      <c r="AD755" s="1139"/>
      <c r="AE755" s="1155">
        <f t="shared" si="23"/>
        <v>600</v>
      </c>
      <c r="AF755" s="525">
        <v>0</v>
      </c>
      <c r="AG755" s="525">
        <v>0</v>
      </c>
      <c r="AH755" s="1139">
        <f t="shared" si="21"/>
        <v>0</v>
      </c>
      <c r="AI755" s="1055"/>
      <c r="AJ755" s="1064"/>
      <c r="AK755" s="1055"/>
      <c r="AL755" s="1133"/>
      <c r="AM755" s="1055" t="s">
        <v>1311</v>
      </c>
      <c r="AN755" s="1055" t="s">
        <v>4913</v>
      </c>
      <c r="AO755" s="1055"/>
      <c r="AP755" s="1055"/>
      <c r="AQ755" s="1055"/>
      <c r="AR755" s="1055"/>
      <c r="AS755" s="1055"/>
      <c r="AT755" s="1133"/>
      <c r="AU755" s="1133"/>
      <c r="AV755" s="1133"/>
      <c r="AW755" s="1133"/>
      <c r="AX755" s="1133"/>
      <c r="AY755" s="1133"/>
      <c r="AZ755" s="1133"/>
      <c r="BA755" s="1133"/>
      <c r="BB755" s="1133"/>
      <c r="BC755" s="1133"/>
      <c r="BD755" s="1133"/>
      <c r="BE755" s="1480"/>
      <c r="BF755" s="1480"/>
      <c r="BG755" s="1480"/>
      <c r="BH755" s="1480"/>
      <c r="BI755" s="1480"/>
      <c r="BJ755" s="1480"/>
    </row>
    <row r="756" spans="1:62" s="629" customFormat="1" ht="54.95" customHeight="1" x14ac:dyDescent="0.2">
      <c r="A756" s="1514">
        <v>315</v>
      </c>
      <c r="B756" s="636" t="s">
        <v>4972</v>
      </c>
      <c r="C756" s="1055"/>
      <c r="D756" s="1055" t="s">
        <v>2222</v>
      </c>
      <c r="E756" s="1055" t="s">
        <v>584</v>
      </c>
      <c r="F756" s="1055" t="s">
        <v>4971</v>
      </c>
      <c r="G756" s="1055"/>
      <c r="H756" s="1055" t="s">
        <v>4241</v>
      </c>
      <c r="I756" s="1146" t="s">
        <v>4953</v>
      </c>
      <c r="J756" s="1055"/>
      <c r="K756" s="1055"/>
      <c r="L756" s="1135">
        <v>225</v>
      </c>
      <c r="M756" s="1055"/>
      <c r="N756" s="1133"/>
      <c r="O756" s="1133"/>
      <c r="P756" s="1146" t="s">
        <v>3905</v>
      </c>
      <c r="Q756" s="1055"/>
      <c r="R756" s="1055"/>
      <c r="S756" s="1055"/>
      <c r="T756" s="1133" t="s">
        <v>208</v>
      </c>
      <c r="U756" s="1055"/>
      <c r="V756" s="1055"/>
      <c r="W756" s="1064"/>
      <c r="X756" s="1133"/>
      <c r="Y756" s="1055"/>
      <c r="Z756" s="1055"/>
      <c r="AA756" s="1138"/>
      <c r="AB756" s="1055"/>
      <c r="AC756" s="1139"/>
      <c r="AD756" s="1139"/>
      <c r="AE756" s="1155">
        <f t="shared" si="23"/>
        <v>225</v>
      </c>
      <c r="AF756" s="525">
        <v>0</v>
      </c>
      <c r="AG756" s="525">
        <v>0</v>
      </c>
      <c r="AH756" s="1139">
        <f t="shared" si="21"/>
        <v>0</v>
      </c>
      <c r="AI756" s="1055"/>
      <c r="AJ756" s="1064"/>
      <c r="AK756" s="1055"/>
      <c r="AL756" s="1133"/>
      <c r="AM756" s="1055" t="s">
        <v>1311</v>
      </c>
      <c r="AN756" s="1055" t="s">
        <v>4913</v>
      </c>
      <c r="AO756" s="1055"/>
      <c r="AP756" s="1055"/>
      <c r="AQ756" s="1055"/>
      <c r="AR756" s="1055"/>
      <c r="AS756" s="1055"/>
      <c r="AT756" s="1133"/>
      <c r="AU756" s="1133"/>
      <c r="AV756" s="1133"/>
      <c r="AW756" s="1133"/>
      <c r="AX756" s="1133"/>
      <c r="AY756" s="1133"/>
      <c r="AZ756" s="1133"/>
      <c r="BA756" s="1133"/>
      <c r="BB756" s="1133"/>
      <c r="BC756" s="1133"/>
      <c r="BD756" s="1133"/>
      <c r="BE756" s="1480"/>
      <c r="BF756" s="1480"/>
      <c r="BG756" s="1480"/>
      <c r="BH756" s="1480"/>
      <c r="BI756" s="1480"/>
      <c r="BJ756" s="1480"/>
    </row>
    <row r="757" spans="1:62" s="629" customFormat="1" ht="54.95" customHeight="1" x14ac:dyDescent="0.2">
      <c r="A757" s="1514">
        <v>316</v>
      </c>
      <c r="B757" s="636" t="s">
        <v>4973</v>
      </c>
      <c r="C757" s="1055"/>
      <c r="D757" s="1055" t="s">
        <v>2222</v>
      </c>
      <c r="E757" s="1055" t="s">
        <v>584</v>
      </c>
      <c r="F757" s="1055" t="s">
        <v>4952</v>
      </c>
      <c r="G757" s="1055"/>
      <c r="H757" s="1055" t="s">
        <v>4241</v>
      </c>
      <c r="I757" s="1146" t="s">
        <v>4953</v>
      </c>
      <c r="J757" s="1055"/>
      <c r="K757" s="1055"/>
      <c r="L757" s="1135">
        <v>650</v>
      </c>
      <c r="M757" s="1055"/>
      <c r="N757" s="1133"/>
      <c r="O757" s="1133"/>
      <c r="P757" s="1146" t="s">
        <v>3905</v>
      </c>
      <c r="Q757" s="1055"/>
      <c r="R757" s="1055"/>
      <c r="S757" s="1055"/>
      <c r="T757" s="1133" t="s">
        <v>316</v>
      </c>
      <c r="U757" s="1055"/>
      <c r="V757" s="1055"/>
      <c r="W757" s="1064"/>
      <c r="X757" s="1133"/>
      <c r="Y757" s="1055"/>
      <c r="Z757" s="1055"/>
      <c r="AA757" s="1138"/>
      <c r="AB757" s="1055"/>
      <c r="AC757" s="1139"/>
      <c r="AD757" s="1139"/>
      <c r="AE757" s="1155">
        <f t="shared" si="23"/>
        <v>650</v>
      </c>
      <c r="AF757" s="525">
        <v>0</v>
      </c>
      <c r="AG757" s="525">
        <v>0</v>
      </c>
      <c r="AH757" s="1139">
        <f t="shared" si="21"/>
        <v>0</v>
      </c>
      <c r="AI757" s="1055"/>
      <c r="AJ757" s="1064"/>
      <c r="AK757" s="1055"/>
      <c r="AL757" s="1133"/>
      <c r="AM757" s="1055" t="s">
        <v>1311</v>
      </c>
      <c r="AN757" s="1055" t="s">
        <v>4913</v>
      </c>
      <c r="AO757" s="1055"/>
      <c r="AP757" s="1055"/>
      <c r="AQ757" s="1055"/>
      <c r="AR757" s="1055"/>
      <c r="AS757" s="1055"/>
      <c r="AT757" s="1133"/>
      <c r="AU757" s="1133"/>
      <c r="AV757" s="1133"/>
      <c r="AW757" s="1133"/>
      <c r="AX757" s="1133"/>
      <c r="AY757" s="1133"/>
      <c r="AZ757" s="1133"/>
      <c r="BA757" s="1133"/>
      <c r="BB757" s="1133"/>
      <c r="BC757" s="1133"/>
      <c r="BD757" s="1133"/>
      <c r="BE757" s="1480"/>
      <c r="BF757" s="1480"/>
      <c r="BG757" s="1480"/>
      <c r="BH757" s="1480"/>
      <c r="BI757" s="1480"/>
      <c r="BJ757" s="1480"/>
    </row>
    <row r="758" spans="1:62" s="1537" customFormat="1" ht="54.95" customHeight="1" x14ac:dyDescent="0.2">
      <c r="A758" s="1514">
        <v>317</v>
      </c>
      <c r="B758" s="636" t="s">
        <v>4974</v>
      </c>
      <c r="C758" s="1055"/>
      <c r="D758" s="1055" t="s">
        <v>2222</v>
      </c>
      <c r="E758" s="1055" t="s">
        <v>584</v>
      </c>
      <c r="F758" s="1055" t="s">
        <v>4975</v>
      </c>
      <c r="G758" s="1055"/>
      <c r="H758" s="1055" t="s">
        <v>4976</v>
      </c>
      <c r="I758" s="1132" t="s">
        <v>4967</v>
      </c>
      <c r="J758" s="1055" t="s">
        <v>4968</v>
      </c>
      <c r="K758" s="1055"/>
      <c r="L758" s="1135">
        <v>438.77</v>
      </c>
      <c r="M758" s="1055"/>
      <c r="N758" s="1133"/>
      <c r="O758" s="1133"/>
      <c r="P758" s="1132" t="s">
        <v>3905</v>
      </c>
      <c r="Q758" s="1055"/>
      <c r="R758" s="1055"/>
      <c r="S758" s="1055"/>
      <c r="T758" s="1132" t="s">
        <v>316</v>
      </c>
      <c r="U758" s="1055"/>
      <c r="V758" s="1055"/>
      <c r="W758" s="1064"/>
      <c r="X758" s="1133"/>
      <c r="Y758" s="1055"/>
      <c r="Z758" s="1055"/>
      <c r="AA758" s="1138"/>
      <c r="AB758" s="1055"/>
      <c r="AC758" s="1139"/>
      <c r="AD758" s="1139"/>
      <c r="AE758" s="1155">
        <f t="shared" si="23"/>
        <v>438.77</v>
      </c>
      <c r="AF758" s="525">
        <v>0</v>
      </c>
      <c r="AG758" s="562">
        <v>438.77</v>
      </c>
      <c r="AH758" s="1139">
        <f t="shared" si="21"/>
        <v>438.77</v>
      </c>
      <c r="AI758" s="1055"/>
      <c r="AJ758" s="1064"/>
      <c r="AK758" s="1055"/>
      <c r="AL758" s="1133"/>
      <c r="AM758" s="1055" t="s">
        <v>1311</v>
      </c>
      <c r="AN758" s="1055" t="s">
        <v>4913</v>
      </c>
      <c r="AO758" s="1133"/>
      <c r="AP758" s="1133"/>
      <c r="AQ758" s="1133"/>
      <c r="AR758" s="1133"/>
      <c r="AS758" s="1055"/>
      <c r="AT758" s="1133"/>
      <c r="AU758" s="1133"/>
      <c r="AV758" s="1133"/>
      <c r="AW758" s="1133"/>
      <c r="AX758" s="1133"/>
      <c r="AY758" s="1133"/>
      <c r="AZ758" s="1133"/>
      <c r="BA758" s="1133"/>
      <c r="BB758" s="1133"/>
      <c r="BC758" s="1133"/>
      <c r="BD758" s="1133"/>
      <c r="BE758" s="1535"/>
      <c r="BF758" s="1535"/>
      <c r="BG758" s="1535"/>
      <c r="BH758" s="1535"/>
      <c r="BI758" s="1535"/>
      <c r="BJ758" s="1535"/>
    </row>
    <row r="759" spans="1:62" s="629" customFormat="1" ht="54.95" customHeight="1" x14ac:dyDescent="0.2">
      <c r="A759" s="1515">
        <v>318</v>
      </c>
      <c r="B759" s="636"/>
      <c r="C759" s="1055"/>
      <c r="D759" s="1055" t="s">
        <v>4977</v>
      </c>
      <c r="E759" s="1055" t="s">
        <v>584</v>
      </c>
      <c r="F759" s="1055" t="s">
        <v>4978</v>
      </c>
      <c r="G759" s="1064">
        <v>11279</v>
      </c>
      <c r="H759" s="1055" t="s">
        <v>4979</v>
      </c>
      <c r="I759" s="1055" t="s">
        <v>4980</v>
      </c>
      <c r="J759" s="1055" t="s">
        <v>4981</v>
      </c>
      <c r="K759" s="1137">
        <v>41647</v>
      </c>
      <c r="L759" s="1135">
        <v>17700</v>
      </c>
      <c r="M759" s="1064">
        <v>11281</v>
      </c>
      <c r="N759" s="1134">
        <v>41647</v>
      </c>
      <c r="O759" s="1134">
        <v>42004</v>
      </c>
      <c r="P759" s="1133">
        <v>1</v>
      </c>
      <c r="Q759" s="1055"/>
      <c r="R759" s="1055"/>
      <c r="S759" s="1055"/>
      <c r="T759" s="1133" t="s">
        <v>158</v>
      </c>
      <c r="U759" s="1055"/>
      <c r="V759" s="1055"/>
      <c r="W759" s="1064"/>
      <c r="X759" s="1055"/>
      <c r="Y759" s="1055"/>
      <c r="Z759" s="1055"/>
      <c r="AA759" s="1138"/>
      <c r="AB759" s="1055"/>
      <c r="AC759" s="1139"/>
      <c r="AD759" s="1139"/>
      <c r="AE759" s="1155">
        <f>L759-AD759+AC759</f>
        <v>17700</v>
      </c>
      <c r="AF759" s="525">
        <v>0</v>
      </c>
      <c r="AG759" s="1139">
        <f>8700+1500+1500+1500+1500</f>
        <v>14700</v>
      </c>
      <c r="AH759" s="1139">
        <f t="shared" si="21"/>
        <v>14700</v>
      </c>
      <c r="AI759" s="1055"/>
      <c r="AJ759" s="1064"/>
      <c r="AK759" s="1055"/>
      <c r="AL759" s="1133"/>
      <c r="AM759" s="1055" t="s">
        <v>1311</v>
      </c>
      <c r="AN759" s="1055" t="s">
        <v>4982</v>
      </c>
      <c r="AO759" s="1064">
        <v>11279</v>
      </c>
      <c r="AP759" s="1137">
        <v>41733</v>
      </c>
      <c r="AQ759" s="1064"/>
      <c r="AR759" s="1137"/>
      <c r="AS759" s="1055"/>
      <c r="AT759" s="1133"/>
      <c r="AU759" s="1133"/>
      <c r="AV759" s="1133"/>
      <c r="AW759" s="1133"/>
      <c r="AX759" s="1133"/>
      <c r="AY759" s="1133"/>
      <c r="AZ759" s="1133"/>
      <c r="BA759" s="1133"/>
      <c r="BB759" s="1133"/>
      <c r="BC759" s="1133"/>
      <c r="BD759" s="1133"/>
      <c r="BE759" s="1480"/>
      <c r="BF759" s="1480"/>
      <c r="BG759" s="1480"/>
      <c r="BH759" s="1480"/>
      <c r="BI759" s="1480"/>
      <c r="BJ759" s="1480"/>
    </row>
    <row r="760" spans="1:62" s="629" customFormat="1" ht="32.25" customHeight="1" x14ac:dyDescent="0.2">
      <c r="A760" s="1515">
        <v>319</v>
      </c>
      <c r="B760" s="636" t="s">
        <v>704</v>
      </c>
      <c r="C760" s="1055"/>
      <c r="D760" s="1055" t="s">
        <v>2222</v>
      </c>
      <c r="E760" s="1055" t="s">
        <v>584</v>
      </c>
      <c r="F760" s="1055" t="s">
        <v>4983</v>
      </c>
      <c r="G760" s="1064">
        <v>11248</v>
      </c>
      <c r="H760" s="1055" t="s">
        <v>4984</v>
      </c>
      <c r="I760" s="1055" t="s">
        <v>4985</v>
      </c>
      <c r="J760" s="1055" t="s">
        <v>4928</v>
      </c>
      <c r="K760" s="1137">
        <v>41696</v>
      </c>
      <c r="L760" s="1135">
        <v>563520</v>
      </c>
      <c r="M760" s="1064">
        <v>11254</v>
      </c>
      <c r="N760" s="1134">
        <v>41696</v>
      </c>
      <c r="O760" s="1134">
        <v>42004</v>
      </c>
      <c r="P760" s="1133">
        <v>1</v>
      </c>
      <c r="Q760" s="1055"/>
      <c r="R760" s="1055"/>
      <c r="S760" s="1055"/>
      <c r="T760" s="1055" t="s">
        <v>1612</v>
      </c>
      <c r="U760" s="1055" t="s">
        <v>3972</v>
      </c>
      <c r="V760" s="1137">
        <v>41852</v>
      </c>
      <c r="W760" s="1064">
        <v>11373</v>
      </c>
      <c r="X760" s="1055" t="s">
        <v>4986</v>
      </c>
      <c r="Y760" s="1137">
        <v>41696</v>
      </c>
      <c r="Z760" s="1137">
        <v>42004</v>
      </c>
      <c r="AA760" s="1138">
        <f>AC760/L760</f>
        <v>3.5491198182850655E-3</v>
      </c>
      <c r="AB760" s="1055"/>
      <c r="AC760" s="1139">
        <v>2000</v>
      </c>
      <c r="AD760" s="1139"/>
      <c r="AE760" s="1155">
        <f>L760+AC760</f>
        <v>565520</v>
      </c>
      <c r="AF760" s="525">
        <v>0</v>
      </c>
      <c r="AG760" s="1139">
        <v>507168</v>
      </c>
      <c r="AH760" s="1139">
        <f t="shared" si="21"/>
        <v>507168</v>
      </c>
      <c r="AI760" s="1055"/>
      <c r="AJ760" s="1064"/>
      <c r="AK760" s="1055"/>
      <c r="AL760" s="1133"/>
      <c r="AM760" s="1055" t="s">
        <v>867</v>
      </c>
      <c r="AN760" s="1055" t="s">
        <v>4987</v>
      </c>
      <c r="AO760" s="1064"/>
      <c r="AP760" s="1137"/>
      <c r="AQ760" s="1064"/>
      <c r="AR760" s="1137"/>
      <c r="AS760" s="1055"/>
      <c r="AT760" s="1133"/>
      <c r="AU760" s="1133"/>
      <c r="AV760" s="1133"/>
      <c r="AW760" s="1133"/>
      <c r="AX760" s="1133"/>
      <c r="AY760" s="1133"/>
      <c r="AZ760" s="1133"/>
      <c r="BA760" s="1133"/>
      <c r="BB760" s="1133"/>
      <c r="BC760" s="1133"/>
      <c r="BD760" s="1133"/>
      <c r="BE760" s="1480"/>
      <c r="BF760" s="1480"/>
      <c r="BG760" s="1480"/>
      <c r="BH760" s="1480"/>
      <c r="BI760" s="1480"/>
      <c r="BJ760" s="1480"/>
    </row>
    <row r="761" spans="1:62" s="629" customFormat="1" ht="32.25" customHeight="1" x14ac:dyDescent="0.2">
      <c r="A761" s="2359">
        <v>320</v>
      </c>
      <c r="B761" s="2361" t="s">
        <v>4645</v>
      </c>
      <c r="C761" s="2023"/>
      <c r="D761" s="2023" t="s">
        <v>2222</v>
      </c>
      <c r="E761" s="2023" t="s">
        <v>584</v>
      </c>
      <c r="F761" s="2023" t="s">
        <v>4988</v>
      </c>
      <c r="G761" s="2006">
        <v>11290</v>
      </c>
      <c r="H761" s="2023" t="s">
        <v>4989</v>
      </c>
      <c r="I761" s="2023" t="s">
        <v>4656</v>
      </c>
      <c r="J761" s="2023" t="s">
        <v>4657</v>
      </c>
      <c r="K761" s="2347">
        <v>41752</v>
      </c>
      <c r="L761" s="2349">
        <v>1696985.05</v>
      </c>
      <c r="M761" s="2023">
        <v>11296</v>
      </c>
      <c r="N761" s="2352">
        <v>41752</v>
      </c>
      <c r="O761" s="2352">
        <v>41966</v>
      </c>
      <c r="P761" s="2354" t="s">
        <v>3905</v>
      </c>
      <c r="Q761" s="2023"/>
      <c r="R761" s="2023"/>
      <c r="S761" s="2023"/>
      <c r="T761" s="2023" t="s">
        <v>4990</v>
      </c>
      <c r="U761" s="2023"/>
      <c r="V761" s="2023"/>
      <c r="W761" s="2006"/>
      <c r="X761" s="2023"/>
      <c r="Y761" s="2023"/>
      <c r="Z761" s="2023"/>
      <c r="AA761" s="2363"/>
      <c r="AB761" s="2023"/>
      <c r="AC761" s="2343"/>
      <c r="AD761" s="2343"/>
      <c r="AE761" s="2345">
        <f>L761-AD761+AC761</f>
        <v>1696985.05</v>
      </c>
      <c r="AF761" s="525">
        <v>0</v>
      </c>
      <c r="AG761" s="1135">
        <f>31855.88+50410.06</f>
        <v>82265.94</v>
      </c>
      <c r="AH761" s="1139">
        <f t="shared" si="21"/>
        <v>82265.94</v>
      </c>
      <c r="AI761" s="2023"/>
      <c r="AJ761" s="2006"/>
      <c r="AK761" s="2023"/>
      <c r="AL761" s="2355"/>
      <c r="AM761" s="2023" t="s">
        <v>1311</v>
      </c>
      <c r="AN761" s="2023" t="s">
        <v>4991</v>
      </c>
      <c r="AO761" s="2006">
        <v>11290</v>
      </c>
      <c r="AP761" s="2347">
        <v>41753</v>
      </c>
      <c r="AQ761" s="2006"/>
      <c r="AR761" s="2347"/>
      <c r="AS761" s="2023" t="s">
        <v>4707</v>
      </c>
      <c r="AT761" s="2355" t="s">
        <v>4631</v>
      </c>
      <c r="AU761" s="2352">
        <v>41752</v>
      </c>
      <c r="AV761" s="2352">
        <v>41902</v>
      </c>
      <c r="AW761" s="2355" t="s">
        <v>4615</v>
      </c>
      <c r="AX761" s="2355"/>
      <c r="AY761" s="2352">
        <v>41752</v>
      </c>
      <c r="AZ761" s="2355" t="s">
        <v>1464</v>
      </c>
      <c r="BA761" s="2355" t="s">
        <v>1458</v>
      </c>
      <c r="BB761" s="2355"/>
      <c r="BC761" s="2355"/>
      <c r="BD761" s="2355"/>
      <c r="BE761" s="1480"/>
      <c r="BF761" s="1480"/>
      <c r="BG761" s="1480"/>
      <c r="BH761" s="1480"/>
      <c r="BI761" s="1480"/>
      <c r="BJ761" s="1480"/>
    </row>
    <row r="762" spans="1:62" s="629" customFormat="1" ht="21.75" customHeight="1" x14ac:dyDescent="0.2">
      <c r="A762" s="2359"/>
      <c r="B762" s="2361"/>
      <c r="C762" s="2023"/>
      <c r="D762" s="2023"/>
      <c r="E762" s="2023"/>
      <c r="F762" s="2023"/>
      <c r="G762" s="2006"/>
      <c r="H762" s="2023"/>
      <c r="I762" s="2023"/>
      <c r="J762" s="2023"/>
      <c r="K762" s="2347"/>
      <c r="L762" s="2349"/>
      <c r="M762" s="2023"/>
      <c r="N762" s="2352"/>
      <c r="O762" s="2352"/>
      <c r="P762" s="2354"/>
      <c r="Q762" s="2023"/>
      <c r="R762" s="2023"/>
      <c r="S762" s="2023"/>
      <c r="T762" s="2023"/>
      <c r="U762" s="2023"/>
      <c r="V762" s="2023"/>
      <c r="W762" s="2006"/>
      <c r="X762" s="2023"/>
      <c r="Y762" s="2023"/>
      <c r="Z762" s="2023"/>
      <c r="AA762" s="2363"/>
      <c r="AB762" s="2023"/>
      <c r="AC762" s="2343"/>
      <c r="AD762" s="2343"/>
      <c r="AE762" s="2346"/>
      <c r="AF762" s="525">
        <v>0</v>
      </c>
      <c r="AG762" s="525">
        <v>0</v>
      </c>
      <c r="AH762" s="1139">
        <f t="shared" si="21"/>
        <v>0</v>
      </c>
      <c r="AI762" s="2023"/>
      <c r="AJ762" s="2006"/>
      <c r="AK762" s="2023"/>
      <c r="AL762" s="2355"/>
      <c r="AM762" s="2023"/>
      <c r="AN762" s="2023"/>
      <c r="AO762" s="2006"/>
      <c r="AP762" s="2347"/>
      <c r="AQ762" s="2006"/>
      <c r="AR762" s="2347"/>
      <c r="AS762" s="2023"/>
      <c r="AT762" s="2355"/>
      <c r="AU762" s="2355"/>
      <c r="AV762" s="2355"/>
      <c r="AW762" s="2355"/>
      <c r="AX762" s="2355"/>
      <c r="AY762" s="2355"/>
      <c r="AZ762" s="2355"/>
      <c r="BA762" s="2355"/>
      <c r="BB762" s="2355"/>
      <c r="BC762" s="2355"/>
      <c r="BD762" s="2355"/>
      <c r="BE762" s="1480"/>
      <c r="BF762" s="1480"/>
      <c r="BG762" s="1480"/>
      <c r="BH762" s="1480"/>
      <c r="BI762" s="1480"/>
      <c r="BJ762" s="1480"/>
    </row>
    <row r="763" spans="1:62" s="629" customFormat="1" ht="30" customHeight="1" x14ac:dyDescent="0.2">
      <c r="A763" s="2360"/>
      <c r="B763" s="2362"/>
      <c r="C763" s="2028"/>
      <c r="D763" s="2028"/>
      <c r="E763" s="2028"/>
      <c r="F763" s="2028"/>
      <c r="G763" s="2351"/>
      <c r="H763" s="2028"/>
      <c r="I763" s="2028"/>
      <c r="J763" s="2028"/>
      <c r="K763" s="2348"/>
      <c r="L763" s="2350"/>
      <c r="M763" s="2028"/>
      <c r="N763" s="2353"/>
      <c r="O763" s="2353"/>
      <c r="P763" s="1533" t="s">
        <v>4071</v>
      </c>
      <c r="Q763" s="2028"/>
      <c r="R763" s="2028"/>
      <c r="S763" s="2028"/>
      <c r="T763" s="2028"/>
      <c r="U763" s="2028"/>
      <c r="V763" s="2028"/>
      <c r="W763" s="2351"/>
      <c r="X763" s="2028"/>
      <c r="Y763" s="2028"/>
      <c r="Z763" s="2028"/>
      <c r="AA763" s="2364"/>
      <c r="AB763" s="2028"/>
      <c r="AC763" s="2344"/>
      <c r="AD763" s="2344"/>
      <c r="AE763" s="2346"/>
      <c r="AF763" s="1575">
        <v>0</v>
      </c>
      <c r="AG763" s="1517">
        <f>85328.59+171313.99+77316.08</f>
        <v>333958.65999999997</v>
      </c>
      <c r="AH763" s="1157">
        <f t="shared" si="21"/>
        <v>333958.65999999997</v>
      </c>
      <c r="AI763" s="2028"/>
      <c r="AJ763" s="2351"/>
      <c r="AK763" s="2028"/>
      <c r="AL763" s="2356"/>
      <c r="AM763" s="2028"/>
      <c r="AN763" s="2028"/>
      <c r="AO763" s="2351"/>
      <c r="AP763" s="2348"/>
      <c r="AQ763" s="2351"/>
      <c r="AR763" s="2348"/>
      <c r="AS763" s="2028"/>
      <c r="AT763" s="2356"/>
      <c r="AU763" s="2356"/>
      <c r="AV763" s="2356"/>
      <c r="AW763" s="2356"/>
      <c r="AX763" s="2356"/>
      <c r="AY763" s="2356"/>
      <c r="AZ763" s="2356"/>
      <c r="BA763" s="2356"/>
      <c r="BB763" s="2356"/>
      <c r="BC763" s="2356"/>
      <c r="BD763" s="2356"/>
      <c r="BE763" s="1480"/>
      <c r="BF763" s="1480"/>
      <c r="BG763" s="1480"/>
      <c r="BH763" s="1480"/>
      <c r="BI763" s="1480"/>
      <c r="BJ763" s="1480"/>
    </row>
    <row r="764" spans="1:62" s="1574" customFormat="1" ht="54.95" customHeight="1" x14ac:dyDescent="0.2">
      <c r="A764" s="1529">
        <v>321</v>
      </c>
      <c r="B764" s="637" t="s">
        <v>4992</v>
      </c>
      <c r="C764" s="1030"/>
      <c r="D764" s="1030" t="s">
        <v>2222</v>
      </c>
      <c r="E764" s="1030"/>
      <c r="F764" s="1030" t="s">
        <v>4993</v>
      </c>
      <c r="G764" s="1030"/>
      <c r="H764" s="1030" t="s">
        <v>4241</v>
      </c>
      <c r="I764" s="1030" t="s">
        <v>4994</v>
      </c>
      <c r="J764" s="1030" t="s">
        <v>4995</v>
      </c>
      <c r="K764" s="1054">
        <v>41830</v>
      </c>
      <c r="L764" s="1530">
        <v>243.75</v>
      </c>
      <c r="M764" s="1030"/>
      <c r="N764" s="101">
        <v>41830</v>
      </c>
      <c r="O764" s="101">
        <v>42004</v>
      </c>
      <c r="P764" s="1071">
        <v>16</v>
      </c>
      <c r="Q764" s="1030"/>
      <c r="R764" s="1030"/>
      <c r="S764" s="1030"/>
      <c r="T764" s="1030" t="s">
        <v>130</v>
      </c>
      <c r="U764" s="1030"/>
      <c r="V764" s="1030"/>
      <c r="W764" s="1053"/>
      <c r="X764" s="1030"/>
      <c r="Y764" s="1030"/>
      <c r="Z764" s="1030"/>
      <c r="AA764" s="70"/>
      <c r="AB764" s="1030"/>
      <c r="AC764" s="1030"/>
      <c r="AD764" s="1160"/>
      <c r="AE764" s="1056">
        <f>L764-AD764+AC764</f>
        <v>243.75</v>
      </c>
      <c r="AF764" s="1073">
        <v>0</v>
      </c>
      <c r="AG764" s="1530">
        <v>243.75</v>
      </c>
      <c r="AH764" s="1160">
        <f t="shared" si="21"/>
        <v>243.75</v>
      </c>
      <c r="AI764" s="1030"/>
      <c r="AJ764" s="1053"/>
      <c r="AK764" s="1030"/>
      <c r="AL764" s="1071"/>
      <c r="AM764" s="1030" t="s">
        <v>1311</v>
      </c>
      <c r="AN764" s="1030"/>
      <c r="AO764" s="1053"/>
      <c r="AP764" s="1054"/>
      <c r="AQ764" s="1053"/>
      <c r="AR764" s="1054"/>
      <c r="AS764" s="1030"/>
      <c r="AT764" s="1071"/>
      <c r="AU764" s="1071"/>
      <c r="AV764" s="1071"/>
      <c r="AW764" s="1071"/>
      <c r="AX764" s="1071"/>
      <c r="AY764" s="1071"/>
      <c r="AZ764" s="1071"/>
      <c r="BA764" s="1071"/>
      <c r="BB764" s="1071"/>
      <c r="BC764" s="1071"/>
      <c r="BD764" s="1071"/>
    </row>
    <row r="765" spans="1:62" s="1574" customFormat="1" ht="54.95" customHeight="1" x14ac:dyDescent="0.2">
      <c r="A765" s="1529">
        <v>322</v>
      </c>
      <c r="B765" s="637" t="s">
        <v>4996</v>
      </c>
      <c r="C765" s="1030"/>
      <c r="D765" s="1030" t="s">
        <v>2222</v>
      </c>
      <c r="E765" s="1030"/>
      <c r="F765" s="1030" t="s">
        <v>4997</v>
      </c>
      <c r="G765" s="1030"/>
      <c r="H765" s="1030" t="s">
        <v>4241</v>
      </c>
      <c r="I765" s="1030" t="s">
        <v>4998</v>
      </c>
      <c r="J765" s="1030" t="s">
        <v>1159</v>
      </c>
      <c r="K765" s="1054">
        <v>41878</v>
      </c>
      <c r="L765" s="1530">
        <v>650.94000000000005</v>
      </c>
      <c r="M765" s="1030"/>
      <c r="N765" s="101"/>
      <c r="O765" s="101"/>
      <c r="P765" s="1071">
        <v>1</v>
      </c>
      <c r="Q765" s="1030"/>
      <c r="R765" s="1030"/>
      <c r="S765" s="1030"/>
      <c r="T765" s="1030" t="s">
        <v>316</v>
      </c>
      <c r="U765" s="1030"/>
      <c r="V765" s="1030"/>
      <c r="W765" s="1053"/>
      <c r="X765" s="1030"/>
      <c r="Y765" s="1030"/>
      <c r="Z765" s="1030"/>
      <c r="AA765" s="70"/>
      <c r="AB765" s="1030"/>
      <c r="AC765" s="1030"/>
      <c r="AD765" s="1160"/>
      <c r="AE765" s="1056">
        <f>L765-AD765+AC765</f>
        <v>650.94000000000005</v>
      </c>
      <c r="AF765" s="1073">
        <v>0</v>
      </c>
      <c r="AG765" s="1530">
        <v>650.94000000000005</v>
      </c>
      <c r="AH765" s="1160">
        <f t="shared" si="21"/>
        <v>650.94000000000005</v>
      </c>
      <c r="AI765" s="1030"/>
      <c r="AJ765" s="1053"/>
      <c r="AK765" s="1030"/>
      <c r="AL765" s="1071"/>
      <c r="AM765" s="1030" t="s">
        <v>1311</v>
      </c>
      <c r="AN765" s="1030"/>
      <c r="AO765" s="1053"/>
      <c r="AP765" s="1054"/>
      <c r="AQ765" s="1053"/>
      <c r="AR765" s="1054"/>
      <c r="AS765" s="1030"/>
      <c r="AT765" s="1071"/>
      <c r="AU765" s="1071"/>
      <c r="AV765" s="1071"/>
      <c r="AW765" s="1071"/>
      <c r="AX765" s="1071"/>
      <c r="AY765" s="1071"/>
      <c r="AZ765" s="1071"/>
      <c r="BA765" s="1071"/>
      <c r="BB765" s="1071"/>
      <c r="BC765" s="1071"/>
      <c r="BD765" s="1071"/>
    </row>
    <row r="766" spans="1:62" s="1574" customFormat="1" ht="54.95" customHeight="1" thickBot="1" x14ac:dyDescent="0.25">
      <c r="A766" s="1534">
        <v>323</v>
      </c>
      <c r="B766" s="1531" t="s">
        <v>4999</v>
      </c>
      <c r="C766" s="1040"/>
      <c r="D766" s="1040" t="s">
        <v>2222</v>
      </c>
      <c r="E766" s="1040"/>
      <c r="F766" s="1040" t="s">
        <v>4997</v>
      </c>
      <c r="G766" s="1040"/>
      <c r="H766" s="1040" t="s">
        <v>4241</v>
      </c>
      <c r="I766" s="1040" t="s">
        <v>4574</v>
      </c>
      <c r="J766" s="1040" t="s">
        <v>1021</v>
      </c>
      <c r="K766" s="1044">
        <v>41907</v>
      </c>
      <c r="L766" s="1532">
        <v>2640</v>
      </c>
      <c r="M766" s="1040"/>
      <c r="N766" s="1165">
        <v>41907</v>
      </c>
      <c r="O766" s="1165"/>
      <c r="P766" s="1166">
        <v>1</v>
      </c>
      <c r="Q766" s="1040"/>
      <c r="R766" s="1040"/>
      <c r="S766" s="1040"/>
      <c r="T766" s="1040" t="s">
        <v>316</v>
      </c>
      <c r="U766" s="1040"/>
      <c r="V766" s="1040"/>
      <c r="W766" s="1046"/>
      <c r="X766" s="1040"/>
      <c r="Y766" s="1040"/>
      <c r="Z766" s="1040"/>
      <c r="AA766" s="596"/>
      <c r="AB766" s="1040"/>
      <c r="AC766" s="1040"/>
      <c r="AD766" s="592"/>
      <c r="AE766" s="1045">
        <f>L766-AD766+AC766</f>
        <v>2640</v>
      </c>
      <c r="AF766" s="1045">
        <v>0</v>
      </c>
      <c r="AG766" s="1532">
        <v>0</v>
      </c>
      <c r="AH766" s="592">
        <f t="shared" si="21"/>
        <v>0</v>
      </c>
      <c r="AI766" s="1040"/>
      <c r="AJ766" s="1046"/>
      <c r="AK766" s="1040"/>
      <c r="AL766" s="1166"/>
      <c r="AM766" s="1040" t="s">
        <v>1311</v>
      </c>
      <c r="AN766" s="1040" t="s">
        <v>5000</v>
      </c>
      <c r="AO766" s="1046">
        <v>11364</v>
      </c>
      <c r="AP766" s="1044">
        <v>41856</v>
      </c>
      <c r="AQ766" s="1046"/>
      <c r="AR766" s="1044"/>
      <c r="AS766" s="1040"/>
      <c r="AT766" s="1166"/>
      <c r="AU766" s="1166"/>
      <c r="AV766" s="1166"/>
      <c r="AW766" s="1166"/>
      <c r="AX766" s="1166"/>
      <c r="AY766" s="1166"/>
      <c r="AZ766" s="1166"/>
      <c r="BA766" s="1166"/>
      <c r="BB766" s="1166"/>
      <c r="BC766" s="1166"/>
      <c r="BD766" s="1166"/>
    </row>
    <row r="767" spans="1:62" s="629" customFormat="1" ht="33.75" customHeight="1" thickBot="1" x14ac:dyDescent="0.25">
      <c r="A767" s="2357"/>
      <c r="B767" s="2358"/>
      <c r="C767" s="2358"/>
      <c r="D767" s="2358"/>
      <c r="E767" s="2358"/>
      <c r="F767" s="2358"/>
      <c r="G767" s="2358"/>
      <c r="H767" s="2358"/>
      <c r="I767" s="2358"/>
      <c r="J767" s="2358"/>
      <c r="K767" s="2358"/>
      <c r="L767" s="1518">
        <f>SUM(L26:L766)</f>
        <v>47758424.160000019</v>
      </c>
      <c r="M767" s="1519"/>
      <c r="N767" s="1519"/>
      <c r="O767" s="1519"/>
      <c r="P767" s="1519"/>
      <c r="Q767" s="1519"/>
      <c r="R767" s="1519"/>
      <c r="S767" s="1519"/>
      <c r="T767" s="1519"/>
      <c r="U767" s="1527"/>
      <c r="V767" s="1519"/>
      <c r="W767" s="1520"/>
      <c r="X767" s="1519"/>
      <c r="Y767" s="1519"/>
      <c r="Z767" s="1519"/>
      <c r="AA767" s="1521"/>
      <c r="AB767" s="1519"/>
      <c r="AC767" s="1522">
        <f t="shared" ref="AC767:AG767" si="24">SUM(AC26:AC766)</f>
        <v>15416748.239999996</v>
      </c>
      <c r="AD767" s="1523">
        <f t="shared" si="24"/>
        <v>1333266.4999999998</v>
      </c>
      <c r="AE767" s="1522">
        <f t="shared" si="24"/>
        <v>165950432.13</v>
      </c>
      <c r="AF767" s="1518">
        <f t="shared" si="24"/>
        <v>45532059.94000002</v>
      </c>
      <c r="AG767" s="1518">
        <f t="shared" si="24"/>
        <v>33685771.839999981</v>
      </c>
      <c r="AH767" s="1518">
        <f>SUM(AH26:AH766)</f>
        <v>79217831.779999912</v>
      </c>
      <c r="AI767" s="1522"/>
      <c r="AJ767" s="1522"/>
      <c r="AK767" s="1522"/>
      <c r="AL767" s="1522"/>
      <c r="AM767" s="1524"/>
      <c r="AN767" s="1524"/>
      <c r="AO767" s="1525"/>
      <c r="AP767" s="1526"/>
      <c r="AQ767" s="1525"/>
      <c r="AR767" s="1526"/>
      <c r="AS767" s="1524"/>
      <c r="AT767" s="1527"/>
      <c r="AU767" s="1527"/>
      <c r="AV767" s="1527"/>
      <c r="AW767" s="1527"/>
      <c r="AX767" s="1527"/>
      <c r="AY767" s="1527"/>
      <c r="AZ767" s="1527"/>
      <c r="BA767" s="1527"/>
      <c r="BB767" s="1527"/>
      <c r="BC767" s="1527"/>
      <c r="BD767" s="1528"/>
      <c r="BE767" s="1535"/>
      <c r="BF767" s="1535"/>
      <c r="BG767" s="1535"/>
      <c r="BH767" s="1535"/>
      <c r="BI767" s="1535"/>
      <c r="BJ767" s="1535"/>
    </row>
    <row r="768" spans="1:62" s="629" customFormat="1" ht="12.75" x14ac:dyDescent="0.2"/>
    <row r="769" spans="1:62" s="629" customFormat="1" ht="12.75" x14ac:dyDescent="0.2"/>
    <row r="770" spans="1:62" s="629" customFormat="1" ht="12.75" x14ac:dyDescent="0.2">
      <c r="A770" s="1076" t="s">
        <v>7559</v>
      </c>
      <c r="B770" s="1076"/>
      <c r="C770" s="1076"/>
      <c r="D770" s="1076"/>
      <c r="E770" s="629" t="s">
        <v>7560</v>
      </c>
      <c r="P770" s="241"/>
      <c r="U770" s="241"/>
      <c r="V770" s="240"/>
      <c r="W770" s="532"/>
      <c r="AA770" s="1576"/>
      <c r="AD770" s="1577"/>
      <c r="BE770" s="1480"/>
      <c r="BF770" s="1480"/>
      <c r="BG770" s="1480"/>
      <c r="BH770" s="1480"/>
      <c r="BI770" s="1480"/>
      <c r="BJ770" s="1480"/>
    </row>
    <row r="771" spans="1:62" s="629" customFormat="1" ht="12.75" x14ac:dyDescent="0.2">
      <c r="A771" s="162" t="s">
        <v>7561</v>
      </c>
      <c r="B771" s="162"/>
      <c r="C771" s="162"/>
      <c r="D771" s="162"/>
      <c r="P771" s="241"/>
      <c r="U771" s="241"/>
      <c r="V771" s="240"/>
      <c r="W771" s="532"/>
      <c r="AA771" s="1576"/>
      <c r="AD771" s="1577"/>
      <c r="BE771" s="1480"/>
      <c r="BF771" s="1480"/>
      <c r="BG771" s="1480"/>
      <c r="BH771" s="1480"/>
      <c r="BI771" s="1480"/>
      <c r="BJ771" s="1480"/>
    </row>
    <row r="772" spans="1:62" s="629" customFormat="1" ht="12.75" x14ac:dyDescent="0.2"/>
  </sheetData>
  <mergeCells count="3841">
    <mergeCell ref="AU23:AW23"/>
    <mergeCell ref="AX23:AY23"/>
    <mergeCell ref="AZ23:AZ24"/>
    <mergeCell ref="BA23:BA24"/>
    <mergeCell ref="BB23:BD23"/>
    <mergeCell ref="E26:E31"/>
    <mergeCell ref="AO23:AO24"/>
    <mergeCell ref="AP23:AP24"/>
    <mergeCell ref="AQ23:AQ24"/>
    <mergeCell ref="AR23:AR24"/>
    <mergeCell ref="AS23:AS24"/>
    <mergeCell ref="AT23:AT24"/>
    <mergeCell ref="AI23:AI24"/>
    <mergeCell ref="AJ23:AJ24"/>
    <mergeCell ref="AK23:AK24"/>
    <mergeCell ref="AL23:AL24"/>
    <mergeCell ref="AM23:AM24"/>
    <mergeCell ref="AN23:AN24"/>
    <mergeCell ref="P26:P31"/>
    <mergeCell ref="Q26:Q31"/>
    <mergeCell ref="F26:F31"/>
    <mergeCell ref="G26:G31"/>
    <mergeCell ref="H26:H31"/>
    <mergeCell ref="I26:I31"/>
    <mergeCell ref="J26:J31"/>
    <mergeCell ref="K26:K31"/>
    <mergeCell ref="A21:BD21"/>
    <mergeCell ref="A22:A25"/>
    <mergeCell ref="B22:G23"/>
    <mergeCell ref="H22:AH22"/>
    <mergeCell ref="AI22:AL22"/>
    <mergeCell ref="AM22:AR22"/>
    <mergeCell ref="AS22:BD22"/>
    <mergeCell ref="H23:T23"/>
    <mergeCell ref="U23:AD23"/>
    <mergeCell ref="AE23:AH23"/>
    <mergeCell ref="A9:BD9"/>
    <mergeCell ref="A11:BD11"/>
    <mergeCell ref="H33:H38"/>
    <mergeCell ref="I33:I38"/>
    <mergeCell ref="J33:J38"/>
    <mergeCell ref="K33:K38"/>
    <mergeCell ref="L33:L38"/>
    <mergeCell ref="M33:M38"/>
    <mergeCell ref="R26:R31"/>
    <mergeCell ref="S26:S31"/>
    <mergeCell ref="T26:T31"/>
    <mergeCell ref="A33:A38"/>
    <mergeCell ref="B33:B38"/>
    <mergeCell ref="C33:C38"/>
    <mergeCell ref="D33:D38"/>
    <mergeCell ref="E33:E38"/>
    <mergeCell ref="F33:F38"/>
    <mergeCell ref="G33:G38"/>
    <mergeCell ref="L26:L31"/>
    <mergeCell ref="M26:M31"/>
    <mergeCell ref="N26:N31"/>
    <mergeCell ref="O26:O31"/>
    <mergeCell ref="A26:A31"/>
    <mergeCell ref="B26:B31"/>
    <mergeCell ref="C26:C31"/>
    <mergeCell ref="D26:D31"/>
    <mergeCell ref="P39:P43"/>
    <mergeCell ref="Q39:Q43"/>
    <mergeCell ref="R39:R43"/>
    <mergeCell ref="S39:S43"/>
    <mergeCell ref="T39:T43"/>
    <mergeCell ref="A44:A46"/>
    <mergeCell ref="B44:B46"/>
    <mergeCell ref="C44:C46"/>
    <mergeCell ref="D44:D46"/>
    <mergeCell ref="E44:E46"/>
    <mergeCell ref="J39:J43"/>
    <mergeCell ref="K39:K43"/>
    <mergeCell ref="L39:L43"/>
    <mergeCell ref="M39:M43"/>
    <mergeCell ref="N39:N43"/>
    <mergeCell ref="O39:O43"/>
    <mergeCell ref="T33:T38"/>
    <mergeCell ref="A39:A43"/>
    <mergeCell ref="B39:B43"/>
    <mergeCell ref="C39:C43"/>
    <mergeCell ref="D39:D43"/>
    <mergeCell ref="E39:E43"/>
    <mergeCell ref="F39:F43"/>
    <mergeCell ref="G39:G43"/>
    <mergeCell ref="H39:H43"/>
    <mergeCell ref="I39:I43"/>
    <mergeCell ref="N33:N38"/>
    <mergeCell ref="O33:O38"/>
    <mergeCell ref="P33:P38"/>
    <mergeCell ref="Q33:Q38"/>
    <mergeCell ref="R33:R38"/>
    <mergeCell ref="S33:S38"/>
    <mergeCell ref="H47:H49"/>
    <mergeCell ref="I47:I49"/>
    <mergeCell ref="J47:J49"/>
    <mergeCell ref="K47:K49"/>
    <mergeCell ref="L47:L49"/>
    <mergeCell ref="M47:M49"/>
    <mergeCell ref="R44:R46"/>
    <mergeCell ref="S44:S46"/>
    <mergeCell ref="T44:T46"/>
    <mergeCell ref="A47:A49"/>
    <mergeCell ref="B47:B49"/>
    <mergeCell ref="C47:C49"/>
    <mergeCell ref="D47:D49"/>
    <mergeCell ref="E47:E49"/>
    <mergeCell ref="F47:F49"/>
    <mergeCell ref="G47:G49"/>
    <mergeCell ref="L44:L46"/>
    <mergeCell ref="M44:M46"/>
    <mergeCell ref="N44:N46"/>
    <mergeCell ref="O44:O46"/>
    <mergeCell ref="P44:P46"/>
    <mergeCell ref="Q44:Q46"/>
    <mergeCell ref="F44:F46"/>
    <mergeCell ref="G44:G46"/>
    <mergeCell ref="H44:H46"/>
    <mergeCell ref="I44:I46"/>
    <mergeCell ref="J44:J46"/>
    <mergeCell ref="K44:K46"/>
    <mergeCell ref="P50:P51"/>
    <mergeCell ref="Q50:Q51"/>
    <mergeCell ref="R50:R51"/>
    <mergeCell ref="S50:S51"/>
    <mergeCell ref="T50:T51"/>
    <mergeCell ref="A52:A53"/>
    <mergeCell ref="B52:B53"/>
    <mergeCell ref="C52:C53"/>
    <mergeCell ref="D52:D53"/>
    <mergeCell ref="E52:E53"/>
    <mergeCell ref="J50:J51"/>
    <mergeCell ref="K50:K51"/>
    <mergeCell ref="L50:L51"/>
    <mergeCell ref="M50:M51"/>
    <mergeCell ref="N50:N51"/>
    <mergeCell ref="O50:O51"/>
    <mergeCell ref="T47:T49"/>
    <mergeCell ref="A50:A51"/>
    <mergeCell ref="B50:B51"/>
    <mergeCell ref="C50:C51"/>
    <mergeCell ref="D50:D51"/>
    <mergeCell ref="E50:E51"/>
    <mergeCell ref="F50:F51"/>
    <mergeCell ref="G50:G51"/>
    <mergeCell ref="H50:H51"/>
    <mergeCell ref="I50:I51"/>
    <mergeCell ref="N47:N49"/>
    <mergeCell ref="O47:O49"/>
    <mergeCell ref="P47:P49"/>
    <mergeCell ref="Q47:Q49"/>
    <mergeCell ref="R47:R49"/>
    <mergeCell ref="S47:S49"/>
    <mergeCell ref="R52:R53"/>
    <mergeCell ref="S52:S53"/>
    <mergeCell ref="T52:T53"/>
    <mergeCell ref="A54:A56"/>
    <mergeCell ref="B54:B56"/>
    <mergeCell ref="C54:C56"/>
    <mergeCell ref="D54:D56"/>
    <mergeCell ref="E54:E56"/>
    <mergeCell ref="F54:F56"/>
    <mergeCell ref="G54:G56"/>
    <mergeCell ref="L52:L53"/>
    <mergeCell ref="M52:M53"/>
    <mergeCell ref="N52:N53"/>
    <mergeCell ref="O52:O53"/>
    <mergeCell ref="P52:P53"/>
    <mergeCell ref="Q52:Q53"/>
    <mergeCell ref="F52:F53"/>
    <mergeCell ref="G52:G53"/>
    <mergeCell ref="H52:H53"/>
    <mergeCell ref="I52:I53"/>
    <mergeCell ref="J52:J53"/>
    <mergeCell ref="K52:K53"/>
    <mergeCell ref="H57:H58"/>
    <mergeCell ref="I57:I58"/>
    <mergeCell ref="J57:J58"/>
    <mergeCell ref="K57:K58"/>
    <mergeCell ref="L57:L58"/>
    <mergeCell ref="M57:M58"/>
    <mergeCell ref="T54:T56"/>
    <mergeCell ref="AF54:AF56"/>
    <mergeCell ref="AG54:AG56"/>
    <mergeCell ref="A57:A58"/>
    <mergeCell ref="B57:B58"/>
    <mergeCell ref="C57:C58"/>
    <mergeCell ref="D57:D58"/>
    <mergeCell ref="E57:E58"/>
    <mergeCell ref="F57:F58"/>
    <mergeCell ref="G57:G58"/>
    <mergeCell ref="N54:N56"/>
    <mergeCell ref="O54:O56"/>
    <mergeCell ref="P54:P56"/>
    <mergeCell ref="Q54:Q56"/>
    <mergeCell ref="R54:R56"/>
    <mergeCell ref="S54:S56"/>
    <mergeCell ref="H54:H56"/>
    <mergeCell ref="I54:I56"/>
    <mergeCell ref="J54:J56"/>
    <mergeCell ref="K54:K56"/>
    <mergeCell ref="L54:L56"/>
    <mergeCell ref="M54:M56"/>
    <mergeCell ref="P59:P61"/>
    <mergeCell ref="Q59:Q61"/>
    <mergeCell ref="R59:R61"/>
    <mergeCell ref="S59:S61"/>
    <mergeCell ref="T59:T61"/>
    <mergeCell ref="A62:A65"/>
    <mergeCell ref="B62:B65"/>
    <mergeCell ref="C62:C65"/>
    <mergeCell ref="D62:D65"/>
    <mergeCell ref="E62:E65"/>
    <mergeCell ref="J59:J61"/>
    <mergeCell ref="K59:K61"/>
    <mergeCell ref="L59:L61"/>
    <mergeCell ref="M59:M61"/>
    <mergeCell ref="N59:N61"/>
    <mergeCell ref="O59:O61"/>
    <mergeCell ref="T57:T58"/>
    <mergeCell ref="A59:A61"/>
    <mergeCell ref="B59:B61"/>
    <mergeCell ref="C59:C61"/>
    <mergeCell ref="D59:D61"/>
    <mergeCell ref="E59:E61"/>
    <mergeCell ref="F59:F61"/>
    <mergeCell ref="G59:G61"/>
    <mergeCell ref="H59:H61"/>
    <mergeCell ref="I59:I61"/>
    <mergeCell ref="N57:N58"/>
    <mergeCell ref="O57:O58"/>
    <mergeCell ref="P57:P58"/>
    <mergeCell ref="Q57:Q58"/>
    <mergeCell ref="R57:R58"/>
    <mergeCell ref="S57:S58"/>
    <mergeCell ref="H66:H67"/>
    <mergeCell ref="I66:I67"/>
    <mergeCell ref="J66:J67"/>
    <mergeCell ref="K66:K67"/>
    <mergeCell ref="L66:L67"/>
    <mergeCell ref="M66:M67"/>
    <mergeCell ref="R62:R65"/>
    <mergeCell ref="S62:S65"/>
    <mergeCell ref="T62:T65"/>
    <mergeCell ref="A66:A67"/>
    <mergeCell ref="B66:B67"/>
    <mergeCell ref="C66:C67"/>
    <mergeCell ref="D66:D67"/>
    <mergeCell ref="E66:E67"/>
    <mergeCell ref="F66:F67"/>
    <mergeCell ref="G66:G67"/>
    <mergeCell ref="L62:L65"/>
    <mergeCell ref="M62:M65"/>
    <mergeCell ref="N62:N65"/>
    <mergeCell ref="O62:O65"/>
    <mergeCell ref="P62:P65"/>
    <mergeCell ref="Q62:Q65"/>
    <mergeCell ref="F62:F65"/>
    <mergeCell ref="G62:G65"/>
    <mergeCell ref="H62:H65"/>
    <mergeCell ref="I62:I65"/>
    <mergeCell ref="J62:J65"/>
    <mergeCell ref="K62:K65"/>
    <mergeCell ref="P68:P69"/>
    <mergeCell ref="Q68:Q69"/>
    <mergeCell ref="R68:R69"/>
    <mergeCell ref="S68:S69"/>
    <mergeCell ref="T68:T69"/>
    <mergeCell ref="A70:A72"/>
    <mergeCell ref="B70:B72"/>
    <mergeCell ref="C70:C72"/>
    <mergeCell ref="D70:D72"/>
    <mergeCell ref="E70:E72"/>
    <mergeCell ref="J68:J69"/>
    <mergeCell ref="K68:K69"/>
    <mergeCell ref="L68:L69"/>
    <mergeCell ref="M68:M69"/>
    <mergeCell ref="N68:N69"/>
    <mergeCell ref="O68:O69"/>
    <mergeCell ref="T66:T67"/>
    <mergeCell ref="A68:A69"/>
    <mergeCell ref="B68:B69"/>
    <mergeCell ref="C68:C69"/>
    <mergeCell ref="D68:D69"/>
    <mergeCell ref="E68:E69"/>
    <mergeCell ref="F68:F69"/>
    <mergeCell ref="G68:G69"/>
    <mergeCell ref="H68:H69"/>
    <mergeCell ref="I68:I69"/>
    <mergeCell ref="N66:N67"/>
    <mergeCell ref="O66:O67"/>
    <mergeCell ref="P66:P67"/>
    <mergeCell ref="Q66:Q67"/>
    <mergeCell ref="R66:R67"/>
    <mergeCell ref="S66:S67"/>
    <mergeCell ref="R70:R72"/>
    <mergeCell ref="S70:S72"/>
    <mergeCell ref="T70:T72"/>
    <mergeCell ref="AF70:AF72"/>
    <mergeCell ref="AG70:AG72"/>
    <mergeCell ref="A73:A74"/>
    <mergeCell ref="B73:B74"/>
    <mergeCell ref="C73:C74"/>
    <mergeCell ref="D73:D74"/>
    <mergeCell ref="E73:E74"/>
    <mergeCell ref="L70:L72"/>
    <mergeCell ref="M70:M72"/>
    <mergeCell ref="N70:N72"/>
    <mergeCell ref="O70:O72"/>
    <mergeCell ref="P70:P72"/>
    <mergeCell ref="Q70:Q72"/>
    <mergeCell ref="F70:F72"/>
    <mergeCell ref="G70:G72"/>
    <mergeCell ref="H70:H72"/>
    <mergeCell ref="I70:I72"/>
    <mergeCell ref="J70:J72"/>
    <mergeCell ref="K70:K72"/>
    <mergeCell ref="H75:H77"/>
    <mergeCell ref="I75:I77"/>
    <mergeCell ref="J75:J77"/>
    <mergeCell ref="K75:K77"/>
    <mergeCell ref="L75:L77"/>
    <mergeCell ref="M75:M77"/>
    <mergeCell ref="R73:R74"/>
    <mergeCell ref="S73:S74"/>
    <mergeCell ref="T73:T74"/>
    <mergeCell ref="A75:A77"/>
    <mergeCell ref="B75:B77"/>
    <mergeCell ref="C75:C77"/>
    <mergeCell ref="D75:D77"/>
    <mergeCell ref="E75:E77"/>
    <mergeCell ref="F75:F77"/>
    <mergeCell ref="G75:G77"/>
    <mergeCell ref="L73:L74"/>
    <mergeCell ref="M73:M74"/>
    <mergeCell ref="N73:N74"/>
    <mergeCell ref="O73:O74"/>
    <mergeCell ref="P73:P74"/>
    <mergeCell ref="Q73:Q74"/>
    <mergeCell ref="F73:F74"/>
    <mergeCell ref="G73:G74"/>
    <mergeCell ref="H73:H74"/>
    <mergeCell ref="I73:I74"/>
    <mergeCell ref="J73:J74"/>
    <mergeCell ref="K73:K74"/>
    <mergeCell ref="P78:P79"/>
    <mergeCell ref="Q78:Q79"/>
    <mergeCell ref="R78:R79"/>
    <mergeCell ref="S78:S79"/>
    <mergeCell ref="T78:T79"/>
    <mergeCell ref="A80:A81"/>
    <mergeCell ref="B80:B81"/>
    <mergeCell ref="C80:C81"/>
    <mergeCell ref="D80:D81"/>
    <mergeCell ref="E80:E81"/>
    <mergeCell ref="J78:J79"/>
    <mergeCell ref="K78:K79"/>
    <mergeCell ref="L78:L79"/>
    <mergeCell ref="M78:M79"/>
    <mergeCell ref="N78:N79"/>
    <mergeCell ref="O78:O79"/>
    <mergeCell ref="T75:T77"/>
    <mergeCell ref="A78:A79"/>
    <mergeCell ref="B78:B79"/>
    <mergeCell ref="C78:C79"/>
    <mergeCell ref="D78:D79"/>
    <mergeCell ref="E78:E79"/>
    <mergeCell ref="F78:F79"/>
    <mergeCell ref="G78:G79"/>
    <mergeCell ref="H78:H79"/>
    <mergeCell ref="I78:I79"/>
    <mergeCell ref="N75:N77"/>
    <mergeCell ref="O75:O77"/>
    <mergeCell ref="P75:P77"/>
    <mergeCell ref="Q75:Q77"/>
    <mergeCell ref="R75:R77"/>
    <mergeCell ref="S75:S77"/>
    <mergeCell ref="R80:R81"/>
    <mergeCell ref="S80:S81"/>
    <mergeCell ref="T80:T81"/>
    <mergeCell ref="A82:A84"/>
    <mergeCell ref="B82:B84"/>
    <mergeCell ref="C82:C84"/>
    <mergeCell ref="D82:D84"/>
    <mergeCell ref="E82:E84"/>
    <mergeCell ref="F82:F84"/>
    <mergeCell ref="G82:G84"/>
    <mergeCell ref="L80:L81"/>
    <mergeCell ref="M80:M81"/>
    <mergeCell ref="N80:N81"/>
    <mergeCell ref="O80:O81"/>
    <mergeCell ref="P80:P81"/>
    <mergeCell ref="Q80:Q81"/>
    <mergeCell ref="F80:F81"/>
    <mergeCell ref="G80:G81"/>
    <mergeCell ref="H80:H81"/>
    <mergeCell ref="I80:I81"/>
    <mergeCell ref="J80:J81"/>
    <mergeCell ref="K80:K81"/>
    <mergeCell ref="T82:T84"/>
    <mergeCell ref="A88:A101"/>
    <mergeCell ref="B88:B101"/>
    <mergeCell ref="C88:C101"/>
    <mergeCell ref="D88:D101"/>
    <mergeCell ref="E88:E101"/>
    <mergeCell ref="F88:F101"/>
    <mergeCell ref="G88:G101"/>
    <mergeCell ref="N82:N84"/>
    <mergeCell ref="O82:O84"/>
    <mergeCell ref="P82:P84"/>
    <mergeCell ref="Q82:Q84"/>
    <mergeCell ref="R82:R84"/>
    <mergeCell ref="S82:S84"/>
    <mergeCell ref="H82:H84"/>
    <mergeCell ref="I82:I84"/>
    <mergeCell ref="J82:J84"/>
    <mergeCell ref="K82:K84"/>
    <mergeCell ref="L82:L84"/>
    <mergeCell ref="M82:M84"/>
    <mergeCell ref="E102:E107"/>
    <mergeCell ref="F102:F107"/>
    <mergeCell ref="G102:G107"/>
    <mergeCell ref="N88:N101"/>
    <mergeCell ref="O88:O101"/>
    <mergeCell ref="P88:P101"/>
    <mergeCell ref="Q88:Q101"/>
    <mergeCell ref="R88:R101"/>
    <mergeCell ref="S88:S101"/>
    <mergeCell ref="H88:H101"/>
    <mergeCell ref="I88:I101"/>
    <mergeCell ref="J88:J101"/>
    <mergeCell ref="K88:K101"/>
    <mergeCell ref="L88:L101"/>
    <mergeCell ref="M88:M101"/>
    <mergeCell ref="AF82:AF84"/>
    <mergeCell ref="AG82:AG84"/>
    <mergeCell ref="T88:T101"/>
    <mergeCell ref="AF89:AF101"/>
    <mergeCell ref="AG89:AG101"/>
    <mergeCell ref="H108:H115"/>
    <mergeCell ref="I108:I115"/>
    <mergeCell ref="J108:J115"/>
    <mergeCell ref="K108:K115"/>
    <mergeCell ref="L108:L115"/>
    <mergeCell ref="M108:M115"/>
    <mergeCell ref="T102:T107"/>
    <mergeCell ref="AF102:AF107"/>
    <mergeCell ref="AG102:AG107"/>
    <mergeCell ref="A108:A115"/>
    <mergeCell ref="B108:B115"/>
    <mergeCell ref="C108:C115"/>
    <mergeCell ref="D108:D115"/>
    <mergeCell ref="E108:E115"/>
    <mergeCell ref="F108:F115"/>
    <mergeCell ref="G108:G115"/>
    <mergeCell ref="N102:N107"/>
    <mergeCell ref="O102:O107"/>
    <mergeCell ref="P102:P107"/>
    <mergeCell ref="Q102:Q107"/>
    <mergeCell ref="R102:R107"/>
    <mergeCell ref="S102:S107"/>
    <mergeCell ref="H102:H107"/>
    <mergeCell ref="I102:I107"/>
    <mergeCell ref="J102:J107"/>
    <mergeCell ref="K102:K107"/>
    <mergeCell ref="L102:L107"/>
    <mergeCell ref="M102:M107"/>
    <mergeCell ref="A102:A107"/>
    <mergeCell ref="B102:B107"/>
    <mergeCell ref="C102:C107"/>
    <mergeCell ref="D102:D107"/>
    <mergeCell ref="P116:P120"/>
    <mergeCell ref="Q116:Q120"/>
    <mergeCell ref="R116:R120"/>
    <mergeCell ref="S116:S120"/>
    <mergeCell ref="T116:T120"/>
    <mergeCell ref="A121:A127"/>
    <mergeCell ref="B121:B127"/>
    <mergeCell ref="C121:C127"/>
    <mergeCell ref="D121:D127"/>
    <mergeCell ref="E121:E127"/>
    <mergeCell ref="J116:J120"/>
    <mergeCell ref="K116:K120"/>
    <mergeCell ref="L116:L120"/>
    <mergeCell ref="M116:M120"/>
    <mergeCell ref="N116:N120"/>
    <mergeCell ref="O116:O120"/>
    <mergeCell ref="T108:T115"/>
    <mergeCell ref="A116:A120"/>
    <mergeCell ref="B116:B120"/>
    <mergeCell ref="C116:C120"/>
    <mergeCell ref="D116:D120"/>
    <mergeCell ref="E116:E120"/>
    <mergeCell ref="F116:F120"/>
    <mergeCell ref="G116:G120"/>
    <mergeCell ref="H116:H120"/>
    <mergeCell ref="I116:I120"/>
    <mergeCell ref="N108:N115"/>
    <mergeCell ref="O108:O115"/>
    <mergeCell ref="P108:P115"/>
    <mergeCell ref="Q108:Q115"/>
    <mergeCell ref="R108:R115"/>
    <mergeCell ref="S108:S115"/>
    <mergeCell ref="L128:L135"/>
    <mergeCell ref="M128:M135"/>
    <mergeCell ref="R121:R127"/>
    <mergeCell ref="S121:S127"/>
    <mergeCell ref="T121:T127"/>
    <mergeCell ref="A128:A135"/>
    <mergeCell ref="B128:B135"/>
    <mergeCell ref="C128:C135"/>
    <mergeCell ref="D128:D135"/>
    <mergeCell ref="E128:E135"/>
    <mergeCell ref="F128:F135"/>
    <mergeCell ref="G128:G135"/>
    <mergeCell ref="L121:L127"/>
    <mergeCell ref="M121:M127"/>
    <mergeCell ref="N121:N127"/>
    <mergeCell ref="O121:O127"/>
    <mergeCell ref="P121:P127"/>
    <mergeCell ref="Q121:Q127"/>
    <mergeCell ref="F121:F127"/>
    <mergeCell ref="G121:G127"/>
    <mergeCell ref="H121:H127"/>
    <mergeCell ref="I121:I127"/>
    <mergeCell ref="J121:J127"/>
    <mergeCell ref="K121:K127"/>
    <mergeCell ref="O136:O140"/>
    <mergeCell ref="P136:P140"/>
    <mergeCell ref="Q136:Q140"/>
    <mergeCell ref="R136:R140"/>
    <mergeCell ref="S136:S140"/>
    <mergeCell ref="T136:T140"/>
    <mergeCell ref="I136:I140"/>
    <mergeCell ref="J136:J140"/>
    <mergeCell ref="K136:K140"/>
    <mergeCell ref="L136:L140"/>
    <mergeCell ref="M136:M140"/>
    <mergeCell ref="N136:N140"/>
    <mergeCell ref="T128:T135"/>
    <mergeCell ref="AE132:AE133"/>
    <mergeCell ref="A136:A140"/>
    <mergeCell ref="B136:B140"/>
    <mergeCell ref="C136:C140"/>
    <mergeCell ref="D136:D140"/>
    <mergeCell ref="E136:E140"/>
    <mergeCell ref="F136:F140"/>
    <mergeCell ref="G136:G140"/>
    <mergeCell ref="H136:H140"/>
    <mergeCell ref="N128:N135"/>
    <mergeCell ref="O128:O135"/>
    <mergeCell ref="P128:P135"/>
    <mergeCell ref="Q128:Q135"/>
    <mergeCell ref="R128:R135"/>
    <mergeCell ref="S128:S135"/>
    <mergeCell ref="H128:H135"/>
    <mergeCell ref="I128:I135"/>
    <mergeCell ref="J128:J135"/>
    <mergeCell ref="K128:K135"/>
    <mergeCell ref="S141:S143"/>
    <mergeCell ref="T141:T143"/>
    <mergeCell ref="A144:A146"/>
    <mergeCell ref="B144:B146"/>
    <mergeCell ref="C144:C146"/>
    <mergeCell ref="D144:D146"/>
    <mergeCell ref="E144:E146"/>
    <mergeCell ref="F144:F146"/>
    <mergeCell ref="G144:G146"/>
    <mergeCell ref="H144:H146"/>
    <mergeCell ref="M141:M143"/>
    <mergeCell ref="N141:N143"/>
    <mergeCell ref="O141:O143"/>
    <mergeCell ref="P141:P143"/>
    <mergeCell ref="Q141:Q143"/>
    <mergeCell ref="R141:R143"/>
    <mergeCell ref="G141:G143"/>
    <mergeCell ref="H141:H143"/>
    <mergeCell ref="I141:I143"/>
    <mergeCell ref="J141:J143"/>
    <mergeCell ref="K141:K143"/>
    <mergeCell ref="L141:L143"/>
    <mergeCell ref="A141:A143"/>
    <mergeCell ref="B141:B143"/>
    <mergeCell ref="C141:C143"/>
    <mergeCell ref="D141:D143"/>
    <mergeCell ref="E141:E143"/>
    <mergeCell ref="F141:F143"/>
    <mergeCell ref="A158:A163"/>
    <mergeCell ref="B158:B163"/>
    <mergeCell ref="C158:C163"/>
    <mergeCell ref="D158:D163"/>
    <mergeCell ref="E158:E163"/>
    <mergeCell ref="U144:U146"/>
    <mergeCell ref="V144:V146"/>
    <mergeCell ref="W144:W146"/>
    <mergeCell ref="X144:X146"/>
    <mergeCell ref="Y144:Y146"/>
    <mergeCell ref="Z144:Z146"/>
    <mergeCell ref="O144:O146"/>
    <mergeCell ref="P144:P145"/>
    <mergeCell ref="Q144:Q146"/>
    <mergeCell ref="R144:R146"/>
    <mergeCell ref="S144:S146"/>
    <mergeCell ref="T144:T146"/>
    <mergeCell ref="I144:I146"/>
    <mergeCell ref="J144:J146"/>
    <mergeCell ref="K144:K146"/>
    <mergeCell ref="L144:L146"/>
    <mergeCell ref="M144:M146"/>
    <mergeCell ref="N144:N146"/>
    <mergeCell ref="R158:R163"/>
    <mergeCell ref="S158:S163"/>
    <mergeCell ref="T158:T163"/>
    <mergeCell ref="L158:L163"/>
    <mergeCell ref="M158:M163"/>
    <mergeCell ref="N158:N163"/>
    <mergeCell ref="O158:O163"/>
    <mergeCell ref="P158:P163"/>
    <mergeCell ref="Q158:Q163"/>
    <mergeCell ref="F158:F163"/>
    <mergeCell ref="G158:G163"/>
    <mergeCell ref="H158:H163"/>
    <mergeCell ref="I158:I163"/>
    <mergeCell ref="J158:J163"/>
    <mergeCell ref="K158:K163"/>
    <mergeCell ref="AA144:AA146"/>
    <mergeCell ref="AB144:AB146"/>
    <mergeCell ref="AC144:AC146"/>
    <mergeCell ref="AD144:AD146"/>
    <mergeCell ref="AE144:AE146"/>
    <mergeCell ref="T165:T166"/>
    <mergeCell ref="AE165:AE166"/>
    <mergeCell ref="A167:A169"/>
    <mergeCell ref="B167:B169"/>
    <mergeCell ref="C167:C169"/>
    <mergeCell ref="D167:D169"/>
    <mergeCell ref="E167:E169"/>
    <mergeCell ref="F167:F169"/>
    <mergeCell ref="G167:G169"/>
    <mergeCell ref="H167:H169"/>
    <mergeCell ref="N165:N166"/>
    <mergeCell ref="O165:O166"/>
    <mergeCell ref="P165:P166"/>
    <mergeCell ref="Q165:Q166"/>
    <mergeCell ref="R165:R166"/>
    <mergeCell ref="S165:S166"/>
    <mergeCell ref="H165:H166"/>
    <mergeCell ref="I165:I166"/>
    <mergeCell ref="J165:J166"/>
    <mergeCell ref="K165:K166"/>
    <mergeCell ref="L165:L166"/>
    <mergeCell ref="M165:M166"/>
    <mergeCell ref="A165:A166"/>
    <mergeCell ref="B165:B166"/>
    <mergeCell ref="C165:C166"/>
    <mergeCell ref="D165:D166"/>
    <mergeCell ref="E165:E166"/>
    <mergeCell ref="F165:F166"/>
    <mergeCell ref="G165:G166"/>
    <mergeCell ref="K170:K172"/>
    <mergeCell ref="AA167:AA169"/>
    <mergeCell ref="AB167:AB169"/>
    <mergeCell ref="AC167:AC169"/>
    <mergeCell ref="AD167:AD169"/>
    <mergeCell ref="AE167:AE169"/>
    <mergeCell ref="A170:A172"/>
    <mergeCell ref="B170:B172"/>
    <mergeCell ref="C170:C172"/>
    <mergeCell ref="D170:D172"/>
    <mergeCell ref="E170:E172"/>
    <mergeCell ref="U167:U169"/>
    <mergeCell ref="V167:V169"/>
    <mergeCell ref="W167:W169"/>
    <mergeCell ref="X167:X169"/>
    <mergeCell ref="Y167:Y169"/>
    <mergeCell ref="Z167:Z169"/>
    <mergeCell ref="O167:O169"/>
    <mergeCell ref="P167:P168"/>
    <mergeCell ref="Q167:Q169"/>
    <mergeCell ref="R167:R169"/>
    <mergeCell ref="S167:S169"/>
    <mergeCell ref="T167:T169"/>
    <mergeCell ref="I167:I169"/>
    <mergeCell ref="J167:J169"/>
    <mergeCell ref="K167:K169"/>
    <mergeCell ref="L167:L169"/>
    <mergeCell ref="M167:M169"/>
    <mergeCell ref="N167:N169"/>
    <mergeCell ref="AE170:AE172"/>
    <mergeCell ref="B173:B175"/>
    <mergeCell ref="C173:C175"/>
    <mergeCell ref="D173:D175"/>
    <mergeCell ref="E173:E175"/>
    <mergeCell ref="F173:F175"/>
    <mergeCell ref="G173:G175"/>
    <mergeCell ref="H173:H175"/>
    <mergeCell ref="I173:I175"/>
    <mergeCell ref="Y170:Y172"/>
    <mergeCell ref="Z170:Z172"/>
    <mergeCell ref="AA170:AA172"/>
    <mergeCell ref="AB170:AB172"/>
    <mergeCell ref="AC170:AC172"/>
    <mergeCell ref="AD170:AD172"/>
    <mergeCell ref="S170:S172"/>
    <mergeCell ref="T170:T172"/>
    <mergeCell ref="U170:U172"/>
    <mergeCell ref="V170:V172"/>
    <mergeCell ref="W170:W172"/>
    <mergeCell ref="X170:X172"/>
    <mergeCell ref="L170:L172"/>
    <mergeCell ref="M170:M172"/>
    <mergeCell ref="N170:N172"/>
    <mergeCell ref="O170:O172"/>
    <mergeCell ref="Q170:Q172"/>
    <mergeCell ref="R170:R172"/>
    <mergeCell ref="F170:F172"/>
    <mergeCell ref="G170:G172"/>
    <mergeCell ref="H170:H172"/>
    <mergeCell ref="I170:I172"/>
    <mergeCell ref="AC173:AC175"/>
    <mergeCell ref="J170:J172"/>
    <mergeCell ref="L176:L177"/>
    <mergeCell ref="M176:M177"/>
    <mergeCell ref="AD178:AD180"/>
    <mergeCell ref="AE178:AE180"/>
    <mergeCell ref="AD173:AD175"/>
    <mergeCell ref="AE173:AE175"/>
    <mergeCell ref="A176:A177"/>
    <mergeCell ref="B176:B177"/>
    <mergeCell ref="C176:C177"/>
    <mergeCell ref="D176:D177"/>
    <mergeCell ref="E176:E177"/>
    <mergeCell ref="F176:F177"/>
    <mergeCell ref="G176:G177"/>
    <mergeCell ref="W173:W175"/>
    <mergeCell ref="X173:X175"/>
    <mergeCell ref="Y173:Y175"/>
    <mergeCell ref="Z173:Z175"/>
    <mergeCell ref="AA173:AA175"/>
    <mergeCell ref="AB173:AB175"/>
    <mergeCell ref="Q173:Q175"/>
    <mergeCell ref="R173:R175"/>
    <mergeCell ref="S173:S175"/>
    <mergeCell ref="T173:T175"/>
    <mergeCell ref="U173:U175"/>
    <mergeCell ref="V173:V175"/>
    <mergeCell ref="J173:J175"/>
    <mergeCell ref="K173:K175"/>
    <mergeCell ref="L173:L175"/>
    <mergeCell ref="M173:M175"/>
    <mergeCell ref="N173:N175"/>
    <mergeCell ref="O173:O175"/>
    <mergeCell ref="A173:A175"/>
    <mergeCell ref="F178:F180"/>
    <mergeCell ref="G178:G180"/>
    <mergeCell ref="H178:H180"/>
    <mergeCell ref="I178:I180"/>
    <mergeCell ref="J178:J180"/>
    <mergeCell ref="K178:K180"/>
    <mergeCell ref="AA176:AA177"/>
    <mergeCell ref="AB176:AB177"/>
    <mergeCell ref="AC176:AC177"/>
    <mergeCell ref="AD176:AD177"/>
    <mergeCell ref="AE176:AE177"/>
    <mergeCell ref="A178:A180"/>
    <mergeCell ref="B178:B180"/>
    <mergeCell ref="C178:C180"/>
    <mergeCell ref="D178:D180"/>
    <mergeCell ref="E178:E180"/>
    <mergeCell ref="U176:U177"/>
    <mergeCell ref="V176:V177"/>
    <mergeCell ref="W176:W177"/>
    <mergeCell ref="X176:X177"/>
    <mergeCell ref="Y176:Y177"/>
    <mergeCell ref="Z176:Z177"/>
    <mergeCell ref="N176:N177"/>
    <mergeCell ref="O176:O177"/>
    <mergeCell ref="Q176:Q177"/>
    <mergeCell ref="R176:R177"/>
    <mergeCell ref="AD184:AD186"/>
    <mergeCell ref="AE184:AE186"/>
    <mergeCell ref="A181:A183"/>
    <mergeCell ref="B181:B183"/>
    <mergeCell ref="C181:C183"/>
    <mergeCell ref="D181:D183"/>
    <mergeCell ref="E181:E183"/>
    <mergeCell ref="F181:F183"/>
    <mergeCell ref="G181:G183"/>
    <mergeCell ref="H181:H183"/>
    <mergeCell ref="X178:X180"/>
    <mergeCell ref="Y178:Y180"/>
    <mergeCell ref="Z178:Z180"/>
    <mergeCell ref="AA178:AA180"/>
    <mergeCell ref="AB178:AB180"/>
    <mergeCell ref="AC178:AC180"/>
    <mergeCell ref="R178:R180"/>
    <mergeCell ref="S178:S180"/>
    <mergeCell ref="T178:T180"/>
    <mergeCell ref="U178:U180"/>
    <mergeCell ref="V178:V180"/>
    <mergeCell ref="W178:W180"/>
    <mergeCell ref="AC181:AC183"/>
    <mergeCell ref="F184:F186"/>
    <mergeCell ref="AB184:AB186"/>
    <mergeCell ref="AC184:AC186"/>
    <mergeCell ref="R184:R186"/>
    <mergeCell ref="S184:S186"/>
    <mergeCell ref="T184:T186"/>
    <mergeCell ref="G187:G189"/>
    <mergeCell ref="H187:H189"/>
    <mergeCell ref="W184:W186"/>
    <mergeCell ref="L184:L186"/>
    <mergeCell ref="M184:M186"/>
    <mergeCell ref="N184:N186"/>
    <mergeCell ref="O184:O186"/>
    <mergeCell ref="P184:P185"/>
    <mergeCell ref="Q184:Q186"/>
    <mergeCell ref="AC187:AC189"/>
    <mergeCell ref="S176:S177"/>
    <mergeCell ref="T176:T177"/>
    <mergeCell ref="H176:H177"/>
    <mergeCell ref="I176:I177"/>
    <mergeCell ref="J176:J177"/>
    <mergeCell ref="K176:K177"/>
    <mergeCell ref="K181:K183"/>
    <mergeCell ref="L181:L183"/>
    <mergeCell ref="M181:M183"/>
    <mergeCell ref="N181:N183"/>
    <mergeCell ref="U184:U186"/>
    <mergeCell ref="V184:V186"/>
    <mergeCell ref="L178:L180"/>
    <mergeCell ref="M178:M180"/>
    <mergeCell ref="N178:N180"/>
    <mergeCell ref="O178:O180"/>
    <mergeCell ref="P178:P179"/>
    <mergeCell ref="Q178:Q180"/>
    <mergeCell ref="G184:G186"/>
    <mergeCell ref="H184:H186"/>
    <mergeCell ref="I184:I186"/>
    <mergeCell ref="AA187:AA189"/>
    <mergeCell ref="AB187:AB189"/>
    <mergeCell ref="J184:J186"/>
    <mergeCell ref="K184:K186"/>
    <mergeCell ref="AA181:AA183"/>
    <mergeCell ref="AB181:AB183"/>
    <mergeCell ref="F187:F189"/>
    <mergeCell ref="R190:R192"/>
    <mergeCell ref="AD181:AD183"/>
    <mergeCell ref="AE181:AE183"/>
    <mergeCell ref="A184:A186"/>
    <mergeCell ref="B184:B186"/>
    <mergeCell ref="C184:C186"/>
    <mergeCell ref="D184:D186"/>
    <mergeCell ref="E184:E186"/>
    <mergeCell ref="U181:U183"/>
    <mergeCell ref="V181:V183"/>
    <mergeCell ref="W181:W183"/>
    <mergeCell ref="X181:X183"/>
    <mergeCell ref="Y181:Y183"/>
    <mergeCell ref="Z181:Z183"/>
    <mergeCell ref="O181:O183"/>
    <mergeCell ref="P181:P182"/>
    <mergeCell ref="Q181:Q183"/>
    <mergeCell ref="R181:R183"/>
    <mergeCell ref="S181:S183"/>
    <mergeCell ref="T181:T183"/>
    <mergeCell ref="I181:I183"/>
    <mergeCell ref="J181:J183"/>
    <mergeCell ref="X184:X186"/>
    <mergeCell ref="Y184:Y186"/>
    <mergeCell ref="Z184:Z186"/>
    <mergeCell ref="AA184:AA186"/>
    <mergeCell ref="K190:K192"/>
    <mergeCell ref="T193:T194"/>
    <mergeCell ref="AD187:AD189"/>
    <mergeCell ref="AE187:AE189"/>
    <mergeCell ref="A190:A192"/>
    <mergeCell ref="B190:B192"/>
    <mergeCell ref="C190:C192"/>
    <mergeCell ref="D190:D192"/>
    <mergeCell ref="E190:E192"/>
    <mergeCell ref="U187:U189"/>
    <mergeCell ref="V187:V189"/>
    <mergeCell ref="W187:W189"/>
    <mergeCell ref="X187:X189"/>
    <mergeCell ref="Y187:Y189"/>
    <mergeCell ref="Z187:Z189"/>
    <mergeCell ref="O187:O189"/>
    <mergeCell ref="P187:P188"/>
    <mergeCell ref="Q187:Q189"/>
    <mergeCell ref="R187:R189"/>
    <mergeCell ref="S187:S189"/>
    <mergeCell ref="T187:T189"/>
    <mergeCell ref="I187:I189"/>
    <mergeCell ref="J187:J189"/>
    <mergeCell ref="K187:K189"/>
    <mergeCell ref="L187:L189"/>
    <mergeCell ref="M187:M189"/>
    <mergeCell ref="N187:N189"/>
    <mergeCell ref="A187:A189"/>
    <mergeCell ref="B187:B189"/>
    <mergeCell ref="C187:C189"/>
    <mergeCell ref="D187:D189"/>
    <mergeCell ref="E187:E189"/>
    <mergeCell ref="N193:N194"/>
    <mergeCell ref="O193:O194"/>
    <mergeCell ref="P193:P194"/>
    <mergeCell ref="Q193:Q194"/>
    <mergeCell ref="R193:R194"/>
    <mergeCell ref="S193:S194"/>
    <mergeCell ref="H193:H194"/>
    <mergeCell ref="I193:I194"/>
    <mergeCell ref="J193:J194"/>
    <mergeCell ref="K193:K194"/>
    <mergeCell ref="L193:L194"/>
    <mergeCell ref="M193:M194"/>
    <mergeCell ref="S190:S192"/>
    <mergeCell ref="T190:T192"/>
    <mergeCell ref="A193:A194"/>
    <mergeCell ref="B193:B194"/>
    <mergeCell ref="C193:C194"/>
    <mergeCell ref="D193:D194"/>
    <mergeCell ref="E193:E194"/>
    <mergeCell ref="F193:F194"/>
    <mergeCell ref="G193:G194"/>
    <mergeCell ref="L190:L192"/>
    <mergeCell ref="M190:M192"/>
    <mergeCell ref="N190:N192"/>
    <mergeCell ref="O190:O192"/>
    <mergeCell ref="P190:P192"/>
    <mergeCell ref="Q190:Q192"/>
    <mergeCell ref="F190:F192"/>
    <mergeCell ref="G190:G192"/>
    <mergeCell ref="H190:H192"/>
    <mergeCell ref="I190:I192"/>
    <mergeCell ref="J190:J192"/>
    <mergeCell ref="I197:I199"/>
    <mergeCell ref="J197:J199"/>
    <mergeCell ref="K197:K199"/>
    <mergeCell ref="T200:T201"/>
    <mergeCell ref="P195:P196"/>
    <mergeCell ref="Q195:Q196"/>
    <mergeCell ref="R195:R196"/>
    <mergeCell ref="S195:S196"/>
    <mergeCell ref="T195:T196"/>
    <mergeCell ref="A197:A199"/>
    <mergeCell ref="B197:B199"/>
    <mergeCell ref="C197:C199"/>
    <mergeCell ref="D197:D199"/>
    <mergeCell ref="E197:E199"/>
    <mergeCell ref="J195:J196"/>
    <mergeCell ref="K195:K196"/>
    <mergeCell ref="L195:L196"/>
    <mergeCell ref="M195:M196"/>
    <mergeCell ref="N195:N196"/>
    <mergeCell ref="O195:O196"/>
    <mergeCell ref="A195:A196"/>
    <mergeCell ref="B195:B196"/>
    <mergeCell ref="C195:C196"/>
    <mergeCell ref="D195:D196"/>
    <mergeCell ref="E195:E196"/>
    <mergeCell ref="F195:F196"/>
    <mergeCell ref="G195:G196"/>
    <mergeCell ref="H195:H196"/>
    <mergeCell ref="I195:I196"/>
    <mergeCell ref="I203:I204"/>
    <mergeCell ref="N200:N201"/>
    <mergeCell ref="O200:O201"/>
    <mergeCell ref="P200:P201"/>
    <mergeCell ref="Q200:Q201"/>
    <mergeCell ref="R200:R201"/>
    <mergeCell ref="S200:S201"/>
    <mergeCell ref="H200:H201"/>
    <mergeCell ref="I200:I201"/>
    <mergeCell ref="J200:J201"/>
    <mergeCell ref="K200:K201"/>
    <mergeCell ref="L200:L201"/>
    <mergeCell ref="M200:M201"/>
    <mergeCell ref="R197:R199"/>
    <mergeCell ref="S197:S199"/>
    <mergeCell ref="T197:T199"/>
    <mergeCell ref="A200:A201"/>
    <mergeCell ref="B200:B201"/>
    <mergeCell ref="C200:C201"/>
    <mergeCell ref="D200:D201"/>
    <mergeCell ref="E200:E201"/>
    <mergeCell ref="F200:F201"/>
    <mergeCell ref="G200:G201"/>
    <mergeCell ref="L197:L199"/>
    <mergeCell ref="M197:M199"/>
    <mergeCell ref="N197:N199"/>
    <mergeCell ref="O197:O199"/>
    <mergeCell ref="P197:P199"/>
    <mergeCell ref="Q197:Q199"/>
    <mergeCell ref="F197:F199"/>
    <mergeCell ref="G197:G199"/>
    <mergeCell ref="H197:H199"/>
    <mergeCell ref="V203:V204"/>
    <mergeCell ref="W203:W204"/>
    <mergeCell ref="X203:X204"/>
    <mergeCell ref="AE203:AE204"/>
    <mergeCell ref="A205:A208"/>
    <mergeCell ref="B205:B208"/>
    <mergeCell ref="C205:C208"/>
    <mergeCell ref="D205:D208"/>
    <mergeCell ref="E205:E208"/>
    <mergeCell ref="F205:F208"/>
    <mergeCell ref="P203:P204"/>
    <mergeCell ref="Q203:Q204"/>
    <mergeCell ref="R203:R204"/>
    <mergeCell ref="S203:S204"/>
    <mergeCell ref="T203:T204"/>
    <mergeCell ref="U203:U204"/>
    <mergeCell ref="J203:J204"/>
    <mergeCell ref="K203:K204"/>
    <mergeCell ref="L203:L204"/>
    <mergeCell ref="M203:M204"/>
    <mergeCell ref="N203:N204"/>
    <mergeCell ref="O203:O204"/>
    <mergeCell ref="S205:S208"/>
    <mergeCell ref="T205:T208"/>
    <mergeCell ref="A203:A204"/>
    <mergeCell ref="B203:B204"/>
    <mergeCell ref="C203:C204"/>
    <mergeCell ref="D203:D204"/>
    <mergeCell ref="E203:E204"/>
    <mergeCell ref="F203:F204"/>
    <mergeCell ref="G203:G204"/>
    <mergeCell ref="H203:H204"/>
    <mergeCell ref="D209:D211"/>
    <mergeCell ref="E209:E211"/>
    <mergeCell ref="F209:F211"/>
    <mergeCell ref="G209:G211"/>
    <mergeCell ref="H209:H211"/>
    <mergeCell ref="M205:M208"/>
    <mergeCell ref="N205:N208"/>
    <mergeCell ref="O205:O208"/>
    <mergeCell ref="P205:P208"/>
    <mergeCell ref="Q205:Q208"/>
    <mergeCell ref="R205:R208"/>
    <mergeCell ref="G205:G208"/>
    <mergeCell ref="H205:H208"/>
    <mergeCell ref="I205:I208"/>
    <mergeCell ref="J205:J208"/>
    <mergeCell ref="K205:K208"/>
    <mergeCell ref="L205:L208"/>
    <mergeCell ref="AB209:AB211"/>
    <mergeCell ref="AC209:AC211"/>
    <mergeCell ref="AD209:AD211"/>
    <mergeCell ref="AE209:AE211"/>
    <mergeCell ref="A212:A213"/>
    <mergeCell ref="B212:B213"/>
    <mergeCell ref="C212:C213"/>
    <mergeCell ref="D212:D213"/>
    <mergeCell ref="E212:E213"/>
    <mergeCell ref="U209:U211"/>
    <mergeCell ref="V209:V211"/>
    <mergeCell ref="W209:W211"/>
    <mergeCell ref="X209:X211"/>
    <mergeCell ref="Y209:Y211"/>
    <mergeCell ref="Z209:Z211"/>
    <mergeCell ref="O209:O211"/>
    <mergeCell ref="P209:P210"/>
    <mergeCell ref="Q209:Q211"/>
    <mergeCell ref="R209:R211"/>
    <mergeCell ref="S209:S211"/>
    <mergeCell ref="T209:T211"/>
    <mergeCell ref="I209:I211"/>
    <mergeCell ref="J209:J211"/>
    <mergeCell ref="K209:K211"/>
    <mergeCell ref="L209:L211"/>
    <mergeCell ref="M209:M211"/>
    <mergeCell ref="N209:N211"/>
    <mergeCell ref="S212:S213"/>
    <mergeCell ref="T212:T213"/>
    <mergeCell ref="A209:A211"/>
    <mergeCell ref="B209:B211"/>
    <mergeCell ref="C209:C211"/>
    <mergeCell ref="E214:E215"/>
    <mergeCell ref="F214:F215"/>
    <mergeCell ref="G214:G215"/>
    <mergeCell ref="H214:H215"/>
    <mergeCell ref="L212:L213"/>
    <mergeCell ref="M212:M213"/>
    <mergeCell ref="N212:N213"/>
    <mergeCell ref="O212:O213"/>
    <mergeCell ref="Q212:Q213"/>
    <mergeCell ref="R212:R213"/>
    <mergeCell ref="F212:F213"/>
    <mergeCell ref="G212:G213"/>
    <mergeCell ref="H212:H213"/>
    <mergeCell ref="I212:I213"/>
    <mergeCell ref="J212:J213"/>
    <mergeCell ref="K212:K213"/>
    <mergeCell ref="AA209:AA211"/>
    <mergeCell ref="AB214:AB215"/>
    <mergeCell ref="AC214:AC215"/>
    <mergeCell ref="AD214:AD215"/>
    <mergeCell ref="AE214:AE215"/>
    <mergeCell ref="A216:A217"/>
    <mergeCell ref="B216:B217"/>
    <mergeCell ref="C216:C217"/>
    <mergeCell ref="D216:D217"/>
    <mergeCell ref="E216:E217"/>
    <mergeCell ref="F216:F217"/>
    <mergeCell ref="V214:V215"/>
    <mergeCell ref="W214:W215"/>
    <mergeCell ref="X214:X215"/>
    <mergeCell ref="Y214:Y215"/>
    <mergeCell ref="Z214:Z215"/>
    <mergeCell ref="AA214:AA215"/>
    <mergeCell ref="O214:O215"/>
    <mergeCell ref="Q214:Q215"/>
    <mergeCell ref="R214:R215"/>
    <mergeCell ref="S214:S215"/>
    <mergeCell ref="T214:T215"/>
    <mergeCell ref="U214:U215"/>
    <mergeCell ref="I214:I215"/>
    <mergeCell ref="J214:J215"/>
    <mergeCell ref="K214:K215"/>
    <mergeCell ref="L214:L215"/>
    <mergeCell ref="M214:M215"/>
    <mergeCell ref="N214:N215"/>
    <mergeCell ref="A214:A215"/>
    <mergeCell ref="B214:B215"/>
    <mergeCell ref="C214:C215"/>
    <mergeCell ref="D214:D215"/>
    <mergeCell ref="A218:A219"/>
    <mergeCell ref="B218:B219"/>
    <mergeCell ref="C218:C219"/>
    <mergeCell ref="D218:D219"/>
    <mergeCell ref="E218:E219"/>
    <mergeCell ref="F218:F219"/>
    <mergeCell ref="Z216:Z217"/>
    <mergeCell ref="AA216:AA217"/>
    <mergeCell ref="AB216:AB217"/>
    <mergeCell ref="AC216:AC217"/>
    <mergeCell ref="AD216:AD217"/>
    <mergeCell ref="AE216:AE217"/>
    <mergeCell ref="T216:T217"/>
    <mergeCell ref="U216:U217"/>
    <mergeCell ref="V216:V217"/>
    <mergeCell ref="W216:W217"/>
    <mergeCell ref="X216:X217"/>
    <mergeCell ref="Y216:Y217"/>
    <mergeCell ref="M216:M217"/>
    <mergeCell ref="N216:N217"/>
    <mergeCell ref="O216:O217"/>
    <mergeCell ref="Q216:Q217"/>
    <mergeCell ref="R216:R217"/>
    <mergeCell ref="S216:S217"/>
    <mergeCell ref="G216:G217"/>
    <mergeCell ref="H216:H217"/>
    <mergeCell ref="I216:I217"/>
    <mergeCell ref="J216:J217"/>
    <mergeCell ref="K216:K217"/>
    <mergeCell ref="L216:L217"/>
    <mergeCell ref="K220:K221"/>
    <mergeCell ref="L220:L221"/>
    <mergeCell ref="A220:A221"/>
    <mergeCell ref="B220:B221"/>
    <mergeCell ref="C220:C221"/>
    <mergeCell ref="D220:D221"/>
    <mergeCell ref="E220:E221"/>
    <mergeCell ref="F220:F221"/>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M218:M219"/>
    <mergeCell ref="N218:N219"/>
    <mergeCell ref="O218:O219"/>
    <mergeCell ref="Q218:Q219"/>
    <mergeCell ref="R218:R219"/>
    <mergeCell ref="S218:S219"/>
    <mergeCell ref="G218:G219"/>
    <mergeCell ref="H218:H219"/>
    <mergeCell ref="I218:I219"/>
    <mergeCell ref="J218:J219"/>
    <mergeCell ref="K218:K219"/>
    <mergeCell ref="L218:L219"/>
    <mergeCell ref="F222:F223"/>
    <mergeCell ref="G222:G223"/>
    <mergeCell ref="H222:H223"/>
    <mergeCell ref="I222:I223"/>
    <mergeCell ref="J222:J223"/>
    <mergeCell ref="K222:K223"/>
    <mergeCell ref="Z220:Z221"/>
    <mergeCell ref="AA220:AA221"/>
    <mergeCell ref="AB220:AB221"/>
    <mergeCell ref="AC220:AC221"/>
    <mergeCell ref="AE220:AE221"/>
    <mergeCell ref="A222:A223"/>
    <mergeCell ref="B222:B223"/>
    <mergeCell ref="C222:C223"/>
    <mergeCell ref="D222:D223"/>
    <mergeCell ref="E222:E223"/>
    <mergeCell ref="T220:T221"/>
    <mergeCell ref="U220:U221"/>
    <mergeCell ref="V220:V221"/>
    <mergeCell ref="W220:W221"/>
    <mergeCell ref="X220:X221"/>
    <mergeCell ref="Y220:Y221"/>
    <mergeCell ref="M220:M221"/>
    <mergeCell ref="N220:N221"/>
    <mergeCell ref="O220:O221"/>
    <mergeCell ref="Q220:Q221"/>
    <mergeCell ref="R220:R221"/>
    <mergeCell ref="S220:S221"/>
    <mergeCell ref="G220:G221"/>
    <mergeCell ref="H220:H221"/>
    <mergeCell ref="I220:I221"/>
    <mergeCell ref="J220:J221"/>
    <mergeCell ref="L224:L225"/>
    <mergeCell ref="M224:M225"/>
    <mergeCell ref="N224:N225"/>
    <mergeCell ref="O224:O225"/>
    <mergeCell ref="AE222:AE223"/>
    <mergeCell ref="A224:A225"/>
    <mergeCell ref="B224:B225"/>
    <mergeCell ref="C224:C225"/>
    <mergeCell ref="D224:D225"/>
    <mergeCell ref="E224:E225"/>
    <mergeCell ref="F224:F225"/>
    <mergeCell ref="G224:G225"/>
    <mergeCell ref="H224:H225"/>
    <mergeCell ref="I224:I225"/>
    <mergeCell ref="Y222:Y223"/>
    <mergeCell ref="Z222:Z223"/>
    <mergeCell ref="AA222:AA223"/>
    <mergeCell ref="AB222:AB223"/>
    <mergeCell ref="AC222:AC223"/>
    <mergeCell ref="AD222:AD223"/>
    <mergeCell ref="S222:S223"/>
    <mergeCell ref="T222:T223"/>
    <mergeCell ref="U222:U223"/>
    <mergeCell ref="V222:V223"/>
    <mergeCell ref="W222:W223"/>
    <mergeCell ref="X222:X223"/>
    <mergeCell ref="L222:L223"/>
    <mergeCell ref="M222:M223"/>
    <mergeCell ref="N222:N223"/>
    <mergeCell ref="O222:O223"/>
    <mergeCell ref="Q222:Q223"/>
    <mergeCell ref="R222:R223"/>
    <mergeCell ref="Q229:Q231"/>
    <mergeCell ref="R229:R231"/>
    <mergeCell ref="G229:G231"/>
    <mergeCell ref="H229:H231"/>
    <mergeCell ref="I229:I231"/>
    <mergeCell ref="J229:J231"/>
    <mergeCell ref="K229:K231"/>
    <mergeCell ref="L229:L231"/>
    <mergeCell ref="AB224:AB225"/>
    <mergeCell ref="AC224:AC225"/>
    <mergeCell ref="AD224:AD225"/>
    <mergeCell ref="AE224:AE225"/>
    <mergeCell ref="A229:A231"/>
    <mergeCell ref="B229:B231"/>
    <mergeCell ref="C229:C231"/>
    <mergeCell ref="D229:D231"/>
    <mergeCell ref="E229:E231"/>
    <mergeCell ref="F229:F231"/>
    <mergeCell ref="V224:V225"/>
    <mergeCell ref="W224:W225"/>
    <mergeCell ref="X224:X225"/>
    <mergeCell ref="Y224:Y225"/>
    <mergeCell ref="Z224:Z225"/>
    <mergeCell ref="AA224:AA225"/>
    <mergeCell ref="P224:P225"/>
    <mergeCell ref="Q224:Q225"/>
    <mergeCell ref="R224:R225"/>
    <mergeCell ref="S224:S225"/>
    <mergeCell ref="T224:T225"/>
    <mergeCell ref="U224:U225"/>
    <mergeCell ref="J224:J225"/>
    <mergeCell ref="K224:K225"/>
    <mergeCell ref="J233:J234"/>
    <mergeCell ref="K233:K234"/>
    <mergeCell ref="L233:L234"/>
    <mergeCell ref="M233:M234"/>
    <mergeCell ref="N233:N234"/>
    <mergeCell ref="O233:O234"/>
    <mergeCell ref="AE229:AE231"/>
    <mergeCell ref="A233:A234"/>
    <mergeCell ref="B233:B234"/>
    <mergeCell ref="C233:C234"/>
    <mergeCell ref="D233:D234"/>
    <mergeCell ref="E233:E234"/>
    <mergeCell ref="F233:F234"/>
    <mergeCell ref="G233:G234"/>
    <mergeCell ref="H233:H234"/>
    <mergeCell ref="I233:I234"/>
    <mergeCell ref="Y229:Y231"/>
    <mergeCell ref="Z229:Z231"/>
    <mergeCell ref="AA229:AA231"/>
    <mergeCell ref="AB229:AB231"/>
    <mergeCell ref="AC229:AC231"/>
    <mergeCell ref="AD229:AD231"/>
    <mergeCell ref="S229:S231"/>
    <mergeCell ref="T229:T231"/>
    <mergeCell ref="U229:U231"/>
    <mergeCell ref="V229:V231"/>
    <mergeCell ref="W229:W231"/>
    <mergeCell ref="X229:X231"/>
    <mergeCell ref="M229:M231"/>
    <mergeCell ref="N229:N231"/>
    <mergeCell ref="O229:O231"/>
    <mergeCell ref="P229:P230"/>
    <mergeCell ref="I260:I264"/>
    <mergeCell ref="J260:J264"/>
    <mergeCell ref="K260:K264"/>
    <mergeCell ref="P260:P264"/>
    <mergeCell ref="T260:T263"/>
    <mergeCell ref="A265:A266"/>
    <mergeCell ref="B265:B266"/>
    <mergeCell ref="C265:C266"/>
    <mergeCell ref="D265:D266"/>
    <mergeCell ref="E265:E266"/>
    <mergeCell ref="AC233:AC234"/>
    <mergeCell ref="AD233:AD234"/>
    <mergeCell ref="AE233:AE234"/>
    <mergeCell ref="A260:A264"/>
    <mergeCell ref="B260:B264"/>
    <mergeCell ref="C260:C264"/>
    <mergeCell ref="D260:D264"/>
    <mergeCell ref="E260:E264"/>
    <mergeCell ref="F260:F264"/>
    <mergeCell ref="G260:G264"/>
    <mergeCell ref="W233:W234"/>
    <mergeCell ref="X233:X234"/>
    <mergeCell ref="Y233:Y234"/>
    <mergeCell ref="Z233:Z234"/>
    <mergeCell ref="AA233:AA234"/>
    <mergeCell ref="AB233:AB234"/>
    <mergeCell ref="Q233:Q234"/>
    <mergeCell ref="R233:R234"/>
    <mergeCell ref="S233:S234"/>
    <mergeCell ref="T233:T234"/>
    <mergeCell ref="U233:U234"/>
    <mergeCell ref="V233:V234"/>
    <mergeCell ref="P273:P275"/>
    <mergeCell ref="Q273:Q275"/>
    <mergeCell ref="R273:R275"/>
    <mergeCell ref="S273:S275"/>
    <mergeCell ref="T273:T275"/>
    <mergeCell ref="A276:A277"/>
    <mergeCell ref="B276:B277"/>
    <mergeCell ref="C276:C277"/>
    <mergeCell ref="D276:D277"/>
    <mergeCell ref="E276:E277"/>
    <mergeCell ref="J273:J275"/>
    <mergeCell ref="K273:K275"/>
    <mergeCell ref="L273:L275"/>
    <mergeCell ref="M273:M275"/>
    <mergeCell ref="N273:N275"/>
    <mergeCell ref="O273:O275"/>
    <mergeCell ref="T265:T266"/>
    <mergeCell ref="A273:A275"/>
    <mergeCell ref="B273:B275"/>
    <mergeCell ref="C273:C275"/>
    <mergeCell ref="D273:D275"/>
    <mergeCell ref="E273:E275"/>
    <mergeCell ref="F273:F275"/>
    <mergeCell ref="G273:G275"/>
    <mergeCell ref="H273:H275"/>
    <mergeCell ref="I273:I275"/>
    <mergeCell ref="F265:F266"/>
    <mergeCell ref="G265:G266"/>
    <mergeCell ref="I265:I266"/>
    <mergeCell ref="J265:J266"/>
    <mergeCell ref="K265:K266"/>
    <mergeCell ref="P265:P266"/>
    <mergeCell ref="H279:H280"/>
    <mergeCell ref="I279:I280"/>
    <mergeCell ref="J279:J280"/>
    <mergeCell ref="K279:K280"/>
    <mergeCell ref="L279:L280"/>
    <mergeCell ref="M279:M280"/>
    <mergeCell ref="R276:R277"/>
    <mergeCell ref="S276:S277"/>
    <mergeCell ref="T276:T277"/>
    <mergeCell ref="A279:A280"/>
    <mergeCell ref="B279:B280"/>
    <mergeCell ref="C279:C280"/>
    <mergeCell ref="D279:D280"/>
    <mergeCell ref="E279:E280"/>
    <mergeCell ref="F279:F280"/>
    <mergeCell ref="G279:G280"/>
    <mergeCell ref="L276:L277"/>
    <mergeCell ref="M276:M277"/>
    <mergeCell ref="N276:N277"/>
    <mergeCell ref="O276:O277"/>
    <mergeCell ref="P276:P277"/>
    <mergeCell ref="Q276:Q277"/>
    <mergeCell ref="F276:F277"/>
    <mergeCell ref="G276:G277"/>
    <mergeCell ref="H276:H277"/>
    <mergeCell ref="I276:I277"/>
    <mergeCell ref="J276:J277"/>
    <mergeCell ref="K276:K277"/>
    <mergeCell ref="P284:P285"/>
    <mergeCell ref="Q284:Q285"/>
    <mergeCell ref="R284:R285"/>
    <mergeCell ref="S284:S285"/>
    <mergeCell ref="T284:T285"/>
    <mergeCell ref="A295:A296"/>
    <mergeCell ref="B295:B296"/>
    <mergeCell ref="C295:C296"/>
    <mergeCell ref="D295:D296"/>
    <mergeCell ref="E295:E296"/>
    <mergeCell ref="J284:J285"/>
    <mergeCell ref="K284:K285"/>
    <mergeCell ref="L284:L285"/>
    <mergeCell ref="M284:M285"/>
    <mergeCell ref="N284:N285"/>
    <mergeCell ref="O284:O285"/>
    <mergeCell ref="T279:T280"/>
    <mergeCell ref="A284:A285"/>
    <mergeCell ref="B284:B285"/>
    <mergeCell ref="C284:C285"/>
    <mergeCell ref="D284:D285"/>
    <mergeCell ref="E284:E285"/>
    <mergeCell ref="F284:F285"/>
    <mergeCell ref="G284:G285"/>
    <mergeCell ref="H284:H285"/>
    <mergeCell ref="I284:I285"/>
    <mergeCell ref="N279:N280"/>
    <mergeCell ref="O279:O280"/>
    <mergeCell ref="P279:P280"/>
    <mergeCell ref="Q279:Q280"/>
    <mergeCell ref="R279:R280"/>
    <mergeCell ref="S279:S280"/>
    <mergeCell ref="A307:A308"/>
    <mergeCell ref="B307:B308"/>
    <mergeCell ref="C307:C308"/>
    <mergeCell ref="D307:D308"/>
    <mergeCell ref="E307:E308"/>
    <mergeCell ref="L295:L296"/>
    <mergeCell ref="M295:M296"/>
    <mergeCell ref="N295:N296"/>
    <mergeCell ref="O295:O296"/>
    <mergeCell ref="Q295:Q296"/>
    <mergeCell ref="R295:R296"/>
    <mergeCell ref="F295:F296"/>
    <mergeCell ref="G295:G296"/>
    <mergeCell ref="H295:H296"/>
    <mergeCell ref="I295:I296"/>
    <mergeCell ref="J295:J296"/>
    <mergeCell ref="K295:K296"/>
    <mergeCell ref="R307:R308"/>
    <mergeCell ref="L307:L308"/>
    <mergeCell ref="M307:M308"/>
    <mergeCell ref="N307:N308"/>
    <mergeCell ref="O307:O308"/>
    <mergeCell ref="P307:P308"/>
    <mergeCell ref="Q307:Q308"/>
    <mergeCell ref="F307:F308"/>
    <mergeCell ref="G307:G308"/>
    <mergeCell ref="H307:H308"/>
    <mergeCell ref="I307:I308"/>
    <mergeCell ref="J307:J308"/>
    <mergeCell ref="K307:K308"/>
    <mergeCell ref="S295:S296"/>
    <mergeCell ref="T295:T296"/>
    <mergeCell ref="U295:U296"/>
    <mergeCell ref="V295:V296"/>
    <mergeCell ref="AE295:AE296"/>
    <mergeCell ref="S307:S308"/>
    <mergeCell ref="T307:T308"/>
    <mergeCell ref="M323:M325"/>
    <mergeCell ref="N323:N325"/>
    <mergeCell ref="T316:T318"/>
    <mergeCell ref="AE316:AE318"/>
    <mergeCell ref="A323:A325"/>
    <mergeCell ref="B323:B325"/>
    <mergeCell ref="C323:C325"/>
    <mergeCell ref="D323:D325"/>
    <mergeCell ref="E323:E325"/>
    <mergeCell ref="F323:F325"/>
    <mergeCell ref="G323:G325"/>
    <mergeCell ref="H323:H325"/>
    <mergeCell ref="N316:N318"/>
    <mergeCell ref="O316:O318"/>
    <mergeCell ref="P316:P317"/>
    <mergeCell ref="Q316:Q318"/>
    <mergeCell ref="R316:R318"/>
    <mergeCell ref="S316:S318"/>
    <mergeCell ref="H316:H318"/>
    <mergeCell ref="I316:I318"/>
    <mergeCell ref="J316:J318"/>
    <mergeCell ref="K316:K318"/>
    <mergeCell ref="L316:L318"/>
    <mergeCell ref="M316:M318"/>
    <mergeCell ref="A316:A318"/>
    <mergeCell ref="B316:B318"/>
    <mergeCell ref="C316:C318"/>
    <mergeCell ref="D316:D318"/>
    <mergeCell ref="E316:E318"/>
    <mergeCell ref="F316:F318"/>
    <mergeCell ref="G316:G318"/>
    <mergeCell ref="P326:P327"/>
    <mergeCell ref="Q326:Q328"/>
    <mergeCell ref="R326:R328"/>
    <mergeCell ref="S326:S328"/>
    <mergeCell ref="T326:T328"/>
    <mergeCell ref="AE326:AE328"/>
    <mergeCell ref="J326:J328"/>
    <mergeCell ref="K326:K328"/>
    <mergeCell ref="L326:L328"/>
    <mergeCell ref="M326:M328"/>
    <mergeCell ref="N326:N328"/>
    <mergeCell ref="O326:O328"/>
    <mergeCell ref="AE323:AE325"/>
    <mergeCell ref="A326:A328"/>
    <mergeCell ref="B326:B328"/>
    <mergeCell ref="C326:C328"/>
    <mergeCell ref="D326:D328"/>
    <mergeCell ref="E326:E328"/>
    <mergeCell ref="F326:F328"/>
    <mergeCell ref="G326:G328"/>
    <mergeCell ref="H326:H328"/>
    <mergeCell ref="I326:I328"/>
    <mergeCell ref="O323:O325"/>
    <mergeCell ref="P323:P324"/>
    <mergeCell ref="Q323:Q325"/>
    <mergeCell ref="R323:R325"/>
    <mergeCell ref="S323:S325"/>
    <mergeCell ref="T323:T325"/>
    <mergeCell ref="I323:I325"/>
    <mergeCell ref="J323:J325"/>
    <mergeCell ref="K323:K325"/>
    <mergeCell ref="L323:L325"/>
    <mergeCell ref="S329:S331"/>
    <mergeCell ref="T329:T331"/>
    <mergeCell ref="AE329:AE331"/>
    <mergeCell ref="A332:A334"/>
    <mergeCell ref="B332:B334"/>
    <mergeCell ref="C332:C334"/>
    <mergeCell ref="D332:D334"/>
    <mergeCell ref="E332:E334"/>
    <mergeCell ref="F332:F334"/>
    <mergeCell ref="G332:G334"/>
    <mergeCell ref="M329:M331"/>
    <mergeCell ref="N329:N331"/>
    <mergeCell ref="O329:O331"/>
    <mergeCell ref="P329:P330"/>
    <mergeCell ref="Q329:Q331"/>
    <mergeCell ref="R329:R331"/>
    <mergeCell ref="G329:G331"/>
    <mergeCell ref="H329:H331"/>
    <mergeCell ref="I329:I331"/>
    <mergeCell ref="J329:J331"/>
    <mergeCell ref="K329:K331"/>
    <mergeCell ref="L329:L331"/>
    <mergeCell ref="A329:A331"/>
    <mergeCell ref="B329:B331"/>
    <mergeCell ref="C329:C331"/>
    <mergeCell ref="D329:D331"/>
    <mergeCell ref="E329:E331"/>
    <mergeCell ref="F329:F331"/>
    <mergeCell ref="M335:M337"/>
    <mergeCell ref="N335:N337"/>
    <mergeCell ref="T332:T334"/>
    <mergeCell ref="AE332:AE334"/>
    <mergeCell ref="A335:A337"/>
    <mergeCell ref="B335:B337"/>
    <mergeCell ref="C335:C337"/>
    <mergeCell ref="D335:D337"/>
    <mergeCell ref="E335:E337"/>
    <mergeCell ref="F335:F337"/>
    <mergeCell ref="G335:G337"/>
    <mergeCell ref="H335:H337"/>
    <mergeCell ref="N332:N334"/>
    <mergeCell ref="O332:O334"/>
    <mergeCell ref="P332:P333"/>
    <mergeCell ref="Q332:Q334"/>
    <mergeCell ref="R332:R334"/>
    <mergeCell ref="S332:S334"/>
    <mergeCell ref="H332:H334"/>
    <mergeCell ref="I332:I334"/>
    <mergeCell ref="J332:J334"/>
    <mergeCell ref="K332:K334"/>
    <mergeCell ref="L332:L334"/>
    <mergeCell ref="M332:M334"/>
    <mergeCell ref="P338:P339"/>
    <mergeCell ref="Q338:Q340"/>
    <mergeCell ref="R338:R340"/>
    <mergeCell ref="S338:S340"/>
    <mergeCell ref="T338:T340"/>
    <mergeCell ref="AE338:AE340"/>
    <mergeCell ref="J338:J340"/>
    <mergeCell ref="K338:K340"/>
    <mergeCell ref="L338:L340"/>
    <mergeCell ref="M338:M340"/>
    <mergeCell ref="N338:N340"/>
    <mergeCell ref="O338:O340"/>
    <mergeCell ref="AE335:AE337"/>
    <mergeCell ref="A338:A340"/>
    <mergeCell ref="B338:B340"/>
    <mergeCell ref="C338:C340"/>
    <mergeCell ref="D338:D340"/>
    <mergeCell ref="E338:E340"/>
    <mergeCell ref="F338:F340"/>
    <mergeCell ref="G338:G340"/>
    <mergeCell ref="H338:H340"/>
    <mergeCell ref="I338:I340"/>
    <mergeCell ref="O335:O337"/>
    <mergeCell ref="P335:P336"/>
    <mergeCell ref="Q335:Q337"/>
    <mergeCell ref="R335:R337"/>
    <mergeCell ref="S335:S337"/>
    <mergeCell ref="T335:T337"/>
    <mergeCell ref="I335:I337"/>
    <mergeCell ref="J335:J337"/>
    <mergeCell ref="K335:K337"/>
    <mergeCell ref="L335:L337"/>
    <mergeCell ref="M345:M347"/>
    <mergeCell ref="N345:N347"/>
    <mergeCell ref="S343:S344"/>
    <mergeCell ref="AE343:AE344"/>
    <mergeCell ref="A345:A347"/>
    <mergeCell ref="B345:B347"/>
    <mergeCell ref="C345:C347"/>
    <mergeCell ref="D345:D347"/>
    <mergeCell ref="E345:E347"/>
    <mergeCell ref="F345:F347"/>
    <mergeCell ref="G345:G347"/>
    <mergeCell ref="H345:H347"/>
    <mergeCell ref="M343:M344"/>
    <mergeCell ref="N343:N344"/>
    <mergeCell ref="O343:O344"/>
    <mergeCell ref="P343:P344"/>
    <mergeCell ref="Q343:Q344"/>
    <mergeCell ref="R343:R344"/>
    <mergeCell ref="G343:G344"/>
    <mergeCell ref="H343:H344"/>
    <mergeCell ref="I343:I344"/>
    <mergeCell ref="J343:J344"/>
    <mergeCell ref="K343:K344"/>
    <mergeCell ref="L343:L344"/>
    <mergeCell ref="A343:A344"/>
    <mergeCell ref="B343:B344"/>
    <mergeCell ref="C343:C344"/>
    <mergeCell ref="D343:D344"/>
    <mergeCell ref="E343:E344"/>
    <mergeCell ref="F343:F344"/>
    <mergeCell ref="P348:P349"/>
    <mergeCell ref="Q348:Q350"/>
    <mergeCell ref="R348:R350"/>
    <mergeCell ref="S348:S350"/>
    <mergeCell ref="T348:T350"/>
    <mergeCell ref="AE348:AE350"/>
    <mergeCell ref="J348:J350"/>
    <mergeCell ref="K348:K350"/>
    <mergeCell ref="L348:L350"/>
    <mergeCell ref="M348:M350"/>
    <mergeCell ref="N348:N350"/>
    <mergeCell ref="O348:O350"/>
    <mergeCell ref="AE345:AE347"/>
    <mergeCell ref="A348:A350"/>
    <mergeCell ref="B348:B350"/>
    <mergeCell ref="C348:C350"/>
    <mergeCell ref="D348:D350"/>
    <mergeCell ref="E348:E350"/>
    <mergeCell ref="F348:F350"/>
    <mergeCell ref="G348:G350"/>
    <mergeCell ref="H348:H350"/>
    <mergeCell ref="I348:I350"/>
    <mergeCell ref="O345:O347"/>
    <mergeCell ref="P345:P346"/>
    <mergeCell ref="Q345:Q347"/>
    <mergeCell ref="R345:R347"/>
    <mergeCell ref="S345:S347"/>
    <mergeCell ref="T345:T347"/>
    <mergeCell ref="I345:I347"/>
    <mergeCell ref="J345:J347"/>
    <mergeCell ref="K345:K347"/>
    <mergeCell ref="L345:L347"/>
    <mergeCell ref="S351:S353"/>
    <mergeCell ref="T351:T353"/>
    <mergeCell ref="AE351:AE353"/>
    <mergeCell ref="A354:A356"/>
    <mergeCell ref="B354:B356"/>
    <mergeCell ref="C354:C356"/>
    <mergeCell ref="D354:D356"/>
    <mergeCell ref="E354:E356"/>
    <mergeCell ref="F354:F356"/>
    <mergeCell ref="G354:G356"/>
    <mergeCell ref="M351:M353"/>
    <mergeCell ref="N351:N353"/>
    <mergeCell ref="O351:O353"/>
    <mergeCell ref="P351:P352"/>
    <mergeCell ref="Q351:Q353"/>
    <mergeCell ref="R351:R353"/>
    <mergeCell ref="G351:G353"/>
    <mergeCell ref="H351:H353"/>
    <mergeCell ref="I351:I353"/>
    <mergeCell ref="J351:J353"/>
    <mergeCell ref="K351:K353"/>
    <mergeCell ref="L351:L353"/>
    <mergeCell ref="A351:A353"/>
    <mergeCell ref="B351:B353"/>
    <mergeCell ref="C351:C353"/>
    <mergeCell ref="D351:D353"/>
    <mergeCell ref="E351:E353"/>
    <mergeCell ref="F351:F353"/>
    <mergeCell ref="T354:T356"/>
    <mergeCell ref="AE354:AE356"/>
    <mergeCell ref="M357:M359"/>
    <mergeCell ref="N357:N359"/>
    <mergeCell ref="A357:A359"/>
    <mergeCell ref="B357:B359"/>
    <mergeCell ref="C357:C359"/>
    <mergeCell ref="D357:D359"/>
    <mergeCell ref="E357:E359"/>
    <mergeCell ref="F357:F359"/>
    <mergeCell ref="G357:G359"/>
    <mergeCell ref="H357:H359"/>
    <mergeCell ref="N354:N356"/>
    <mergeCell ref="O354:O356"/>
    <mergeCell ref="P354:P355"/>
    <mergeCell ref="Q354:Q356"/>
    <mergeCell ref="R354:R356"/>
    <mergeCell ref="S354:S356"/>
    <mergeCell ref="H354:H356"/>
    <mergeCell ref="I354:I356"/>
    <mergeCell ref="J354:J356"/>
    <mergeCell ref="K354:K356"/>
    <mergeCell ref="L354:L356"/>
    <mergeCell ref="M354:M356"/>
    <mergeCell ref="P360:P361"/>
    <mergeCell ref="Q360:Q362"/>
    <mergeCell ref="R360:R362"/>
    <mergeCell ref="S360:S362"/>
    <mergeCell ref="T360:T362"/>
    <mergeCell ref="AE360:AE362"/>
    <mergeCell ref="J360:J362"/>
    <mergeCell ref="K360:K362"/>
    <mergeCell ref="L360:L362"/>
    <mergeCell ref="M360:M362"/>
    <mergeCell ref="N360:N362"/>
    <mergeCell ref="O360:O362"/>
    <mergeCell ref="AE357:AE359"/>
    <mergeCell ref="A360:A362"/>
    <mergeCell ref="B360:B362"/>
    <mergeCell ref="C360:C362"/>
    <mergeCell ref="D360:D362"/>
    <mergeCell ref="E360:E362"/>
    <mergeCell ref="F360:F362"/>
    <mergeCell ref="G360:G362"/>
    <mergeCell ref="H360:H362"/>
    <mergeCell ref="I360:I362"/>
    <mergeCell ref="O357:O359"/>
    <mergeCell ref="P357:P358"/>
    <mergeCell ref="Q357:Q359"/>
    <mergeCell ref="R357:R359"/>
    <mergeCell ref="S357:S359"/>
    <mergeCell ref="T357:T359"/>
    <mergeCell ref="I357:I359"/>
    <mergeCell ref="J357:J359"/>
    <mergeCell ref="K357:K359"/>
    <mergeCell ref="L357:L359"/>
    <mergeCell ref="S363:S365"/>
    <mergeCell ref="T363:T365"/>
    <mergeCell ref="AE363:AE365"/>
    <mergeCell ref="A366:A368"/>
    <mergeCell ref="B366:B368"/>
    <mergeCell ref="C366:C368"/>
    <mergeCell ref="D366:D368"/>
    <mergeCell ref="E366:E368"/>
    <mergeCell ref="F366:F368"/>
    <mergeCell ref="G366:G368"/>
    <mergeCell ref="M363:M365"/>
    <mergeCell ref="N363:N365"/>
    <mergeCell ref="O363:O365"/>
    <mergeCell ref="P363:P364"/>
    <mergeCell ref="Q363:Q365"/>
    <mergeCell ref="R363:R365"/>
    <mergeCell ref="G363:G365"/>
    <mergeCell ref="H363:H365"/>
    <mergeCell ref="I363:I365"/>
    <mergeCell ref="J363:J365"/>
    <mergeCell ref="K363:K365"/>
    <mergeCell ref="L363:L365"/>
    <mergeCell ref="A363:A365"/>
    <mergeCell ref="B363:B365"/>
    <mergeCell ref="C363:C365"/>
    <mergeCell ref="D363:D365"/>
    <mergeCell ref="E363:E365"/>
    <mergeCell ref="F363:F365"/>
    <mergeCell ref="N366:N368"/>
    <mergeCell ref="O366:O368"/>
    <mergeCell ref="P366:P367"/>
    <mergeCell ref="T366:T368"/>
    <mergeCell ref="AE366:AE368"/>
    <mergeCell ref="A369:A371"/>
    <mergeCell ref="B369:B371"/>
    <mergeCell ref="C369:C371"/>
    <mergeCell ref="D369:D371"/>
    <mergeCell ref="E369:E371"/>
    <mergeCell ref="H366:H368"/>
    <mergeCell ref="I366:I368"/>
    <mergeCell ref="J366:J368"/>
    <mergeCell ref="K366:K368"/>
    <mergeCell ref="L366:L368"/>
    <mergeCell ref="M366:M368"/>
    <mergeCell ref="M372:M374"/>
    <mergeCell ref="N372:N374"/>
    <mergeCell ref="O372:O374"/>
    <mergeCell ref="P372:P373"/>
    <mergeCell ref="Q372:Q374"/>
    <mergeCell ref="R372:R374"/>
    <mergeCell ref="G372:G374"/>
    <mergeCell ref="H372:H374"/>
    <mergeCell ref="I372:I374"/>
    <mergeCell ref="J372:J374"/>
    <mergeCell ref="K372:K374"/>
    <mergeCell ref="L372:L374"/>
    <mergeCell ref="R369:R371"/>
    <mergeCell ref="S369:S371"/>
    <mergeCell ref="T369:T371"/>
    <mergeCell ref="AE369:AE371"/>
    <mergeCell ref="A372:A374"/>
    <mergeCell ref="B372:B374"/>
    <mergeCell ref="C372:C374"/>
    <mergeCell ref="D372:D374"/>
    <mergeCell ref="E372:E374"/>
    <mergeCell ref="F372:F374"/>
    <mergeCell ref="L369:L371"/>
    <mergeCell ref="M369:M371"/>
    <mergeCell ref="N369:N371"/>
    <mergeCell ref="O369:O371"/>
    <mergeCell ref="P369:P370"/>
    <mergeCell ref="Q369:Q371"/>
    <mergeCell ref="F369:F371"/>
    <mergeCell ref="G369:G371"/>
    <mergeCell ref="H369:H371"/>
    <mergeCell ref="I369:I371"/>
    <mergeCell ref="J369:J371"/>
    <mergeCell ref="K369:K371"/>
    <mergeCell ref="S372:S374"/>
    <mergeCell ref="T372:T374"/>
    <mergeCell ref="AE372:AE374"/>
    <mergeCell ref="M378:M380"/>
    <mergeCell ref="N378:N380"/>
    <mergeCell ref="T375:T377"/>
    <mergeCell ref="AE375:AE377"/>
    <mergeCell ref="A378:A380"/>
    <mergeCell ref="B378:B380"/>
    <mergeCell ref="C378:C380"/>
    <mergeCell ref="D378:D380"/>
    <mergeCell ref="E378:E380"/>
    <mergeCell ref="F378:F380"/>
    <mergeCell ref="G378:G380"/>
    <mergeCell ref="H378:H380"/>
    <mergeCell ref="N375:N377"/>
    <mergeCell ref="O375:O377"/>
    <mergeCell ref="P375:P376"/>
    <mergeCell ref="Q375:Q377"/>
    <mergeCell ref="R375:R377"/>
    <mergeCell ref="S375:S377"/>
    <mergeCell ref="H375:H377"/>
    <mergeCell ref="I375:I377"/>
    <mergeCell ref="J375:J377"/>
    <mergeCell ref="K375:K377"/>
    <mergeCell ref="L375:L377"/>
    <mergeCell ref="M375:M377"/>
    <mergeCell ref="A375:A377"/>
    <mergeCell ref="B375:B377"/>
    <mergeCell ref="C375:C377"/>
    <mergeCell ref="D375:D377"/>
    <mergeCell ref="E375:E377"/>
    <mergeCell ref="F375:F377"/>
    <mergeCell ref="G375:G377"/>
    <mergeCell ref="P381:P382"/>
    <mergeCell ref="Q381:Q383"/>
    <mergeCell ref="R381:R383"/>
    <mergeCell ref="S381:S383"/>
    <mergeCell ref="T381:T383"/>
    <mergeCell ref="AE381:AE383"/>
    <mergeCell ref="J381:J383"/>
    <mergeCell ref="K381:K383"/>
    <mergeCell ref="L381:L383"/>
    <mergeCell ref="M381:M383"/>
    <mergeCell ref="N381:N383"/>
    <mergeCell ref="O381:O383"/>
    <mergeCell ref="AE378:AE380"/>
    <mergeCell ref="A381:A383"/>
    <mergeCell ref="B381:B383"/>
    <mergeCell ref="C381:C383"/>
    <mergeCell ref="D381:D383"/>
    <mergeCell ref="E381:E383"/>
    <mergeCell ref="F381:F383"/>
    <mergeCell ref="G381:G383"/>
    <mergeCell ref="H381:H383"/>
    <mergeCell ref="I381:I383"/>
    <mergeCell ref="O378:O380"/>
    <mergeCell ref="P378:P379"/>
    <mergeCell ref="Q378:Q380"/>
    <mergeCell ref="R378:R380"/>
    <mergeCell ref="S378:S380"/>
    <mergeCell ref="T378:T380"/>
    <mergeCell ref="I378:I380"/>
    <mergeCell ref="J378:J380"/>
    <mergeCell ref="K378:K380"/>
    <mergeCell ref="L378:L380"/>
    <mergeCell ref="S384:S386"/>
    <mergeCell ref="T384:T386"/>
    <mergeCell ref="AE384:AE386"/>
    <mergeCell ref="A387:A389"/>
    <mergeCell ref="B387:B389"/>
    <mergeCell ref="C387:C389"/>
    <mergeCell ref="D387:D389"/>
    <mergeCell ref="E387:E389"/>
    <mergeCell ref="F387:F389"/>
    <mergeCell ref="G387:G389"/>
    <mergeCell ref="M384:M386"/>
    <mergeCell ref="N384:N386"/>
    <mergeCell ref="O384:O386"/>
    <mergeCell ref="P384:P385"/>
    <mergeCell ref="Q384:Q386"/>
    <mergeCell ref="R384:R386"/>
    <mergeCell ref="G384:G386"/>
    <mergeCell ref="H384:H386"/>
    <mergeCell ref="I384:I386"/>
    <mergeCell ref="J384:J386"/>
    <mergeCell ref="K384:K386"/>
    <mergeCell ref="L384:L386"/>
    <mergeCell ref="A384:A386"/>
    <mergeCell ref="B384:B386"/>
    <mergeCell ref="C384:C386"/>
    <mergeCell ref="D384:D386"/>
    <mergeCell ref="E384:E386"/>
    <mergeCell ref="F384:F386"/>
    <mergeCell ref="K390:K392"/>
    <mergeCell ref="L390:L392"/>
    <mergeCell ref="M390:M392"/>
    <mergeCell ref="N390:N392"/>
    <mergeCell ref="T387:T389"/>
    <mergeCell ref="AE387:AE389"/>
    <mergeCell ref="A390:A392"/>
    <mergeCell ref="B390:B392"/>
    <mergeCell ref="C390:C392"/>
    <mergeCell ref="D390:D392"/>
    <mergeCell ref="E390:E392"/>
    <mergeCell ref="F390:F392"/>
    <mergeCell ref="G390:G392"/>
    <mergeCell ref="H390:H392"/>
    <mergeCell ref="N387:N389"/>
    <mergeCell ref="O387:O389"/>
    <mergeCell ref="P387:P388"/>
    <mergeCell ref="Q387:Q389"/>
    <mergeCell ref="R387:R389"/>
    <mergeCell ref="S387:S389"/>
    <mergeCell ref="H387:H389"/>
    <mergeCell ref="I387:I389"/>
    <mergeCell ref="J387:J389"/>
    <mergeCell ref="K387:K389"/>
    <mergeCell ref="L387:L389"/>
    <mergeCell ref="M387:M389"/>
    <mergeCell ref="E396:E398"/>
    <mergeCell ref="F396:F398"/>
    <mergeCell ref="P393:P394"/>
    <mergeCell ref="Q393:Q395"/>
    <mergeCell ref="R393:R395"/>
    <mergeCell ref="S393:S395"/>
    <mergeCell ref="T393:T395"/>
    <mergeCell ref="AE393:AE395"/>
    <mergeCell ref="J393:J395"/>
    <mergeCell ref="K393:K395"/>
    <mergeCell ref="L393:L395"/>
    <mergeCell ref="M393:M395"/>
    <mergeCell ref="N393:N395"/>
    <mergeCell ref="O393:O395"/>
    <mergeCell ref="AE390:AE392"/>
    <mergeCell ref="A393:A395"/>
    <mergeCell ref="B393:B395"/>
    <mergeCell ref="C393:C395"/>
    <mergeCell ref="D393:D395"/>
    <mergeCell ref="E393:E395"/>
    <mergeCell ref="F393:F395"/>
    <mergeCell ref="G393:G395"/>
    <mergeCell ref="H393:H395"/>
    <mergeCell ref="I393:I395"/>
    <mergeCell ref="O390:O392"/>
    <mergeCell ref="P390:P391"/>
    <mergeCell ref="Q390:Q392"/>
    <mergeCell ref="R390:R392"/>
    <mergeCell ref="S390:S392"/>
    <mergeCell ref="T390:T392"/>
    <mergeCell ref="I390:I392"/>
    <mergeCell ref="J390:J392"/>
    <mergeCell ref="H399:H401"/>
    <mergeCell ref="I399:I401"/>
    <mergeCell ref="J399:J401"/>
    <mergeCell ref="K399:K401"/>
    <mergeCell ref="L399:L401"/>
    <mergeCell ref="M399:M401"/>
    <mergeCell ref="S396:S398"/>
    <mergeCell ref="T396:T398"/>
    <mergeCell ref="AE396:AE398"/>
    <mergeCell ref="A399:A401"/>
    <mergeCell ref="B399:B401"/>
    <mergeCell ref="C399:C401"/>
    <mergeCell ref="D399:D401"/>
    <mergeCell ref="E399:E401"/>
    <mergeCell ref="F399:F401"/>
    <mergeCell ref="G399:G401"/>
    <mergeCell ref="M396:M398"/>
    <mergeCell ref="N396:N398"/>
    <mergeCell ref="O396:O398"/>
    <mergeCell ref="P396:P397"/>
    <mergeCell ref="Q396:Q398"/>
    <mergeCell ref="R396:R398"/>
    <mergeCell ref="G396:G398"/>
    <mergeCell ref="H396:H398"/>
    <mergeCell ref="I396:I398"/>
    <mergeCell ref="J396:J398"/>
    <mergeCell ref="K396:K398"/>
    <mergeCell ref="L396:L398"/>
    <mergeCell ref="A396:A398"/>
    <mergeCell ref="B396:B398"/>
    <mergeCell ref="C396:C398"/>
    <mergeCell ref="D396:D398"/>
    <mergeCell ref="P402:P403"/>
    <mergeCell ref="Q402:Q404"/>
    <mergeCell ref="R402:R404"/>
    <mergeCell ref="S402:S404"/>
    <mergeCell ref="T402:T404"/>
    <mergeCell ref="A405:A406"/>
    <mergeCell ref="B405:B406"/>
    <mergeCell ref="C405:C406"/>
    <mergeCell ref="D405:D406"/>
    <mergeCell ref="E405:E406"/>
    <mergeCell ref="J402:J404"/>
    <mergeCell ref="K402:K404"/>
    <mergeCell ref="L402:L404"/>
    <mergeCell ref="M402:M404"/>
    <mergeCell ref="N402:N404"/>
    <mergeCell ref="O402:O404"/>
    <mergeCell ref="T399:T401"/>
    <mergeCell ref="A402:A404"/>
    <mergeCell ref="B402:B404"/>
    <mergeCell ref="C402:C404"/>
    <mergeCell ref="D402:D404"/>
    <mergeCell ref="E402:E404"/>
    <mergeCell ref="F402:F404"/>
    <mergeCell ref="G402:G404"/>
    <mergeCell ref="H402:H404"/>
    <mergeCell ref="I402:I404"/>
    <mergeCell ref="N399:N401"/>
    <mergeCell ref="O399:O401"/>
    <mergeCell ref="P399:P400"/>
    <mergeCell ref="Q399:Q401"/>
    <mergeCell ref="R399:R401"/>
    <mergeCell ref="S399:S401"/>
    <mergeCell ref="R405:R406"/>
    <mergeCell ref="S405:S406"/>
    <mergeCell ref="T405:T406"/>
    <mergeCell ref="A410:A411"/>
    <mergeCell ref="B410:B411"/>
    <mergeCell ref="C410:C411"/>
    <mergeCell ref="D410:D411"/>
    <mergeCell ref="E410:E411"/>
    <mergeCell ref="F410:F411"/>
    <mergeCell ref="G410:G411"/>
    <mergeCell ref="L405:L406"/>
    <mergeCell ref="M405:M406"/>
    <mergeCell ref="N405:N406"/>
    <mergeCell ref="O405:O406"/>
    <mergeCell ref="P405:P406"/>
    <mergeCell ref="Q405:Q406"/>
    <mergeCell ref="F405:F406"/>
    <mergeCell ref="G405:G406"/>
    <mergeCell ref="H405:H406"/>
    <mergeCell ref="I405:I406"/>
    <mergeCell ref="J405:J406"/>
    <mergeCell ref="K405:K406"/>
    <mergeCell ref="M412:M413"/>
    <mergeCell ref="N412:N413"/>
    <mergeCell ref="O412:O413"/>
    <mergeCell ref="T412:T413"/>
    <mergeCell ref="A414:A416"/>
    <mergeCell ref="B414:B416"/>
    <mergeCell ref="C414:C416"/>
    <mergeCell ref="D414:D416"/>
    <mergeCell ref="E414:E416"/>
    <mergeCell ref="F414:F416"/>
    <mergeCell ref="G412:G413"/>
    <mergeCell ref="H412:H413"/>
    <mergeCell ref="I412:I413"/>
    <mergeCell ref="J412:J413"/>
    <mergeCell ref="K412:K413"/>
    <mergeCell ref="L412:L413"/>
    <mergeCell ref="N410:N411"/>
    <mergeCell ref="O410:O411"/>
    <mergeCell ref="P410:P411"/>
    <mergeCell ref="T410:T411"/>
    <mergeCell ref="A412:A413"/>
    <mergeCell ref="B412:B413"/>
    <mergeCell ref="C412:C413"/>
    <mergeCell ref="D412:D413"/>
    <mergeCell ref="E412:E413"/>
    <mergeCell ref="F412:F413"/>
    <mergeCell ref="H410:H411"/>
    <mergeCell ref="I410:I411"/>
    <mergeCell ref="J410:J411"/>
    <mergeCell ref="K410:K411"/>
    <mergeCell ref="L410:L411"/>
    <mergeCell ref="M410:M411"/>
    <mergeCell ref="A422:A424"/>
    <mergeCell ref="B422:B424"/>
    <mergeCell ref="C422:C424"/>
    <mergeCell ref="D422:D424"/>
    <mergeCell ref="E422:E424"/>
    <mergeCell ref="F422:F424"/>
    <mergeCell ref="Z414:Z415"/>
    <mergeCell ref="AA414:AA415"/>
    <mergeCell ref="AB414:AB415"/>
    <mergeCell ref="AC414:AC415"/>
    <mergeCell ref="AD414:AD415"/>
    <mergeCell ref="P415:P416"/>
    <mergeCell ref="T414:T416"/>
    <mergeCell ref="U414:U415"/>
    <mergeCell ref="V414:V415"/>
    <mergeCell ref="W414:W415"/>
    <mergeCell ref="X414:X415"/>
    <mergeCell ref="Y414:Y415"/>
    <mergeCell ref="M414:M416"/>
    <mergeCell ref="N414:N416"/>
    <mergeCell ref="O414:O416"/>
    <mergeCell ref="Q414:Q416"/>
    <mergeCell ref="R414:R416"/>
    <mergeCell ref="S414:S416"/>
    <mergeCell ref="G414:G416"/>
    <mergeCell ref="H414:H416"/>
    <mergeCell ref="I414:I416"/>
    <mergeCell ref="J414:J416"/>
    <mergeCell ref="K414:K416"/>
    <mergeCell ref="L414:L416"/>
    <mergeCell ref="S422:S424"/>
    <mergeCell ref="T422:T424"/>
    <mergeCell ref="U422:U424"/>
    <mergeCell ref="V422:V424"/>
    <mergeCell ref="W422:W424"/>
    <mergeCell ref="AE422:AE424"/>
    <mergeCell ref="M422:M424"/>
    <mergeCell ref="N422:N424"/>
    <mergeCell ref="O422:O424"/>
    <mergeCell ref="P422:P423"/>
    <mergeCell ref="Q422:Q424"/>
    <mergeCell ref="R422:R424"/>
    <mergeCell ref="G422:G424"/>
    <mergeCell ref="H422:H424"/>
    <mergeCell ref="I422:I424"/>
    <mergeCell ref="J422:J424"/>
    <mergeCell ref="K422:K424"/>
    <mergeCell ref="L422:L424"/>
    <mergeCell ref="A440:A442"/>
    <mergeCell ref="B440:B442"/>
    <mergeCell ref="C440:C442"/>
    <mergeCell ref="D440:D442"/>
    <mergeCell ref="E440:E442"/>
    <mergeCell ref="F440:F442"/>
    <mergeCell ref="S435:S438"/>
    <mergeCell ref="T435:T438"/>
    <mergeCell ref="U435:U438"/>
    <mergeCell ref="V435:V438"/>
    <mergeCell ref="W435:W438"/>
    <mergeCell ref="AE435:AE438"/>
    <mergeCell ref="M435:M438"/>
    <mergeCell ref="N435:N438"/>
    <mergeCell ref="O435:O438"/>
    <mergeCell ref="P435:P437"/>
    <mergeCell ref="Q435:Q438"/>
    <mergeCell ref="R435:R438"/>
    <mergeCell ref="G435:G438"/>
    <mergeCell ref="H435:H438"/>
    <mergeCell ref="I435:I438"/>
    <mergeCell ref="J435:J438"/>
    <mergeCell ref="K435:K438"/>
    <mergeCell ref="L435:L438"/>
    <mergeCell ref="A435:A438"/>
    <mergeCell ref="B435:B438"/>
    <mergeCell ref="C435:C438"/>
    <mergeCell ref="D435:D438"/>
    <mergeCell ref="E435:E438"/>
    <mergeCell ref="F435:F438"/>
    <mergeCell ref="E449:E450"/>
    <mergeCell ref="F449:F450"/>
    <mergeCell ref="S440:S442"/>
    <mergeCell ref="T440:T442"/>
    <mergeCell ref="U440:U442"/>
    <mergeCell ref="V440:V442"/>
    <mergeCell ref="W440:W442"/>
    <mergeCell ref="AE440:AE442"/>
    <mergeCell ref="M440:M442"/>
    <mergeCell ref="N440:N442"/>
    <mergeCell ref="O440:O442"/>
    <mergeCell ref="P440:P441"/>
    <mergeCell ref="Q440:Q442"/>
    <mergeCell ref="R440:R442"/>
    <mergeCell ref="G440:G442"/>
    <mergeCell ref="H440:H442"/>
    <mergeCell ref="I440:I442"/>
    <mergeCell ref="J440:J442"/>
    <mergeCell ref="K440:K442"/>
    <mergeCell ref="L440:L442"/>
    <mergeCell ref="M451:M453"/>
    <mergeCell ref="N451:N453"/>
    <mergeCell ref="O451:O453"/>
    <mergeCell ref="P451:P452"/>
    <mergeCell ref="T451:T453"/>
    <mergeCell ref="AE451:AE453"/>
    <mergeCell ref="G451:G453"/>
    <mergeCell ref="H451:H453"/>
    <mergeCell ref="I451:I453"/>
    <mergeCell ref="J451:J453"/>
    <mergeCell ref="K451:K453"/>
    <mergeCell ref="L451:L453"/>
    <mergeCell ref="M449:M450"/>
    <mergeCell ref="N449:N450"/>
    <mergeCell ref="O449:O450"/>
    <mergeCell ref="AE449:AE450"/>
    <mergeCell ref="A451:A453"/>
    <mergeCell ref="B451:B453"/>
    <mergeCell ref="C451:C453"/>
    <mergeCell ref="D451:D453"/>
    <mergeCell ref="E451:E453"/>
    <mergeCell ref="F451:F453"/>
    <mergeCell ref="G449:G450"/>
    <mergeCell ref="H449:H450"/>
    <mergeCell ref="I449:I450"/>
    <mergeCell ref="J449:J450"/>
    <mergeCell ref="K449:K450"/>
    <mergeCell ref="L449:L450"/>
    <mergeCell ref="A449:A450"/>
    <mergeCell ref="B449:B450"/>
    <mergeCell ref="C449:C450"/>
    <mergeCell ref="D449:D450"/>
    <mergeCell ref="M454:M456"/>
    <mergeCell ref="N454:N456"/>
    <mergeCell ref="O454:O456"/>
    <mergeCell ref="P454:P455"/>
    <mergeCell ref="T454:T456"/>
    <mergeCell ref="AE454:AE456"/>
    <mergeCell ref="G454:G456"/>
    <mergeCell ref="H454:H456"/>
    <mergeCell ref="I454:I456"/>
    <mergeCell ref="J454:J456"/>
    <mergeCell ref="K454:K456"/>
    <mergeCell ref="L454:L456"/>
    <mergeCell ref="A454:A456"/>
    <mergeCell ref="B454:B456"/>
    <mergeCell ref="C454:C456"/>
    <mergeCell ref="D454:D456"/>
    <mergeCell ref="E454:E456"/>
    <mergeCell ref="F454:F456"/>
    <mergeCell ref="M457:M459"/>
    <mergeCell ref="N457:N459"/>
    <mergeCell ref="O457:O459"/>
    <mergeCell ref="P457:P458"/>
    <mergeCell ref="T457:T459"/>
    <mergeCell ref="AE457:AE459"/>
    <mergeCell ref="G457:G459"/>
    <mergeCell ref="H457:H459"/>
    <mergeCell ref="I457:I459"/>
    <mergeCell ref="J457:J459"/>
    <mergeCell ref="K457:K459"/>
    <mergeCell ref="L457:L459"/>
    <mergeCell ref="A457:A459"/>
    <mergeCell ref="B457:B459"/>
    <mergeCell ref="C457:C459"/>
    <mergeCell ref="D457:D459"/>
    <mergeCell ref="E457:E459"/>
    <mergeCell ref="F457:F459"/>
    <mergeCell ref="M461:M463"/>
    <mergeCell ref="N461:N463"/>
    <mergeCell ref="O461:O463"/>
    <mergeCell ref="P461:P462"/>
    <mergeCell ref="T461:T463"/>
    <mergeCell ref="AE461:AE463"/>
    <mergeCell ref="G461:G463"/>
    <mergeCell ref="H461:H463"/>
    <mergeCell ref="I461:I463"/>
    <mergeCell ref="J461:J463"/>
    <mergeCell ref="K461:K463"/>
    <mergeCell ref="L461:L463"/>
    <mergeCell ref="A461:A463"/>
    <mergeCell ref="B461:B463"/>
    <mergeCell ref="C461:C463"/>
    <mergeCell ref="D461:D463"/>
    <mergeCell ref="E461:E463"/>
    <mergeCell ref="F461:F463"/>
    <mergeCell ref="M464:M466"/>
    <mergeCell ref="N464:N466"/>
    <mergeCell ref="O464:O466"/>
    <mergeCell ref="P464:P465"/>
    <mergeCell ref="T464:T466"/>
    <mergeCell ref="AE464:AE466"/>
    <mergeCell ref="G464:G466"/>
    <mergeCell ref="H464:H466"/>
    <mergeCell ref="I464:I466"/>
    <mergeCell ref="J464:J466"/>
    <mergeCell ref="K464:K466"/>
    <mergeCell ref="L464:L466"/>
    <mergeCell ref="A464:A466"/>
    <mergeCell ref="B464:B466"/>
    <mergeCell ref="C464:C466"/>
    <mergeCell ref="D464:D466"/>
    <mergeCell ref="E464:E466"/>
    <mergeCell ref="F464:F466"/>
    <mergeCell ref="M467:M469"/>
    <mergeCell ref="N467:N469"/>
    <mergeCell ref="O467:O469"/>
    <mergeCell ref="P467:P468"/>
    <mergeCell ref="T467:T469"/>
    <mergeCell ref="AE467:AE469"/>
    <mergeCell ref="G467:G469"/>
    <mergeCell ref="H467:H469"/>
    <mergeCell ref="I467:I469"/>
    <mergeCell ref="J467:J469"/>
    <mergeCell ref="K467:K469"/>
    <mergeCell ref="L467:L469"/>
    <mergeCell ref="A467:A469"/>
    <mergeCell ref="B467:B469"/>
    <mergeCell ref="C467:C469"/>
    <mergeCell ref="D467:D469"/>
    <mergeCell ref="E467:E469"/>
    <mergeCell ref="F467:F469"/>
    <mergeCell ref="AE473:AE475"/>
    <mergeCell ref="G473:G475"/>
    <mergeCell ref="H473:H475"/>
    <mergeCell ref="I473:I475"/>
    <mergeCell ref="J473:J475"/>
    <mergeCell ref="K473:K475"/>
    <mergeCell ref="L473:L475"/>
    <mergeCell ref="A473:A475"/>
    <mergeCell ref="B473:B475"/>
    <mergeCell ref="C473:C475"/>
    <mergeCell ref="D473:D475"/>
    <mergeCell ref="E473:E475"/>
    <mergeCell ref="F473:F475"/>
    <mergeCell ref="M470:M472"/>
    <mergeCell ref="N470:N472"/>
    <mergeCell ref="O470:O472"/>
    <mergeCell ref="P470:P471"/>
    <mergeCell ref="T470:T472"/>
    <mergeCell ref="AE470:AE472"/>
    <mergeCell ref="G470:G472"/>
    <mergeCell ref="H470:H472"/>
    <mergeCell ref="I470:I472"/>
    <mergeCell ref="J470:J472"/>
    <mergeCell ref="K470:K472"/>
    <mergeCell ref="L470:L472"/>
    <mergeCell ref="A470:A472"/>
    <mergeCell ref="B470:B472"/>
    <mergeCell ref="C470:C472"/>
    <mergeCell ref="D470:D472"/>
    <mergeCell ref="E470:E472"/>
    <mergeCell ref="F470:F472"/>
    <mergeCell ref="G476:G478"/>
    <mergeCell ref="H476:H478"/>
    <mergeCell ref="I476:I478"/>
    <mergeCell ref="J476:J478"/>
    <mergeCell ref="K476:K478"/>
    <mergeCell ref="L476:L478"/>
    <mergeCell ref="A476:A478"/>
    <mergeCell ref="B476:B478"/>
    <mergeCell ref="C476:C478"/>
    <mergeCell ref="D476:D478"/>
    <mergeCell ref="E476:E478"/>
    <mergeCell ref="F476:F478"/>
    <mergeCell ref="M473:M475"/>
    <mergeCell ref="N473:N475"/>
    <mergeCell ref="O473:O475"/>
    <mergeCell ref="P473:P474"/>
    <mergeCell ref="T473:T475"/>
    <mergeCell ref="N479:N481"/>
    <mergeCell ref="O479:O481"/>
    <mergeCell ref="P479:P480"/>
    <mergeCell ref="T479:T481"/>
    <mergeCell ref="AE479:AE481"/>
    <mergeCell ref="A482:A483"/>
    <mergeCell ref="B482:B483"/>
    <mergeCell ref="C482:C483"/>
    <mergeCell ref="D482:D483"/>
    <mergeCell ref="E482:E483"/>
    <mergeCell ref="H479:H481"/>
    <mergeCell ref="I479:I481"/>
    <mergeCell ref="J479:J481"/>
    <mergeCell ref="K479:K481"/>
    <mergeCell ref="L479:L481"/>
    <mergeCell ref="M479:M481"/>
    <mergeCell ref="S476:S478"/>
    <mergeCell ref="T476:T478"/>
    <mergeCell ref="AE476:AE478"/>
    <mergeCell ref="A479:A481"/>
    <mergeCell ref="B479:B481"/>
    <mergeCell ref="C479:C481"/>
    <mergeCell ref="D479:D481"/>
    <mergeCell ref="E479:E481"/>
    <mergeCell ref="F479:F481"/>
    <mergeCell ref="G479:G481"/>
    <mergeCell ref="M476:M478"/>
    <mergeCell ref="N476:N478"/>
    <mergeCell ref="O476:O478"/>
    <mergeCell ref="P476:P477"/>
    <mergeCell ref="Q476:Q478"/>
    <mergeCell ref="R476:R478"/>
    <mergeCell ref="T486:T487"/>
    <mergeCell ref="U486:U487"/>
    <mergeCell ref="AD486:AD487"/>
    <mergeCell ref="AE486:AE487"/>
    <mergeCell ref="L482:L483"/>
    <mergeCell ref="M482:M483"/>
    <mergeCell ref="N482:N483"/>
    <mergeCell ref="O482:O483"/>
    <mergeCell ref="T482:T483"/>
    <mergeCell ref="AE482:AE483"/>
    <mergeCell ref="F482:F483"/>
    <mergeCell ref="G482:G483"/>
    <mergeCell ref="H482:H483"/>
    <mergeCell ref="I482:I483"/>
    <mergeCell ref="J482:J483"/>
    <mergeCell ref="K482:K483"/>
    <mergeCell ref="N486:N487"/>
    <mergeCell ref="O486:O487"/>
    <mergeCell ref="P486:P487"/>
    <mergeCell ref="Q486:Q487"/>
    <mergeCell ref="R486:R487"/>
    <mergeCell ref="S486:S487"/>
    <mergeCell ref="H486:H487"/>
    <mergeCell ref="I486:I487"/>
    <mergeCell ref="J486:J487"/>
    <mergeCell ref="K486:K487"/>
    <mergeCell ref="L486:L487"/>
    <mergeCell ref="M486:M487"/>
    <mergeCell ref="T484:T485"/>
    <mergeCell ref="U484:U485"/>
    <mergeCell ref="AE484:AE485"/>
    <mergeCell ref="A486:A487"/>
    <mergeCell ref="B486:B487"/>
    <mergeCell ref="C486:C487"/>
    <mergeCell ref="D486:D487"/>
    <mergeCell ref="E486:E487"/>
    <mergeCell ref="F486:F487"/>
    <mergeCell ref="G486:G487"/>
    <mergeCell ref="M484:M485"/>
    <mergeCell ref="N484:N485"/>
    <mergeCell ref="O484:O485"/>
    <mergeCell ref="Q484:Q485"/>
    <mergeCell ref="R484:R485"/>
    <mergeCell ref="S484:S485"/>
    <mergeCell ref="G484:G485"/>
    <mergeCell ref="H484:H485"/>
    <mergeCell ref="I484:I485"/>
    <mergeCell ref="J484:J485"/>
    <mergeCell ref="K484:K485"/>
    <mergeCell ref="L484:L485"/>
    <mergeCell ref="A484:A485"/>
    <mergeCell ref="B484:B485"/>
    <mergeCell ref="C484:C485"/>
    <mergeCell ref="D484:D485"/>
    <mergeCell ref="E484:E485"/>
    <mergeCell ref="F484:F485"/>
    <mergeCell ref="A492:A493"/>
    <mergeCell ref="B492:B493"/>
    <mergeCell ref="C492:C493"/>
    <mergeCell ref="D492:D493"/>
    <mergeCell ref="E492:E493"/>
    <mergeCell ref="F492:F493"/>
    <mergeCell ref="M488:M489"/>
    <mergeCell ref="N488:N489"/>
    <mergeCell ref="O488:O489"/>
    <mergeCell ref="T488:T489"/>
    <mergeCell ref="U488:U489"/>
    <mergeCell ref="AE488:AE489"/>
    <mergeCell ref="G488:G489"/>
    <mergeCell ref="H488:H489"/>
    <mergeCell ref="I488:I489"/>
    <mergeCell ref="J488:J489"/>
    <mergeCell ref="K488:K489"/>
    <mergeCell ref="L488:L489"/>
    <mergeCell ref="A488:A489"/>
    <mergeCell ref="B488:B489"/>
    <mergeCell ref="C488:C489"/>
    <mergeCell ref="D488:D489"/>
    <mergeCell ref="E488:E489"/>
    <mergeCell ref="F488:F489"/>
    <mergeCell ref="M500:M501"/>
    <mergeCell ref="N500:N501"/>
    <mergeCell ref="O500:O501"/>
    <mergeCell ref="T500:T501"/>
    <mergeCell ref="AE500:AE501"/>
    <mergeCell ref="A505:A506"/>
    <mergeCell ref="B505:B506"/>
    <mergeCell ref="C505:C506"/>
    <mergeCell ref="D505:D506"/>
    <mergeCell ref="E505:E506"/>
    <mergeCell ref="G500:G501"/>
    <mergeCell ref="H500:H501"/>
    <mergeCell ref="I500:I501"/>
    <mergeCell ref="J500:J501"/>
    <mergeCell ref="K500:K501"/>
    <mergeCell ref="L500:L501"/>
    <mergeCell ref="M492:M493"/>
    <mergeCell ref="N492:N493"/>
    <mergeCell ref="T492:T493"/>
    <mergeCell ref="AE492:AE493"/>
    <mergeCell ref="A500:A501"/>
    <mergeCell ref="B500:B501"/>
    <mergeCell ref="C500:C501"/>
    <mergeCell ref="D500:D501"/>
    <mergeCell ref="E500:E501"/>
    <mergeCell ref="F500:F501"/>
    <mergeCell ref="G492:G493"/>
    <mergeCell ref="H492:H493"/>
    <mergeCell ref="I492:I493"/>
    <mergeCell ref="J492:J493"/>
    <mergeCell ref="K492:K493"/>
    <mergeCell ref="L492:L493"/>
    <mergeCell ref="N510:N512"/>
    <mergeCell ref="O510:O512"/>
    <mergeCell ref="AE505:AE506"/>
    <mergeCell ref="A510:A512"/>
    <mergeCell ref="B510:B512"/>
    <mergeCell ref="C510:C512"/>
    <mergeCell ref="D510:D512"/>
    <mergeCell ref="E510:E512"/>
    <mergeCell ref="F510:F512"/>
    <mergeCell ref="G510:G512"/>
    <mergeCell ref="H510:H512"/>
    <mergeCell ref="I510:I512"/>
    <mergeCell ref="L505:L506"/>
    <mergeCell ref="M505:M506"/>
    <mergeCell ref="N505:N506"/>
    <mergeCell ref="O505:O506"/>
    <mergeCell ref="P505:P506"/>
    <mergeCell ref="T505:T506"/>
    <mergeCell ref="F505:F506"/>
    <mergeCell ref="G505:G506"/>
    <mergeCell ref="H505:H506"/>
    <mergeCell ref="I505:I506"/>
    <mergeCell ref="J505:J506"/>
    <mergeCell ref="K505:K506"/>
    <mergeCell ref="J513:J517"/>
    <mergeCell ref="K513:K517"/>
    <mergeCell ref="L513:L517"/>
    <mergeCell ref="A513:A517"/>
    <mergeCell ref="B513:B517"/>
    <mergeCell ref="C513:C517"/>
    <mergeCell ref="D513:D517"/>
    <mergeCell ref="E513:E517"/>
    <mergeCell ref="F513:F517"/>
    <mergeCell ref="AY510:AY512"/>
    <mergeCell ref="AZ510:AZ512"/>
    <mergeCell ref="BA510:BA512"/>
    <mergeCell ref="BC510:BC512"/>
    <mergeCell ref="BD510:BD512"/>
    <mergeCell ref="Y511:Y512"/>
    <mergeCell ref="Z511:Z512"/>
    <mergeCell ref="AS510:AS512"/>
    <mergeCell ref="AT510:AT512"/>
    <mergeCell ref="AU510:AU512"/>
    <mergeCell ref="AV510:AV512"/>
    <mergeCell ref="AW510:AW512"/>
    <mergeCell ref="AX510:AX512"/>
    <mergeCell ref="P510:P512"/>
    <mergeCell ref="Q510:Q512"/>
    <mergeCell ref="R510:R512"/>
    <mergeCell ref="S510:S512"/>
    <mergeCell ref="T510:T512"/>
    <mergeCell ref="AR510:AR512"/>
    <mergeCell ref="J510:J512"/>
    <mergeCell ref="K510:K512"/>
    <mergeCell ref="L510:L512"/>
    <mergeCell ref="M510:M512"/>
    <mergeCell ref="BA526:BA527"/>
    <mergeCell ref="BB513:BB517"/>
    <mergeCell ref="BC513:BC517"/>
    <mergeCell ref="BD513:BD517"/>
    <mergeCell ref="P516:P517"/>
    <mergeCell ref="AG516:AG517"/>
    <mergeCell ref="A520:A523"/>
    <mergeCell ref="B520:B523"/>
    <mergeCell ref="C520:C523"/>
    <mergeCell ref="D520:D523"/>
    <mergeCell ref="E520:E523"/>
    <mergeCell ref="AV513:AV517"/>
    <mergeCell ref="AW513:AW517"/>
    <mergeCell ref="AX513:AX517"/>
    <mergeCell ref="AY513:AY517"/>
    <mergeCell ref="AZ513:AZ517"/>
    <mergeCell ref="BA513:BA517"/>
    <mergeCell ref="S513:S517"/>
    <mergeCell ref="T513:T517"/>
    <mergeCell ref="AR513:AR517"/>
    <mergeCell ref="AS513:AS517"/>
    <mergeCell ref="AT513:AT517"/>
    <mergeCell ref="AU513:AU517"/>
    <mergeCell ref="M513:M517"/>
    <mergeCell ref="N513:N517"/>
    <mergeCell ref="O513:O517"/>
    <mergeCell ref="P513:P515"/>
    <mergeCell ref="Q513:Q517"/>
    <mergeCell ref="R513:R517"/>
    <mergeCell ref="G513:G517"/>
    <mergeCell ref="H513:H517"/>
    <mergeCell ref="I513:I517"/>
    <mergeCell ref="A526:A527"/>
    <mergeCell ref="B526:B527"/>
    <mergeCell ref="C526:C527"/>
    <mergeCell ref="D526:D527"/>
    <mergeCell ref="E526:E527"/>
    <mergeCell ref="F526:F527"/>
    <mergeCell ref="AY520:AY523"/>
    <mergeCell ref="AZ520:AZ523"/>
    <mergeCell ref="BA520:BA523"/>
    <mergeCell ref="BB520:BB523"/>
    <mergeCell ref="BC520:BC523"/>
    <mergeCell ref="BD520:BD523"/>
    <mergeCell ref="R520:R523"/>
    <mergeCell ref="S520:S523"/>
    <mergeCell ref="T520:T523"/>
    <mergeCell ref="AS520:AS523"/>
    <mergeCell ref="AT520:AT523"/>
    <mergeCell ref="AX520:AX523"/>
    <mergeCell ref="AR521:AR523"/>
    <mergeCell ref="L520:L523"/>
    <mergeCell ref="M520:M523"/>
    <mergeCell ref="N520:N523"/>
    <mergeCell ref="O520:O523"/>
    <mergeCell ref="P520:P523"/>
    <mergeCell ref="Q520:Q523"/>
    <mergeCell ref="F520:F523"/>
    <mergeCell ref="G520:G523"/>
    <mergeCell ref="H520:H523"/>
    <mergeCell ref="I520:I523"/>
    <mergeCell ref="J520:J523"/>
    <mergeCell ref="K520:K523"/>
    <mergeCell ref="AZ526:AZ527"/>
    <mergeCell ref="E528:E531"/>
    <mergeCell ref="F528:F531"/>
    <mergeCell ref="G528:G531"/>
    <mergeCell ref="H528:H531"/>
    <mergeCell ref="S526:S527"/>
    <mergeCell ref="T526:T527"/>
    <mergeCell ref="AS526:AS527"/>
    <mergeCell ref="AT526:AT527"/>
    <mergeCell ref="AW526:AW527"/>
    <mergeCell ref="AY526:AY527"/>
    <mergeCell ref="M526:M527"/>
    <mergeCell ref="N526:N527"/>
    <mergeCell ref="O526:O527"/>
    <mergeCell ref="P526:P527"/>
    <mergeCell ref="Q526:Q527"/>
    <mergeCell ref="R526:R527"/>
    <mergeCell ref="G526:G527"/>
    <mergeCell ref="H526:H527"/>
    <mergeCell ref="I526:I527"/>
    <mergeCell ref="J526:J527"/>
    <mergeCell ref="K526:K527"/>
    <mergeCell ref="L526:L527"/>
    <mergeCell ref="I532:I534"/>
    <mergeCell ref="J532:J534"/>
    <mergeCell ref="K532:K534"/>
    <mergeCell ref="L532:L534"/>
    <mergeCell ref="A532:A534"/>
    <mergeCell ref="B532:B534"/>
    <mergeCell ref="C532:C534"/>
    <mergeCell ref="D532:D534"/>
    <mergeCell ref="E532:E534"/>
    <mergeCell ref="F532:F534"/>
    <mergeCell ref="AY528:AY529"/>
    <mergeCell ref="AZ528:AZ529"/>
    <mergeCell ref="BA528:BA529"/>
    <mergeCell ref="BB528:BB529"/>
    <mergeCell ref="BC528:BC529"/>
    <mergeCell ref="BD528:BD529"/>
    <mergeCell ref="O528:O531"/>
    <mergeCell ref="T528:T531"/>
    <mergeCell ref="AS528:AS531"/>
    <mergeCell ref="AT528:AT531"/>
    <mergeCell ref="AW528:AW531"/>
    <mergeCell ref="AX528:AX529"/>
    <mergeCell ref="I528:I531"/>
    <mergeCell ref="J528:J531"/>
    <mergeCell ref="K528:K531"/>
    <mergeCell ref="L528:L531"/>
    <mergeCell ref="M528:M531"/>
    <mergeCell ref="N528:N531"/>
    <mergeCell ref="A528:A531"/>
    <mergeCell ref="B528:B531"/>
    <mergeCell ref="C528:C531"/>
    <mergeCell ref="D528:D531"/>
    <mergeCell ref="N535:N537"/>
    <mergeCell ref="O535:O537"/>
    <mergeCell ref="BD532:BD534"/>
    <mergeCell ref="A535:A537"/>
    <mergeCell ref="B535:B537"/>
    <mergeCell ref="C535:C537"/>
    <mergeCell ref="D535:D537"/>
    <mergeCell ref="E535:E537"/>
    <mergeCell ref="F535:F537"/>
    <mergeCell ref="G535:G537"/>
    <mergeCell ref="H535:H537"/>
    <mergeCell ref="I535:I537"/>
    <mergeCell ref="AX532:AX534"/>
    <mergeCell ref="AY532:AY534"/>
    <mergeCell ref="AZ532:AZ534"/>
    <mergeCell ref="BA532:BA534"/>
    <mergeCell ref="BB532:BB534"/>
    <mergeCell ref="BC532:BC534"/>
    <mergeCell ref="T532:T534"/>
    <mergeCell ref="AS532:AS534"/>
    <mergeCell ref="AT532:AT534"/>
    <mergeCell ref="AU532:AU534"/>
    <mergeCell ref="AV532:AV534"/>
    <mergeCell ref="AW532:AW534"/>
    <mergeCell ref="M532:M534"/>
    <mergeCell ref="N532:N534"/>
    <mergeCell ref="O532:O534"/>
    <mergeCell ref="Q532:Q534"/>
    <mergeCell ref="R532:R534"/>
    <mergeCell ref="S532:S534"/>
    <mergeCell ref="G532:G534"/>
    <mergeCell ref="H532:H534"/>
    <mergeCell ref="G539:G541"/>
    <mergeCell ref="H539:H541"/>
    <mergeCell ref="I539:I541"/>
    <mergeCell ref="J539:J541"/>
    <mergeCell ref="K539:K541"/>
    <mergeCell ref="L539:L541"/>
    <mergeCell ref="BA535:BA537"/>
    <mergeCell ref="BB535:BB537"/>
    <mergeCell ref="BC535:BC537"/>
    <mergeCell ref="BD535:BD537"/>
    <mergeCell ref="A539:A541"/>
    <mergeCell ref="B539:B541"/>
    <mergeCell ref="C539:C541"/>
    <mergeCell ref="D539:D541"/>
    <mergeCell ref="E539:E541"/>
    <mergeCell ref="F539:F541"/>
    <mergeCell ref="AU535:AU537"/>
    <mergeCell ref="AV535:AV537"/>
    <mergeCell ref="AW535:AW537"/>
    <mergeCell ref="AX535:AX537"/>
    <mergeCell ref="AY535:AY537"/>
    <mergeCell ref="AZ535:AZ537"/>
    <mergeCell ref="P535:P536"/>
    <mergeCell ref="T535:T537"/>
    <mergeCell ref="AE535:AE537"/>
    <mergeCell ref="AR535:AR537"/>
    <mergeCell ref="AS535:AS537"/>
    <mergeCell ref="AT535:AT537"/>
    <mergeCell ref="J535:J537"/>
    <mergeCell ref="K535:K537"/>
    <mergeCell ref="L535:L537"/>
    <mergeCell ref="M535:M537"/>
    <mergeCell ref="K544:K550"/>
    <mergeCell ref="L544:L550"/>
    <mergeCell ref="A544:A550"/>
    <mergeCell ref="B544:B550"/>
    <mergeCell ref="C544:C550"/>
    <mergeCell ref="D544:D550"/>
    <mergeCell ref="E544:E550"/>
    <mergeCell ref="F544:F550"/>
    <mergeCell ref="BB539:BB541"/>
    <mergeCell ref="BC539:BC541"/>
    <mergeCell ref="BD539:BD541"/>
    <mergeCell ref="AI540:AI541"/>
    <mergeCell ref="AJ540:AJ541"/>
    <mergeCell ref="AK540:AK541"/>
    <mergeCell ref="AV539:AV541"/>
    <mergeCell ref="AW539:AW541"/>
    <mergeCell ref="AX539:AX541"/>
    <mergeCell ref="AY539:AY541"/>
    <mergeCell ref="AZ539:AZ541"/>
    <mergeCell ref="BA539:BA541"/>
    <mergeCell ref="S539:S541"/>
    <mergeCell ref="T539:T541"/>
    <mergeCell ref="AR539:AR541"/>
    <mergeCell ref="AS539:AS541"/>
    <mergeCell ref="AT539:AT541"/>
    <mergeCell ref="AU539:AU541"/>
    <mergeCell ref="M539:M541"/>
    <mergeCell ref="N539:N541"/>
    <mergeCell ref="O539:O541"/>
    <mergeCell ref="P539:P541"/>
    <mergeCell ref="Q539:Q541"/>
    <mergeCell ref="R539:R541"/>
    <mergeCell ref="BD544:BD550"/>
    <mergeCell ref="A551:A558"/>
    <mergeCell ref="B551:B558"/>
    <mergeCell ref="C551:C558"/>
    <mergeCell ref="D551:D558"/>
    <mergeCell ref="E551:E558"/>
    <mergeCell ref="F551:F558"/>
    <mergeCell ref="G551:G558"/>
    <mergeCell ref="H551:H558"/>
    <mergeCell ref="I551:I558"/>
    <mergeCell ref="AX544:AX550"/>
    <mergeCell ref="AY544:AY550"/>
    <mergeCell ref="AZ544:AZ550"/>
    <mergeCell ref="BA544:BA550"/>
    <mergeCell ref="BB544:BB550"/>
    <mergeCell ref="BC544:BC550"/>
    <mergeCell ref="S544:S550"/>
    <mergeCell ref="T544:T550"/>
    <mergeCell ref="AR544:AR550"/>
    <mergeCell ref="AS544:AS550"/>
    <mergeCell ref="AT544:AT550"/>
    <mergeCell ref="AW544:AW550"/>
    <mergeCell ref="M544:M550"/>
    <mergeCell ref="N544:N550"/>
    <mergeCell ref="O544:O550"/>
    <mergeCell ref="P544:P548"/>
    <mergeCell ref="Q544:Q550"/>
    <mergeCell ref="R544:R550"/>
    <mergeCell ref="G544:G550"/>
    <mergeCell ref="H544:H550"/>
    <mergeCell ref="I544:I550"/>
    <mergeCell ref="J544:J550"/>
    <mergeCell ref="BB551:BB553"/>
    <mergeCell ref="BC551:BC553"/>
    <mergeCell ref="BD551:BD553"/>
    <mergeCell ref="BD556:BD558"/>
    <mergeCell ref="A559:A563"/>
    <mergeCell ref="B559:B563"/>
    <mergeCell ref="C559:C563"/>
    <mergeCell ref="D559:D563"/>
    <mergeCell ref="E559:E563"/>
    <mergeCell ref="F559:F563"/>
    <mergeCell ref="AT551:AT558"/>
    <mergeCell ref="AW551:AW558"/>
    <mergeCell ref="AX551:AX558"/>
    <mergeCell ref="AY551:AY558"/>
    <mergeCell ref="AZ551:AZ558"/>
    <mergeCell ref="BA551:BA558"/>
    <mergeCell ref="P551:P558"/>
    <mergeCell ref="Q551:Q558"/>
    <mergeCell ref="R551:R558"/>
    <mergeCell ref="S551:S558"/>
    <mergeCell ref="T551:T558"/>
    <mergeCell ref="AS551:AS558"/>
    <mergeCell ref="J551:J558"/>
    <mergeCell ref="K551:K558"/>
    <mergeCell ref="L551:L558"/>
    <mergeCell ref="M551:M558"/>
    <mergeCell ref="N551:N558"/>
    <mergeCell ref="O551:O558"/>
    <mergeCell ref="H564:H572"/>
    <mergeCell ref="I564:I572"/>
    <mergeCell ref="J564:J572"/>
    <mergeCell ref="K564:K572"/>
    <mergeCell ref="AZ559:AZ563"/>
    <mergeCell ref="BA559:BA563"/>
    <mergeCell ref="BB559:BB563"/>
    <mergeCell ref="BC559:BC563"/>
    <mergeCell ref="BD559:BD563"/>
    <mergeCell ref="A564:A572"/>
    <mergeCell ref="B564:B572"/>
    <mergeCell ref="C564:C572"/>
    <mergeCell ref="D564:D572"/>
    <mergeCell ref="E564:E572"/>
    <mergeCell ref="T559:T563"/>
    <mergeCell ref="AS559:AS563"/>
    <mergeCell ref="AT559:AT563"/>
    <mergeCell ref="AW559:AW563"/>
    <mergeCell ref="AX559:AX563"/>
    <mergeCell ref="AY559:AY563"/>
    <mergeCell ref="M559:M563"/>
    <mergeCell ref="N559:N563"/>
    <mergeCell ref="O559:O563"/>
    <mergeCell ref="Q559:Q563"/>
    <mergeCell ref="R559:R563"/>
    <mergeCell ref="S559:S563"/>
    <mergeCell ref="G559:G563"/>
    <mergeCell ref="H559:H563"/>
    <mergeCell ref="I559:I563"/>
    <mergeCell ref="J559:J563"/>
    <mergeCell ref="K559:K563"/>
    <mergeCell ref="L559:L563"/>
    <mergeCell ref="L573:L575"/>
    <mergeCell ref="M573:M575"/>
    <mergeCell ref="BD564:BD568"/>
    <mergeCell ref="AE568:AE569"/>
    <mergeCell ref="AE571:AE572"/>
    <mergeCell ref="A573:A575"/>
    <mergeCell ref="B573:B575"/>
    <mergeCell ref="C573:C575"/>
    <mergeCell ref="D573:D575"/>
    <mergeCell ref="E573:E575"/>
    <mergeCell ref="F573:F575"/>
    <mergeCell ref="G573:G575"/>
    <mergeCell ref="AX564:AX572"/>
    <mergeCell ref="AY564:AY572"/>
    <mergeCell ref="AZ564:AZ572"/>
    <mergeCell ref="BA564:BA572"/>
    <mergeCell ref="BB564:BB568"/>
    <mergeCell ref="BC564:BC568"/>
    <mergeCell ref="R564:R572"/>
    <mergeCell ref="S564:S572"/>
    <mergeCell ref="T564:T572"/>
    <mergeCell ref="AS564:AS572"/>
    <mergeCell ref="AT564:AT572"/>
    <mergeCell ref="AW564:AW572"/>
    <mergeCell ref="L564:L572"/>
    <mergeCell ref="M564:M572"/>
    <mergeCell ref="N564:N572"/>
    <mergeCell ref="O564:O572"/>
    <mergeCell ref="P564:P565"/>
    <mergeCell ref="Q564:Q572"/>
    <mergeCell ref="F564:F572"/>
    <mergeCell ref="G564:G572"/>
    <mergeCell ref="BC573:BC574"/>
    <mergeCell ref="BD573:BD574"/>
    <mergeCell ref="A576:A582"/>
    <mergeCell ref="B576:B582"/>
    <mergeCell ref="C576:C582"/>
    <mergeCell ref="D576:D582"/>
    <mergeCell ref="E576:E582"/>
    <mergeCell ref="F576:F582"/>
    <mergeCell ref="G576:G582"/>
    <mergeCell ref="H576:H582"/>
    <mergeCell ref="AW573:AW575"/>
    <mergeCell ref="AX573:AX574"/>
    <mergeCell ref="AY573:AY574"/>
    <mergeCell ref="AZ573:AZ574"/>
    <mergeCell ref="BA573:BA574"/>
    <mergeCell ref="BB573:BB574"/>
    <mergeCell ref="T573:T575"/>
    <mergeCell ref="AE573:AE575"/>
    <mergeCell ref="AS573:AS575"/>
    <mergeCell ref="AT573:AT575"/>
    <mergeCell ref="AU573:AU574"/>
    <mergeCell ref="AV573:AV574"/>
    <mergeCell ref="N573:N575"/>
    <mergeCell ref="O573:O575"/>
    <mergeCell ref="P573:P574"/>
    <mergeCell ref="Q573:Q575"/>
    <mergeCell ref="R573:R575"/>
    <mergeCell ref="S573:S575"/>
    <mergeCell ref="H573:H575"/>
    <mergeCell ref="I573:I575"/>
    <mergeCell ref="J573:J575"/>
    <mergeCell ref="K573:K575"/>
    <mergeCell ref="BB576:BB581"/>
    <mergeCell ref="BC576:BC581"/>
    <mergeCell ref="BD576:BD581"/>
    <mergeCell ref="P579:P580"/>
    <mergeCell ref="A583:A586"/>
    <mergeCell ref="B583:B586"/>
    <mergeCell ref="C583:C586"/>
    <mergeCell ref="D583:D586"/>
    <mergeCell ref="E583:E586"/>
    <mergeCell ref="F583:F586"/>
    <mergeCell ref="AT576:AT581"/>
    <mergeCell ref="AW576:AW582"/>
    <mergeCell ref="AX576:AX581"/>
    <mergeCell ref="AY576:AY581"/>
    <mergeCell ref="AZ576:AZ581"/>
    <mergeCell ref="BA576:BA581"/>
    <mergeCell ref="O576:O582"/>
    <mergeCell ref="Q576:Q581"/>
    <mergeCell ref="R576:R581"/>
    <mergeCell ref="S576:S581"/>
    <mergeCell ref="T576:T581"/>
    <mergeCell ref="AS576:AS581"/>
    <mergeCell ref="I576:I582"/>
    <mergeCell ref="J576:J582"/>
    <mergeCell ref="K576:K582"/>
    <mergeCell ref="L576:L582"/>
    <mergeCell ref="M576:M582"/>
    <mergeCell ref="N576:N582"/>
    <mergeCell ref="M587:M593"/>
    <mergeCell ref="N587:N593"/>
    <mergeCell ref="BC583:BC586"/>
    <mergeCell ref="BD583:BD586"/>
    <mergeCell ref="A587:A593"/>
    <mergeCell ref="B587:B593"/>
    <mergeCell ref="C587:C593"/>
    <mergeCell ref="D587:D593"/>
    <mergeCell ref="E587:E593"/>
    <mergeCell ref="F587:F593"/>
    <mergeCell ref="G587:G593"/>
    <mergeCell ref="H587:H593"/>
    <mergeCell ref="AW583:AW586"/>
    <mergeCell ref="AX583:AX586"/>
    <mergeCell ref="AY583:AY586"/>
    <mergeCell ref="AZ583:AZ586"/>
    <mergeCell ref="BA583:BA586"/>
    <mergeCell ref="BB583:BB586"/>
    <mergeCell ref="M583:M586"/>
    <mergeCell ref="N583:N586"/>
    <mergeCell ref="O583:O586"/>
    <mergeCell ref="T583:T586"/>
    <mergeCell ref="AS583:AS586"/>
    <mergeCell ref="AT583:AT586"/>
    <mergeCell ref="G583:G586"/>
    <mergeCell ref="H583:H586"/>
    <mergeCell ref="I583:I586"/>
    <mergeCell ref="J583:J586"/>
    <mergeCell ref="K583:K586"/>
    <mergeCell ref="L583:L586"/>
    <mergeCell ref="G594:G603"/>
    <mergeCell ref="H594:H603"/>
    <mergeCell ref="I594:I603"/>
    <mergeCell ref="J594:J603"/>
    <mergeCell ref="K594:K603"/>
    <mergeCell ref="L594:L603"/>
    <mergeCell ref="BA587:BA593"/>
    <mergeCell ref="BB587:BB593"/>
    <mergeCell ref="BC587:BC593"/>
    <mergeCell ref="BD587:BD593"/>
    <mergeCell ref="A594:A603"/>
    <mergeCell ref="B594:B603"/>
    <mergeCell ref="C594:C603"/>
    <mergeCell ref="D594:D603"/>
    <mergeCell ref="E594:E603"/>
    <mergeCell ref="F594:F603"/>
    <mergeCell ref="AS587:AS593"/>
    <mergeCell ref="AT587:AT593"/>
    <mergeCell ref="AW587:AW593"/>
    <mergeCell ref="AX587:AX593"/>
    <mergeCell ref="AY587:AY593"/>
    <mergeCell ref="AZ587:AZ593"/>
    <mergeCell ref="O587:O593"/>
    <mergeCell ref="P587:P591"/>
    <mergeCell ref="Q587:Q593"/>
    <mergeCell ref="R587:R593"/>
    <mergeCell ref="S587:S593"/>
    <mergeCell ref="T587:T593"/>
    <mergeCell ref="I587:I593"/>
    <mergeCell ref="J587:J593"/>
    <mergeCell ref="K587:K593"/>
    <mergeCell ref="L587:L593"/>
    <mergeCell ref="AY594:AY603"/>
    <mergeCell ref="AZ594:AZ603"/>
    <mergeCell ref="BA594:BA603"/>
    <mergeCell ref="BB594:BB603"/>
    <mergeCell ref="BC594:BC603"/>
    <mergeCell ref="BD594:BD603"/>
    <mergeCell ref="S594:S603"/>
    <mergeCell ref="T594:T603"/>
    <mergeCell ref="AS594:AS603"/>
    <mergeCell ref="AT594:AT603"/>
    <mergeCell ref="AW594:AW603"/>
    <mergeCell ref="AX594:AX603"/>
    <mergeCell ref="M594:M603"/>
    <mergeCell ref="N594:N603"/>
    <mergeCell ref="O594:O603"/>
    <mergeCell ref="P594:P600"/>
    <mergeCell ref="Q594:Q603"/>
    <mergeCell ref="R594:R603"/>
    <mergeCell ref="M604:M612"/>
    <mergeCell ref="N604:N612"/>
    <mergeCell ref="O604:O612"/>
    <mergeCell ref="P604:P606"/>
    <mergeCell ref="Q604:Q612"/>
    <mergeCell ref="R604:R612"/>
    <mergeCell ref="G604:G612"/>
    <mergeCell ref="H604:H612"/>
    <mergeCell ref="I604:I612"/>
    <mergeCell ref="J604:J612"/>
    <mergeCell ref="K604:K612"/>
    <mergeCell ref="L604:L612"/>
    <mergeCell ref="A604:A612"/>
    <mergeCell ref="B604:B612"/>
    <mergeCell ref="C604:C612"/>
    <mergeCell ref="D604:D612"/>
    <mergeCell ref="E604:E612"/>
    <mergeCell ref="F604:F612"/>
    <mergeCell ref="AZ604:AZ612"/>
    <mergeCell ref="BA604:BA612"/>
    <mergeCell ref="BB604:BB612"/>
    <mergeCell ref="BC604:BC612"/>
    <mergeCell ref="BD604:BD612"/>
    <mergeCell ref="P610:P611"/>
    <mergeCell ref="AI610:AI611"/>
    <mergeCell ref="AJ610:AJ611"/>
    <mergeCell ref="AK610:AK611"/>
    <mergeCell ref="AL610:AL611"/>
    <mergeCell ref="AN604:AN606"/>
    <mergeCell ref="AS604:AS612"/>
    <mergeCell ref="AT604:AT612"/>
    <mergeCell ref="AW604:AW612"/>
    <mergeCell ref="AX604:AX612"/>
    <mergeCell ref="AY604:AY612"/>
    <mergeCell ref="AN610:AN611"/>
    <mergeCell ref="S604:S612"/>
    <mergeCell ref="T604:T612"/>
    <mergeCell ref="AJ604:AJ606"/>
    <mergeCell ref="AK604:AK606"/>
    <mergeCell ref="AL604:AL606"/>
    <mergeCell ref="AM604:AM606"/>
    <mergeCell ref="AM610:AM611"/>
    <mergeCell ref="AZ613:AZ619"/>
    <mergeCell ref="BA613:BA619"/>
    <mergeCell ref="BB613:BB619"/>
    <mergeCell ref="BC613:BC619"/>
    <mergeCell ref="BD613:BD619"/>
    <mergeCell ref="M613:M619"/>
    <mergeCell ref="N613:N619"/>
    <mergeCell ref="O613:O619"/>
    <mergeCell ref="T613:T619"/>
    <mergeCell ref="AW613:AW619"/>
    <mergeCell ref="AX613:AX619"/>
    <mergeCell ref="P618:P619"/>
    <mergeCell ref="AI618:AI619"/>
    <mergeCell ref="AJ618:AJ619"/>
    <mergeCell ref="AK618:AK619"/>
    <mergeCell ref="G613:G619"/>
    <mergeCell ref="H613:H619"/>
    <mergeCell ref="I613:I619"/>
    <mergeCell ref="J613:J619"/>
    <mergeCell ref="K613:K619"/>
    <mergeCell ref="L613:L619"/>
    <mergeCell ref="H620:H624"/>
    <mergeCell ref="I620:I624"/>
    <mergeCell ref="J620:J624"/>
    <mergeCell ref="K620:K624"/>
    <mergeCell ref="L620:L624"/>
    <mergeCell ref="M620:M624"/>
    <mergeCell ref="AL618:AL619"/>
    <mergeCell ref="AM618:AM619"/>
    <mergeCell ref="AN618:AN619"/>
    <mergeCell ref="A620:A624"/>
    <mergeCell ref="B620:B624"/>
    <mergeCell ref="C620:C624"/>
    <mergeCell ref="D620:D624"/>
    <mergeCell ref="E620:E624"/>
    <mergeCell ref="F620:F624"/>
    <mergeCell ref="G620:G624"/>
    <mergeCell ref="AY613:AY619"/>
    <mergeCell ref="A613:A619"/>
    <mergeCell ref="B613:B619"/>
    <mergeCell ref="C613:C619"/>
    <mergeCell ref="D613:D619"/>
    <mergeCell ref="E613:E619"/>
    <mergeCell ref="F613:F619"/>
    <mergeCell ref="I625:I630"/>
    <mergeCell ref="J625:J630"/>
    <mergeCell ref="K625:K630"/>
    <mergeCell ref="L625:L630"/>
    <mergeCell ref="BA620:BA624"/>
    <mergeCell ref="BB620:BB624"/>
    <mergeCell ref="BC620:BC624"/>
    <mergeCell ref="BD620:BD624"/>
    <mergeCell ref="A625:A630"/>
    <mergeCell ref="B625:B630"/>
    <mergeCell ref="C625:C630"/>
    <mergeCell ref="D625:D630"/>
    <mergeCell ref="E625:E630"/>
    <mergeCell ref="F625:F630"/>
    <mergeCell ref="AS620:AS624"/>
    <mergeCell ref="AT620:AT624"/>
    <mergeCell ref="AW620:AW624"/>
    <mergeCell ref="AX620:AX624"/>
    <mergeCell ref="AY620:AY624"/>
    <mergeCell ref="AZ620:AZ624"/>
    <mergeCell ref="T620:T624"/>
    <mergeCell ref="AJ620:AJ624"/>
    <mergeCell ref="AK620:AK624"/>
    <mergeCell ref="AL620:AL624"/>
    <mergeCell ref="AM620:AM624"/>
    <mergeCell ref="AN620:AN624"/>
    <mergeCell ref="N620:N624"/>
    <mergeCell ref="O620:O624"/>
    <mergeCell ref="P620:P624"/>
    <mergeCell ref="Q620:Q624"/>
    <mergeCell ref="R620:R624"/>
    <mergeCell ref="S620:S624"/>
    <mergeCell ref="M631:M633"/>
    <mergeCell ref="N631:N633"/>
    <mergeCell ref="BC625:BC630"/>
    <mergeCell ref="BD625:BD630"/>
    <mergeCell ref="A631:A633"/>
    <mergeCell ref="B631:B633"/>
    <mergeCell ref="C631:C633"/>
    <mergeCell ref="D631:D633"/>
    <mergeCell ref="E631:E633"/>
    <mergeCell ref="F631:F633"/>
    <mergeCell ref="G631:G633"/>
    <mergeCell ref="H631:H633"/>
    <mergeCell ref="AW625:AW630"/>
    <mergeCell ref="AX625:AX630"/>
    <mergeCell ref="AY625:AY630"/>
    <mergeCell ref="AZ625:AZ630"/>
    <mergeCell ref="BA625:BA630"/>
    <mergeCell ref="BB625:BB630"/>
    <mergeCell ref="S625:S630"/>
    <mergeCell ref="T625:T630"/>
    <mergeCell ref="AJ625:AJ630"/>
    <mergeCell ref="AK625:AK630"/>
    <mergeCell ref="AS625:AS630"/>
    <mergeCell ref="AT625:AT630"/>
    <mergeCell ref="M625:M630"/>
    <mergeCell ref="N625:N630"/>
    <mergeCell ref="O625:O630"/>
    <mergeCell ref="P625:P630"/>
    <mergeCell ref="Q625:Q630"/>
    <mergeCell ref="R625:R630"/>
    <mergeCell ref="G625:G630"/>
    <mergeCell ref="H625:H630"/>
    <mergeCell ref="BD631:BD633"/>
    <mergeCell ref="A634:A635"/>
    <mergeCell ref="B634:B635"/>
    <mergeCell ref="C634:C635"/>
    <mergeCell ref="D634:D635"/>
    <mergeCell ref="E634:E635"/>
    <mergeCell ref="F634:F635"/>
    <mergeCell ref="G634:G635"/>
    <mergeCell ref="H634:H635"/>
    <mergeCell ref="I634:I635"/>
    <mergeCell ref="AX631:AX633"/>
    <mergeCell ref="AY631:AY633"/>
    <mergeCell ref="AZ631:AZ633"/>
    <mergeCell ref="BA631:BA633"/>
    <mergeCell ref="BB631:BB633"/>
    <mergeCell ref="BC631:BC633"/>
    <mergeCell ref="AE631:AE633"/>
    <mergeCell ref="AJ631:AJ633"/>
    <mergeCell ref="AK631:AK633"/>
    <mergeCell ref="AS631:AS633"/>
    <mergeCell ref="AT631:AT633"/>
    <mergeCell ref="AW631:AW633"/>
    <mergeCell ref="O631:O633"/>
    <mergeCell ref="P631:P633"/>
    <mergeCell ref="Q631:Q633"/>
    <mergeCell ref="R631:R633"/>
    <mergeCell ref="S631:S633"/>
    <mergeCell ref="T631:T633"/>
    <mergeCell ref="I631:I633"/>
    <mergeCell ref="J631:J633"/>
    <mergeCell ref="K631:K633"/>
    <mergeCell ref="L631:L633"/>
    <mergeCell ref="BD634:BD635"/>
    <mergeCell ref="AJ634:AJ635"/>
    <mergeCell ref="AK634:AK635"/>
    <mergeCell ref="AS634:AS635"/>
    <mergeCell ref="AT634:AT635"/>
    <mergeCell ref="AW634:AW635"/>
    <mergeCell ref="AX634:AX635"/>
    <mergeCell ref="P634:P635"/>
    <mergeCell ref="Q634:Q635"/>
    <mergeCell ref="R634:R635"/>
    <mergeCell ref="S634:S635"/>
    <mergeCell ref="T634:T635"/>
    <mergeCell ref="AE634:AE635"/>
    <mergeCell ref="J634:J635"/>
    <mergeCell ref="K634:K635"/>
    <mergeCell ref="L634:L635"/>
    <mergeCell ref="M634:M635"/>
    <mergeCell ref="N634:N635"/>
    <mergeCell ref="O634:O635"/>
    <mergeCell ref="G636:G638"/>
    <mergeCell ref="H636:H638"/>
    <mergeCell ref="I636:I638"/>
    <mergeCell ref="J636:J638"/>
    <mergeCell ref="K636:K638"/>
    <mergeCell ref="L636:L638"/>
    <mergeCell ref="A636:A638"/>
    <mergeCell ref="B636:B638"/>
    <mergeCell ref="C636:C638"/>
    <mergeCell ref="D636:D638"/>
    <mergeCell ref="E636:E638"/>
    <mergeCell ref="F636:F638"/>
    <mergeCell ref="AY634:AY635"/>
    <mergeCell ref="AZ634:AZ635"/>
    <mergeCell ref="BA634:BA635"/>
    <mergeCell ref="BB634:BB635"/>
    <mergeCell ref="BC634:BC635"/>
    <mergeCell ref="AY636:AY638"/>
    <mergeCell ref="AZ636:AZ638"/>
    <mergeCell ref="BA636:BA638"/>
    <mergeCell ref="BB636:BB638"/>
    <mergeCell ref="BC636:BC638"/>
    <mergeCell ref="BD636:BD638"/>
    <mergeCell ref="S636:S638"/>
    <mergeCell ref="T636:T638"/>
    <mergeCell ref="AS636:AS638"/>
    <mergeCell ref="AT636:AT638"/>
    <mergeCell ref="AW636:AW638"/>
    <mergeCell ref="AX636:AX638"/>
    <mergeCell ref="M636:M638"/>
    <mergeCell ref="N636:N638"/>
    <mergeCell ref="O636:O638"/>
    <mergeCell ref="P636:P638"/>
    <mergeCell ref="Q636:Q638"/>
    <mergeCell ref="R636:R638"/>
    <mergeCell ref="BD639:BD641"/>
    <mergeCell ref="S639:S641"/>
    <mergeCell ref="T639:T641"/>
    <mergeCell ref="AS639:AS641"/>
    <mergeCell ref="AT639:AT641"/>
    <mergeCell ref="AW639:AW641"/>
    <mergeCell ref="AX639:AX641"/>
    <mergeCell ref="M639:M641"/>
    <mergeCell ref="N639:N641"/>
    <mergeCell ref="O639:O641"/>
    <mergeCell ref="P639:P641"/>
    <mergeCell ref="Q639:Q641"/>
    <mergeCell ref="R639:R641"/>
    <mergeCell ref="AY639:AY641"/>
    <mergeCell ref="AZ639:AZ641"/>
    <mergeCell ref="BA639:BA641"/>
    <mergeCell ref="BB639:BB641"/>
    <mergeCell ref="BC639:BC641"/>
    <mergeCell ref="G639:G641"/>
    <mergeCell ref="H639:H641"/>
    <mergeCell ref="I639:I641"/>
    <mergeCell ref="J639:J641"/>
    <mergeCell ref="K639:K641"/>
    <mergeCell ref="L639:L641"/>
    <mergeCell ref="G642:G646"/>
    <mergeCell ref="H642:H646"/>
    <mergeCell ref="I642:I646"/>
    <mergeCell ref="J642:J646"/>
    <mergeCell ref="K642:K646"/>
    <mergeCell ref="L642:L646"/>
    <mergeCell ref="A642:A646"/>
    <mergeCell ref="B642:B646"/>
    <mergeCell ref="C642:C646"/>
    <mergeCell ref="D642:D646"/>
    <mergeCell ref="E642:E646"/>
    <mergeCell ref="F642:F646"/>
    <mergeCell ref="A639:A641"/>
    <mergeCell ref="B639:B641"/>
    <mergeCell ref="C639:C641"/>
    <mergeCell ref="D639:D641"/>
    <mergeCell ref="E639:E641"/>
    <mergeCell ref="F639:F641"/>
    <mergeCell ref="AY642:AY646"/>
    <mergeCell ref="AZ642:AZ646"/>
    <mergeCell ref="BA642:BA646"/>
    <mergeCell ref="BB642:BB646"/>
    <mergeCell ref="BC642:BC646"/>
    <mergeCell ref="BD642:BD646"/>
    <mergeCell ref="S642:S646"/>
    <mergeCell ref="T642:T646"/>
    <mergeCell ref="AS642:AS646"/>
    <mergeCell ref="AT642:AT646"/>
    <mergeCell ref="AW642:AW646"/>
    <mergeCell ref="AX642:AX646"/>
    <mergeCell ref="M642:M646"/>
    <mergeCell ref="N642:N646"/>
    <mergeCell ref="O642:O646"/>
    <mergeCell ref="P642:P646"/>
    <mergeCell ref="Q642:Q646"/>
    <mergeCell ref="R642:R646"/>
    <mergeCell ref="BD647:BD648"/>
    <mergeCell ref="S647:S648"/>
    <mergeCell ref="T647:T648"/>
    <mergeCell ref="AS647:AS648"/>
    <mergeCell ref="AT647:AT648"/>
    <mergeCell ref="AW647:AW648"/>
    <mergeCell ref="AX647:AX648"/>
    <mergeCell ref="M647:M648"/>
    <mergeCell ref="N647:N648"/>
    <mergeCell ref="O647:O648"/>
    <mergeCell ref="P647:P648"/>
    <mergeCell ref="Q647:Q648"/>
    <mergeCell ref="R647:R648"/>
    <mergeCell ref="G647:G648"/>
    <mergeCell ref="H647:H648"/>
    <mergeCell ref="I647:I648"/>
    <mergeCell ref="J647:J648"/>
    <mergeCell ref="K647:K648"/>
    <mergeCell ref="L647:L648"/>
    <mergeCell ref="G649:G656"/>
    <mergeCell ref="H649:H656"/>
    <mergeCell ref="I649:I656"/>
    <mergeCell ref="J649:J656"/>
    <mergeCell ref="K649:K656"/>
    <mergeCell ref="L649:L656"/>
    <mergeCell ref="A649:A656"/>
    <mergeCell ref="B649:B656"/>
    <mergeCell ref="C649:C656"/>
    <mergeCell ref="D649:D656"/>
    <mergeCell ref="E649:E656"/>
    <mergeCell ref="F649:F656"/>
    <mergeCell ref="AY647:AY648"/>
    <mergeCell ref="AZ647:AZ648"/>
    <mergeCell ref="BA647:BA648"/>
    <mergeCell ref="BB647:BB648"/>
    <mergeCell ref="BC647:BC648"/>
    <mergeCell ref="A647:A648"/>
    <mergeCell ref="B647:B648"/>
    <mergeCell ref="C647:C648"/>
    <mergeCell ref="D647:D648"/>
    <mergeCell ref="E647:E648"/>
    <mergeCell ref="F647:F648"/>
    <mergeCell ref="AY649:AY656"/>
    <mergeCell ref="AZ649:AZ656"/>
    <mergeCell ref="BA649:BA656"/>
    <mergeCell ref="BB649:BB652"/>
    <mergeCell ref="BC649:BC652"/>
    <mergeCell ref="BD649:BD652"/>
    <mergeCell ref="S649:S652"/>
    <mergeCell ref="T649:T656"/>
    <mergeCell ref="AS649:AS656"/>
    <mergeCell ref="AT649:AT656"/>
    <mergeCell ref="AW649:AW656"/>
    <mergeCell ref="AX649:AX656"/>
    <mergeCell ref="M649:M652"/>
    <mergeCell ref="N649:N652"/>
    <mergeCell ref="O649:O652"/>
    <mergeCell ref="P649:P653"/>
    <mergeCell ref="Q649:Q652"/>
    <mergeCell ref="R649:R652"/>
    <mergeCell ref="A659:A661"/>
    <mergeCell ref="B659:B661"/>
    <mergeCell ref="C659:C661"/>
    <mergeCell ref="D659:D661"/>
    <mergeCell ref="E659:E661"/>
    <mergeCell ref="F659:F661"/>
    <mergeCell ref="S657:S658"/>
    <mergeCell ref="T657:T658"/>
    <mergeCell ref="AI657:AI658"/>
    <mergeCell ref="AJ657:AJ658"/>
    <mergeCell ref="AK657:AK658"/>
    <mergeCell ref="AL657:AL658"/>
    <mergeCell ref="M657:M658"/>
    <mergeCell ref="N657:N658"/>
    <mergeCell ref="O657:O658"/>
    <mergeCell ref="P657:P658"/>
    <mergeCell ref="Q657:Q658"/>
    <mergeCell ref="R657:R658"/>
    <mergeCell ref="G657:G658"/>
    <mergeCell ref="H657:H658"/>
    <mergeCell ref="I657:I658"/>
    <mergeCell ref="J657:J658"/>
    <mergeCell ref="K657:K658"/>
    <mergeCell ref="L657:L658"/>
    <mergeCell ref="A657:A658"/>
    <mergeCell ref="B657:B658"/>
    <mergeCell ref="C657:C658"/>
    <mergeCell ref="D657:D658"/>
    <mergeCell ref="E657:E658"/>
    <mergeCell ref="F657:F658"/>
    <mergeCell ref="S659:S661"/>
    <mergeCell ref="T659:T661"/>
    <mergeCell ref="AI659:AI661"/>
    <mergeCell ref="AJ659:AJ661"/>
    <mergeCell ref="AK659:AK661"/>
    <mergeCell ref="AL659:AL661"/>
    <mergeCell ref="M659:M661"/>
    <mergeCell ref="N659:N661"/>
    <mergeCell ref="O659:O661"/>
    <mergeCell ref="P659:P661"/>
    <mergeCell ref="Q659:Q661"/>
    <mergeCell ref="R659:R661"/>
    <mergeCell ref="G659:G661"/>
    <mergeCell ref="H659:H661"/>
    <mergeCell ref="I659:I661"/>
    <mergeCell ref="J659:J661"/>
    <mergeCell ref="K659:K661"/>
    <mergeCell ref="L659:L661"/>
    <mergeCell ref="AJ662:AJ663"/>
    <mergeCell ref="AK662:AK663"/>
    <mergeCell ref="AL662:AL663"/>
    <mergeCell ref="AE663:AE664"/>
    <mergeCell ref="A666:A667"/>
    <mergeCell ref="B666:B667"/>
    <mergeCell ref="C666:C667"/>
    <mergeCell ref="D666:D667"/>
    <mergeCell ref="E666:E667"/>
    <mergeCell ref="F666:F667"/>
    <mergeCell ref="M662:M665"/>
    <mergeCell ref="N662:N665"/>
    <mergeCell ref="O662:O665"/>
    <mergeCell ref="P662:P663"/>
    <mergeCell ref="T662:T665"/>
    <mergeCell ref="AI662:AI663"/>
    <mergeCell ref="G662:G665"/>
    <mergeCell ref="H662:H665"/>
    <mergeCell ref="I662:I665"/>
    <mergeCell ref="J662:J665"/>
    <mergeCell ref="K662:K665"/>
    <mergeCell ref="L662:L665"/>
    <mergeCell ref="A662:A665"/>
    <mergeCell ref="B662:B665"/>
    <mergeCell ref="C662:C665"/>
    <mergeCell ref="D662:D665"/>
    <mergeCell ref="E662:E665"/>
    <mergeCell ref="F662:F665"/>
    <mergeCell ref="T666:T667"/>
    <mergeCell ref="AI666:AI667"/>
    <mergeCell ref="AJ666:AJ667"/>
    <mergeCell ref="AK666:AK667"/>
    <mergeCell ref="AL666:AL667"/>
    <mergeCell ref="A669:A671"/>
    <mergeCell ref="B669:B671"/>
    <mergeCell ref="C669:C671"/>
    <mergeCell ref="D669:D671"/>
    <mergeCell ref="E669:E671"/>
    <mergeCell ref="M666:M667"/>
    <mergeCell ref="N666:N667"/>
    <mergeCell ref="O666:O667"/>
    <mergeCell ref="Q666:Q667"/>
    <mergeCell ref="R666:R667"/>
    <mergeCell ref="S666:S667"/>
    <mergeCell ref="G666:G667"/>
    <mergeCell ref="H666:H667"/>
    <mergeCell ref="I666:I667"/>
    <mergeCell ref="J666:J667"/>
    <mergeCell ref="K666:K667"/>
    <mergeCell ref="L666:L667"/>
    <mergeCell ref="S669:S670"/>
    <mergeCell ref="T669:T671"/>
    <mergeCell ref="A672:A674"/>
    <mergeCell ref="B672:B674"/>
    <mergeCell ref="C672:C674"/>
    <mergeCell ref="D672:D674"/>
    <mergeCell ref="E672:E674"/>
    <mergeCell ref="F672:F674"/>
    <mergeCell ref="G672:G674"/>
    <mergeCell ref="H672:H674"/>
    <mergeCell ref="L669:L671"/>
    <mergeCell ref="M669:M671"/>
    <mergeCell ref="N669:N671"/>
    <mergeCell ref="O669:O671"/>
    <mergeCell ref="P669:P671"/>
    <mergeCell ref="R669:R670"/>
    <mergeCell ref="F669:F671"/>
    <mergeCell ref="G669:G671"/>
    <mergeCell ref="H669:H671"/>
    <mergeCell ref="I669:I671"/>
    <mergeCell ref="J669:J671"/>
    <mergeCell ref="K669:K671"/>
    <mergeCell ref="N675:N677"/>
    <mergeCell ref="O675:O677"/>
    <mergeCell ref="T675:T677"/>
    <mergeCell ref="AE675:AE677"/>
    <mergeCell ref="A679:A691"/>
    <mergeCell ref="B679:B691"/>
    <mergeCell ref="C679:C691"/>
    <mergeCell ref="D679:D691"/>
    <mergeCell ref="E679:E691"/>
    <mergeCell ref="F679:F691"/>
    <mergeCell ref="H675:H677"/>
    <mergeCell ref="I675:I677"/>
    <mergeCell ref="J675:J677"/>
    <mergeCell ref="K675:K677"/>
    <mergeCell ref="L675:L677"/>
    <mergeCell ref="M675:M677"/>
    <mergeCell ref="O672:O674"/>
    <mergeCell ref="T672:T674"/>
    <mergeCell ref="AE672:AE674"/>
    <mergeCell ref="A675:A677"/>
    <mergeCell ref="B675:B677"/>
    <mergeCell ref="C675:C677"/>
    <mergeCell ref="D675:D677"/>
    <mergeCell ref="E675:E677"/>
    <mergeCell ref="F675:F677"/>
    <mergeCell ref="G675:G677"/>
    <mergeCell ref="I672:I674"/>
    <mergeCell ref="J672:J674"/>
    <mergeCell ref="K672:K674"/>
    <mergeCell ref="L672:L674"/>
    <mergeCell ref="M672:M674"/>
    <mergeCell ref="N672:N674"/>
    <mergeCell ref="S679:S691"/>
    <mergeCell ref="T679:T691"/>
    <mergeCell ref="AM679:AM691"/>
    <mergeCell ref="AN679:AN691"/>
    <mergeCell ref="AO679:AO691"/>
    <mergeCell ref="A692:A707"/>
    <mergeCell ref="B692:B707"/>
    <mergeCell ref="C692:C707"/>
    <mergeCell ref="D692:D707"/>
    <mergeCell ref="E692:E707"/>
    <mergeCell ref="M679:M691"/>
    <mergeCell ref="N679:N691"/>
    <mergeCell ref="O679:O691"/>
    <mergeCell ref="P679:P691"/>
    <mergeCell ref="Q679:Q691"/>
    <mergeCell ref="R679:R691"/>
    <mergeCell ref="G679:G691"/>
    <mergeCell ref="H679:H691"/>
    <mergeCell ref="I679:I691"/>
    <mergeCell ref="J679:J691"/>
    <mergeCell ref="K679:K691"/>
    <mergeCell ref="L679:L691"/>
    <mergeCell ref="AP692:AP707"/>
    <mergeCell ref="AQ692:AQ707"/>
    <mergeCell ref="AR692:AR707"/>
    <mergeCell ref="AE702:AE703"/>
    <mergeCell ref="A708:A716"/>
    <mergeCell ref="B708:B716"/>
    <mergeCell ref="C708:C716"/>
    <mergeCell ref="D708:D716"/>
    <mergeCell ref="E708:E716"/>
    <mergeCell ref="F708:F716"/>
    <mergeCell ref="R692:R707"/>
    <mergeCell ref="S692:S707"/>
    <mergeCell ref="T692:T707"/>
    <mergeCell ref="AM692:AM707"/>
    <mergeCell ref="AN692:AN707"/>
    <mergeCell ref="AO692:AO707"/>
    <mergeCell ref="L692:L707"/>
    <mergeCell ref="M692:M707"/>
    <mergeCell ref="N692:N707"/>
    <mergeCell ref="O692:O707"/>
    <mergeCell ref="P692:P707"/>
    <mergeCell ref="Q692:Q707"/>
    <mergeCell ref="F692:F707"/>
    <mergeCell ref="G692:G707"/>
    <mergeCell ref="H692:H707"/>
    <mergeCell ref="I692:I707"/>
    <mergeCell ref="J692:J707"/>
    <mergeCell ref="K692:K707"/>
    <mergeCell ref="S708:S716"/>
    <mergeCell ref="T708:T716"/>
    <mergeCell ref="A717:A722"/>
    <mergeCell ref="B717:B722"/>
    <mergeCell ref="C717:C722"/>
    <mergeCell ref="D717:D722"/>
    <mergeCell ref="E717:E722"/>
    <mergeCell ref="F717:F722"/>
    <mergeCell ref="G717:G722"/>
    <mergeCell ref="H717:H722"/>
    <mergeCell ref="M708:M716"/>
    <mergeCell ref="N708:N716"/>
    <mergeCell ref="O708:O716"/>
    <mergeCell ref="P708:P716"/>
    <mergeCell ref="Q708:Q716"/>
    <mergeCell ref="R708:R716"/>
    <mergeCell ref="G708:G716"/>
    <mergeCell ref="H708:H716"/>
    <mergeCell ref="I708:I716"/>
    <mergeCell ref="J708:J716"/>
    <mergeCell ref="K708:K716"/>
    <mergeCell ref="L708:L716"/>
    <mergeCell ref="E723:E726"/>
    <mergeCell ref="F723:F726"/>
    <mergeCell ref="AM717:AM721"/>
    <mergeCell ref="AN717:AN721"/>
    <mergeCell ref="AO717:AO721"/>
    <mergeCell ref="AP717:AP721"/>
    <mergeCell ref="AQ717:AQ721"/>
    <mergeCell ref="AR717:AR721"/>
    <mergeCell ref="O717:O722"/>
    <mergeCell ref="P717:P722"/>
    <mergeCell ref="Q717:Q722"/>
    <mergeCell ref="R717:R722"/>
    <mergeCell ref="S717:S722"/>
    <mergeCell ref="T717:T722"/>
    <mergeCell ref="I717:I722"/>
    <mergeCell ref="J717:J722"/>
    <mergeCell ref="K717:K722"/>
    <mergeCell ref="L717:L722"/>
    <mergeCell ref="M717:M722"/>
    <mergeCell ref="N717:N722"/>
    <mergeCell ref="AQ723:AQ726"/>
    <mergeCell ref="AR723:AR726"/>
    <mergeCell ref="A727:A731"/>
    <mergeCell ref="B727:B731"/>
    <mergeCell ref="C727:C731"/>
    <mergeCell ref="D727:D731"/>
    <mergeCell ref="E727:E731"/>
    <mergeCell ref="F727:F731"/>
    <mergeCell ref="G727:G731"/>
    <mergeCell ref="H727:H731"/>
    <mergeCell ref="S723:S726"/>
    <mergeCell ref="T723:T726"/>
    <mergeCell ref="AM723:AM726"/>
    <mergeCell ref="AN723:AN726"/>
    <mergeCell ref="AO723:AO726"/>
    <mergeCell ref="AP723:AP726"/>
    <mergeCell ref="M723:M726"/>
    <mergeCell ref="N723:N726"/>
    <mergeCell ref="O723:O726"/>
    <mergeCell ref="P723:P726"/>
    <mergeCell ref="Q723:Q726"/>
    <mergeCell ref="R723:R726"/>
    <mergeCell ref="G723:G726"/>
    <mergeCell ref="H723:H726"/>
    <mergeCell ref="I723:I726"/>
    <mergeCell ref="J723:J726"/>
    <mergeCell ref="K723:K726"/>
    <mergeCell ref="L723:L726"/>
    <mergeCell ref="A723:A726"/>
    <mergeCell ref="B723:B726"/>
    <mergeCell ref="C723:C726"/>
    <mergeCell ref="D723:D726"/>
    <mergeCell ref="AM727:AM731"/>
    <mergeCell ref="AN727:AN731"/>
    <mergeCell ref="A732:A733"/>
    <mergeCell ref="B732:B733"/>
    <mergeCell ref="C732:C733"/>
    <mergeCell ref="D732:D733"/>
    <mergeCell ref="E732:E733"/>
    <mergeCell ref="F732:F733"/>
    <mergeCell ref="AN741:AN742"/>
    <mergeCell ref="AO741:AO742"/>
    <mergeCell ref="AP741:AP742"/>
    <mergeCell ref="AQ741:AQ742"/>
    <mergeCell ref="AR741:AR742"/>
    <mergeCell ref="AO727:AO731"/>
    <mergeCell ref="AP727:AP731"/>
    <mergeCell ref="AQ727:AQ731"/>
    <mergeCell ref="AR727:AR731"/>
    <mergeCell ref="O727:O731"/>
    <mergeCell ref="P727:P731"/>
    <mergeCell ref="Q727:Q731"/>
    <mergeCell ref="R727:R731"/>
    <mergeCell ref="S727:S731"/>
    <mergeCell ref="T727:T731"/>
    <mergeCell ref="I727:I731"/>
    <mergeCell ref="J727:J731"/>
    <mergeCell ref="K727:K731"/>
    <mergeCell ref="L727:L731"/>
    <mergeCell ref="M727:M731"/>
    <mergeCell ref="N727:N731"/>
    <mergeCell ref="T732:T733"/>
    <mergeCell ref="M732:M733"/>
    <mergeCell ref="N732:N733"/>
    <mergeCell ref="O732:O733"/>
    <mergeCell ref="P732:P733"/>
    <mergeCell ref="C743:C745"/>
    <mergeCell ref="D743:D745"/>
    <mergeCell ref="E743:E745"/>
    <mergeCell ref="P741:P742"/>
    <mergeCell ref="Q741:Q742"/>
    <mergeCell ref="R741:R742"/>
    <mergeCell ref="S741:S742"/>
    <mergeCell ref="T741:T742"/>
    <mergeCell ref="AM741:AM742"/>
    <mergeCell ref="J741:J742"/>
    <mergeCell ref="K741:K742"/>
    <mergeCell ref="L741:L742"/>
    <mergeCell ref="M741:M742"/>
    <mergeCell ref="N741:N742"/>
    <mergeCell ref="O741:O742"/>
    <mergeCell ref="G732:G733"/>
    <mergeCell ref="H732:H733"/>
    <mergeCell ref="I732:I733"/>
    <mergeCell ref="J732:J733"/>
    <mergeCell ref="K732:K733"/>
    <mergeCell ref="L732:L733"/>
    <mergeCell ref="R732:R733"/>
    <mergeCell ref="S732:S733"/>
    <mergeCell ref="AR743:AR745"/>
    <mergeCell ref="A741:A742"/>
    <mergeCell ref="B741:B742"/>
    <mergeCell ref="C741:C742"/>
    <mergeCell ref="D741:D742"/>
    <mergeCell ref="E741:E742"/>
    <mergeCell ref="F741:F742"/>
    <mergeCell ref="G741:G742"/>
    <mergeCell ref="H741:H742"/>
    <mergeCell ref="I741:I742"/>
    <mergeCell ref="S743:S745"/>
    <mergeCell ref="T743:T745"/>
    <mergeCell ref="AM743:AM745"/>
    <mergeCell ref="AN743:AN745"/>
    <mergeCell ref="AO743:AO745"/>
    <mergeCell ref="L743:L745"/>
    <mergeCell ref="M743:M745"/>
    <mergeCell ref="N743:N745"/>
    <mergeCell ref="O743:O745"/>
    <mergeCell ref="P743:P745"/>
    <mergeCell ref="Q743:Q745"/>
    <mergeCell ref="F743:F745"/>
    <mergeCell ref="G743:G745"/>
    <mergeCell ref="H743:H745"/>
    <mergeCell ref="I743:I745"/>
    <mergeCell ref="J743:J745"/>
    <mergeCell ref="K743:K745"/>
    <mergeCell ref="AP743:AP745"/>
    <mergeCell ref="AQ743:AQ745"/>
    <mergeCell ref="R743:R745"/>
    <mergeCell ref="A743:A745"/>
    <mergeCell ref="B743:B745"/>
    <mergeCell ref="BA761:BA763"/>
    <mergeCell ref="BB761:BB763"/>
    <mergeCell ref="BC761:BC763"/>
    <mergeCell ref="BD761:BD763"/>
    <mergeCell ref="A767:K767"/>
    <mergeCell ref="AU761:AU763"/>
    <mergeCell ref="AV761:AV763"/>
    <mergeCell ref="AW761:AW763"/>
    <mergeCell ref="AX761:AX763"/>
    <mergeCell ref="AY761:AY763"/>
    <mergeCell ref="AZ761:AZ763"/>
    <mergeCell ref="AO761:AO763"/>
    <mergeCell ref="AP761:AP763"/>
    <mergeCell ref="AQ761:AQ763"/>
    <mergeCell ref="AR761:AR763"/>
    <mergeCell ref="AS761:AS763"/>
    <mergeCell ref="AT761:AT763"/>
    <mergeCell ref="AI761:AI763"/>
    <mergeCell ref="AJ761:AJ763"/>
    <mergeCell ref="AK761:AK763"/>
    <mergeCell ref="AL761:AL763"/>
    <mergeCell ref="AM761:AM763"/>
    <mergeCell ref="A761:A763"/>
    <mergeCell ref="B761:B763"/>
    <mergeCell ref="C761:C763"/>
    <mergeCell ref="D761:D763"/>
    <mergeCell ref="E761:E763"/>
    <mergeCell ref="F761:F763"/>
    <mergeCell ref="G761:G763"/>
    <mergeCell ref="AN761:AN763"/>
    <mergeCell ref="Z761:Z763"/>
    <mergeCell ref="AA761:AA763"/>
    <mergeCell ref="AB761:AB763"/>
    <mergeCell ref="AC761:AC763"/>
    <mergeCell ref="AD761:AD763"/>
    <mergeCell ref="AE761:AE763"/>
    <mergeCell ref="T761:T763"/>
    <mergeCell ref="U761:U763"/>
    <mergeCell ref="V761:V763"/>
    <mergeCell ref="R761:R763"/>
    <mergeCell ref="S761:S763"/>
    <mergeCell ref="H761:H763"/>
    <mergeCell ref="I761:I763"/>
    <mergeCell ref="J761:J763"/>
    <mergeCell ref="K761:K763"/>
    <mergeCell ref="L761:L763"/>
    <mergeCell ref="M761:M763"/>
    <mergeCell ref="W761:W763"/>
    <mergeCell ref="X761:X763"/>
    <mergeCell ref="Y761:Y763"/>
    <mergeCell ref="N761:N763"/>
    <mergeCell ref="O761:O763"/>
    <mergeCell ref="P761:P762"/>
    <mergeCell ref="Q761:Q763"/>
  </mergeCells>
  <pageMargins left="0.511811024" right="0.511811024" top="0.78740157499999996" bottom="0.78740157499999996" header="0.31496062000000002" footer="0.31496062000000002"/>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3"/>
  <sheetViews>
    <sheetView workbookViewId="0">
      <selection sqref="A1:XFD11"/>
    </sheetView>
  </sheetViews>
  <sheetFormatPr defaultRowHeight="15" x14ac:dyDescent="0.25"/>
  <cols>
    <col min="1" max="1" width="7.42578125" style="239" customWidth="1"/>
    <col min="2" max="2" width="13.5703125" style="239" customWidth="1"/>
    <col min="3" max="3" width="14" style="239" customWidth="1"/>
    <col min="4" max="4" width="11" style="239" customWidth="1"/>
    <col min="5" max="5" width="15.140625" style="239" bestFit="1" customWidth="1"/>
    <col min="6" max="6" width="45.28515625" style="239" customWidth="1"/>
    <col min="7" max="7" width="13.42578125" style="239" customWidth="1"/>
    <col min="8" max="8" width="11.5703125" style="239" customWidth="1"/>
    <col min="9" max="9" width="23.5703125" style="239" customWidth="1"/>
    <col min="10" max="10" width="14" style="239" customWidth="1"/>
    <col min="11" max="11" width="11.7109375" style="239" customWidth="1"/>
    <col min="12" max="12" width="14.7109375" style="239" bestFit="1" customWidth="1"/>
    <col min="13" max="13" width="11.85546875" style="239" customWidth="1"/>
    <col min="14" max="15" width="10.140625" style="239" bestFit="1" customWidth="1"/>
    <col min="16" max="16" width="8.85546875" style="239" bestFit="1" customWidth="1"/>
    <col min="17" max="17" width="9" style="239" bestFit="1" customWidth="1"/>
    <col min="18" max="18" width="11.5703125" style="239" customWidth="1"/>
    <col min="19" max="19" width="15.140625" style="239" customWidth="1"/>
    <col min="20" max="20" width="12.28515625" style="239" customWidth="1"/>
    <col min="21" max="21" width="26.28515625" style="239" customWidth="1"/>
    <col min="22" max="22" width="10.7109375" style="239" bestFit="1" customWidth="1"/>
    <col min="23" max="23" width="12.7109375" style="239" customWidth="1"/>
    <col min="24" max="24" width="48.42578125" style="239" customWidth="1"/>
    <col min="25" max="26" width="10.7109375" style="239" bestFit="1" customWidth="1"/>
    <col min="27" max="28" width="8.5703125" style="239" bestFit="1" customWidth="1"/>
    <col min="29" max="29" width="14.42578125" style="239" bestFit="1" customWidth="1"/>
    <col min="30" max="30" width="10.140625" style="239" bestFit="1" customWidth="1"/>
    <col min="31" max="31" width="20" style="239" customWidth="1"/>
    <col min="32" max="32" width="12.5703125" style="239" customWidth="1"/>
    <col min="33" max="33" width="16.7109375" style="239" customWidth="1"/>
    <col min="34" max="34" width="14" style="239" customWidth="1"/>
    <col min="35" max="35" width="12" style="239" customWidth="1"/>
    <col min="36" max="36" width="12.28515625" style="239" customWidth="1"/>
    <col min="37" max="37" width="13" style="239" customWidth="1"/>
    <col min="38" max="38" width="15" style="239" customWidth="1"/>
    <col min="39" max="39" width="15.28515625" style="239" customWidth="1"/>
    <col min="40" max="40" width="16.7109375" style="239" customWidth="1"/>
    <col min="41" max="41" width="15.85546875" style="239" customWidth="1"/>
    <col min="42" max="42" width="10.28515625" style="239" customWidth="1"/>
    <col min="43" max="43" width="15.85546875" style="239" customWidth="1"/>
    <col min="44" max="44" width="9.85546875" style="239" customWidth="1"/>
    <col min="45" max="45" width="9.140625" style="239"/>
    <col min="46" max="46" width="11.5703125" style="239" customWidth="1"/>
    <col min="47" max="48" width="10.140625" style="239" bestFit="1" customWidth="1"/>
    <col min="49" max="49" width="6" style="239" bestFit="1" customWidth="1"/>
    <col min="50" max="50" width="8" style="239" customWidth="1"/>
    <col min="51" max="51" width="10.140625" style="239" bestFit="1" customWidth="1"/>
    <col min="52" max="52" width="18.42578125" style="239" bestFit="1" customWidth="1"/>
    <col min="53" max="53" width="14.85546875" style="239" customWidth="1"/>
    <col min="54" max="16384" width="9.140625" style="239"/>
  </cols>
  <sheetData>
    <row r="1" spans="1:56" s="1" customFormat="1" ht="12.75" x14ac:dyDescent="0.25">
      <c r="A1" s="1772"/>
    </row>
    <row r="2" spans="1:56" s="1" customFormat="1" ht="12.75" x14ac:dyDescent="0.25">
      <c r="A2" s="1772"/>
    </row>
    <row r="3" spans="1:56" s="1" customFormat="1" ht="12.75" x14ac:dyDescent="0.25">
      <c r="A3" s="1772"/>
    </row>
    <row r="4" spans="1:56" s="1" customFormat="1" ht="12.75" x14ac:dyDescent="0.25">
      <c r="A4" s="1772"/>
    </row>
    <row r="5" spans="1:56" s="1" customFormat="1" ht="12.75" x14ac:dyDescent="0.25">
      <c r="A5" s="1772"/>
    </row>
    <row r="6" spans="1:56" s="1" customFormat="1" ht="12.75" x14ac:dyDescent="0.25">
      <c r="A6" s="1772"/>
    </row>
    <row r="7" spans="1:56" s="1" customFormat="1" ht="12.75" x14ac:dyDescent="0.25">
      <c r="AI7" s="1773"/>
      <c r="AJ7" s="1773"/>
      <c r="AK7" s="1773"/>
      <c r="AL7" s="1773"/>
      <c r="AM7" s="1773"/>
      <c r="AN7" s="1773"/>
      <c r="AO7" s="1773"/>
      <c r="AP7" s="1773"/>
      <c r="AQ7" s="1773"/>
      <c r="AR7" s="1773"/>
    </row>
    <row r="8" spans="1:56" s="1" customFormat="1" ht="12.75" x14ac:dyDescent="0.25">
      <c r="AI8" s="1773"/>
      <c r="AJ8" s="1773"/>
      <c r="AK8" s="1773"/>
      <c r="AL8" s="1773"/>
      <c r="AM8" s="1773"/>
      <c r="AN8" s="1773"/>
      <c r="AO8" s="1773"/>
      <c r="AP8" s="1773"/>
      <c r="AQ8" s="1773"/>
      <c r="AR8" s="1773"/>
    </row>
    <row r="9" spans="1:56" s="1773" customFormat="1" ht="15.75" x14ac:dyDescent="0.25">
      <c r="A9" s="1961" t="s">
        <v>0</v>
      </c>
      <c r="B9" s="1961"/>
      <c r="C9" s="1961"/>
      <c r="D9" s="1961"/>
      <c r="E9" s="1961"/>
      <c r="F9" s="1961"/>
      <c r="G9" s="1961"/>
      <c r="H9" s="1961"/>
      <c r="I9" s="1961"/>
      <c r="J9" s="19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1"/>
      <c r="AI9" s="1961"/>
      <c r="AJ9" s="1961"/>
      <c r="AK9" s="1961"/>
      <c r="AL9" s="1961"/>
      <c r="AM9" s="1961"/>
      <c r="AN9" s="1961"/>
      <c r="AO9" s="1961"/>
      <c r="AP9" s="1961"/>
      <c r="AQ9" s="1961"/>
      <c r="AR9" s="1961"/>
      <c r="AS9" s="1961"/>
      <c r="AT9" s="1961"/>
      <c r="AU9" s="1961"/>
      <c r="AV9" s="1961"/>
      <c r="AW9" s="1961"/>
      <c r="AX9" s="1961"/>
      <c r="AY9" s="1961"/>
      <c r="AZ9" s="1961"/>
      <c r="BA9" s="1961"/>
      <c r="BB9" s="1961"/>
      <c r="BC9" s="1961"/>
      <c r="BD9" s="1961"/>
    </row>
    <row r="10" spans="1:56" s="1" customFormat="1" ht="12.75" x14ac:dyDescent="0.25"/>
    <row r="11" spans="1:56" s="1773" customFormat="1" x14ac:dyDescent="0.25">
      <c r="A11" s="2058" t="s">
        <v>4</v>
      </c>
      <c r="B11" s="2058"/>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2058"/>
      <c r="AL11" s="2058"/>
      <c r="AM11" s="2058"/>
      <c r="AN11" s="2058"/>
      <c r="AO11" s="2058"/>
      <c r="AP11" s="2058"/>
      <c r="AQ11" s="2058"/>
      <c r="AR11" s="2058"/>
      <c r="AS11" s="2058"/>
      <c r="AT11" s="2058"/>
      <c r="AU11" s="2058"/>
      <c r="AV11" s="2058"/>
      <c r="AW11" s="2058"/>
      <c r="AX11" s="2058"/>
      <c r="AY11" s="2058"/>
      <c r="AZ11" s="2058"/>
      <c r="BA11" s="2058"/>
      <c r="BB11" s="2058"/>
      <c r="BC11" s="2058"/>
      <c r="BD11" s="2058"/>
    </row>
    <row r="12" spans="1:56" s="221" customFormat="1" x14ac:dyDescent="0.25">
      <c r="A12" s="1503"/>
      <c r="B12" s="1503"/>
      <c r="C12" s="1503"/>
      <c r="D12" s="1503"/>
      <c r="E12" s="1503"/>
      <c r="F12" s="1503"/>
      <c r="G12" s="1503"/>
      <c r="H12" s="1503"/>
      <c r="I12" s="1503"/>
      <c r="J12" s="1508"/>
      <c r="K12" s="1509"/>
      <c r="L12" s="1504"/>
      <c r="M12" s="1503"/>
      <c r="N12" s="1503"/>
      <c r="O12" s="1503"/>
      <c r="P12" s="1505"/>
      <c r="Q12" s="1503"/>
      <c r="R12" s="1503"/>
      <c r="S12" s="1503"/>
      <c r="T12" s="1503"/>
      <c r="U12" s="1508"/>
      <c r="V12" s="1509"/>
      <c r="W12" s="1504"/>
      <c r="X12" s="1503"/>
      <c r="Y12" s="1503"/>
      <c r="Z12" s="1503"/>
      <c r="AA12" s="1505"/>
      <c r="AB12" s="1503"/>
      <c r="AC12" s="1503"/>
      <c r="AD12" s="1506"/>
      <c r="AE12" s="1503"/>
      <c r="AF12" s="1503"/>
      <c r="AG12" s="1503"/>
      <c r="AH12" s="1503"/>
      <c r="AI12" s="1507"/>
      <c r="AJ12" s="1507"/>
      <c r="AK12" s="1507"/>
      <c r="AL12" s="1507"/>
      <c r="AM12" s="1507"/>
      <c r="AN12" s="1507"/>
      <c r="AO12" s="1507"/>
      <c r="AP12" s="1507"/>
      <c r="AQ12" s="1507"/>
      <c r="AR12" s="1507"/>
    </row>
    <row r="13" spans="1:56" x14ac:dyDescent="0.25">
      <c r="A13" s="2442" t="s">
        <v>1</v>
      </c>
      <c r="B13" s="2442"/>
      <c r="C13" s="2442"/>
      <c r="D13" s="2442"/>
      <c r="E13" s="2442"/>
      <c r="F13" s="2442"/>
      <c r="G13" s="2442"/>
      <c r="H13" s="2442"/>
      <c r="I13" s="2442"/>
      <c r="J13" s="2442"/>
      <c r="K13" s="2442"/>
      <c r="L13" s="2442"/>
      <c r="M13" s="2442"/>
      <c r="N13" s="2442"/>
      <c r="O13" s="2442"/>
      <c r="P13" s="2442"/>
      <c r="Q13" s="2442"/>
      <c r="R13" s="2442"/>
      <c r="S13" s="2442"/>
      <c r="T13" s="2442"/>
      <c r="U13" s="2442"/>
      <c r="V13" s="2442"/>
      <c r="W13" s="2442"/>
      <c r="X13" s="2442"/>
      <c r="Y13" s="2442"/>
      <c r="Z13" s="2442"/>
      <c r="AA13" s="2442"/>
      <c r="AB13" s="2442"/>
      <c r="AC13" s="2442"/>
      <c r="AD13" s="2442"/>
      <c r="AE13" s="2442"/>
      <c r="AF13" s="2442"/>
      <c r="AG13" s="2442"/>
      <c r="AH13" s="2442"/>
      <c r="AI13" s="2442"/>
      <c r="AJ13" s="2442"/>
      <c r="AK13" s="2442"/>
      <c r="AL13" s="2442"/>
      <c r="AM13" s="2442"/>
      <c r="AN13" s="2442"/>
      <c r="AO13" s="2442"/>
      <c r="AP13" s="2442"/>
      <c r="AQ13" s="2442"/>
      <c r="AR13" s="2442"/>
      <c r="AS13" s="2442"/>
      <c r="AU13" s="1612"/>
      <c r="AW13" s="1612"/>
    </row>
    <row r="14" spans="1:56" x14ac:dyDescent="0.25">
      <c r="A14" s="2442" t="s">
        <v>2</v>
      </c>
      <c r="B14" s="2442"/>
      <c r="C14" s="2442"/>
      <c r="D14" s="2442"/>
      <c r="E14" s="2442"/>
      <c r="F14" s="2442"/>
      <c r="G14" s="2442"/>
      <c r="H14" s="2442"/>
      <c r="I14" s="2442"/>
      <c r="J14" s="2442"/>
      <c r="K14" s="1093"/>
      <c r="L14" s="1093"/>
      <c r="M14" s="1093"/>
      <c r="N14" s="1093"/>
      <c r="O14" s="1093"/>
      <c r="P14" s="1093"/>
      <c r="Q14" s="1093"/>
      <c r="R14" s="1093"/>
      <c r="S14" s="1093"/>
      <c r="T14" s="1093"/>
      <c r="U14" s="1093"/>
      <c r="V14" s="1093"/>
      <c r="W14" s="1093"/>
      <c r="X14" s="1625"/>
      <c r="Y14" s="1093"/>
      <c r="Z14" s="1093"/>
      <c r="AA14" s="1093"/>
      <c r="AB14" s="1093"/>
      <c r="AC14" s="1093"/>
      <c r="AD14" s="1093"/>
      <c r="AE14" s="1093"/>
      <c r="AF14" s="1093"/>
      <c r="AG14" s="1093"/>
      <c r="AH14" s="1093"/>
      <c r="AI14" s="1093"/>
      <c r="AJ14" s="1093"/>
      <c r="AK14" s="1093"/>
      <c r="AL14" s="1093"/>
      <c r="AM14" s="1093"/>
      <c r="AN14" s="1093"/>
      <c r="AO14" s="1093"/>
      <c r="AP14" s="1093"/>
      <c r="AQ14" s="1093"/>
      <c r="AR14" s="1093"/>
      <c r="AS14" s="1093"/>
    </row>
    <row r="15" spans="1:56" x14ac:dyDescent="0.25">
      <c r="A15" s="2442" t="s">
        <v>3</v>
      </c>
      <c r="B15" s="2442"/>
      <c r="C15" s="2442"/>
      <c r="D15" s="2442"/>
      <c r="E15" s="2442"/>
      <c r="F15" s="1093"/>
      <c r="G15" s="1093"/>
      <c r="H15" s="1093"/>
      <c r="I15" s="1093"/>
      <c r="J15" s="1093"/>
      <c r="K15" s="1093"/>
      <c r="L15" s="1093"/>
      <c r="M15" s="1093"/>
      <c r="N15" s="1093"/>
      <c r="O15" s="1093"/>
      <c r="P15" s="1093"/>
      <c r="Q15" s="1093"/>
      <c r="R15" s="1093"/>
      <c r="S15" s="1093"/>
      <c r="T15" s="1093"/>
      <c r="U15" s="1093"/>
      <c r="V15" s="1093"/>
      <c r="W15" s="1093"/>
      <c r="X15" s="1093"/>
      <c r="Y15" s="1093"/>
      <c r="Z15" s="1093"/>
      <c r="AA15" s="1093"/>
      <c r="AB15" s="1093"/>
      <c r="AC15" s="368"/>
      <c r="AD15" s="368"/>
      <c r="AE15" s="368"/>
      <c r="AF15" s="1093"/>
      <c r="AG15" s="1093"/>
      <c r="AH15" s="1093"/>
      <c r="AI15" s="1093"/>
      <c r="AJ15" s="1093"/>
      <c r="AK15" s="1093"/>
      <c r="AL15" s="1093"/>
      <c r="AM15" s="1093"/>
      <c r="AN15" s="1093"/>
      <c r="AO15" s="1093"/>
      <c r="AP15" s="1093"/>
      <c r="AQ15" s="1093"/>
      <c r="AR15" s="1093"/>
      <c r="AS15" s="1093"/>
    </row>
    <row r="16" spans="1:56" ht="15.75" x14ac:dyDescent="0.25">
      <c r="A16" s="368"/>
      <c r="B16" s="370"/>
      <c r="C16" s="370"/>
      <c r="D16" s="370"/>
      <c r="E16" s="370"/>
      <c r="F16" s="370"/>
      <c r="G16" s="370"/>
      <c r="H16" s="1626"/>
      <c r="I16" s="1613"/>
      <c r="J16" s="1626"/>
      <c r="K16" s="370"/>
      <c r="L16" s="370"/>
      <c r="M16" s="370"/>
      <c r="N16" s="370"/>
      <c r="O16" s="370"/>
      <c r="P16" s="370"/>
      <c r="Q16" s="370"/>
      <c r="R16" s="370"/>
      <c r="S16" s="370"/>
      <c r="T16" s="370"/>
      <c r="U16" s="370"/>
      <c r="V16" s="370"/>
      <c r="W16" s="370"/>
      <c r="X16" s="370"/>
      <c r="Y16" s="370"/>
      <c r="Z16" s="370"/>
      <c r="AA16" s="370"/>
      <c r="AB16" s="370"/>
      <c r="AC16" s="368"/>
      <c r="AD16" s="368"/>
      <c r="AE16" s="368"/>
      <c r="AF16" s="370"/>
      <c r="AG16" s="1626"/>
      <c r="AH16" s="370"/>
      <c r="AI16" s="370"/>
      <c r="AJ16" s="370"/>
      <c r="AK16" s="370"/>
      <c r="AL16" s="370"/>
      <c r="AM16" s="370"/>
      <c r="AN16" s="370"/>
      <c r="AO16" s="370"/>
      <c r="AP16" s="370"/>
      <c r="AQ16" s="370"/>
      <c r="AR16" s="370"/>
      <c r="AS16" s="370"/>
    </row>
    <row r="17" spans="1:56" ht="15.75" x14ac:dyDescent="0.25">
      <c r="A17" s="2441" t="s">
        <v>7564</v>
      </c>
      <c r="B17" s="2441"/>
      <c r="C17" s="2441"/>
      <c r="D17" s="2441"/>
      <c r="E17" s="2441"/>
      <c r="F17" s="2441"/>
      <c r="G17" s="2441"/>
      <c r="H17" s="2441"/>
      <c r="I17" s="2441"/>
      <c r="J17" s="2441"/>
      <c r="K17" s="2441"/>
      <c r="L17" s="2441"/>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c r="AS17" s="2441"/>
      <c r="AT17" s="422"/>
      <c r="AU17" s="422"/>
      <c r="AV17" s="422"/>
      <c r="AW17" s="422"/>
      <c r="AX17" s="422"/>
      <c r="AY17" s="422"/>
      <c r="AZ17" s="422"/>
      <c r="BA17" s="422"/>
      <c r="BB17" s="422"/>
      <c r="BC17" s="422"/>
      <c r="BD17" s="422"/>
    </row>
    <row r="18" spans="1:56" ht="15.75" x14ac:dyDescent="0.25">
      <c r="A18" s="2441" t="s">
        <v>7565</v>
      </c>
      <c r="B18" s="2441"/>
      <c r="C18" s="2441"/>
      <c r="D18" s="2441"/>
      <c r="E18" s="2441"/>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c r="AS18" s="2441"/>
      <c r="AT18" s="422"/>
      <c r="AU18" s="422"/>
      <c r="AV18" s="422"/>
      <c r="AW18" s="422"/>
      <c r="AX18" s="422"/>
      <c r="AY18" s="422"/>
      <c r="AZ18" s="422"/>
      <c r="BA18" s="422"/>
      <c r="BB18" s="422"/>
      <c r="BC18" s="422"/>
      <c r="BD18" s="422"/>
    </row>
    <row r="19" spans="1:56" ht="15.75" x14ac:dyDescent="0.25">
      <c r="A19" s="2441" t="s">
        <v>7566</v>
      </c>
      <c r="B19" s="2441"/>
      <c r="C19" s="2441"/>
      <c r="D19" s="2441"/>
      <c r="E19" s="2441"/>
      <c r="F19" s="2441"/>
      <c r="G19" s="2441"/>
      <c r="H19" s="2441"/>
      <c r="I19" s="2441"/>
      <c r="J19" s="2441"/>
      <c r="K19" s="2441"/>
      <c r="L19" s="2441"/>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c r="AS19" s="2441"/>
      <c r="AT19" s="422"/>
      <c r="AU19" s="422"/>
      <c r="AV19" s="422"/>
      <c r="AW19" s="422"/>
      <c r="AX19" s="422"/>
      <c r="AY19" s="422"/>
      <c r="AZ19" s="422"/>
      <c r="BA19" s="422"/>
      <c r="BB19" s="422"/>
      <c r="BC19" s="422"/>
      <c r="BD19" s="422"/>
    </row>
    <row r="20" spans="1:56" x14ac:dyDescent="0.25">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422"/>
      <c r="AU20" s="422"/>
      <c r="AV20" s="422"/>
      <c r="AW20" s="422"/>
      <c r="AX20" s="422"/>
      <c r="AY20" s="422"/>
      <c r="AZ20" s="422"/>
      <c r="BA20" s="422"/>
      <c r="BB20" s="422"/>
      <c r="BC20" s="422"/>
      <c r="BD20" s="422"/>
    </row>
    <row r="21" spans="1:56" ht="15.75" customHeight="1" thickBot="1" x14ac:dyDescent="0.3">
      <c r="A21" s="2436"/>
      <c r="B21" s="2436"/>
      <c r="C21" s="2436"/>
      <c r="D21" s="2436"/>
      <c r="E21" s="2436"/>
      <c r="F21" s="2436"/>
      <c r="G21" s="2436"/>
      <c r="H21" s="2436"/>
      <c r="I21" s="2436"/>
      <c r="J21" s="2436"/>
      <c r="K21" s="2436"/>
      <c r="L21" s="2436"/>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2436"/>
      <c r="AN21" s="2436"/>
      <c r="AO21" s="2436"/>
      <c r="AP21" s="2436"/>
      <c r="AQ21" s="2436"/>
      <c r="AR21" s="2436"/>
      <c r="AS21" s="2436"/>
      <c r="AT21" s="2436"/>
      <c r="AU21" s="2436"/>
      <c r="AV21" s="2436"/>
      <c r="AW21" s="2436"/>
      <c r="AX21" s="2436"/>
      <c r="AY21" s="2436"/>
      <c r="AZ21" s="2436"/>
      <c r="BA21" s="2436"/>
      <c r="BB21" s="2436"/>
      <c r="BC21" s="2436"/>
      <c r="BD21" s="2436"/>
    </row>
    <row r="22" spans="1:56" ht="15.75" customHeight="1" x14ac:dyDescent="0.25">
      <c r="A22" s="2437" t="s">
        <v>5</v>
      </c>
      <c r="B22" s="2086" t="s">
        <v>6</v>
      </c>
      <c r="C22" s="2087"/>
      <c r="D22" s="2087"/>
      <c r="E22" s="2087"/>
      <c r="F22" s="2087"/>
      <c r="G22" s="2088"/>
      <c r="H22" s="2125" t="s">
        <v>7</v>
      </c>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056" t="s">
        <v>8</v>
      </c>
      <c r="AJ22" s="2049"/>
      <c r="AK22" s="2049"/>
      <c r="AL22" s="2051"/>
      <c r="AM22" s="2125" t="s">
        <v>9</v>
      </c>
      <c r="AN22" s="2126"/>
      <c r="AO22" s="2126"/>
      <c r="AP22" s="2126"/>
      <c r="AQ22" s="2126"/>
      <c r="AR22" s="2127"/>
      <c r="AS22" s="2068" t="s">
        <v>10</v>
      </c>
      <c r="AT22" s="2049"/>
      <c r="AU22" s="2049"/>
      <c r="AV22" s="2049"/>
      <c r="AW22" s="2049"/>
      <c r="AX22" s="2049"/>
      <c r="AY22" s="2049"/>
      <c r="AZ22" s="2049"/>
      <c r="BA22" s="2049"/>
      <c r="BB22" s="2049"/>
      <c r="BC22" s="2049"/>
      <c r="BD22" s="2051"/>
    </row>
    <row r="23" spans="1:56" ht="15.75" customHeight="1" x14ac:dyDescent="0.25">
      <c r="A23" s="2438"/>
      <c r="B23" s="2089"/>
      <c r="C23" s="2090"/>
      <c r="D23" s="2090"/>
      <c r="E23" s="2090"/>
      <c r="F23" s="2090"/>
      <c r="G23" s="2091"/>
      <c r="H23" s="2101" t="s">
        <v>11</v>
      </c>
      <c r="I23" s="2102"/>
      <c r="J23" s="2102"/>
      <c r="K23" s="2102"/>
      <c r="L23" s="2102"/>
      <c r="M23" s="2102"/>
      <c r="N23" s="2102"/>
      <c r="O23" s="2102"/>
      <c r="P23" s="2102"/>
      <c r="Q23" s="2102"/>
      <c r="R23" s="2102"/>
      <c r="S23" s="2102"/>
      <c r="T23" s="2069"/>
      <c r="U23" s="2103" t="s">
        <v>12</v>
      </c>
      <c r="V23" s="2102"/>
      <c r="W23" s="2102"/>
      <c r="X23" s="2102"/>
      <c r="Y23" s="2102"/>
      <c r="Z23" s="2102"/>
      <c r="AA23" s="2102"/>
      <c r="AB23" s="2102"/>
      <c r="AC23" s="2102"/>
      <c r="AD23" s="2069"/>
      <c r="AE23" s="2103" t="s">
        <v>13</v>
      </c>
      <c r="AF23" s="2102"/>
      <c r="AG23" s="2102"/>
      <c r="AH23" s="2102"/>
      <c r="AI23" s="2057" t="s">
        <v>14</v>
      </c>
      <c r="AJ23" s="2050" t="s">
        <v>15</v>
      </c>
      <c r="AK23" s="2050" t="s">
        <v>16</v>
      </c>
      <c r="AL23" s="2052" t="s">
        <v>581</v>
      </c>
      <c r="AM23" s="2112" t="s">
        <v>18</v>
      </c>
      <c r="AN23" s="2114" t="s">
        <v>19</v>
      </c>
      <c r="AO23" s="2114" t="s">
        <v>20</v>
      </c>
      <c r="AP23" s="2114" t="s">
        <v>21</v>
      </c>
      <c r="AQ23" s="2114" t="s">
        <v>22</v>
      </c>
      <c r="AR23" s="2116" t="s">
        <v>21</v>
      </c>
      <c r="AS23" s="2069" t="s">
        <v>23</v>
      </c>
      <c r="AT23" s="2050" t="s">
        <v>24</v>
      </c>
      <c r="AU23" s="2435" t="s">
        <v>25</v>
      </c>
      <c r="AV23" s="2435"/>
      <c r="AW23" s="2435"/>
      <c r="AX23" s="2435" t="s">
        <v>26</v>
      </c>
      <c r="AY23" s="2435"/>
      <c r="AZ23" s="2050" t="s">
        <v>27</v>
      </c>
      <c r="BA23" s="2050" t="s">
        <v>28</v>
      </c>
      <c r="BB23" s="2435" t="s">
        <v>29</v>
      </c>
      <c r="BC23" s="2435"/>
      <c r="BD23" s="2440"/>
    </row>
    <row r="24" spans="1:56" ht="51" x14ac:dyDescent="0.25">
      <c r="A24" s="2438"/>
      <c r="B24" s="1028" t="s">
        <v>30</v>
      </c>
      <c r="C24" s="1026" t="s">
        <v>31</v>
      </c>
      <c r="D24" s="1026" t="s">
        <v>32</v>
      </c>
      <c r="E24" s="1026" t="s">
        <v>23</v>
      </c>
      <c r="F24" s="1026" t="s">
        <v>33</v>
      </c>
      <c r="G24" s="1027" t="s">
        <v>34</v>
      </c>
      <c r="H24" s="1180" t="s">
        <v>35</v>
      </c>
      <c r="I24" s="1026" t="s">
        <v>36</v>
      </c>
      <c r="J24" s="1026" t="s">
        <v>37</v>
      </c>
      <c r="K24" s="1026" t="s">
        <v>38</v>
      </c>
      <c r="L24" s="1026" t="s">
        <v>39</v>
      </c>
      <c r="M24" s="1026" t="s">
        <v>40</v>
      </c>
      <c r="N24" s="1026" t="s">
        <v>41</v>
      </c>
      <c r="O24" s="1026" t="s">
        <v>42</v>
      </c>
      <c r="P24" s="1026" t="s">
        <v>43</v>
      </c>
      <c r="Q24" s="1026" t="s">
        <v>44</v>
      </c>
      <c r="R24" s="1026" t="s">
        <v>45</v>
      </c>
      <c r="S24" s="1026" t="s">
        <v>46</v>
      </c>
      <c r="T24" s="1026" t="s">
        <v>47</v>
      </c>
      <c r="U24" s="1026" t="s">
        <v>48</v>
      </c>
      <c r="V24" s="1026" t="s">
        <v>38</v>
      </c>
      <c r="W24" s="1026" t="s">
        <v>40</v>
      </c>
      <c r="X24" s="1026" t="s">
        <v>49</v>
      </c>
      <c r="Y24" s="1026" t="s">
        <v>41</v>
      </c>
      <c r="Z24" s="1026" t="s">
        <v>42</v>
      </c>
      <c r="AA24" s="1026" t="s">
        <v>50</v>
      </c>
      <c r="AB24" s="1026" t="s">
        <v>51</v>
      </c>
      <c r="AC24" s="1026" t="s">
        <v>52</v>
      </c>
      <c r="AD24" s="1026" t="s">
        <v>53</v>
      </c>
      <c r="AE24" s="1026" t="s">
        <v>54</v>
      </c>
      <c r="AF24" s="1026" t="s">
        <v>55</v>
      </c>
      <c r="AG24" s="1026" t="s">
        <v>56</v>
      </c>
      <c r="AH24" s="1077" t="s">
        <v>57</v>
      </c>
      <c r="AI24" s="2057"/>
      <c r="AJ24" s="2050"/>
      <c r="AK24" s="2050"/>
      <c r="AL24" s="2052"/>
      <c r="AM24" s="2113"/>
      <c r="AN24" s="2115"/>
      <c r="AO24" s="2115"/>
      <c r="AP24" s="2115"/>
      <c r="AQ24" s="2115"/>
      <c r="AR24" s="2117"/>
      <c r="AS24" s="2069"/>
      <c r="AT24" s="2050"/>
      <c r="AU24" s="7" t="s">
        <v>58</v>
      </c>
      <c r="AV24" s="7" t="s">
        <v>59</v>
      </c>
      <c r="AW24" s="7" t="s">
        <v>60</v>
      </c>
      <c r="AX24" s="7" t="s">
        <v>61</v>
      </c>
      <c r="AY24" s="1026" t="s">
        <v>62</v>
      </c>
      <c r="AZ24" s="2050"/>
      <c r="BA24" s="2050"/>
      <c r="BB24" s="7" t="s">
        <v>58</v>
      </c>
      <c r="BC24" s="7" t="s">
        <v>63</v>
      </c>
      <c r="BD24" s="9" t="s">
        <v>64</v>
      </c>
    </row>
    <row r="25" spans="1:56" ht="26.25" thickBot="1" x14ac:dyDescent="0.3">
      <c r="A25" s="2439"/>
      <c r="B25" s="10" t="s">
        <v>65</v>
      </c>
      <c r="C25" s="11" t="s">
        <v>66</v>
      </c>
      <c r="D25" s="12" t="s">
        <v>67</v>
      </c>
      <c r="E25" s="11" t="s">
        <v>68</v>
      </c>
      <c r="F25" s="11" t="s">
        <v>69</v>
      </c>
      <c r="G25" s="13" t="s">
        <v>70</v>
      </c>
      <c r="H25" s="14" t="s">
        <v>71</v>
      </c>
      <c r="I25" s="11" t="s">
        <v>72</v>
      </c>
      <c r="J25" s="11" t="s">
        <v>73</v>
      </c>
      <c r="K25" s="11" t="s">
        <v>74</v>
      </c>
      <c r="L25" s="15" t="s">
        <v>75</v>
      </c>
      <c r="M25" s="11" t="s">
        <v>76</v>
      </c>
      <c r="N25" s="11" t="s">
        <v>77</v>
      </c>
      <c r="O25" s="11" t="s">
        <v>78</v>
      </c>
      <c r="P25" s="11" t="s">
        <v>79</v>
      </c>
      <c r="Q25" s="11" t="s">
        <v>80</v>
      </c>
      <c r="R25" s="11" t="s">
        <v>81</v>
      </c>
      <c r="S25" s="11" t="s">
        <v>82</v>
      </c>
      <c r="T25" s="11" t="s">
        <v>83</v>
      </c>
      <c r="U25" s="11" t="s">
        <v>84</v>
      </c>
      <c r="V25" s="11" t="s">
        <v>85</v>
      </c>
      <c r="W25" s="11" t="s">
        <v>86</v>
      </c>
      <c r="X25" s="11" t="s">
        <v>87</v>
      </c>
      <c r="Y25" s="11" t="s">
        <v>88</v>
      </c>
      <c r="Z25" s="11" t="s">
        <v>89</v>
      </c>
      <c r="AA25" s="11" t="s">
        <v>90</v>
      </c>
      <c r="AB25" s="11" t="s">
        <v>91</v>
      </c>
      <c r="AC25" s="11" t="s">
        <v>92</v>
      </c>
      <c r="AD25" s="11" t="s">
        <v>93</v>
      </c>
      <c r="AE25" s="11" t="s">
        <v>94</v>
      </c>
      <c r="AF25" s="11" t="s">
        <v>95</v>
      </c>
      <c r="AG25" s="247" t="s">
        <v>96</v>
      </c>
      <c r="AH25" s="248" t="s">
        <v>97</v>
      </c>
      <c r="AI25" s="10" t="s">
        <v>98</v>
      </c>
      <c r="AJ25" s="16" t="s">
        <v>99</v>
      </c>
      <c r="AK25" s="16" t="s">
        <v>100</v>
      </c>
      <c r="AL25" s="249" t="s">
        <v>101</v>
      </c>
      <c r="AM25" s="17" t="s">
        <v>102</v>
      </c>
      <c r="AN25" s="18" t="s">
        <v>103</v>
      </c>
      <c r="AO25" s="18" t="s">
        <v>104</v>
      </c>
      <c r="AP25" s="18" t="s">
        <v>105</v>
      </c>
      <c r="AQ25" s="18" t="s">
        <v>106</v>
      </c>
      <c r="AR25" s="19" t="s">
        <v>107</v>
      </c>
      <c r="AS25" s="1611" t="s">
        <v>108</v>
      </c>
      <c r="AT25" s="18" t="s">
        <v>109</v>
      </c>
      <c r="AU25" s="18" t="s">
        <v>110</v>
      </c>
      <c r="AV25" s="18" t="s">
        <v>111</v>
      </c>
      <c r="AW25" s="19" t="s">
        <v>112</v>
      </c>
      <c r="AX25" s="19" t="s">
        <v>113</v>
      </c>
      <c r="AY25" s="19" t="s">
        <v>114</v>
      </c>
      <c r="AZ25" s="18" t="s">
        <v>115</v>
      </c>
      <c r="BA25" s="18" t="s">
        <v>116</v>
      </c>
      <c r="BB25" s="18" t="s">
        <v>117</v>
      </c>
      <c r="BC25" s="19" t="s">
        <v>118</v>
      </c>
      <c r="BD25" s="19" t="s">
        <v>119</v>
      </c>
    </row>
    <row r="26" spans="1:56" ht="24.75" customHeight="1" x14ac:dyDescent="0.25">
      <c r="A26" s="2041">
        <v>1</v>
      </c>
      <c r="B26" s="1986" t="s">
        <v>4046</v>
      </c>
      <c r="C26" s="2021" t="s">
        <v>4047</v>
      </c>
      <c r="D26" s="1986" t="s">
        <v>1548</v>
      </c>
      <c r="E26" s="1986" t="s">
        <v>584</v>
      </c>
      <c r="F26" s="1986" t="s">
        <v>4048</v>
      </c>
      <c r="G26" s="1995">
        <v>10756</v>
      </c>
      <c r="H26" s="2176" t="s">
        <v>4049</v>
      </c>
      <c r="I26" s="1986" t="s">
        <v>4050</v>
      </c>
      <c r="J26" s="2021" t="s">
        <v>4051</v>
      </c>
      <c r="K26" s="2033">
        <v>41085</v>
      </c>
      <c r="L26" s="2434">
        <v>2219816.8199999998</v>
      </c>
      <c r="M26" s="2197">
        <v>10842</v>
      </c>
      <c r="N26" s="2033">
        <v>41091</v>
      </c>
      <c r="O26" s="2033">
        <v>41274</v>
      </c>
      <c r="P26" s="2176" t="s">
        <v>4729</v>
      </c>
      <c r="Q26" s="2021"/>
      <c r="R26" s="2021"/>
      <c r="S26" s="2021"/>
      <c r="T26" s="1986" t="s">
        <v>208</v>
      </c>
      <c r="U26" s="1067"/>
      <c r="V26" s="1039"/>
      <c r="W26" s="1039"/>
      <c r="X26" s="1067"/>
      <c r="Y26" s="1039"/>
      <c r="Z26" s="1039"/>
      <c r="AA26" s="1039"/>
      <c r="AB26" s="1039"/>
      <c r="AC26" s="1169"/>
      <c r="AD26" s="1039"/>
      <c r="AE26" s="1164"/>
      <c r="AF26" s="577">
        <v>365648</v>
      </c>
      <c r="AG26" s="578">
        <v>380273.91999999998</v>
      </c>
      <c r="AH26" s="579">
        <f>AF26+AG26</f>
        <v>745921.91999999993</v>
      </c>
      <c r="AI26" s="1607"/>
      <c r="AJ26" s="1608"/>
      <c r="AK26" s="1097"/>
      <c r="AL26" s="21"/>
      <c r="AM26" s="1389"/>
      <c r="AN26" s="1389"/>
      <c r="AO26" s="1609"/>
      <c r="AP26" s="1392"/>
      <c r="AQ26" s="1609"/>
      <c r="AR26" s="1392"/>
      <c r="AS26" s="1102"/>
      <c r="AT26" s="1037"/>
      <c r="AU26" s="1037"/>
      <c r="AV26" s="1037"/>
      <c r="AW26" s="1037"/>
      <c r="AX26" s="1037"/>
      <c r="AY26" s="1037"/>
      <c r="AZ26" s="1037"/>
      <c r="BA26" s="1037"/>
      <c r="BB26" s="1037"/>
      <c r="BC26" s="1037"/>
      <c r="BD26" s="1614"/>
    </row>
    <row r="27" spans="1:56" ht="24.75" customHeight="1" x14ac:dyDescent="0.25">
      <c r="A27" s="2041"/>
      <c r="B27" s="1967"/>
      <c r="C27" s="2021"/>
      <c r="D27" s="1967"/>
      <c r="E27" s="1967"/>
      <c r="F27" s="1967"/>
      <c r="G27" s="1972"/>
      <c r="H27" s="2176"/>
      <c r="I27" s="1967"/>
      <c r="J27" s="2021"/>
      <c r="K27" s="2021"/>
      <c r="L27" s="2434"/>
      <c r="M27" s="2197"/>
      <c r="N27" s="2033"/>
      <c r="O27" s="2033"/>
      <c r="P27" s="2176"/>
      <c r="Q27" s="2021"/>
      <c r="R27" s="2021"/>
      <c r="S27" s="2021"/>
      <c r="T27" s="1967"/>
      <c r="U27" s="533" t="s">
        <v>3972</v>
      </c>
      <c r="V27" s="574">
        <v>41096</v>
      </c>
      <c r="W27" s="534">
        <v>10856</v>
      </c>
      <c r="X27" s="533" t="s">
        <v>4033</v>
      </c>
      <c r="Y27" s="574">
        <v>41099</v>
      </c>
      <c r="Z27" s="574">
        <v>41274</v>
      </c>
      <c r="AA27" s="535">
        <f>AC27/L26</f>
        <v>2.5981607797710086E-2</v>
      </c>
      <c r="AB27" s="1615"/>
      <c r="AC27" s="536">
        <v>57674.41</v>
      </c>
      <c r="AD27" s="536"/>
      <c r="AE27" s="576">
        <f>AC27+L26</f>
        <v>2277491.23</v>
      </c>
      <c r="AF27" s="577"/>
      <c r="AG27" s="578"/>
      <c r="AH27" s="579"/>
      <c r="AI27" s="571"/>
      <c r="AJ27" s="572"/>
      <c r="AK27" s="1115"/>
      <c r="AL27" s="28"/>
      <c r="AM27" s="1060"/>
      <c r="AN27" s="1060"/>
      <c r="AO27" s="1058"/>
      <c r="AP27" s="1059"/>
      <c r="AQ27" s="1058"/>
      <c r="AR27" s="1059"/>
      <c r="AS27" s="1081"/>
      <c r="AT27" s="1071"/>
      <c r="AU27" s="1071"/>
      <c r="AV27" s="1071"/>
      <c r="AW27" s="1071"/>
      <c r="AX27" s="1071"/>
      <c r="AY27" s="1071"/>
      <c r="AZ27" s="1071"/>
      <c r="BA27" s="1071"/>
      <c r="BB27" s="1071"/>
      <c r="BC27" s="1071"/>
      <c r="BD27" s="53"/>
    </row>
    <row r="28" spans="1:56" ht="24.75" customHeight="1" x14ac:dyDescent="0.25">
      <c r="A28" s="2041"/>
      <c r="B28" s="1967"/>
      <c r="C28" s="2021"/>
      <c r="D28" s="1967"/>
      <c r="E28" s="1967"/>
      <c r="F28" s="1967"/>
      <c r="G28" s="1972"/>
      <c r="H28" s="2176"/>
      <c r="I28" s="1967"/>
      <c r="J28" s="2021"/>
      <c r="K28" s="2021"/>
      <c r="L28" s="2434"/>
      <c r="M28" s="2197"/>
      <c r="N28" s="2033"/>
      <c r="O28" s="2033"/>
      <c r="P28" s="2176"/>
      <c r="Q28" s="2021"/>
      <c r="R28" s="2021"/>
      <c r="S28" s="2021"/>
      <c r="T28" s="1967"/>
      <c r="U28" s="533" t="s">
        <v>3891</v>
      </c>
      <c r="V28" s="574">
        <v>41107</v>
      </c>
      <c r="W28" s="534">
        <v>10857</v>
      </c>
      <c r="X28" s="533" t="s">
        <v>4033</v>
      </c>
      <c r="Y28" s="574">
        <v>41108</v>
      </c>
      <c r="Z28" s="574">
        <v>41274</v>
      </c>
      <c r="AA28" s="535">
        <f>AC28/AE27</f>
        <v>8.0144150544105494E-3</v>
      </c>
      <c r="AB28" s="535"/>
      <c r="AC28" s="536">
        <v>18252.759999999998</v>
      </c>
      <c r="AD28" s="536"/>
      <c r="AE28" s="576">
        <f>AC28+AE27</f>
        <v>2295743.9899999998</v>
      </c>
      <c r="AF28" s="577"/>
      <c r="AG28" s="578"/>
      <c r="AH28" s="579"/>
      <c r="AI28" s="571"/>
      <c r="AJ28" s="572"/>
      <c r="AK28" s="1115"/>
      <c r="AL28" s="28"/>
      <c r="AM28" s="1060"/>
      <c r="AN28" s="1060"/>
      <c r="AO28" s="1058"/>
      <c r="AP28" s="1059"/>
      <c r="AQ28" s="1058"/>
      <c r="AR28" s="1059"/>
      <c r="AS28" s="1081"/>
      <c r="AT28" s="1071"/>
      <c r="AU28" s="1071"/>
      <c r="AV28" s="1071"/>
      <c r="AW28" s="1071"/>
      <c r="AX28" s="1071"/>
      <c r="AY28" s="1071"/>
      <c r="AZ28" s="1071"/>
      <c r="BA28" s="1071"/>
      <c r="BB28" s="1071"/>
      <c r="BC28" s="1071"/>
      <c r="BD28" s="53"/>
    </row>
    <row r="29" spans="1:56" ht="24.75" customHeight="1" x14ac:dyDescent="0.25">
      <c r="A29" s="2041"/>
      <c r="B29" s="1967"/>
      <c r="C29" s="2021"/>
      <c r="D29" s="1967"/>
      <c r="E29" s="1967"/>
      <c r="F29" s="1967"/>
      <c r="G29" s="1972"/>
      <c r="H29" s="2176"/>
      <c r="I29" s="1967"/>
      <c r="J29" s="2021"/>
      <c r="K29" s="2021"/>
      <c r="L29" s="2434"/>
      <c r="M29" s="2197"/>
      <c r="N29" s="2033"/>
      <c r="O29" s="2033"/>
      <c r="P29" s="2176"/>
      <c r="Q29" s="2021"/>
      <c r="R29" s="2021"/>
      <c r="S29" s="2021"/>
      <c r="T29" s="1967"/>
      <c r="U29" s="533" t="s">
        <v>3892</v>
      </c>
      <c r="V29" s="574">
        <v>41253</v>
      </c>
      <c r="W29" s="534">
        <v>10951</v>
      </c>
      <c r="X29" s="533" t="s">
        <v>4052</v>
      </c>
      <c r="Y29" s="574">
        <v>41275</v>
      </c>
      <c r="Z29" s="574">
        <v>41639</v>
      </c>
      <c r="AA29" s="535"/>
      <c r="AB29" s="1131"/>
      <c r="AC29" s="580">
        <f>6896088.35-2295743.99</f>
        <v>4600344.3599999994</v>
      </c>
      <c r="AD29" s="536"/>
      <c r="AE29" s="576">
        <f>AE28+AC29</f>
        <v>6896088.3499999996</v>
      </c>
      <c r="AF29" s="577"/>
      <c r="AG29" s="578"/>
      <c r="AH29" s="579"/>
      <c r="AI29" s="571"/>
      <c r="AJ29" s="572"/>
      <c r="AK29" s="1115"/>
      <c r="AL29" s="28"/>
      <c r="AM29" s="1060"/>
      <c r="AN29" s="1060"/>
      <c r="AO29" s="1058"/>
      <c r="AP29" s="1059"/>
      <c r="AQ29" s="1058"/>
      <c r="AR29" s="1059"/>
      <c r="AS29" s="1081"/>
      <c r="AT29" s="1071"/>
      <c r="AU29" s="1071"/>
      <c r="AV29" s="1071"/>
      <c r="AW29" s="1071"/>
      <c r="AX29" s="1071"/>
      <c r="AY29" s="1071"/>
      <c r="AZ29" s="1071"/>
      <c r="BA29" s="1071"/>
      <c r="BB29" s="1071"/>
      <c r="BC29" s="1071"/>
      <c r="BD29" s="53"/>
    </row>
    <row r="30" spans="1:56" ht="24.75" customHeight="1" x14ac:dyDescent="0.25">
      <c r="A30" s="2041"/>
      <c r="B30" s="1967"/>
      <c r="C30" s="2021"/>
      <c r="D30" s="1967"/>
      <c r="E30" s="1967"/>
      <c r="F30" s="1967"/>
      <c r="G30" s="1972"/>
      <c r="H30" s="2176"/>
      <c r="I30" s="1967"/>
      <c r="J30" s="2021"/>
      <c r="K30" s="2021"/>
      <c r="L30" s="2434"/>
      <c r="M30" s="2197"/>
      <c r="N30" s="2033"/>
      <c r="O30" s="2033"/>
      <c r="P30" s="2176"/>
      <c r="Q30" s="2021"/>
      <c r="R30" s="2021"/>
      <c r="S30" s="2021"/>
      <c r="T30" s="1967"/>
      <c r="U30" s="533" t="s">
        <v>4045</v>
      </c>
      <c r="V30" s="574">
        <v>41521</v>
      </c>
      <c r="W30" s="534">
        <v>11502</v>
      </c>
      <c r="X30" s="533" t="s">
        <v>4053</v>
      </c>
      <c r="Y30" s="574">
        <v>41275</v>
      </c>
      <c r="Z30" s="574">
        <v>41639</v>
      </c>
      <c r="AA30" s="535">
        <f>AC30/(383362.03*12)</f>
        <v>6.3574112525784918E-2</v>
      </c>
      <c r="AB30" s="1615"/>
      <c r="AC30" s="536">
        <v>292462.81</v>
      </c>
      <c r="AD30" s="536"/>
      <c r="AE30" s="576">
        <f>AE29+AC30</f>
        <v>7188551.1599999992</v>
      </c>
      <c r="AF30" s="577"/>
      <c r="AG30" s="578"/>
      <c r="AH30" s="579"/>
      <c r="AI30" s="571"/>
      <c r="AJ30" s="572"/>
      <c r="AK30" s="1115"/>
      <c r="AL30" s="28"/>
      <c r="AM30" s="1060"/>
      <c r="AN30" s="1060"/>
      <c r="AO30" s="1058"/>
      <c r="AP30" s="1059"/>
      <c r="AQ30" s="1058"/>
      <c r="AR30" s="1059"/>
      <c r="AS30" s="1081"/>
      <c r="AT30" s="1071"/>
      <c r="AU30" s="1071"/>
      <c r="AV30" s="1071"/>
      <c r="AW30" s="1071"/>
      <c r="AX30" s="1071"/>
      <c r="AY30" s="1071"/>
      <c r="AZ30" s="1071"/>
      <c r="BA30" s="1071"/>
      <c r="BB30" s="1071"/>
      <c r="BC30" s="1071"/>
      <c r="BD30" s="53"/>
    </row>
    <row r="31" spans="1:56" ht="24.75" customHeight="1" x14ac:dyDescent="0.25">
      <c r="A31" s="2041"/>
      <c r="B31" s="1967"/>
      <c r="C31" s="2021"/>
      <c r="D31" s="1967"/>
      <c r="E31" s="1967"/>
      <c r="F31" s="1967"/>
      <c r="G31" s="1972"/>
      <c r="H31" s="2176"/>
      <c r="I31" s="1967"/>
      <c r="J31" s="2021"/>
      <c r="K31" s="2021"/>
      <c r="L31" s="2434"/>
      <c r="M31" s="2197"/>
      <c r="N31" s="2033"/>
      <c r="O31" s="2033"/>
      <c r="P31" s="2176"/>
      <c r="Q31" s="2021"/>
      <c r="R31" s="2021"/>
      <c r="S31" s="2021"/>
      <c r="T31" s="1967"/>
      <c r="U31" s="533" t="s">
        <v>3894</v>
      </c>
      <c r="V31" s="574">
        <v>41631</v>
      </c>
      <c r="W31" s="534">
        <v>11513</v>
      </c>
      <c r="X31" s="533" t="s">
        <v>4052</v>
      </c>
      <c r="Y31" s="574">
        <v>41640</v>
      </c>
      <c r="Z31" s="574">
        <v>42004</v>
      </c>
      <c r="AA31" s="535"/>
      <c r="AB31" s="1131"/>
      <c r="AC31" s="580"/>
      <c r="AD31" s="536"/>
      <c r="AE31" s="576"/>
      <c r="AF31" s="577"/>
      <c r="AG31" s="578"/>
      <c r="AH31" s="579"/>
      <c r="AI31" s="571"/>
      <c r="AJ31" s="572"/>
      <c r="AK31" s="1115"/>
      <c r="AL31" s="28"/>
      <c r="AM31" s="1060"/>
      <c r="AN31" s="1060"/>
      <c r="AO31" s="1058"/>
      <c r="AP31" s="1059"/>
      <c r="AQ31" s="1058"/>
      <c r="AR31" s="1059"/>
      <c r="AS31" s="1081"/>
      <c r="AT31" s="1071"/>
      <c r="AU31" s="1071"/>
      <c r="AV31" s="1071"/>
      <c r="AW31" s="1071"/>
      <c r="AX31" s="1071"/>
      <c r="AY31" s="1071"/>
      <c r="AZ31" s="1071"/>
      <c r="BA31" s="1071"/>
      <c r="BB31" s="1071"/>
      <c r="BC31" s="1071"/>
      <c r="BD31" s="53"/>
    </row>
    <row r="32" spans="1:56" x14ac:dyDescent="0.25">
      <c r="A32" s="2041"/>
      <c r="B32" s="1967"/>
      <c r="C32" s="2021"/>
      <c r="D32" s="1967"/>
      <c r="E32" s="1967"/>
      <c r="F32" s="1967"/>
      <c r="G32" s="1972"/>
      <c r="H32" s="2176"/>
      <c r="I32" s="1967"/>
      <c r="J32" s="2021"/>
      <c r="K32" s="2021"/>
      <c r="L32" s="2434"/>
      <c r="M32" s="2197"/>
      <c r="N32" s="2033"/>
      <c r="O32" s="2033"/>
      <c r="P32" s="2176"/>
      <c r="Q32" s="2021"/>
      <c r="R32" s="2021"/>
      <c r="S32" s="2021"/>
      <c r="T32" s="1967"/>
      <c r="U32" s="533" t="s">
        <v>4017</v>
      </c>
      <c r="V32" s="574">
        <v>41791</v>
      </c>
      <c r="W32" s="534">
        <v>11513</v>
      </c>
      <c r="X32" s="533" t="s">
        <v>4054</v>
      </c>
      <c r="Y32" s="574">
        <v>41640</v>
      </c>
      <c r="Z32" s="574">
        <v>42004</v>
      </c>
      <c r="AA32" s="535">
        <f>AC32/AE30</f>
        <v>1.2462004930629164E-2</v>
      </c>
      <c r="AB32" s="535"/>
      <c r="AC32" s="536">
        <v>89583.76</v>
      </c>
      <c r="AD32" s="536"/>
      <c r="AE32" s="576">
        <f>AE30+AC32</f>
        <v>7278134.919999999</v>
      </c>
      <c r="AF32" s="577"/>
      <c r="AG32" s="578"/>
      <c r="AH32" s="579"/>
      <c r="AI32" s="571"/>
      <c r="AJ32" s="572"/>
      <c r="AK32" s="1115"/>
      <c r="AL32" s="28"/>
      <c r="AM32" s="1060"/>
      <c r="AN32" s="1060"/>
      <c r="AO32" s="1058"/>
      <c r="AP32" s="1059"/>
      <c r="AQ32" s="1058"/>
      <c r="AR32" s="1059"/>
      <c r="AS32" s="1081"/>
      <c r="AT32" s="1071"/>
      <c r="AU32" s="1071"/>
      <c r="AV32" s="1071"/>
      <c r="AW32" s="1071"/>
      <c r="AX32" s="1071"/>
      <c r="AY32" s="1071"/>
      <c r="AZ32" s="1071"/>
      <c r="BA32" s="1071"/>
      <c r="BB32" s="1071"/>
      <c r="BC32" s="1071"/>
      <c r="BD32" s="53"/>
    </row>
    <row r="33" spans="1:62" ht="15.75" thickBot="1" x14ac:dyDescent="0.3">
      <c r="A33" s="2041"/>
      <c r="B33" s="1985"/>
      <c r="C33" s="2021"/>
      <c r="D33" s="1985"/>
      <c r="E33" s="1985"/>
      <c r="F33" s="1985"/>
      <c r="G33" s="1994"/>
      <c r="H33" s="2176"/>
      <c r="I33" s="1985"/>
      <c r="J33" s="2021"/>
      <c r="K33" s="2021"/>
      <c r="L33" s="2434"/>
      <c r="M33" s="2197"/>
      <c r="N33" s="2033"/>
      <c r="O33" s="2033"/>
      <c r="P33" s="2176"/>
      <c r="Q33" s="1986"/>
      <c r="R33" s="1986"/>
      <c r="S33" s="1986"/>
      <c r="T33" s="1967"/>
      <c r="U33" s="533" t="s">
        <v>4018</v>
      </c>
      <c r="V33" s="574">
        <v>41791</v>
      </c>
      <c r="W33" s="534">
        <v>11513</v>
      </c>
      <c r="X33" s="533" t="s">
        <v>4054</v>
      </c>
      <c r="Y33" s="574">
        <v>41640</v>
      </c>
      <c r="Z33" s="574">
        <v>42004</v>
      </c>
      <c r="AA33" s="535">
        <f>AC33/AE32</f>
        <v>1.0047848906873523E-3</v>
      </c>
      <c r="AB33" s="1131"/>
      <c r="AC33" s="536">
        <v>7312.96</v>
      </c>
      <c r="AD33" s="536"/>
      <c r="AE33" s="576">
        <f>AE32+AC33</f>
        <v>7285447.879999999</v>
      </c>
      <c r="AF33" s="581"/>
      <c r="AG33" s="582"/>
      <c r="AH33" s="583"/>
      <c r="AI33" s="571"/>
      <c r="AJ33" s="572"/>
      <c r="AK33" s="1115"/>
      <c r="AL33" s="28"/>
      <c r="AM33" s="1060"/>
      <c r="AN33" s="1060"/>
      <c r="AO33" s="1058"/>
      <c r="AP33" s="1059"/>
      <c r="AQ33" s="1058"/>
      <c r="AR33" s="1059"/>
      <c r="AS33" s="1081"/>
      <c r="AT33" s="1071"/>
      <c r="AU33" s="1071"/>
      <c r="AV33" s="1071"/>
      <c r="AW33" s="1071"/>
      <c r="AX33" s="1071"/>
      <c r="AY33" s="1071"/>
      <c r="AZ33" s="1071"/>
      <c r="BA33" s="1071"/>
      <c r="BB33" s="1071"/>
      <c r="BC33" s="1071"/>
      <c r="BD33" s="53"/>
    </row>
    <row r="34" spans="1:62" ht="24.75" customHeight="1" x14ac:dyDescent="0.25">
      <c r="A34" s="1982">
        <v>2</v>
      </c>
      <c r="B34" s="1967" t="s">
        <v>1631</v>
      </c>
      <c r="C34" s="1967" t="s">
        <v>993</v>
      </c>
      <c r="D34" s="1967" t="s">
        <v>4703</v>
      </c>
      <c r="E34" s="1967" t="s">
        <v>584</v>
      </c>
      <c r="F34" s="1967" t="s">
        <v>4726</v>
      </c>
      <c r="G34" s="1972">
        <v>10988</v>
      </c>
      <c r="H34" s="1978" t="s">
        <v>4727</v>
      </c>
      <c r="I34" s="1967" t="s">
        <v>3156</v>
      </c>
      <c r="J34" s="1967" t="s">
        <v>4657</v>
      </c>
      <c r="K34" s="1973">
        <v>41445</v>
      </c>
      <c r="L34" s="2433">
        <v>1929071.85</v>
      </c>
      <c r="M34" s="1994">
        <v>11078</v>
      </c>
      <c r="N34" s="1996">
        <v>41445</v>
      </c>
      <c r="O34" s="1996">
        <v>41655</v>
      </c>
      <c r="P34" s="1978" t="s">
        <v>4729</v>
      </c>
      <c r="Q34" s="1985"/>
      <c r="R34" s="1985"/>
      <c r="S34" s="1985"/>
      <c r="T34" s="2432" t="s">
        <v>1438</v>
      </c>
      <c r="U34" s="1031"/>
      <c r="V34" s="1030"/>
      <c r="W34" s="28"/>
      <c r="X34" s="1031"/>
      <c r="Y34" s="1030"/>
      <c r="Z34" s="1030"/>
      <c r="AA34" s="1030"/>
      <c r="AB34" s="1030"/>
      <c r="AC34" s="584"/>
      <c r="AD34" s="1160"/>
      <c r="AE34" s="1163"/>
      <c r="AF34" s="585"/>
      <c r="AG34" s="586">
        <v>40000</v>
      </c>
      <c r="AH34" s="570">
        <f>AF38+AG34</f>
        <v>40000</v>
      </c>
      <c r="AI34" s="571"/>
      <c r="AJ34" s="572"/>
      <c r="AK34" s="1115"/>
      <c r="AL34" s="28"/>
      <c r="AM34" s="1060"/>
      <c r="AN34" s="1060"/>
      <c r="AO34" s="1058"/>
      <c r="AP34" s="1059"/>
      <c r="AQ34" s="1058"/>
      <c r="AR34" s="1059"/>
      <c r="AS34" s="1985" t="s">
        <v>4707</v>
      </c>
      <c r="AT34" s="2431" t="s">
        <v>4631</v>
      </c>
      <c r="AU34" s="2430">
        <v>41445</v>
      </c>
      <c r="AV34" s="2430">
        <v>41655</v>
      </c>
      <c r="AW34" s="2431">
        <v>29.58</v>
      </c>
      <c r="AX34" s="2427" t="s">
        <v>4615</v>
      </c>
      <c r="AY34" s="2430">
        <v>41445</v>
      </c>
      <c r="AZ34" s="2431" t="s">
        <v>1464</v>
      </c>
      <c r="BA34" s="2431" t="s">
        <v>1458</v>
      </c>
      <c r="BB34" s="2431"/>
      <c r="BC34" s="2431"/>
      <c r="BD34" s="2421"/>
    </row>
    <row r="35" spans="1:62" ht="24.75" customHeight="1" x14ac:dyDescent="0.25">
      <c r="A35" s="1982"/>
      <c r="B35" s="1967"/>
      <c r="C35" s="1967"/>
      <c r="D35" s="1967"/>
      <c r="E35" s="1967"/>
      <c r="F35" s="1967"/>
      <c r="G35" s="1972"/>
      <c r="H35" s="1978"/>
      <c r="I35" s="1967"/>
      <c r="J35" s="1967"/>
      <c r="K35" s="1973"/>
      <c r="L35" s="2433"/>
      <c r="M35" s="2197"/>
      <c r="N35" s="2033"/>
      <c r="O35" s="2033"/>
      <c r="P35" s="1978"/>
      <c r="Q35" s="2021"/>
      <c r="R35" s="2021"/>
      <c r="S35" s="2021"/>
      <c r="T35" s="2328"/>
      <c r="U35" s="1062" t="s">
        <v>3906</v>
      </c>
      <c r="V35" s="1054">
        <v>41584</v>
      </c>
      <c r="W35" s="1053">
        <v>11180</v>
      </c>
      <c r="X35" s="1031" t="s">
        <v>4728</v>
      </c>
      <c r="Y35" s="1054">
        <v>41655</v>
      </c>
      <c r="Z35" s="1054">
        <v>41806</v>
      </c>
      <c r="AA35" s="1054"/>
      <c r="AB35" s="1030"/>
      <c r="AC35" s="1160"/>
      <c r="AD35" s="1160"/>
      <c r="AE35" s="1162"/>
      <c r="AF35" s="587"/>
      <c r="AG35" s="578"/>
      <c r="AH35" s="579"/>
      <c r="AI35" s="571"/>
      <c r="AJ35" s="572"/>
      <c r="AK35" s="1115"/>
      <c r="AL35" s="28"/>
      <c r="AM35" s="1060"/>
      <c r="AN35" s="1060"/>
      <c r="AO35" s="1058"/>
      <c r="AP35" s="1059"/>
      <c r="AQ35" s="1058"/>
      <c r="AR35" s="1059"/>
      <c r="AS35" s="2021"/>
      <c r="AT35" s="2044"/>
      <c r="AU35" s="2031"/>
      <c r="AV35" s="2031"/>
      <c r="AW35" s="2044"/>
      <c r="AX35" s="2428"/>
      <c r="AY35" s="2031"/>
      <c r="AZ35" s="2044"/>
      <c r="BA35" s="2044"/>
      <c r="BB35" s="2044"/>
      <c r="BC35" s="2044"/>
      <c r="BD35" s="2422"/>
    </row>
    <row r="36" spans="1:62" ht="24.75" customHeight="1" x14ac:dyDescent="0.25">
      <c r="A36" s="1982"/>
      <c r="B36" s="1967"/>
      <c r="C36" s="1967"/>
      <c r="D36" s="1967"/>
      <c r="E36" s="1967"/>
      <c r="F36" s="1967"/>
      <c r="G36" s="1972"/>
      <c r="H36" s="1978"/>
      <c r="I36" s="1967"/>
      <c r="J36" s="1967"/>
      <c r="K36" s="1973"/>
      <c r="L36" s="2433"/>
      <c r="M36" s="2197"/>
      <c r="N36" s="2033"/>
      <c r="O36" s="2033"/>
      <c r="P36" s="1978"/>
      <c r="Q36" s="2021"/>
      <c r="R36" s="2021"/>
      <c r="S36" s="2021"/>
      <c r="T36" s="2328"/>
      <c r="U36" s="1062" t="s">
        <v>3928</v>
      </c>
      <c r="V36" s="1054">
        <v>41599</v>
      </c>
      <c r="W36" s="1053">
        <v>11367</v>
      </c>
      <c r="X36" s="1031" t="s">
        <v>4730</v>
      </c>
      <c r="Y36" s="1054"/>
      <c r="Z36" s="1054"/>
      <c r="AA36" s="1030"/>
      <c r="AB36" s="1030"/>
      <c r="AC36" s="1160"/>
      <c r="AD36" s="1160"/>
      <c r="AE36" s="1162"/>
      <c r="AF36" s="587"/>
      <c r="AG36" s="578"/>
      <c r="AH36" s="579"/>
      <c r="AI36" s="571"/>
      <c r="AJ36" s="572"/>
      <c r="AK36" s="1115"/>
      <c r="AL36" s="28"/>
      <c r="AM36" s="1060"/>
      <c r="AN36" s="1060"/>
      <c r="AO36" s="1058"/>
      <c r="AP36" s="1059"/>
      <c r="AQ36" s="1058"/>
      <c r="AR36" s="1059"/>
      <c r="AS36" s="2021"/>
      <c r="AT36" s="2044"/>
      <c r="AU36" s="2031"/>
      <c r="AV36" s="2031"/>
      <c r="AW36" s="2044"/>
      <c r="AX36" s="2428"/>
      <c r="AY36" s="2031"/>
      <c r="AZ36" s="2044"/>
      <c r="BA36" s="2044"/>
      <c r="BB36" s="2044"/>
      <c r="BC36" s="2044"/>
      <c r="BD36" s="2422"/>
    </row>
    <row r="37" spans="1:62" ht="24.75" customHeight="1" x14ac:dyDescent="0.25">
      <c r="A37" s="1982"/>
      <c r="B37" s="1967"/>
      <c r="C37" s="1967"/>
      <c r="D37" s="1967"/>
      <c r="E37" s="1967"/>
      <c r="F37" s="1967"/>
      <c r="G37" s="1972"/>
      <c r="H37" s="1978"/>
      <c r="I37" s="1967"/>
      <c r="J37" s="1967"/>
      <c r="K37" s="1973"/>
      <c r="L37" s="2433"/>
      <c r="M37" s="2197"/>
      <c r="N37" s="2033"/>
      <c r="O37" s="2033"/>
      <c r="P37" s="1978"/>
      <c r="Q37" s="2021"/>
      <c r="R37" s="2021"/>
      <c r="S37" s="2021"/>
      <c r="T37" s="2328"/>
      <c r="U37" s="1062" t="s">
        <v>4710</v>
      </c>
      <c r="V37" s="1054">
        <v>41625</v>
      </c>
      <c r="W37" s="1053">
        <v>11367</v>
      </c>
      <c r="X37" s="1031" t="s">
        <v>4730</v>
      </c>
      <c r="Y37" s="1054"/>
      <c r="Z37" s="1054"/>
      <c r="AA37" s="1030"/>
      <c r="AB37" s="1030"/>
      <c r="AC37" s="1160"/>
      <c r="AD37" s="1160"/>
      <c r="AE37" s="1162"/>
      <c r="AF37" s="587"/>
      <c r="AG37" s="578"/>
      <c r="AH37" s="579"/>
      <c r="AI37" s="571"/>
      <c r="AJ37" s="572"/>
      <c r="AK37" s="1115"/>
      <c r="AL37" s="28"/>
      <c r="AM37" s="1060"/>
      <c r="AN37" s="1060"/>
      <c r="AO37" s="1058"/>
      <c r="AP37" s="1059"/>
      <c r="AQ37" s="1058"/>
      <c r="AR37" s="1059"/>
      <c r="AS37" s="2021"/>
      <c r="AT37" s="2044"/>
      <c r="AU37" s="2031"/>
      <c r="AV37" s="2031"/>
      <c r="AW37" s="2044"/>
      <c r="AX37" s="2428"/>
      <c r="AY37" s="2031"/>
      <c r="AZ37" s="2044"/>
      <c r="BA37" s="2044"/>
      <c r="BB37" s="2044"/>
      <c r="BC37" s="2044"/>
      <c r="BD37" s="2422"/>
    </row>
    <row r="38" spans="1:62" ht="24.75" customHeight="1" x14ac:dyDescent="0.25">
      <c r="A38" s="1982"/>
      <c r="B38" s="1967"/>
      <c r="C38" s="1967"/>
      <c r="D38" s="1967"/>
      <c r="E38" s="1967"/>
      <c r="F38" s="1967"/>
      <c r="G38" s="1972"/>
      <c r="H38" s="1978"/>
      <c r="I38" s="1967"/>
      <c r="J38" s="1967"/>
      <c r="K38" s="1973"/>
      <c r="L38" s="2433"/>
      <c r="M38" s="2197"/>
      <c r="N38" s="2033"/>
      <c r="O38" s="2033"/>
      <c r="P38" s="1978"/>
      <c r="Q38" s="2021"/>
      <c r="R38" s="2021"/>
      <c r="S38" s="2021"/>
      <c r="T38" s="2328"/>
      <c r="U38" s="1062" t="s">
        <v>3891</v>
      </c>
      <c r="V38" s="1059">
        <v>41631</v>
      </c>
      <c r="W38" s="1053">
        <v>11209</v>
      </c>
      <c r="X38" s="1031" t="s">
        <v>3922</v>
      </c>
      <c r="Y38" s="1059"/>
      <c r="Z38" s="1059"/>
      <c r="AA38" s="70">
        <f>AC38/L34</f>
        <v>2.2339572266320717E-2</v>
      </c>
      <c r="AB38" s="1030"/>
      <c r="AC38" s="588">
        <v>43094.64</v>
      </c>
      <c r="AD38" s="1160"/>
      <c r="AE38" s="2423">
        <f>AC38+L34</f>
        <v>1972166.49</v>
      </c>
      <c r="AF38" s="587"/>
      <c r="AG38" s="578"/>
      <c r="AH38" s="579"/>
      <c r="AI38" s="571"/>
      <c r="AJ38" s="572"/>
      <c r="AK38" s="1115"/>
      <c r="AL38" s="28"/>
      <c r="AM38" s="1060"/>
      <c r="AN38" s="1060"/>
      <c r="AO38" s="1058"/>
      <c r="AP38" s="1059"/>
      <c r="AQ38" s="1058"/>
      <c r="AR38" s="1059"/>
      <c r="AS38" s="2021"/>
      <c r="AT38" s="2044"/>
      <c r="AU38" s="2031"/>
      <c r="AV38" s="2031"/>
      <c r="AW38" s="2044"/>
      <c r="AX38" s="2428"/>
      <c r="AY38" s="2031"/>
      <c r="AZ38" s="2044"/>
      <c r="BA38" s="2044"/>
      <c r="BB38" s="2044"/>
      <c r="BC38" s="2044"/>
      <c r="BD38" s="2422"/>
    </row>
    <row r="39" spans="1:62" ht="24.75" customHeight="1" x14ac:dyDescent="0.25">
      <c r="A39" s="1982"/>
      <c r="B39" s="1967"/>
      <c r="C39" s="1967"/>
      <c r="D39" s="1967"/>
      <c r="E39" s="1967"/>
      <c r="F39" s="1967"/>
      <c r="G39" s="1972"/>
      <c r="H39" s="1978"/>
      <c r="I39" s="1967"/>
      <c r="J39" s="1967"/>
      <c r="K39" s="1973"/>
      <c r="L39" s="2433"/>
      <c r="M39" s="2197"/>
      <c r="N39" s="2033"/>
      <c r="O39" s="2033"/>
      <c r="P39" s="1978"/>
      <c r="Q39" s="2021"/>
      <c r="R39" s="2021"/>
      <c r="S39" s="2021"/>
      <c r="T39" s="2328"/>
      <c r="U39" s="589" t="s">
        <v>3892</v>
      </c>
      <c r="V39" s="590">
        <v>41743</v>
      </c>
      <c r="W39" s="1046">
        <v>11500</v>
      </c>
      <c r="X39" s="1031" t="s">
        <v>5001</v>
      </c>
      <c r="Y39" s="1059">
        <v>41806</v>
      </c>
      <c r="Z39" s="1059">
        <v>42016</v>
      </c>
      <c r="AA39" s="1040"/>
      <c r="AB39" s="1040"/>
      <c r="AC39" s="591"/>
      <c r="AD39" s="592"/>
      <c r="AE39" s="2423"/>
      <c r="AF39" s="587"/>
      <c r="AG39" s="578"/>
      <c r="AH39" s="579"/>
      <c r="AI39" s="593"/>
      <c r="AJ39" s="594"/>
      <c r="AK39" s="1103"/>
      <c r="AL39" s="1616"/>
      <c r="AM39" s="343"/>
      <c r="AN39" s="343"/>
      <c r="AO39" s="595"/>
      <c r="AP39" s="590"/>
      <c r="AQ39" s="595"/>
      <c r="AR39" s="590"/>
      <c r="AS39" s="2021"/>
      <c r="AT39" s="2044"/>
      <c r="AU39" s="2031"/>
      <c r="AV39" s="2031"/>
      <c r="AW39" s="2044"/>
      <c r="AX39" s="2428"/>
      <c r="AY39" s="2031"/>
      <c r="AZ39" s="2044"/>
      <c r="BA39" s="2044"/>
      <c r="BB39" s="2044"/>
      <c r="BC39" s="2044"/>
      <c r="BD39" s="2422"/>
    </row>
    <row r="40" spans="1:62" ht="24.75" customHeight="1" x14ac:dyDescent="0.25">
      <c r="A40" s="1982"/>
      <c r="B40" s="1967"/>
      <c r="C40" s="1967"/>
      <c r="D40" s="1967"/>
      <c r="E40" s="1967"/>
      <c r="F40" s="1967"/>
      <c r="G40" s="1972"/>
      <c r="H40" s="1978"/>
      <c r="I40" s="1967"/>
      <c r="J40" s="1967"/>
      <c r="K40" s="1973"/>
      <c r="L40" s="2433"/>
      <c r="M40" s="2197"/>
      <c r="N40" s="2033"/>
      <c r="O40" s="2033"/>
      <c r="P40" s="1978"/>
      <c r="Q40" s="2021"/>
      <c r="R40" s="2021"/>
      <c r="S40" s="2021"/>
      <c r="T40" s="2328"/>
      <c r="U40" s="1031" t="s">
        <v>3893</v>
      </c>
      <c r="V40" s="590">
        <v>41800</v>
      </c>
      <c r="W40" s="1046">
        <v>11500</v>
      </c>
      <c r="X40" s="1031" t="s">
        <v>3922</v>
      </c>
      <c r="Y40" s="1059"/>
      <c r="Z40" s="1059"/>
      <c r="AA40" s="596">
        <f>AC40/AE38</f>
        <v>0.11243213548365281</v>
      </c>
      <c r="AB40" s="1040"/>
      <c r="AC40" s="591">
        <v>221734.89</v>
      </c>
      <c r="AD40" s="592"/>
      <c r="AE40" s="1162">
        <f>AE38+AC40</f>
        <v>2193901.38</v>
      </c>
      <c r="AF40" s="597"/>
      <c r="AG40" s="582"/>
      <c r="AH40" s="583"/>
      <c r="AI40" s="593"/>
      <c r="AJ40" s="594"/>
      <c r="AK40" s="1103"/>
      <c r="AL40" s="1616"/>
      <c r="AM40" s="343"/>
      <c r="AN40" s="343"/>
      <c r="AO40" s="595"/>
      <c r="AP40" s="590"/>
      <c r="AQ40" s="595"/>
      <c r="AR40" s="590"/>
      <c r="AS40" s="2021"/>
      <c r="AT40" s="2044"/>
      <c r="AU40" s="2031"/>
      <c r="AV40" s="2031"/>
      <c r="AW40" s="2044"/>
      <c r="AX40" s="2428"/>
      <c r="AY40" s="2031"/>
      <c r="AZ40" s="2044"/>
      <c r="BA40" s="2044"/>
      <c r="BB40" s="2044"/>
      <c r="BC40" s="2044"/>
      <c r="BD40" s="2422"/>
    </row>
    <row r="41" spans="1:62" ht="24.75" customHeight="1" x14ac:dyDescent="0.25">
      <c r="A41" s="1982"/>
      <c r="B41" s="1967"/>
      <c r="C41" s="1967"/>
      <c r="D41" s="1967"/>
      <c r="E41" s="1967"/>
      <c r="F41" s="1967"/>
      <c r="G41" s="1972"/>
      <c r="H41" s="1978"/>
      <c r="I41" s="1967"/>
      <c r="J41" s="1967"/>
      <c r="K41" s="1973"/>
      <c r="L41" s="2433"/>
      <c r="M41" s="2197"/>
      <c r="N41" s="2033"/>
      <c r="O41" s="2033"/>
      <c r="P41" s="1978"/>
      <c r="Q41" s="1038"/>
      <c r="R41" s="1038"/>
      <c r="S41" s="1038"/>
      <c r="T41" s="1167"/>
      <c r="U41" s="1062" t="s">
        <v>4712</v>
      </c>
      <c r="V41" s="590">
        <v>41843</v>
      </c>
      <c r="W41" s="1046">
        <v>11364</v>
      </c>
      <c r="X41" s="1066" t="s">
        <v>4732</v>
      </c>
      <c r="Y41" s="590"/>
      <c r="Z41" s="590"/>
      <c r="AA41" s="596">
        <f>AC41/L34</f>
        <v>0.15374089358050608</v>
      </c>
      <c r="AB41" s="1040"/>
      <c r="AC41" s="591">
        <v>296577.23</v>
      </c>
      <c r="AD41" s="592"/>
      <c r="AE41" s="2287">
        <f>AE40+AC41</f>
        <v>2490478.61</v>
      </c>
      <c r="AF41" s="587"/>
      <c r="AG41" s="578"/>
      <c r="AH41" s="579"/>
      <c r="AI41" s="593"/>
      <c r="AJ41" s="594"/>
      <c r="AK41" s="1103"/>
      <c r="AL41" s="1616"/>
      <c r="AM41" s="343"/>
      <c r="AN41" s="343"/>
      <c r="AO41" s="595"/>
      <c r="AP41" s="590"/>
      <c r="AQ41" s="595"/>
      <c r="AR41" s="590"/>
      <c r="AS41" s="2021"/>
      <c r="AT41" s="2044"/>
      <c r="AU41" s="2031"/>
      <c r="AV41" s="2031"/>
      <c r="AW41" s="2044"/>
      <c r="AX41" s="2428"/>
      <c r="AY41" s="2031"/>
      <c r="AZ41" s="2044"/>
      <c r="BA41" s="2044"/>
      <c r="BB41" s="1036"/>
      <c r="BC41" s="1036"/>
      <c r="BD41" s="1161"/>
    </row>
    <row r="42" spans="1:62" ht="24.75" customHeight="1" x14ac:dyDescent="0.25">
      <c r="A42" s="1982"/>
      <c r="B42" s="1967"/>
      <c r="C42" s="1967"/>
      <c r="D42" s="1967"/>
      <c r="E42" s="1967"/>
      <c r="F42" s="1967"/>
      <c r="G42" s="1972"/>
      <c r="H42" s="1978"/>
      <c r="I42" s="1967"/>
      <c r="J42" s="1967"/>
      <c r="K42" s="1973"/>
      <c r="L42" s="2433"/>
      <c r="M42" s="1995"/>
      <c r="N42" s="1997"/>
      <c r="O42" s="1997"/>
      <c r="P42" s="1978"/>
      <c r="Q42" s="1038"/>
      <c r="R42" s="1038"/>
      <c r="S42" s="1038"/>
      <c r="T42" s="1167"/>
      <c r="U42" s="1031" t="s">
        <v>3909</v>
      </c>
      <c r="V42" s="590">
        <v>41892</v>
      </c>
      <c r="W42" s="1046">
        <v>11429</v>
      </c>
      <c r="X42" s="1031" t="s">
        <v>4733</v>
      </c>
      <c r="Y42" s="590">
        <v>41896</v>
      </c>
      <c r="Z42" s="590">
        <v>42046</v>
      </c>
      <c r="AA42" s="596"/>
      <c r="AB42" s="1040"/>
      <c r="AC42" s="591"/>
      <c r="AD42" s="592"/>
      <c r="AE42" s="2288"/>
      <c r="AF42" s="587"/>
      <c r="AG42" s="578"/>
      <c r="AH42" s="579"/>
      <c r="AI42" s="593"/>
      <c r="AJ42" s="594"/>
      <c r="AK42" s="1103"/>
      <c r="AL42" s="1616"/>
      <c r="AM42" s="343"/>
      <c r="AN42" s="343"/>
      <c r="AO42" s="595"/>
      <c r="AP42" s="590"/>
      <c r="AQ42" s="595"/>
      <c r="AR42" s="590"/>
      <c r="AS42" s="1986"/>
      <c r="AT42" s="2045"/>
      <c r="AU42" s="2032"/>
      <c r="AV42" s="2032"/>
      <c r="AW42" s="2045"/>
      <c r="AX42" s="2429"/>
      <c r="AY42" s="2032"/>
      <c r="AZ42" s="2045"/>
      <c r="BA42" s="2045"/>
      <c r="BB42" s="1036"/>
      <c r="BC42" s="1036"/>
      <c r="BD42" s="1161"/>
    </row>
    <row r="43" spans="1:62" s="1624" customFormat="1" ht="24.75" customHeight="1" thickBot="1" x14ac:dyDescent="0.3">
      <c r="A43" s="2424"/>
      <c r="B43" s="2425"/>
      <c r="C43" s="2425"/>
      <c r="D43" s="2425"/>
      <c r="E43" s="2425"/>
      <c r="F43" s="2425"/>
      <c r="G43" s="2425"/>
      <c r="H43" s="2425"/>
      <c r="I43" s="2425"/>
      <c r="J43" s="2425"/>
      <c r="K43" s="2426"/>
      <c r="L43" s="1617">
        <f>SUM(L26:L40)</f>
        <v>4148888.67</v>
      </c>
      <c r="M43" s="1617"/>
      <c r="N43" s="1617"/>
      <c r="O43" s="1617"/>
      <c r="P43" s="1617"/>
      <c r="Q43" s="1617"/>
      <c r="R43" s="1617"/>
      <c r="S43" s="1617"/>
      <c r="T43" s="1617"/>
      <c r="U43" s="1618"/>
      <c r="V43" s="1617"/>
      <c r="W43" s="1617"/>
      <c r="X43" s="1617"/>
      <c r="Y43" s="1617"/>
      <c r="Z43" s="1617"/>
      <c r="AA43" s="1617"/>
      <c r="AB43" s="1617"/>
      <c r="AC43" s="1617">
        <f>SUM(AC26:AC42)</f>
        <v>5627037.8199999984</v>
      </c>
      <c r="AD43" s="1617">
        <f t="shared" ref="AD43:AH43" si="0">SUM(AD26:AD40)</f>
        <v>0</v>
      </c>
      <c r="AE43" s="1617">
        <f>SUM(AE26:AE42)</f>
        <v>39878004.009999998</v>
      </c>
      <c r="AF43" s="1617">
        <f t="shared" si="0"/>
        <v>365648</v>
      </c>
      <c r="AG43" s="1617">
        <f t="shared" si="0"/>
        <v>420273.91999999998</v>
      </c>
      <c r="AH43" s="1617">
        <f t="shared" si="0"/>
        <v>785921.91999999993</v>
      </c>
      <c r="AI43" s="1619"/>
      <c r="AJ43" s="1619"/>
      <c r="AK43" s="1619"/>
      <c r="AL43" s="1619"/>
      <c r="AM43" s="1061"/>
      <c r="AN43" s="1061"/>
      <c r="AO43" s="1061"/>
      <c r="AP43" s="1061"/>
      <c r="AQ43" s="1061"/>
      <c r="AR43" s="1061"/>
      <c r="AS43" s="1620"/>
      <c r="AT43" s="1621"/>
      <c r="AU43" s="1621"/>
      <c r="AV43" s="1621"/>
      <c r="AW43" s="1621"/>
      <c r="AX43" s="1621"/>
      <c r="AY43" s="1621"/>
      <c r="AZ43" s="1621"/>
      <c r="BA43" s="1621"/>
      <c r="BB43" s="1621"/>
      <c r="BC43" s="1621"/>
      <c r="BD43" s="1622"/>
      <c r="BE43" s="1623"/>
      <c r="BF43" s="1623"/>
      <c r="BG43" s="1623"/>
      <c r="BH43" s="1623"/>
      <c r="BI43" s="1623"/>
      <c r="BJ43" s="1623"/>
    </row>
  </sheetData>
  <mergeCells count="90">
    <mergeCell ref="A13:AS13"/>
    <mergeCell ref="A14:J14"/>
    <mergeCell ref="A15:E15"/>
    <mergeCell ref="A17:AS17"/>
    <mergeCell ref="A18:AS18"/>
    <mergeCell ref="BB23:BD23"/>
    <mergeCell ref="AO23:AO24"/>
    <mergeCell ref="AP23:AP24"/>
    <mergeCell ref="AQ23:AQ24"/>
    <mergeCell ref="A19:AS19"/>
    <mergeCell ref="AI23:AI24"/>
    <mergeCell ref="AJ23:AJ24"/>
    <mergeCell ref="AK23:AK24"/>
    <mergeCell ref="AL23:AL24"/>
    <mergeCell ref="A9:BD9"/>
    <mergeCell ref="A11:BD11"/>
    <mergeCell ref="A21:BD21"/>
    <mergeCell ref="A22:A25"/>
    <mergeCell ref="B22:G23"/>
    <mergeCell ref="H22:AH22"/>
    <mergeCell ref="AI22:AL22"/>
    <mergeCell ref="AM22:AR22"/>
    <mergeCell ref="AS22:BD22"/>
    <mergeCell ref="H23:T23"/>
    <mergeCell ref="U23:AD23"/>
    <mergeCell ref="AE23:AH23"/>
    <mergeCell ref="A26:A33"/>
    <mergeCell ref="B26:B33"/>
    <mergeCell ref="C26:C33"/>
    <mergeCell ref="D26:D33"/>
    <mergeCell ref="E26:E33"/>
    <mergeCell ref="R26:R33"/>
    <mergeCell ref="S26:S33"/>
    <mergeCell ref="T26:T33"/>
    <mergeCell ref="O26:O33"/>
    <mergeCell ref="P26:P33"/>
    <mergeCell ref="Q26:Q33"/>
    <mergeCell ref="AU23:AW23"/>
    <mergeCell ref="AX23:AY23"/>
    <mergeCell ref="AZ23:AZ24"/>
    <mergeCell ref="BA23:BA24"/>
    <mergeCell ref="AM23:AM24"/>
    <mergeCell ref="AN23:AN24"/>
    <mergeCell ref="AT23:AT24"/>
    <mergeCell ref="AR23:AR24"/>
    <mergeCell ref="AS23:AS24"/>
    <mergeCell ref="A34:A42"/>
    <mergeCell ref="B34:B42"/>
    <mergeCell ref="C34:C42"/>
    <mergeCell ref="D34:D42"/>
    <mergeCell ref="E34:E42"/>
    <mergeCell ref="F34:F42"/>
    <mergeCell ref="G34:G42"/>
    <mergeCell ref="L26:L33"/>
    <mergeCell ref="M26:M33"/>
    <mergeCell ref="N26:N33"/>
    <mergeCell ref="F26:F33"/>
    <mergeCell ref="G26:G33"/>
    <mergeCell ref="H26:H33"/>
    <mergeCell ref="I26:I33"/>
    <mergeCell ref="J26:J33"/>
    <mergeCell ref="K26:K33"/>
    <mergeCell ref="S34:S40"/>
    <mergeCell ref="H34:H42"/>
    <mergeCell ref="I34:I42"/>
    <mergeCell ref="J34:J42"/>
    <mergeCell ref="K34:K42"/>
    <mergeCell ref="L34:L42"/>
    <mergeCell ref="M34:M42"/>
    <mergeCell ref="N34:N42"/>
    <mergeCell ref="O34:O42"/>
    <mergeCell ref="P34:P42"/>
    <mergeCell ref="Q34:Q40"/>
    <mergeCell ref="R34:R40"/>
    <mergeCell ref="BD34:BD40"/>
    <mergeCell ref="AE38:AE39"/>
    <mergeCell ref="AE41:AE42"/>
    <mergeCell ref="A43:K43"/>
    <mergeCell ref="AX34:AX42"/>
    <mergeCell ref="AY34:AY42"/>
    <mergeCell ref="AZ34:AZ42"/>
    <mergeCell ref="BA34:BA42"/>
    <mergeCell ref="BB34:BB40"/>
    <mergeCell ref="BC34:BC40"/>
    <mergeCell ref="T34:T40"/>
    <mergeCell ref="AS34:AS42"/>
    <mergeCell ref="AT34:AT42"/>
    <mergeCell ref="AU34:AU42"/>
    <mergeCell ref="AV34:AV42"/>
    <mergeCell ref="AW34:AW4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SMCC</vt:lpstr>
      <vt:lpstr>PROJURI</vt:lpstr>
      <vt:lpstr>SEAD</vt:lpstr>
      <vt:lpstr>SEFIN</vt:lpstr>
      <vt:lpstr>SEPLAN</vt:lpstr>
      <vt:lpstr>SEMSA-FMS</vt:lpstr>
      <vt:lpstr>SEOP</vt:lpstr>
      <vt:lpstr>SEME</vt:lpstr>
      <vt:lpstr>FUNDEB</vt:lpstr>
      <vt:lpstr>SAFRA</vt:lpstr>
      <vt:lpstr>SEMSUR</vt:lpstr>
      <vt:lpstr>SEMEIA</vt:lpstr>
      <vt:lpstr>SMDGU</vt:lpstr>
      <vt:lpstr>FMHIS</vt:lpstr>
      <vt:lpstr>SEDIHPA</vt:lpstr>
      <vt:lpstr>SEMEL</vt:lpstr>
      <vt:lpstr>SEMCAS-FMAS</vt:lpstr>
      <vt:lpstr>FGB</vt:lpstr>
      <vt:lpstr>RBTRANS</vt:lpstr>
      <vt:lpstr>RBPREV</vt:lpstr>
      <vt:lpstr>SAERB</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ANDREATO</dc:creator>
  <cp:lastModifiedBy>ANDREATO</cp:lastModifiedBy>
  <dcterms:created xsi:type="dcterms:W3CDTF">2015-05-12T17:06:33Z</dcterms:created>
  <dcterms:modified xsi:type="dcterms:W3CDTF">2015-05-20T17:10:55Z</dcterms:modified>
</cp:coreProperties>
</file>